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chartsheet+xml" PartName="/xl/chartsheets/sheet8.xml"/>
  <Override ContentType="application/vnd.openxmlformats-officedocument.spreadsheetml.chartsheet+xml" PartName="/xl/chartsheets/sheet2.xml"/>
  <Override ContentType="application/vnd.openxmlformats-officedocument.spreadsheetml.chartsheet+xml" PartName="/xl/chartsheets/sheet3.xml"/>
  <Override ContentType="application/vnd.openxmlformats-officedocument.spreadsheetml.chartsheet+xml" PartName="/xl/chartsheets/sheet6.xml"/>
  <Override ContentType="application/vnd.openxmlformats-officedocument.spreadsheetml.chartsheet+xml" PartName="/xl/chartsheets/sheet7.xml"/>
  <Override ContentType="application/vnd.openxmlformats-officedocument.spreadsheetml.chartsheet+xml" PartName="/xl/chartsheets/sheet9.xml"/>
  <Override ContentType="application/vnd.openxmlformats-officedocument.spreadsheetml.chartsheet+xml" PartName="/xl/chartsheets/sheet5.xml"/>
  <Override ContentType="application/vnd.openxmlformats-officedocument.spreadsheetml.chartsheet+xml" PartName="/xl/chartsheets/sheet4.xml"/>
  <Override ContentType="application/vnd.openxmlformats-officedocument.spreadsheetml.chartsheet+xml" PartName="/xl/chartsheets/sheet1.xml"/>
  <Override ContentType="application/vnd.openxmlformats-officedocument.spreadsheetml.chartsheet+xml" PartName="/xl/chartsheets/sheet10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3 PT" sheetId="1" r:id="rId4"/>
    <sheet state="visible" name="2023 PF" sheetId="2" r:id="rId5"/>
    <sheet state="visible" name="Resumo" sheetId="3" r:id="rId6"/>
    <sheet state="visible" name="Gráfico Total de Registros" sheetId="4" r:id="rId7"/>
    <sheet state="visible" name="Gráfico Total PT e PF" sheetId="5" r:id="rId8"/>
    <sheet state="visible" name="Gráfico PFs de Baixa Toxicidade" sheetId="6" r:id="rId9"/>
    <sheet state="visible" name="Gráfico Fitorg" sheetId="7" r:id="rId10"/>
    <sheet state="visible" name="Gráfico Total de PFs" sheetId="8" r:id="rId11"/>
    <sheet state="visible" name="Gráfico Total de PTs" sheetId="9" r:id="rId12"/>
    <sheet state="visible" name="Gráficos Classificações ANVISA" sheetId="10" r:id="rId13"/>
    <sheet state="visible" name="Gráfico Classificações IBAMA" sheetId="11" r:id="rId14"/>
    <sheet state="visible" name="Gráfico - Registros Aprovados p" sheetId="12" r:id="rId15"/>
    <sheet state="visible" name="Gráfico Tempo Médio" sheetId="13" r:id="rId16"/>
    <sheet state="visible" name="Tabela Geral 2020 e Outros" sheetId="14" r:id="rId17"/>
    <sheet state="visible" name="2023" sheetId="15" r:id="rId18"/>
    <sheet state="visible" name="2022" sheetId="16" r:id="rId19"/>
    <sheet state="visible" name="2021" sheetId="17" r:id="rId20"/>
    <sheet state="visible" name="2020" sheetId="18" r:id="rId21"/>
    <sheet state="visible" name="2019" sheetId="19" r:id="rId22"/>
    <sheet state="visible" name="2018" sheetId="20" r:id="rId23"/>
    <sheet state="visible" name="2017" sheetId="21" r:id="rId24"/>
    <sheet state="visible" name="2016" sheetId="22" r:id="rId25"/>
    <sheet state="visible" name="2015" sheetId="23" r:id="rId26"/>
    <sheet state="visible" name="2014" sheetId="24" r:id="rId27"/>
    <sheet state="visible" name="2013" sheetId="25" r:id="rId28"/>
    <sheet state="visible" name="2012" sheetId="26" r:id="rId29"/>
    <sheet state="visible" name="2011" sheetId="27" r:id="rId30"/>
    <sheet state="visible" name="2010" sheetId="28" r:id="rId31"/>
    <sheet state="visible" name="2009" sheetId="29" r:id="rId32"/>
    <sheet state="visible" name="2008" sheetId="30" r:id="rId33"/>
    <sheet state="visible" name="2007" sheetId="31" r:id="rId34"/>
    <sheet state="visible" name="2006" sheetId="32" r:id="rId35"/>
    <sheet state="visible" name="2005" sheetId="33" r:id="rId36"/>
    <sheet state="visible" name="2004" sheetId="34" r:id="rId37"/>
    <sheet state="visible" name="2003" sheetId="35" r:id="rId38"/>
    <sheet state="visible" name="2002" sheetId="36" r:id="rId39"/>
    <sheet state="visible" name="2001" sheetId="37" r:id="rId40"/>
    <sheet state="visible" name="2000" sheetId="38" r:id="rId41"/>
  </sheets>
  <definedNames>
    <definedName name="_Hlk63864045">'2023 PF'!$F$64</definedName>
    <definedName hidden="1" localSheetId="0" name="_xlnm._FilterDatabase">'2023 PT'!$A$1:$M$354</definedName>
    <definedName hidden="1" localSheetId="1" name="_xlnm._FilterDatabase">'2023 PF'!$A$1:$M$1001</definedName>
    <definedName hidden="1" localSheetId="14" name="_xlnm._FilterDatabase">'2023'!$A$1:$M$660</definedName>
    <definedName hidden="1" localSheetId="15" name="_xlnm._FilterDatabase">'2022'!$A$1:$M$660</definedName>
    <definedName hidden="1" localSheetId="16" name="_xlnm._FilterDatabase">'2021'!$A$1:$M$564</definedName>
    <definedName hidden="1" localSheetId="17" name="_xlnm._FilterDatabase">'2020'!$A$1:$M$495</definedName>
    <definedName hidden="1" localSheetId="18" name="_xlnm._FilterDatabase">'2019'!$A$1:$L$493</definedName>
    <definedName hidden="1" localSheetId="19" name="_xlnm._FilterDatabase">'2018'!$A$1:$L$453</definedName>
    <definedName hidden="1" localSheetId="20" name="_xlnm._FilterDatabase">'2017'!$A$1:$L$406</definedName>
    <definedName hidden="1" localSheetId="21" name="_xlnm._FilterDatabase">'2016'!$A$1:$L$280</definedName>
    <definedName hidden="1" localSheetId="22" name="_xlnm._FilterDatabase">'2015'!$A$1:$M$140</definedName>
    <definedName hidden="1" localSheetId="23" name="_xlnm._FilterDatabase">'2014'!$A$1:$M$151</definedName>
    <definedName hidden="1" localSheetId="24" name="_xlnm._FilterDatabase">'2013'!$A$1:$M$1</definedName>
    <definedName hidden="1" localSheetId="25" name="_xlnm._FilterDatabase">'2012'!$A$1:$M$169</definedName>
    <definedName hidden="1" localSheetId="26" name="_xlnm._FilterDatabase">'2011'!$A$1:$M$149</definedName>
    <definedName hidden="1" localSheetId="27" name="_xlnm._FilterDatabase">'2010'!$A$1:$I$106</definedName>
    <definedName hidden="1" localSheetId="28" name="_xlnm._FilterDatabase">'2009'!$A$1:$I$139</definedName>
    <definedName hidden="1" localSheetId="29" name="_xlnm._FilterDatabase">'2008'!$A$1:$M$199</definedName>
    <definedName hidden="1" localSheetId="30" name="_xlnm._FilterDatabase">'2007'!$A$1:$M$204</definedName>
    <definedName hidden="1" localSheetId="31" name="_xlnm._FilterDatabase">'2006'!$A$1:$M$111</definedName>
    <definedName hidden="1" localSheetId="32" name="_xlnm._FilterDatabase">'2005'!$A$1:$M$93</definedName>
    <definedName hidden="1" localSheetId="33" name="_xlnm._FilterDatabase">'2004'!$A$1:$M$92</definedName>
    <definedName hidden="1" localSheetId="34" name="_xlnm._FilterDatabase">'2003'!$A$1:$M$92</definedName>
    <definedName hidden="1" localSheetId="35" name="_xlnm._FilterDatabase">'2002'!$A$1:$M$92</definedName>
    <definedName hidden="1" localSheetId="36" name="_xlnm._FilterDatabase">'2001'!$A$1:$M$92</definedName>
    <definedName hidden="1" localSheetId="37" name="_xlnm._FilterDatabase">'2000'!$A$1:$M$92</definedName>
    <definedName hidden="1" localSheetId="0" name="Z_41C74FA5_377E_4E30_9FBE_645B7F3D149B_.wvu.FilterData">'2023 PT'!$B$352:$B$353</definedName>
    <definedName hidden="1" localSheetId="0" name="Z_3FECDDAA_E534_4149_B895_701A769520F0_.wvu.FilterData">'2023 PT'!$A$1:$M$354</definedName>
    <definedName hidden="1" localSheetId="0" name="Z_4798394D_9D2C_4962_AACD_E1C0EEE1451B_.wvu.FilterData">'2023 PT'!$A$1:$M$353</definedName>
    <definedName hidden="1" localSheetId="0" name="Z_F0C5EE1C_D1E0_41E2_AAA5_825C8488494C_.wvu.FilterData">'2023 PT'!$A$1:$M$353</definedName>
    <definedName hidden="1" localSheetId="0" name="Z_80FD8554_31A8_414B_B5F3_7BD7E51CC5AE_.wvu.FilterData">'2023 PT'!$A$1:$M$353</definedName>
    <definedName hidden="1" localSheetId="0" name="Z_2D532033_F476_412A_BC89_201AE9EC1F64_.wvu.FilterData">'2023 PT'!$A$1:$M$353</definedName>
    <definedName hidden="1" localSheetId="0" name="Z_775E0642_3738_4551_A306_059DA9237BC7_.wvu.FilterData">'2023 PT'!$A$1:$M$353</definedName>
    <definedName hidden="1" localSheetId="0" name="Z_C774EA04_73B0_4A68_816C_6C3381965363_.wvu.FilterData">'2023 PT'!$A$1:$M$353</definedName>
    <definedName hidden="1" localSheetId="0" name="Z_573A9B12_D900_43E1_91D0_8F414377CA4C_.wvu.FilterData">'2023 PT'!$A$1:$M$354</definedName>
    <definedName hidden="1" localSheetId="0" name="Z_89271D34_5090_407E_924E_A4D7923FE8DE_.wvu.FilterData">'2023 PT'!$A$1:$M$354</definedName>
    <definedName hidden="1" localSheetId="0" name="Z_6A5DAFE2_01A0_41E2_B9B1_6DB97E9B16D5_.wvu.FilterData">'2023 PT'!$A$1:$M$354</definedName>
    <definedName hidden="1" localSheetId="0" name="Z_EECD713F_88B1_411C_99EC_7CA1A92B89E5_.wvu.FilterData">'2023 PT'!$A$1:$M$354</definedName>
    <definedName hidden="1" localSheetId="0" name="Z_7D7A63B2_632B_4124_B629_F50E6A695857_.wvu.FilterData">'2023 PT'!$A$1:$M$353</definedName>
    <definedName hidden="1" localSheetId="0" name="Z_79FBE3E8_7F5F_4A89_9A6A_AA8E4E519678_.wvu.FilterData">'2023 PT'!$B$535</definedName>
    <definedName hidden="1" localSheetId="1" name="Z_79FBE3E8_7F5F_4A89_9A6A_AA8E4E519678_.wvu.FilterData">'2023 PF'!$G$1:$G$1002</definedName>
    <definedName hidden="1" localSheetId="14" name="Z_79FBE3E8_7F5F_4A89_9A6A_AA8E4E519678_.wvu.FilterData">'2023'!$A$1:$M$653</definedName>
    <definedName hidden="1" localSheetId="15" name="Z_79FBE3E8_7F5F_4A89_9A6A_AA8E4E519678_.wvu.FilterData">'2022'!$A$1:$M$653</definedName>
    <definedName hidden="1" localSheetId="0" name="Z_B0713DFD_568D_4CD5_B993_E9C8858CFF47_.wvu.FilterData">'2023 PT'!$A$1:$M$354</definedName>
    <definedName hidden="1" localSheetId="0" name="Z_7BB7DF22_4C8E_46B4_9785_4F4AA963D215_.wvu.FilterData">'2023 PT'!$A$1:$M$353</definedName>
    <definedName hidden="1" localSheetId="0" name="Z_5AEEBE4C_E782_4779_B7BD_4F54FEC73CFB_.wvu.FilterData">'2023 PT'!$A$1:$M$354</definedName>
    <definedName hidden="1" localSheetId="0" name="Z_63726074_8F5F_4688_8DEA_ECBADF2E3A3E_.wvu.FilterData">'2023 PT'!$A$1:$M$354</definedName>
    <definedName hidden="1" localSheetId="0" name="Z_7C253461_1ACF_4EE7_8CDF_FD0C439BDFAB_.wvu.FilterData">'2023 PT'!$A$1:$M$354</definedName>
    <definedName hidden="1" localSheetId="0" name="Z_5922A675_7C07_4592_84D1_F52F47C08B9C_.wvu.FilterData">'2023 PT'!$A$1:$M$354</definedName>
    <definedName hidden="1" localSheetId="0" name="Z_3C3D56DF_9184_425C_AFA0_7BB655AB26F6_.wvu.FilterData">'2023 PT'!$A$1:$M$354</definedName>
  </definedNames>
  <calcPr/>
  <customWorkbookViews>
    <customWorkbookView activeSheetId="0" maximized="1" windowHeight="0" windowWidth="0" guid="{5922A675-7C07-4592-84D1-F52F47C08B9C}" name="Filter 11"/>
    <customWorkbookView activeSheetId="0" maximized="1" windowHeight="0" windowWidth="0" guid="{EECD713F-88B1-411C-99EC-7CA1A92B89E5}" name="Filter 12"/>
    <customWorkbookView activeSheetId="0" maximized="1" windowHeight="0" windowWidth="0" guid="{5AEEBE4C-E782-4779-B7BD-4F54FEC73CFB}" name="Filter 13"/>
    <customWorkbookView activeSheetId="0" maximized="1" windowHeight="0" windowWidth="0" guid="{80FD8554-31A8-414B-B5F3-7BD7E51CC5AE}" name="Filter 14"/>
    <customWorkbookView activeSheetId="0" maximized="1" windowHeight="0" windowWidth="0" guid="{C774EA04-73B0-4A68-816C-6C3381965363}" name="Filter 15"/>
    <customWorkbookView activeSheetId="0" maximized="1" windowHeight="0" windowWidth="0" guid="{2D532033-F476-412A-BC89-201AE9EC1F64}" name="Filter 16"/>
    <customWorkbookView activeSheetId="0" maximized="1" windowHeight="0" windowWidth="0" guid="{7BB7DF22-4C8E-46B4-9785-4F4AA963D215}" name="Filter 17"/>
    <customWorkbookView activeSheetId="0" maximized="1" windowHeight="0" windowWidth="0" guid="{F0C5EE1C-D1E0-41E2-AAA5-825C8488494C}" name="Filter 18"/>
    <customWorkbookView activeSheetId="0" maximized="1" windowHeight="0" windowWidth="0" guid="{B0713DFD-568D-4CD5-B993-E9C8858CFF47}" name="Filter 8"/>
    <customWorkbookView activeSheetId="0" maximized="1" windowHeight="0" windowWidth="0" guid="{775E0642-3738-4551-A306-059DA9237BC7}" name="Filter 20"/>
    <customWorkbookView activeSheetId="0" maximized="1" windowHeight="0" windowWidth="0" guid="{573A9B12-D900-43E1-91D0-8F414377CA4C}" name="Filter 10"/>
    <customWorkbookView activeSheetId="0" maximized="1" windowHeight="0" windowWidth="0" guid="{3FECDDAA-E534-4149-B895-701A769520F0}" name="Filter 9"/>
    <customWorkbookView activeSheetId="0" maximized="1" windowHeight="0" windowWidth="0" guid="{4798394D-9D2C-4962-AACD-E1C0EEE1451B}" name="Filter 21"/>
    <customWorkbookView activeSheetId="0" maximized="1" windowHeight="0" windowWidth="0" guid="{3C3D56DF-9184-425C-AFA0-7BB655AB26F6}" name="Filter 6"/>
    <customWorkbookView activeSheetId="0" maximized="1" windowHeight="0" windowWidth="0" guid="{89271D34-5090-407E-924E-A4D7923FE8DE}" name="Filter 7"/>
    <customWorkbookView activeSheetId="0" maximized="1" windowHeight="0" windowWidth="0" guid="{7C253461-1ACF-4EE7-8CDF-FD0C439BDFAB}" name="Filter 4"/>
    <customWorkbookView activeSheetId="0" maximized="1" windowHeight="0" windowWidth="0" guid="{6A5DAFE2-01A0-41E2-B9B1-6DB97E9B16D5}" name="Filter 5"/>
    <customWorkbookView activeSheetId="0" maximized="1" windowHeight="0" windowWidth="0" guid="{41C74FA5-377E-4E30-9FBE-645B7F3D149B}" name="Filter 2"/>
    <customWorkbookView activeSheetId="0" maximized="1" windowHeight="0" windowWidth="0" guid="{63726074-8F5F-4688-8DEA-ECBADF2E3A3E}" name="Filter 3"/>
    <customWorkbookView activeSheetId="0" maximized="1" windowHeight="0" windowWidth="0" guid="{79FBE3E8-7F5F-4A89-9A6A-AA8E4E519678}" name="Filter 1"/>
    <customWorkbookView activeSheetId="0" maximized="1" windowHeight="0" windowWidth="0" guid="{7D7A63B2-632B-4124-B629-F50E6A695857}" name="Filter 19"/>
  </customWorkbookViews>
  <extLst>
    <ext uri="GoogleSheetsCustomDataVersion1">
      <go:sheetsCustomData xmlns:go="http://customooxmlschemas.google.com/" r:id="rId42" roundtripDataSignature="AMtx7mhUT0PnISu6PPricmZYK4TvXvsbQA=="/>
    </ext>
  </extLst>
</workbook>
</file>

<file path=xl/sharedStrings.xml><?xml version="1.0" encoding="utf-8"?>
<sst xmlns="http://schemas.openxmlformats.org/spreadsheetml/2006/main" count="42058" uniqueCount="13872">
  <si>
    <t>Nº Registro</t>
  </si>
  <si>
    <t>Processo N°</t>
  </si>
  <si>
    <t>Ano de Protocolo</t>
  </si>
  <si>
    <t>Data de Protocolo</t>
  </si>
  <si>
    <t>Marca comercial</t>
  </si>
  <si>
    <t>Ingrediente Ativo</t>
  </si>
  <si>
    <t>Tipo</t>
  </si>
  <si>
    <t>Empresa</t>
  </si>
  <si>
    <t>Data de Aprovação</t>
  </si>
  <si>
    <t>Mês</t>
  </si>
  <si>
    <t>Classificação Toxicológica - ANVISA</t>
  </si>
  <si>
    <t>Classificação de Periculosidade Ambiental - IBAMA</t>
  </si>
  <si>
    <t>Tempo Total de Tramitação (Dias)</t>
  </si>
  <si>
    <t>TC00123</t>
  </si>
  <si>
    <t>21000.049125/2017-64</t>
  </si>
  <si>
    <t>Picoxistrobina Técnico Nufarm</t>
  </si>
  <si>
    <t>Picoxistrobina</t>
  </si>
  <si>
    <t>PTE</t>
  </si>
  <si>
    <t>Sumitomo</t>
  </si>
  <si>
    <t>O perfil toxicológico foi considerado equivalente ao produto técnico de referência</t>
  </si>
  <si>
    <t>Classe II - Produto Muito Perigoso ao Meio Ambiente</t>
  </si>
  <si>
    <t>Ano 2023 - PT</t>
  </si>
  <si>
    <t>TC00223</t>
  </si>
  <si>
    <t>21000.048182/2019-98</t>
  </si>
  <si>
    <t>Metribuzin Técnico Bharat</t>
  </si>
  <si>
    <t>Metribuzim</t>
  </si>
  <si>
    <t>Biorisk</t>
  </si>
  <si>
    <t xml:space="preserve"> PT</t>
  </si>
  <si>
    <t>TC00323</t>
  </si>
  <si>
    <t>21000.071224/2022-90</t>
  </si>
  <si>
    <t>Imazetapir Técnico ZS</t>
  </si>
  <si>
    <t>Imazetapir</t>
  </si>
  <si>
    <t>Zhongshan</t>
  </si>
  <si>
    <t>Classe III - Produto Perigoso ao Meio Ambiente</t>
  </si>
  <si>
    <t>PTN</t>
  </si>
  <si>
    <t>TC00423</t>
  </si>
  <si>
    <t>21000.025116/2019-40</t>
  </si>
  <si>
    <t>Clodinafop-Propargyl Técnico Lier</t>
  </si>
  <si>
    <t>Clodinafope</t>
  </si>
  <si>
    <t>ProRegistros</t>
  </si>
  <si>
    <t xml:space="preserve"> PTE</t>
  </si>
  <si>
    <t>TC00523</t>
  </si>
  <si>
    <t>21000.016513/2018-40</t>
  </si>
  <si>
    <t>2,4-D TC Técnico Prentiss II</t>
  </si>
  <si>
    <t>2,4-D</t>
  </si>
  <si>
    <t>Prentiss</t>
  </si>
  <si>
    <t>Pré-Mistura</t>
  </si>
  <si>
    <t>TC00623</t>
  </si>
  <si>
    <t>21000.011639/2017-47</t>
  </si>
  <si>
    <t>2,4-D Técnico Nortox V</t>
  </si>
  <si>
    <t>Nortox</t>
  </si>
  <si>
    <t>Total de Registros</t>
  </si>
  <si>
    <t>TC00723</t>
  </si>
  <si>
    <t>21000.008638/2018-04</t>
  </si>
  <si>
    <t>Ciproconazole Cy Técnico Helm</t>
  </si>
  <si>
    <t>Ciproconazol</t>
  </si>
  <si>
    <t>Helm</t>
  </si>
  <si>
    <t>TC00823</t>
  </si>
  <si>
    <t>21000.010109/2017-81</t>
  </si>
  <si>
    <t>Ciproconazol Técnico Gilmore</t>
  </si>
  <si>
    <t>Gilmore</t>
  </si>
  <si>
    <t>LEGENDA</t>
  </si>
  <si>
    <t>TC00923</t>
  </si>
  <si>
    <t>21000.091880/2021-28</t>
  </si>
  <si>
    <t>Lambda-Cialotrina Técnico OF</t>
  </si>
  <si>
    <t>Lambda-Cialotrina</t>
  </si>
  <si>
    <t>Ouro Fino</t>
  </si>
  <si>
    <t>Classe I - Produto Altamente Perigoso ao Meio Ambiente</t>
  </si>
  <si>
    <t>TC01023</t>
  </si>
  <si>
    <t>21000.089136/2019-49</t>
  </si>
  <si>
    <t>Flumioxazim Técnico CHDS</t>
  </si>
  <si>
    <t>Flumioxazina</t>
  </si>
  <si>
    <t>CHDS</t>
  </si>
  <si>
    <r>
      <rPr>
        <rFont val="Arial"/>
        <b/>
        <color rgb="FF274E13"/>
        <sz val="10.0"/>
      </rPr>
      <t>PT</t>
    </r>
    <r>
      <rPr>
        <rFont val="Arial"/>
        <b val="0"/>
        <color rgb="FF274E13"/>
        <sz val="10.0"/>
      </rPr>
      <t xml:space="preserve"> - Produto Técnico</t>
    </r>
  </si>
  <si>
    <t>TC01123</t>
  </si>
  <si>
    <t>21000.056317/2018-16</t>
  </si>
  <si>
    <t xml:space="preserve">Cyproconazole  LCH Técnico </t>
  </si>
  <si>
    <t>Lemma</t>
  </si>
  <si>
    <r>
      <rPr>
        <rFont val="Arial"/>
        <b/>
        <color rgb="FF274E13"/>
        <sz val="10.0"/>
      </rPr>
      <t xml:space="preserve">PTN </t>
    </r>
    <r>
      <rPr>
        <rFont val="Arial"/>
        <b val="0"/>
        <color rgb="FF274E13"/>
        <sz val="10.0"/>
      </rPr>
      <t>- Produto Técnico a Base de Ingrediente Ativo Novo</t>
    </r>
  </si>
  <si>
    <t>TC01223</t>
  </si>
  <si>
    <t>21000.051190/2022-17</t>
  </si>
  <si>
    <t>Picoxystrobin Técnico ABT</t>
  </si>
  <si>
    <t>Agrobeats</t>
  </si>
  <si>
    <r>
      <rPr>
        <rFont val="Arial"/>
        <b/>
        <color rgb="FF274E13"/>
        <sz val="10.0"/>
      </rPr>
      <t>PTE</t>
    </r>
    <r>
      <rPr>
        <rFont val="Arial"/>
        <b val="0"/>
        <color rgb="FF274E13"/>
        <sz val="10.0"/>
      </rPr>
      <t xml:space="preserve"> - Produto Técnico Equivalente</t>
    </r>
  </si>
  <si>
    <t>TC01323</t>
  </si>
  <si>
    <t>21000.008663/2021-85</t>
  </si>
  <si>
    <t>Flumioxazin Técnico Alamos</t>
  </si>
  <si>
    <t>Alamos</t>
  </si>
  <si>
    <r>
      <rPr>
        <rFont val="Arial"/>
        <b/>
        <color rgb="FF274E13"/>
        <sz val="10.0"/>
      </rPr>
      <t>Pré-Mistura</t>
    </r>
    <r>
      <rPr>
        <rFont val="Arial"/>
        <b val="0"/>
        <color rgb="FF274E13"/>
        <sz val="10.0"/>
      </rPr>
      <t xml:space="preserve"> - Produto Pré-mistura</t>
    </r>
  </si>
  <si>
    <t>TC01423</t>
  </si>
  <si>
    <t>21000.083089/2020-63</t>
  </si>
  <si>
    <t>Dimethomorph Técnico Brilliance I</t>
  </si>
  <si>
    <t>Dimetomorfe</t>
  </si>
  <si>
    <t>Brilliance</t>
  </si>
  <si>
    <t>TC01523</t>
  </si>
  <si>
    <t>21000.003132/2015-58</t>
  </si>
  <si>
    <t>Picoxystrobin Técnico Proventis</t>
  </si>
  <si>
    <t>Proventis</t>
  </si>
  <si>
    <t>Número de Registros de Componentes Aprovados por Ano de Submissão</t>
  </si>
  <si>
    <t>TC01623</t>
  </si>
  <si>
    <t>21000.002357/2015-97</t>
  </si>
  <si>
    <t>Thiamethoxam SR Técnico Helm</t>
  </si>
  <si>
    <t>Tiametoxam</t>
  </si>
  <si>
    <t>TC01723</t>
  </si>
  <si>
    <t>21000.003923/2015-88</t>
  </si>
  <si>
    <t>Thiamethoxam Técnico Sino-Agri</t>
  </si>
  <si>
    <t>Ano de Submissão</t>
  </si>
  <si>
    <t>Numero de Registros Aprovados</t>
  </si>
  <si>
    <t>% do ano</t>
  </si>
  <si>
    <t>TC01823</t>
  </si>
  <si>
    <t>21000.015884/2018-12</t>
  </si>
  <si>
    <t>Tiametoxam Técnico Sulphur Mills II</t>
  </si>
  <si>
    <t>Sulphur Mills</t>
  </si>
  <si>
    <t>TC01923</t>
  </si>
  <si>
    <t>21000.090851/2021-49</t>
  </si>
  <si>
    <t>Lamba-Cialotrina Técnico Ihara BHA</t>
  </si>
  <si>
    <t>Iharabrás</t>
  </si>
  <si>
    <t>TC02023</t>
  </si>
  <si>
    <t>21000.035383/2018-44</t>
  </si>
  <si>
    <t>Protioconazol Técnico ZS</t>
  </si>
  <si>
    <t>Protioconazol</t>
  </si>
  <si>
    <t>TC02123</t>
  </si>
  <si>
    <t>21000.005227/2014-25</t>
  </si>
  <si>
    <t>Boscalid Técnico Oxon</t>
  </si>
  <si>
    <t>Boscalida</t>
  </si>
  <si>
    <t>Oxon</t>
  </si>
  <si>
    <t>TC02223</t>
  </si>
  <si>
    <t>21000.014619/2019-90</t>
  </si>
  <si>
    <t>Etiprole Técnico Rainbow</t>
  </si>
  <si>
    <t>Etiprole</t>
  </si>
  <si>
    <t>Rainbow</t>
  </si>
  <si>
    <t>TC02323</t>
  </si>
  <si>
    <t>21000.074778/2019-43</t>
  </si>
  <si>
    <t>Diflubenzurom Técnico Rainbow</t>
  </si>
  <si>
    <t>Diflubenzurom</t>
  </si>
  <si>
    <t>TC02423</t>
  </si>
  <si>
    <t>21000.048192/2019-23</t>
  </si>
  <si>
    <t>Clodinafope Técnico CropChem</t>
  </si>
  <si>
    <t>CropChem</t>
  </si>
  <si>
    <t>TC02523</t>
  </si>
  <si>
    <t>21000.010994/2009-99</t>
  </si>
  <si>
    <t>Benalaxyl-M Técnico Isagro</t>
  </si>
  <si>
    <t>Benalaxil-M</t>
  </si>
  <si>
    <t>Isagro</t>
  </si>
  <si>
    <t>Produto não classificado</t>
  </si>
  <si>
    <t>TC02623</t>
  </si>
  <si>
    <t>21000.045150/2018-50</t>
  </si>
  <si>
    <t>Isoxaflutole Técnico Albaugh</t>
  </si>
  <si>
    <t>Isoxaflutol</t>
  </si>
  <si>
    <t>Albaugh</t>
  </si>
  <si>
    <t>TC02723</t>
  </si>
  <si>
    <t>21000.010626/2011-65</t>
  </si>
  <si>
    <t>Ciproconazol Técnico SD</t>
  </si>
  <si>
    <t>AllierBrasil</t>
  </si>
  <si>
    <t>TC02823</t>
  </si>
  <si>
    <t>21000.091813/2019-99</t>
  </si>
  <si>
    <t xml:space="preserve">Isocycloseram Técnico </t>
  </si>
  <si>
    <t>Isocicloseram</t>
  </si>
  <si>
    <t>Syngenta</t>
  </si>
  <si>
    <t>TC02923</t>
  </si>
  <si>
    <t>21000.002123/2015-40</t>
  </si>
  <si>
    <t>Fomesafen Técnico RTM</t>
  </si>
  <si>
    <t>Fomesafem</t>
  </si>
  <si>
    <t>Rotam</t>
  </si>
  <si>
    <t>TC03023</t>
  </si>
  <si>
    <t>21000.020327/2016-43</t>
  </si>
  <si>
    <t>Piraclostrobina Técnico CropChem</t>
  </si>
  <si>
    <t>Piraclostrobina</t>
  </si>
  <si>
    <t>TC03123</t>
  </si>
  <si>
    <t>21000.093391/2019-96</t>
  </si>
  <si>
    <t>Acetamiprido Técnico Rainbow</t>
  </si>
  <si>
    <t>Acetamiprido</t>
  </si>
  <si>
    <t>TC03223</t>
  </si>
  <si>
    <t>21000.013654/2016-49</t>
  </si>
  <si>
    <t>Piraclostrobin Técnico PT</t>
  </si>
  <si>
    <t>TC03323</t>
  </si>
  <si>
    <t>21000.034539/2019-51</t>
  </si>
  <si>
    <t>Amicarbazona Técnico Rainbow</t>
  </si>
  <si>
    <t>Amicarbazona</t>
  </si>
  <si>
    <t>Todos</t>
  </si>
  <si>
    <t>TC03423</t>
  </si>
  <si>
    <t>21000.043782/2019-60</t>
  </si>
  <si>
    <t>Clodinafop Propargyl Técnico Sino-Agri</t>
  </si>
  <si>
    <t>TC03523</t>
  </si>
  <si>
    <t>21000.000651/2016-45</t>
  </si>
  <si>
    <t>Dicamba Técnico Tide</t>
  </si>
  <si>
    <t>Dicamba</t>
  </si>
  <si>
    <t>Tide</t>
  </si>
  <si>
    <t>Meses de Deferimento de Registros Componentes de Agrotóxicos</t>
  </si>
  <si>
    <t>TC03623</t>
  </si>
  <si>
    <t>21000.007673/2015-55</t>
  </si>
  <si>
    <t>Piraclostrobin Técnico Proventis</t>
  </si>
  <si>
    <t>TC03723</t>
  </si>
  <si>
    <t>Mês de Deferimento</t>
  </si>
  <si>
    <t>TC03823</t>
  </si>
  <si>
    <t>Janeiro</t>
  </si>
  <si>
    <t>TC03923</t>
  </si>
  <si>
    <t>Fevereiro</t>
  </si>
  <si>
    <t>TC04023</t>
  </si>
  <si>
    <t>Março</t>
  </si>
  <si>
    <t>TC04123</t>
  </si>
  <si>
    <t>Abril</t>
  </si>
  <si>
    <t>TC04223</t>
  </si>
  <si>
    <t>Maio</t>
  </si>
  <si>
    <t>TC04323</t>
  </si>
  <si>
    <t>Junho</t>
  </si>
  <si>
    <t>TC04423</t>
  </si>
  <si>
    <t>Julho</t>
  </si>
  <si>
    <t>TC04523</t>
  </si>
  <si>
    <t>Agosto</t>
  </si>
  <si>
    <t>TC04623</t>
  </si>
  <si>
    <t>Setembro</t>
  </si>
  <si>
    <t>TC04723</t>
  </si>
  <si>
    <t>Outubro</t>
  </si>
  <si>
    <t>TC04823</t>
  </si>
  <si>
    <t>Novembro</t>
  </si>
  <si>
    <t>TC04923</t>
  </si>
  <si>
    <t>Dezembro</t>
  </si>
  <si>
    <t>TC05023</t>
  </si>
  <si>
    <t>Total</t>
  </si>
  <si>
    <t>TC05123</t>
  </si>
  <si>
    <t>TC05223</t>
  </si>
  <si>
    <t>Classificação Toxicolóxica - ANVISA</t>
  </si>
  <si>
    <t>TC05323</t>
  </si>
  <si>
    <t>TC05423</t>
  </si>
  <si>
    <t>Classificação</t>
  </si>
  <si>
    <t>Número de Produtos</t>
  </si>
  <si>
    <t>TC05523</t>
  </si>
  <si>
    <t>I - Extremamente tóxico</t>
  </si>
  <si>
    <t>TC05623</t>
  </si>
  <si>
    <t>Categoria 1 - Produto Extremamente Tóxico</t>
  </si>
  <si>
    <t>TC05723</t>
  </si>
  <si>
    <t>Categoria 2 - Produto Altamente Tóxico</t>
  </si>
  <si>
    <t>TC05823</t>
  </si>
  <si>
    <t>II - Altamente tóxico</t>
  </si>
  <si>
    <t>TC05923</t>
  </si>
  <si>
    <t>Categoria 3 - Produto Moderadamente Tóxico</t>
  </si>
  <si>
    <t>TC06023</t>
  </si>
  <si>
    <t>III - Medianamente tóxico</t>
  </si>
  <si>
    <t>TC06123</t>
  </si>
  <si>
    <t>Categoria 4 - Produto Pouco Tóxico</t>
  </si>
  <si>
    <t>TC06223</t>
  </si>
  <si>
    <t>Categoria 5 - Produto Improvável de Causar Dano Agudo</t>
  </si>
  <si>
    <t>TC06323</t>
  </si>
  <si>
    <t>IV - Pouco tóxico</t>
  </si>
  <si>
    <t>TC06423</t>
  </si>
  <si>
    <t>Produto Não Classificado</t>
  </si>
  <si>
    <t>TC06523</t>
  </si>
  <si>
    <t>TC06623</t>
  </si>
  <si>
    <t>TC06723</t>
  </si>
  <si>
    <t>TC06823</t>
  </si>
  <si>
    <t>TC06923</t>
  </si>
  <si>
    <t>TC07023</t>
  </si>
  <si>
    <t>TC07123</t>
  </si>
  <si>
    <t>I - Produto altamente perigoso ao meio ambiente</t>
  </si>
  <si>
    <t>TC07223</t>
  </si>
  <si>
    <t>II - Produto muito perigoso ao meio ambiente</t>
  </si>
  <si>
    <t>TC07323</t>
  </si>
  <si>
    <t>III - Produto perigoso ao meio ambiente</t>
  </si>
  <si>
    <t>TC07423</t>
  </si>
  <si>
    <t>IV - Produto pouco perigoso ao meio ambiente</t>
  </si>
  <si>
    <t>TC07523</t>
  </si>
  <si>
    <t>TC07623</t>
  </si>
  <si>
    <t>TC07723</t>
  </si>
  <si>
    <t>Tempo de Tramitação dos Registros de Agrotóxicos e Afins</t>
  </si>
  <si>
    <t>TC07823</t>
  </si>
  <si>
    <t>TC07923</t>
  </si>
  <si>
    <t>Tipo de Processo</t>
  </si>
  <si>
    <t>Tempo Médio de Tramitação (Em Dias)</t>
  </si>
  <si>
    <t>TC08023</t>
  </si>
  <si>
    <t>PT</t>
  </si>
  <si>
    <t>TC08123</t>
  </si>
  <si>
    <t>TC08223</t>
  </si>
  <si>
    <t>TC08323</t>
  </si>
  <si>
    <t>TC08423</t>
  </si>
  <si>
    <t>Tempo Médio Geral</t>
  </si>
  <si>
    <t>TC08523</t>
  </si>
  <si>
    <t>TC08623</t>
  </si>
  <si>
    <t>TC08723</t>
  </si>
  <si>
    <t>TC08823</t>
  </si>
  <si>
    <t>TC08923</t>
  </si>
  <si>
    <t>TC09023</t>
  </si>
  <si>
    <t>TC09123</t>
  </si>
  <si>
    <t>TC09223</t>
  </si>
  <si>
    <t>TC09323</t>
  </si>
  <si>
    <t>TC09423</t>
  </si>
  <si>
    <t>TC09523</t>
  </si>
  <si>
    <t>TC09623</t>
  </si>
  <si>
    <t>TC09723</t>
  </si>
  <si>
    <t>TC09823</t>
  </si>
  <si>
    <t>TC09923</t>
  </si>
  <si>
    <t>TC10023</t>
  </si>
  <si>
    <t>TC10123</t>
  </si>
  <si>
    <t>TC10223</t>
  </si>
  <si>
    <t>TC10323</t>
  </si>
  <si>
    <t>TC10423</t>
  </si>
  <si>
    <t>TC10523</t>
  </si>
  <si>
    <t>TC10623</t>
  </si>
  <si>
    <t>TC10723</t>
  </si>
  <si>
    <t>TC10823</t>
  </si>
  <si>
    <t>TC10923</t>
  </si>
  <si>
    <t>TC11023</t>
  </si>
  <si>
    <t>TC11123</t>
  </si>
  <si>
    <t>TC11223</t>
  </si>
  <si>
    <t>TC11323</t>
  </si>
  <si>
    <t>TC11423</t>
  </si>
  <si>
    <t>TC11523</t>
  </si>
  <si>
    <t>TC11623</t>
  </si>
  <si>
    <t>TC11723</t>
  </si>
  <si>
    <t>TC11823</t>
  </si>
  <si>
    <t>TC11923</t>
  </si>
  <si>
    <t>TC12023</t>
  </si>
  <si>
    <t>TC12123</t>
  </si>
  <si>
    <t>TC12223</t>
  </si>
  <si>
    <t>TC12323</t>
  </si>
  <si>
    <t>TC12423</t>
  </si>
  <si>
    <t>TC12523</t>
  </si>
  <si>
    <t>TC12623</t>
  </si>
  <si>
    <t>TC12723</t>
  </si>
  <si>
    <t>TC12823</t>
  </si>
  <si>
    <t>TC12923</t>
  </si>
  <si>
    <t>TC13023</t>
  </si>
  <si>
    <t>TC13123</t>
  </si>
  <si>
    <t>TC13223</t>
  </si>
  <si>
    <t>TC13323</t>
  </si>
  <si>
    <t>TC13423</t>
  </si>
  <si>
    <t>TC13523</t>
  </si>
  <si>
    <t>TC13623</t>
  </si>
  <si>
    <t>TC13723</t>
  </si>
  <si>
    <t>TC13823</t>
  </si>
  <si>
    <t>TC13923</t>
  </si>
  <si>
    <t>TC14023</t>
  </si>
  <si>
    <t>TC14123</t>
  </si>
  <si>
    <t>TC14223</t>
  </si>
  <si>
    <t>TC14323</t>
  </si>
  <si>
    <t>TC14423</t>
  </si>
  <si>
    <t>TC14523</t>
  </si>
  <si>
    <t>TC14623</t>
  </si>
  <si>
    <t>TC14723</t>
  </si>
  <si>
    <t>TC14823</t>
  </si>
  <si>
    <t>TC14923</t>
  </si>
  <si>
    <t>TC15023</t>
  </si>
  <si>
    <t>TC15123</t>
  </si>
  <si>
    <t>TC15223</t>
  </si>
  <si>
    <t>TC15323</t>
  </si>
  <si>
    <t>TC15423</t>
  </si>
  <si>
    <t>TC15523</t>
  </si>
  <si>
    <t>TC15623</t>
  </si>
  <si>
    <t>TC15723</t>
  </si>
  <si>
    <t>TC15823</t>
  </si>
  <si>
    <t>TC15923</t>
  </si>
  <si>
    <t>TC16023</t>
  </si>
  <si>
    <t>TC16123</t>
  </si>
  <si>
    <t>TC16223</t>
  </si>
  <si>
    <t>TC16323</t>
  </si>
  <si>
    <t>TC16423</t>
  </si>
  <si>
    <t>TC16523</t>
  </si>
  <si>
    <t>TC16623</t>
  </si>
  <si>
    <t>TC16723</t>
  </si>
  <si>
    <t>TC16823</t>
  </si>
  <si>
    <t>TC16923</t>
  </si>
  <si>
    <t>TC17023</t>
  </si>
  <si>
    <t>TC17123</t>
  </si>
  <si>
    <t>TC17223</t>
  </si>
  <si>
    <t>TC17323</t>
  </si>
  <si>
    <t>TC17423</t>
  </si>
  <si>
    <t>TC17523</t>
  </si>
  <si>
    <t>TC17623</t>
  </si>
  <si>
    <t>TC17723</t>
  </si>
  <si>
    <t>TC17823</t>
  </si>
  <si>
    <t>TC17923</t>
  </si>
  <si>
    <t>TC18023</t>
  </si>
  <si>
    <t>TC18123</t>
  </si>
  <si>
    <t>TC18223</t>
  </si>
  <si>
    <t>TC18323</t>
  </si>
  <si>
    <t>TC18423</t>
  </si>
  <si>
    <t>TC18523</t>
  </si>
  <si>
    <t>TC18623</t>
  </si>
  <si>
    <t>TC18723</t>
  </si>
  <si>
    <t>TC18823</t>
  </si>
  <si>
    <t>TC18923</t>
  </si>
  <si>
    <t>TC19023</t>
  </si>
  <si>
    <t>TC19123</t>
  </si>
  <si>
    <t>TC19223</t>
  </si>
  <si>
    <t>TC19323</t>
  </si>
  <si>
    <t>TC19423</t>
  </si>
  <si>
    <t>TC19523</t>
  </si>
  <si>
    <t>TC19623</t>
  </si>
  <si>
    <t>TC19723</t>
  </si>
  <si>
    <t>TC19823</t>
  </si>
  <si>
    <t>TC19923</t>
  </si>
  <si>
    <t>TC20023</t>
  </si>
  <si>
    <t>TC20123</t>
  </si>
  <si>
    <t>TC20223</t>
  </si>
  <si>
    <t>TC20323</t>
  </si>
  <si>
    <t>TC20423</t>
  </si>
  <si>
    <t>TC20523</t>
  </si>
  <si>
    <t>TC20623</t>
  </si>
  <si>
    <t>TC20723</t>
  </si>
  <si>
    <t>TC20823</t>
  </si>
  <si>
    <t>TC20923</t>
  </si>
  <si>
    <t>TC21023</t>
  </si>
  <si>
    <t>TC21123</t>
  </si>
  <si>
    <t>TC21223</t>
  </si>
  <si>
    <t>TC21323</t>
  </si>
  <si>
    <t>TC21423</t>
  </si>
  <si>
    <t>TC21523</t>
  </si>
  <si>
    <t>TC21623</t>
  </si>
  <si>
    <t>TC21723</t>
  </si>
  <si>
    <t>TC21823</t>
  </si>
  <si>
    <t>TC21923</t>
  </si>
  <si>
    <t>TC22023</t>
  </si>
  <si>
    <t>TC22123</t>
  </si>
  <si>
    <t>TC22223</t>
  </si>
  <si>
    <t>TC22323</t>
  </si>
  <si>
    <t>TC22423</t>
  </si>
  <si>
    <t>TC22523</t>
  </si>
  <si>
    <t>TC22623</t>
  </si>
  <si>
    <t>TC22723</t>
  </si>
  <si>
    <t>TC22823</t>
  </si>
  <si>
    <t>TC22923</t>
  </si>
  <si>
    <t>TC23023</t>
  </si>
  <si>
    <t>TC23123</t>
  </si>
  <si>
    <t>TC23223</t>
  </si>
  <si>
    <t>TC23323</t>
  </si>
  <si>
    <t>TC23423</t>
  </si>
  <si>
    <t>TC23523</t>
  </si>
  <si>
    <t>TC23623</t>
  </si>
  <si>
    <t>TC23723</t>
  </si>
  <si>
    <t>TC23823</t>
  </si>
  <si>
    <t>TC23923</t>
  </si>
  <si>
    <t>TC24023</t>
  </si>
  <si>
    <t>TC24123</t>
  </si>
  <si>
    <t>TC24223</t>
  </si>
  <si>
    <t>TC24323</t>
  </si>
  <si>
    <t>TC24423</t>
  </si>
  <si>
    <t>TC24523</t>
  </si>
  <si>
    <t>TC24623</t>
  </si>
  <si>
    <t>TC24723</t>
  </si>
  <si>
    <t>TC24823</t>
  </si>
  <si>
    <t>TC24923</t>
  </si>
  <si>
    <t>TC25023</t>
  </si>
  <si>
    <t>TC25123</t>
  </si>
  <si>
    <t>TC25223</t>
  </si>
  <si>
    <t>TC25323</t>
  </si>
  <si>
    <t>TC25423</t>
  </si>
  <si>
    <t>TC25523</t>
  </si>
  <si>
    <t>TC25623</t>
  </si>
  <si>
    <t>TC25723</t>
  </si>
  <si>
    <t>TC25823</t>
  </si>
  <si>
    <t>TC25923</t>
  </si>
  <si>
    <t>TC26023</t>
  </si>
  <si>
    <t>TC26123</t>
  </si>
  <si>
    <t>TC26223</t>
  </si>
  <si>
    <t>TC26323</t>
  </si>
  <si>
    <t>TC26423</t>
  </si>
  <si>
    <t>TC26523</t>
  </si>
  <si>
    <t>TC26623</t>
  </si>
  <si>
    <t>TC26723</t>
  </si>
  <si>
    <t>TC26823</t>
  </si>
  <si>
    <t>TC26923</t>
  </si>
  <si>
    <t>TC27023</t>
  </si>
  <si>
    <t>TC27123</t>
  </si>
  <si>
    <t>TC27223</t>
  </si>
  <si>
    <t>TC27323</t>
  </si>
  <si>
    <t>TC27423</t>
  </si>
  <si>
    <t>TC27523</t>
  </si>
  <si>
    <t>TC27623</t>
  </si>
  <si>
    <t>TC27723</t>
  </si>
  <si>
    <t>TC27823</t>
  </si>
  <si>
    <t>TC27923</t>
  </si>
  <si>
    <t>TC28023</t>
  </si>
  <si>
    <t>TC28123</t>
  </si>
  <si>
    <t>TC28223</t>
  </si>
  <si>
    <t>TC28323</t>
  </si>
  <si>
    <t>TC28423</t>
  </si>
  <si>
    <t>TC28523</t>
  </si>
  <si>
    <t>TC28623</t>
  </si>
  <si>
    <t>TC28723</t>
  </si>
  <si>
    <t>TC28823</t>
  </si>
  <si>
    <t>TC28923</t>
  </si>
  <si>
    <t>TC29023</t>
  </si>
  <si>
    <t>TC29123</t>
  </si>
  <si>
    <t>TC29223</t>
  </si>
  <si>
    <t>TC29323</t>
  </si>
  <si>
    <t>TC29423</t>
  </si>
  <si>
    <t>TC29523</t>
  </si>
  <si>
    <t>TC29623</t>
  </si>
  <si>
    <t>TC29723</t>
  </si>
  <si>
    <t>TC29823</t>
  </si>
  <si>
    <t>TC29923</t>
  </si>
  <si>
    <t>TC30023</t>
  </si>
  <si>
    <t>TC30123</t>
  </si>
  <si>
    <t>TC30223</t>
  </si>
  <si>
    <t>TC30323</t>
  </si>
  <si>
    <t>TC30423</t>
  </si>
  <si>
    <t>TC30523</t>
  </si>
  <si>
    <t>TC30623</t>
  </si>
  <si>
    <t>TC30723</t>
  </si>
  <si>
    <t>TC30823</t>
  </si>
  <si>
    <t>TC30923</t>
  </si>
  <si>
    <t>TC31023</t>
  </si>
  <si>
    <t>TC31123</t>
  </si>
  <si>
    <t>TC31223</t>
  </si>
  <si>
    <t>TC31323</t>
  </si>
  <si>
    <t>TC31423</t>
  </si>
  <si>
    <t>TC31523</t>
  </si>
  <si>
    <t>TC31623</t>
  </si>
  <si>
    <t>TC31723</t>
  </si>
  <si>
    <t>TC31823</t>
  </si>
  <si>
    <t>TC31923</t>
  </si>
  <si>
    <t>TC32023</t>
  </si>
  <si>
    <t>TC32123</t>
  </si>
  <si>
    <t>TC32223</t>
  </si>
  <si>
    <t>TC32323</t>
  </si>
  <si>
    <t>TC32423</t>
  </si>
  <si>
    <t>TC32523</t>
  </si>
  <si>
    <t>TC32623</t>
  </si>
  <si>
    <t>TC32723</t>
  </si>
  <si>
    <t>TC32823</t>
  </si>
  <si>
    <t>TC32923</t>
  </si>
  <si>
    <t>TC33023</t>
  </si>
  <si>
    <t>TC33123</t>
  </si>
  <si>
    <t>TC33223</t>
  </si>
  <si>
    <t>TC33323</t>
  </si>
  <si>
    <t>TC33423</t>
  </si>
  <si>
    <t>TC33523</t>
  </si>
  <si>
    <t>TC33623</t>
  </si>
  <si>
    <t>TC33723</t>
  </si>
  <si>
    <t>TC33823</t>
  </si>
  <si>
    <t>TC33923</t>
  </si>
  <si>
    <t>TC34023</t>
  </si>
  <si>
    <t>TC34123</t>
  </si>
  <si>
    <t>TC34223</t>
  </si>
  <si>
    <t>TC34323</t>
  </si>
  <si>
    <t>TC34423</t>
  </si>
  <si>
    <t>TC34523</t>
  </si>
  <si>
    <t>TC34623</t>
  </si>
  <si>
    <t>TC34723</t>
  </si>
  <si>
    <t>TC34823</t>
  </si>
  <si>
    <t>TC34923</t>
  </si>
  <si>
    <t>TC35023</t>
  </si>
  <si>
    <t>TC35123</t>
  </si>
  <si>
    <t>TC35223</t>
  </si>
  <si>
    <t>21000.016731/2019-65</t>
  </si>
  <si>
    <t>ELESTAL NEO</t>
  </si>
  <si>
    <t>Espiropidiona; Acetamiprido</t>
  </si>
  <si>
    <t>PFN</t>
  </si>
  <si>
    <t>Ano 2023 - PF</t>
  </si>
  <si>
    <t>21000.001133/2017-20</t>
  </si>
  <si>
    <t>NOVALURON NORTOX</t>
  </si>
  <si>
    <t>Novalurom</t>
  </si>
  <si>
    <t>PF/PTE</t>
  </si>
  <si>
    <t xml:space="preserve"> PF</t>
  </si>
  <si>
    <t>21000.014271/2016-98</t>
  </si>
  <si>
    <t>FLUROXIPIR NORTOX 200 EC</t>
  </si>
  <si>
    <t>Fluroxipir-meptílico</t>
  </si>
  <si>
    <t>21000.094037/2019-89</t>
  </si>
  <si>
    <t>TELUX</t>
  </si>
  <si>
    <t>Terbutilazina</t>
  </si>
  <si>
    <t xml:space="preserve"> PF/PTE</t>
  </si>
  <si>
    <t>21000.033591/2018-17</t>
  </si>
  <si>
    <t>ARPO 800 WG</t>
  </si>
  <si>
    <t>Fipronil</t>
  </si>
  <si>
    <t>Solus</t>
  </si>
  <si>
    <t>Bio</t>
  </si>
  <si>
    <t>21000.008184/2011-97</t>
  </si>
  <si>
    <t>NUPRID STAR</t>
  </si>
  <si>
    <t>Imidacloprido; Tiodicarbe</t>
  </si>
  <si>
    <t>Bio/Org</t>
  </si>
  <si>
    <t>21000.000254/2011-69</t>
  </si>
  <si>
    <t>PRATICO SC</t>
  </si>
  <si>
    <t>Imidacloprido; Flutriafol</t>
  </si>
  <si>
    <t>Adama</t>
  </si>
  <si>
    <t>21016.000148/2022-69</t>
  </si>
  <si>
    <t>BTP 037-19</t>
  </si>
  <si>
    <t>Ácido Indolacético</t>
  </si>
  <si>
    <t>Biotrop</t>
  </si>
  <si>
    <t>21016.000149/2022-11</t>
  </si>
  <si>
    <t>SIMETRIA</t>
  </si>
  <si>
    <t>21000.038580/2018-15</t>
  </si>
  <si>
    <t>BLANES 240 SC</t>
  </si>
  <si>
    <t xml:space="preserve"> Metoxifenozida</t>
  </si>
  <si>
    <t>Cropchem</t>
  </si>
  <si>
    <t>21000.051783/2020-11</t>
  </si>
  <si>
    <t>WEEDFORCE</t>
  </si>
  <si>
    <t>Dibrometo de diquate</t>
  </si>
  <si>
    <t>Syncrom</t>
  </si>
  <si>
    <r>
      <rPr>
        <rFont val="Arial"/>
        <b/>
        <color rgb="FF274E13"/>
        <sz val="10.0"/>
      </rPr>
      <t>PF</t>
    </r>
    <r>
      <rPr>
        <rFont val="Arial"/>
        <b val="0"/>
        <color rgb="FF274E13"/>
        <sz val="10.0"/>
      </rPr>
      <t xml:space="preserve"> - Produto Formulado</t>
    </r>
  </si>
  <si>
    <t>21000.032777/2016-89</t>
  </si>
  <si>
    <t xml:space="preserve"> FULLGUARD</t>
  </si>
  <si>
    <t>Carfentrazona-Etílica</t>
  </si>
  <si>
    <r>
      <rPr>
        <rFont val="Arial"/>
        <b/>
        <color rgb="FF274E13"/>
        <sz val="10.0"/>
      </rPr>
      <t xml:space="preserve">PFN - </t>
    </r>
    <r>
      <rPr>
        <rFont val="Arial"/>
        <b val="0"/>
        <color rgb="FF274E13"/>
        <sz val="10.0"/>
      </rPr>
      <t>Produto Formulado a Base de Ingrediente Ativo Novo</t>
    </r>
  </si>
  <si>
    <t>21000.053921/2016-11</t>
  </si>
  <si>
    <t>LAMBDA CIALOTRIN CCAB 250 CS</t>
  </si>
  <si>
    <t>Lambda-cialotrina</t>
  </si>
  <si>
    <t>CCAB</t>
  </si>
  <si>
    <r>
      <rPr>
        <rFont val="Arial"/>
        <b/>
        <color rgb="FF274E13"/>
        <sz val="10.0"/>
      </rPr>
      <t>PF/PTE</t>
    </r>
    <r>
      <rPr>
        <rFont val="Arial"/>
        <b val="0"/>
        <color rgb="FF274E13"/>
        <sz val="10.0"/>
      </rPr>
      <t xml:space="preserve"> - Produto Formulado a Base de Produto Técnico Equivalente</t>
    </r>
  </si>
  <si>
    <t>21016.002299/2022-51</t>
  </si>
  <si>
    <t>PRESENCE FLEX; KALIVAR</t>
  </si>
  <si>
    <t>Bacillus subtilis, linhagem FMCH002(DSM32155); Bacillus licheniformis, linhagem FMCH001(DSM32154)</t>
  </si>
  <si>
    <t>FMC</t>
  </si>
  <si>
    <t>Não Classificado - Produto Não Classificado</t>
  </si>
  <si>
    <r>
      <rPr>
        <rFont val="Arial"/>
        <b/>
        <color rgb="FF274E13"/>
        <sz val="10.0"/>
      </rPr>
      <t xml:space="preserve">Bio </t>
    </r>
    <r>
      <rPr>
        <rFont val="Arial"/>
        <b val="0"/>
        <color rgb="FF274E13"/>
        <sz val="10.0"/>
      </rPr>
      <t>- Produto Formulado Biológico, Microbiológico, Bioquímico, Extrato Vegetal, Regulador de Crescimento ou Semioquímico; de Baixo Risco</t>
    </r>
  </si>
  <si>
    <t>21016.005498/2022-11</t>
  </si>
  <si>
    <t>TEC MINT</t>
  </si>
  <si>
    <t>Beauveria bassiana, isolado IBCB 66; Metarhizium anisopliae, isolado IBCB 425</t>
  </si>
  <si>
    <t>Solubio</t>
  </si>
  <si>
    <r>
      <rPr>
        <rFont val="Arial"/>
        <b/>
        <color rgb="FF274E13"/>
        <sz val="10.0"/>
      </rPr>
      <t>Bio/Org</t>
    </r>
    <r>
      <rPr>
        <rFont val="Arial"/>
        <b val="0"/>
        <color rgb="FF274E13"/>
        <sz val="10.0"/>
      </rPr>
      <t xml:space="preserve"> - Produto Formulado Biológico, Microbiológico, Bioquímico, Extrato Vegetal, Regulador de Crescimento ou Semioquímico, para a Agricultura Orgânica</t>
    </r>
  </si>
  <si>
    <t>21016.004911/2022-21</t>
  </si>
  <si>
    <t>METATRIL</t>
  </si>
  <si>
    <t>Metarhizium anisopliae, isolado IBCB 425</t>
  </si>
  <si>
    <t>J. A. Moura</t>
  </si>
  <si>
    <t>21016.005735/2022-44</t>
  </si>
  <si>
    <t>GRATTO BOVER</t>
  </si>
  <si>
    <t>Beauveria bassiana, isolado IBCB 66</t>
  </si>
  <si>
    <t>UBY</t>
  </si>
  <si>
    <t>Número de Registros Aprovados por Ano de Submissão</t>
  </si>
  <si>
    <t>21016.005761/2022-72</t>
  </si>
  <si>
    <t>SLT 06</t>
  </si>
  <si>
    <t>Trichoderma harzianum, cepa IBLF1278; Trichoderma harzianum, cepa IBLF 1282; Trichoderma viride, cepa IBLF1275; Trichoderma viride, cepa IBLF1276</t>
  </si>
  <si>
    <t xml:space="preserve"> Prophyto</t>
  </si>
  <si>
    <t>21000.082792/2020-54</t>
  </si>
  <si>
    <t>PARACHUTE</t>
  </si>
  <si>
    <t xml:space="preserve"> Clorotalonil; Difenoconazol; Trifloxistrobina</t>
  </si>
  <si>
    <t xml:space="preserve">Partner </t>
  </si>
  <si>
    <t>21016.001919/2022-35</t>
  </si>
  <si>
    <t>SPODOVIR PLUS</t>
  </si>
  <si>
    <t>Spodoptera frugiperda nucleopolyhedrovirus (SfMNPV isolado 19)</t>
  </si>
  <si>
    <t>Andermatt</t>
  </si>
  <si>
    <t>21000.005957/2019-31</t>
  </si>
  <si>
    <t>TERRAD'OR 300 WG</t>
  </si>
  <si>
    <t>Tiafenacil</t>
  </si>
  <si>
    <t>ISK</t>
  </si>
  <si>
    <t>21000.054362/2018-28</t>
  </si>
  <si>
    <t>BARUS 300 WG</t>
  </si>
  <si>
    <t>21016.005244/2022-01</t>
  </si>
  <si>
    <t>LAPHY PROTECTION</t>
  </si>
  <si>
    <t>Spodoptera frugiperda multiple nucleopolyhedrovirus (SfMNPV)</t>
  </si>
  <si>
    <t>Bioma</t>
  </si>
  <si>
    <t>21016.004674/2022-06</t>
  </si>
  <si>
    <t>RETHAX</t>
  </si>
  <si>
    <t>Hubio</t>
  </si>
  <si>
    <t>21016.005052/2022-97</t>
  </si>
  <si>
    <t>HARZIMIP</t>
  </si>
  <si>
    <t>Trichoderma harzianum, isolado IB19/17</t>
  </si>
  <si>
    <t>PROMIP</t>
  </si>
  <si>
    <t>21000.003167/2018-30</t>
  </si>
  <si>
    <t>FOX SC</t>
  </si>
  <si>
    <t>Protioconazol; Trifloxistrobina</t>
  </si>
  <si>
    <t>PF</t>
  </si>
  <si>
    <t>Basf</t>
  </si>
  <si>
    <t>21000.079916/2021-03</t>
  </si>
  <si>
    <t>BENEVIA OD</t>
  </si>
  <si>
    <t>Ciantraniliprole</t>
  </si>
  <si>
    <t>21016.001058/2022-95</t>
  </si>
  <si>
    <t>ACCEDE</t>
  </si>
  <si>
    <t xml:space="preserve">Ácido 1-Aminociclopropano-1-carboxylic acid </t>
  </si>
  <si>
    <t>21000.006814/2014-31</t>
  </si>
  <si>
    <t>ABA 400 WG NORTOX</t>
  </si>
  <si>
    <t>Abamectina</t>
  </si>
  <si>
    <t>21000.047844/2016-60</t>
  </si>
  <si>
    <t>TRINEXAPAC 250 EC PROVENTIS</t>
  </si>
  <si>
    <t>Trinexapaque-Etílico</t>
  </si>
  <si>
    <t>21000.010108/2010-61</t>
  </si>
  <si>
    <t xml:space="preserve"> IMIDACLOPRID NORTOX 480 SC</t>
  </si>
  <si>
    <t>Imidacloprido</t>
  </si>
  <si>
    <t>21000.011532/2008-16</t>
  </si>
  <si>
    <t>DINAMO</t>
  </si>
  <si>
    <t>Imidacloprido; Bifentrina</t>
  </si>
  <si>
    <t>21016.002484/2022-46</t>
  </si>
  <si>
    <t xml:space="preserve"> OLIGOS 4 T</t>
  </si>
  <si>
    <t>Trichoderma viride, cepa IBLF1275; Trichoderma viride, cepa IBLF1276; Trichoderma harzianum, cepa IBLF1278; Trichoderma harzianum, cepa IBLF 1282</t>
  </si>
  <si>
    <t>Oligos</t>
  </si>
  <si>
    <t>21016.008671/2021-52</t>
  </si>
  <si>
    <t>Biotrinsic N11 FP</t>
  </si>
  <si>
    <t>Pseudomonas oryzihabitans, Cepa SYM23945</t>
  </si>
  <si>
    <t>Indigo Brazil</t>
  </si>
  <si>
    <t>21016.004720/2022-69</t>
  </si>
  <si>
    <t>VIVUS PENTA</t>
  </si>
  <si>
    <t xml:space="preserve"> Telenomus podisi Ashmead (isolados IBCBE 007236 a IBCBE 007255)</t>
  </si>
  <si>
    <t>Vivus Agro</t>
  </si>
  <si>
    <t>21000.043860/2019-26</t>
  </si>
  <si>
    <t>SUNGAIN PLUS</t>
  </si>
  <si>
    <t>Imazetapir; Flumioxazina</t>
  </si>
  <si>
    <t>21000.011774/2018-73</t>
  </si>
  <si>
    <t xml:space="preserve"> ZOLTAX</t>
  </si>
  <si>
    <t>Benzoato de Emamectina; Lufenurom</t>
  </si>
  <si>
    <t>21000.004762/2013-88</t>
  </si>
  <si>
    <t>NAVIUS BR</t>
  </si>
  <si>
    <t>Aminociclopiracloro; Metsulfurom-Metílico</t>
  </si>
  <si>
    <t xml:space="preserve"> Corteva</t>
  </si>
  <si>
    <t>Meses de Deferimento de Registros de Agrotóxicos</t>
  </si>
  <si>
    <t>21000.001644/2012-37</t>
  </si>
  <si>
    <t xml:space="preserve">NAVIUS </t>
  </si>
  <si>
    <t>Corteva</t>
  </si>
  <si>
    <t>21000.055391/2020-21</t>
  </si>
  <si>
    <t>HELVA</t>
  </si>
  <si>
    <t>S-Metolacloro; Sulfentrazona</t>
  </si>
  <si>
    <t>21000.013779/2016-79</t>
  </si>
  <si>
    <t>OZEAN</t>
  </si>
  <si>
    <t>Azoxistrobina; Difenoconazol</t>
  </si>
  <si>
    <t>21000.094733/2019-95</t>
  </si>
  <si>
    <t>FOX ULTRA</t>
  </si>
  <si>
    <t>Protioconazol; Impirfluxam; Trifloxistrobina</t>
  </si>
  <si>
    <t>Bayer</t>
  </si>
  <si>
    <t>21000.024359/2016-18</t>
  </si>
  <si>
    <t>FORCANE</t>
  </si>
  <si>
    <t>2,4-D - Sal de dimetilamina; Picloram - Sal de dimetilamina</t>
  </si>
  <si>
    <t>21000.023228/2016-13</t>
  </si>
  <si>
    <t xml:space="preserve"> AZOXY YONON</t>
  </si>
  <si>
    <t>Azoxistrobina</t>
  </si>
  <si>
    <t>Yonon</t>
  </si>
  <si>
    <t>21000.014265/2016-31</t>
  </si>
  <si>
    <t>METSULFURON NORTOX</t>
  </si>
  <si>
    <t>Metsulfurom-metílico</t>
  </si>
  <si>
    <t xml:space="preserve"> Nortox </t>
  </si>
  <si>
    <t>21000.022330/2016-00</t>
  </si>
  <si>
    <t>WEXITE</t>
  </si>
  <si>
    <t>Acefato</t>
  </si>
  <si>
    <t xml:space="preserve"> Rainbow</t>
  </si>
  <si>
    <t>21000.094356/2019-94</t>
  </si>
  <si>
    <t>KLINNER BR</t>
  </si>
  <si>
    <t>Mancozebe; Picoxistrobina; Protioconazol</t>
  </si>
  <si>
    <t>21016.002967/2021-60</t>
  </si>
  <si>
    <t>SULFENTRAZONE 500 SC PERTERRA</t>
  </si>
  <si>
    <t xml:space="preserve">Sulfentrazona </t>
  </si>
  <si>
    <t>Perterra</t>
  </si>
  <si>
    <t>21000.032573/2016-48</t>
  </si>
  <si>
    <t>EXPOENTE</t>
  </si>
  <si>
    <t>21000.007389/2016-60</t>
  </si>
  <si>
    <t>GLUFOSINATE 200 SL YNG</t>
  </si>
  <si>
    <t>Glufosinato, Sal de Amônio</t>
  </si>
  <si>
    <t xml:space="preserve">Yonon </t>
  </si>
  <si>
    <t>21000.009059/2014-47</t>
  </si>
  <si>
    <t>FORWASATE 480 SL</t>
  </si>
  <si>
    <t>Glifosato, sal de Isopropilamina</t>
  </si>
  <si>
    <t>21000.003180/2012-01</t>
  </si>
  <si>
    <t xml:space="preserve">PRINCE  </t>
  </si>
  <si>
    <t>Cletodim</t>
  </si>
  <si>
    <t>UPL</t>
  </si>
  <si>
    <t>21000.010597/2011-31</t>
  </si>
  <si>
    <t>REJUVRA</t>
  </si>
  <si>
    <t>21016.002535/2022-30</t>
  </si>
  <si>
    <t xml:space="preserve">ATROVERDE 77; T-77 </t>
  </si>
  <si>
    <t>Trichoderma atroviride, estirpe 77B</t>
  </si>
  <si>
    <t xml:space="preserve"> Andermatt</t>
  </si>
  <si>
    <t>21000.007765/2020-01</t>
  </si>
  <si>
    <t>GLIFOX MAX K</t>
  </si>
  <si>
    <t>Glifosato, Sal de Potárssio</t>
  </si>
  <si>
    <t>Fuhua</t>
  </si>
  <si>
    <t>21000.002414/2015-38</t>
  </si>
  <si>
    <t>CATTEROLE</t>
  </si>
  <si>
    <t>Metoxifenozida</t>
  </si>
  <si>
    <t>21000.009371/2011-98</t>
  </si>
  <si>
    <t>MIXTAN 600 SC</t>
  </si>
  <si>
    <t>Clorotalonil; Dimetomorfe</t>
  </si>
  <si>
    <t>21000.010130/2016-04</t>
  </si>
  <si>
    <t>GLIFOSATO CCAB 620 SL</t>
  </si>
  <si>
    <t xml:space="preserve"> Glifosato, Sal de potássio</t>
  </si>
  <si>
    <t>21000.044663/2021-49</t>
  </si>
  <si>
    <t>GALOPEIRO</t>
  </si>
  <si>
    <t xml:space="preserve"> 2,4-D, Sal de Trietanolamina; Picloram, Sal de Trietanolamina</t>
  </si>
  <si>
    <t>21000.025434/2016-68</t>
  </si>
  <si>
    <t>S-METOLACHLOR CCAB 960 EC</t>
  </si>
  <si>
    <t>S-metolacloro</t>
  </si>
  <si>
    <t>21016.001858/2022-14</t>
  </si>
  <si>
    <t>PREMIO STAR</t>
  </si>
  <si>
    <t xml:space="preserve">Clorantraniliprole; Bifentrina </t>
  </si>
  <si>
    <t>21000.083798/2020-49</t>
  </si>
  <si>
    <t xml:space="preserve">RIDOWN FULL </t>
  </si>
  <si>
    <t>Glifosato - Sal de potássio</t>
  </si>
  <si>
    <t>21000.007279/2015-17</t>
  </si>
  <si>
    <t xml:space="preserve">HEREU  </t>
  </si>
  <si>
    <t>Oxifluorfem</t>
  </si>
  <si>
    <t>Tradecorp</t>
  </si>
  <si>
    <t>21000.004807/2012-33</t>
  </si>
  <si>
    <t xml:space="preserve">ZACK SL  </t>
  </si>
  <si>
    <t>Picloram; 2,4-D, sal trietanolamina</t>
  </si>
  <si>
    <t>21000.015446/2018-46</t>
  </si>
  <si>
    <t xml:space="preserve">ORO-COP  </t>
  </si>
  <si>
    <t>Oxicloreto de Cobre</t>
  </si>
  <si>
    <t>Oro Agri</t>
  </si>
  <si>
    <t>21000.018005/2016-34</t>
  </si>
  <si>
    <t>ESBRILHA</t>
  </si>
  <si>
    <t>S-Metolacloro</t>
  </si>
  <si>
    <t>Ministério da Agricultura, Pecuária e Abastecimento - MAPA</t>
  </si>
  <si>
    <t xml:space="preserve">Secretaria de Defesa Agropecuária - SDA </t>
  </si>
  <si>
    <t>Departamento de Sanidade Vegetal e Insumos Agrícolas - DSV</t>
  </si>
  <si>
    <t>Coordenação-Geral de Agrotóxicos e Afins - CGAA</t>
  </si>
  <si>
    <t>Resumo de Registro de Agrotóxicos, Componentes e Afins</t>
  </si>
  <si>
    <t>Produto Técnico - PT</t>
  </si>
  <si>
    <t>Produto Técnico a Base de Ingrediente Ativo Novo - PTN</t>
  </si>
  <si>
    <t>Produto Técnico Equivalente - PTE</t>
  </si>
  <si>
    <t>Total Prdutos Técnicos (PT + PTN + PTE + Pré-Mistura)</t>
  </si>
  <si>
    <t>Produto Formulado - PF</t>
  </si>
  <si>
    <t>Produto Formulado a Base de Ingrediente Ativo Novo - PFN</t>
  </si>
  <si>
    <t>Produto Formulado com Base em Produto Técnico Equivalente - PF/PTE</t>
  </si>
  <si>
    <t>Produto Formulado de Baixo Risco - Bio</t>
  </si>
  <si>
    <t>Produto Formulado para a Agricultura Orgânica - Bio/Org</t>
  </si>
  <si>
    <t>Total de Produtos Formulados de Baixo Risco (Bio + Bio/Org)</t>
  </si>
  <si>
    <t>Total de Produtos Formulados Químicos  (PF + PFN + PF/PTE)</t>
  </si>
  <si>
    <t>Total de Produtos Formulados (PF + PFN + PF/PTE + Bio + Bio/Org)</t>
  </si>
  <si>
    <t>Total Geral de Registros</t>
  </si>
  <si>
    <t>Legenda</t>
  </si>
  <si>
    <r>
      <rPr>
        <rFont val="Arial"/>
        <b/>
        <color rgb="FF274E13"/>
        <sz val="10.0"/>
      </rPr>
      <t>PT</t>
    </r>
    <r>
      <rPr>
        <rFont val="Arial"/>
        <b val="0"/>
        <color rgb="FF274E13"/>
        <sz val="10.0"/>
      </rPr>
      <t xml:space="preserve"> - Produto Técnico</t>
    </r>
  </si>
  <si>
    <r>
      <rPr>
        <rFont val="Arial"/>
        <b/>
        <color rgb="FF274E13"/>
        <sz val="10.0"/>
      </rPr>
      <t>PF</t>
    </r>
    <r>
      <rPr>
        <rFont val="Arial"/>
        <color rgb="FF274E13"/>
        <sz val="10.0"/>
      </rPr>
      <t xml:space="preserve"> - Produto Formulado</t>
    </r>
  </si>
  <si>
    <r>
      <rPr>
        <rFont val="Arial"/>
        <b/>
        <color rgb="FF274E13"/>
        <sz val="10.0"/>
      </rPr>
      <t>PFN</t>
    </r>
    <r>
      <rPr>
        <rFont val="Arial"/>
        <color rgb="FF274E13"/>
        <sz val="10.0"/>
      </rPr>
      <t xml:space="preserve"> - Produto Formulado a Base de Ingrediente Ativo Novo</t>
    </r>
  </si>
  <si>
    <r>
      <rPr>
        <rFont val="Arial"/>
        <b/>
        <color rgb="FF274E13"/>
        <sz val="10.0"/>
      </rPr>
      <t>PF/PTE</t>
    </r>
    <r>
      <rPr>
        <rFont val="Arial"/>
        <color rgb="FF274E13"/>
        <sz val="10.0"/>
      </rPr>
      <t xml:space="preserve"> - Produto Formulado com Base em Produto Técnico Equivalente</t>
    </r>
  </si>
  <si>
    <r>
      <rPr>
        <rFont val="Arial"/>
        <b/>
        <color rgb="FF274E13"/>
        <sz val="10.0"/>
      </rPr>
      <t>PTN</t>
    </r>
    <r>
      <rPr>
        <rFont val="Arial"/>
        <color rgb="FF274E13"/>
        <sz val="10.0"/>
      </rPr>
      <t xml:space="preserve"> - Produto Técnico a Base de Ingrediente Ativo Novo</t>
    </r>
  </si>
  <si>
    <r>
      <rPr>
        <rFont val="Arial"/>
        <b/>
        <color rgb="FF274E13"/>
        <sz val="10.0"/>
      </rPr>
      <t>Bio/Org</t>
    </r>
    <r>
      <rPr>
        <rFont val="Arial"/>
        <color rgb="FF274E13"/>
        <sz val="10.0"/>
      </rPr>
      <t xml:space="preserve"> - Produto Formulado Biológico, Microbiológico, Bioquímico, Extrato Vegetal, Regulador de Crescimento ou Semioquímico, para a Agricultura Orgânica</t>
    </r>
  </si>
  <si>
    <r>
      <rPr>
        <rFont val="Arial"/>
        <b/>
        <color rgb="FF274E13"/>
        <sz val="10.0"/>
      </rPr>
      <t>PTE</t>
    </r>
    <r>
      <rPr>
        <rFont val="Arial"/>
        <color rgb="FF274E13"/>
        <sz val="10.0"/>
      </rPr>
      <t xml:space="preserve"> - Produto Técnico Equivalente</t>
    </r>
  </si>
  <si>
    <r>
      <rPr>
        <rFont val="Arial"/>
        <b/>
        <color rgb="FF274E13"/>
        <sz val="10.0"/>
      </rPr>
      <t>Bio</t>
    </r>
    <r>
      <rPr>
        <rFont val="Arial"/>
        <b val="0"/>
        <color rgb="FF274E13"/>
        <sz val="10.0"/>
      </rPr>
      <t xml:space="preserve"> - Produto Formulado Biológico, Microbiológico, Bioquímico, Extrato Vegetal, Regulador de Crescimento ou Semioquímico; de Baixo Risco</t>
    </r>
  </si>
  <si>
    <t>Critérios:</t>
  </si>
  <si>
    <r>
      <rPr>
        <rFont val="Arial"/>
        <b/>
        <color rgb="FF274E13"/>
        <sz val="12.0"/>
      </rPr>
      <t>PF/PTE</t>
    </r>
    <r>
      <rPr>
        <rFont val="Arial"/>
        <color rgb="FF274E13"/>
        <sz val="12.0"/>
      </rPr>
      <t xml:space="preserve"> - São considerados Produtos Formulados a Base em Produto Técnco Equivalente os produtos que contenham apenas produtos técnicos registrados por comparação a produtos já registrados.</t>
    </r>
  </si>
  <si>
    <r>
      <rPr>
        <rFont val="Arial"/>
        <b/>
        <color rgb="FF274E13"/>
        <sz val="12.0"/>
      </rPr>
      <t>PFN</t>
    </r>
    <r>
      <rPr>
        <rFont val="Arial"/>
        <color rgb="FF274E13"/>
        <sz val="12.0"/>
      </rPr>
      <t xml:space="preserve"> - São considerados Produto Formulado a Base de Ingrediente Ativo Novo os produtos a base de ao menos uma nova substância, registrados no mesmo ano do PTN - Produto Técnico a Base de Ingrediente Ativo Novo ou no ano subsequente.</t>
    </r>
  </si>
  <si>
    <r>
      <rPr>
        <rFont val="Arial"/>
        <b/>
        <color rgb="FF274E13"/>
        <sz val="12.0"/>
      </rPr>
      <t>Bio</t>
    </r>
    <r>
      <rPr>
        <rFont val="Arial"/>
        <color rgb="FF274E13"/>
        <sz val="12.0"/>
      </rPr>
      <t xml:space="preserve"> - O registro de Produto Formulado Biológico, Microbiológico, Bioquímico, Extrato Vegetal, Regulador de Crescimento ou Semioquímico com classificações Classe IV - Produto Pouco Perigoso ao Meio Ambiente, conforme avaliação do IBAMA, e Categoria 5 - Produto Improvável de Causar Dano Agudo ou Não Classificado - Produto Não Classificado, pela ANVISA.</t>
    </r>
  </si>
  <si>
    <t>Observações:</t>
  </si>
  <si>
    <r>
      <rPr>
        <rFont val="Arial"/>
        <b/>
        <color rgb="FF274E13"/>
        <sz val="12.0"/>
      </rPr>
      <t>PTE e PF/PTE</t>
    </r>
    <r>
      <rPr>
        <rFont val="Arial"/>
        <color rgb="FF274E13"/>
        <sz val="12.0"/>
      </rPr>
      <t xml:space="preserve"> - O registro de Produto Técnico Equivalente e Produto Formulado com Base em Produto Técncio Equivalente se iniciou a partir da previsão legal disposta no Decreto n.</t>
    </r>
    <r>
      <rPr>
        <rFont val="Calibri"/>
        <color rgb="FF274E13"/>
        <sz val="12.0"/>
      </rPr>
      <t>°</t>
    </r>
    <r>
      <rPr>
        <rFont val="Arial"/>
        <color rgb="FF274E13"/>
        <sz val="12.0"/>
      </rPr>
      <t xml:space="preserve"> 5981, de 06 de dezembro de 2006.</t>
    </r>
  </si>
  <si>
    <r>
      <rPr>
        <rFont val="Arial"/>
        <b/>
        <color rgb="FF274E13"/>
        <sz val="12.0"/>
      </rPr>
      <t>Bio/Org</t>
    </r>
    <r>
      <rPr>
        <rFont val="Arial"/>
        <color rgb="FF274E13"/>
        <sz val="12.0"/>
      </rPr>
      <t xml:space="preserve"> - O registro de Produto Formulado Biológico, Microbiológico, Bioquímico, Extrato Vegetal, Regulador de Crescimento ou Semioquímico, para a Agricultura Orgânica se iniciou a partir da previsão legal disposta no Decreto n.° 6913, de 23 de julho de 2009.</t>
    </r>
  </si>
  <si>
    <t>Classificação Toxicolóxica - ANVISA - Consolidado</t>
  </si>
  <si>
    <t>2023
Número de Registros Aprovados por Ano de Submissão</t>
  </si>
  <si>
    <t>Não classificado - Produto não classificado</t>
  </si>
  <si>
    <t>Não determinada devido à natureza do produto (Inimigos Naturais)</t>
  </si>
  <si>
    <t>Classificação de Periculosidade Ambiental - IBAMA - Consolidado</t>
  </si>
  <si>
    <t>Tempo de Tramitação Médio dos Registros de Agrotóxicos e Afins (Em Meses)</t>
  </si>
  <si>
    <r>
      <rPr>
        <rFont val="Arial"/>
        <b/>
        <color rgb="FF274E13"/>
        <sz val="11.0"/>
      </rPr>
      <t>PT</t>
    </r>
    <r>
      <rPr>
        <rFont val="Arial"/>
        <b val="0"/>
        <color rgb="FF274E13"/>
        <sz val="11.0"/>
      </rPr>
      <t xml:space="preserve"> - Produto Técnico</t>
    </r>
  </si>
  <si>
    <r>
      <rPr>
        <rFont val="Arial"/>
        <b/>
        <color rgb="FF274E13"/>
        <sz val="11.0"/>
      </rPr>
      <t>PTN</t>
    </r>
    <r>
      <rPr>
        <rFont val="Arial"/>
        <b val="0"/>
        <color rgb="FF274E13"/>
        <sz val="11.0"/>
      </rPr>
      <t xml:space="preserve"> - Produto Técnico a Base de Ingrediente Ativo Novo</t>
    </r>
  </si>
  <si>
    <r>
      <rPr>
        <rFont val="Arial"/>
        <b/>
        <color rgb="FF274E13"/>
        <sz val="11.0"/>
      </rPr>
      <t>PTE</t>
    </r>
    <r>
      <rPr>
        <rFont val="Arial"/>
        <b val="0"/>
        <color rgb="FF274E13"/>
        <sz val="11.0"/>
      </rPr>
      <t xml:space="preserve"> - Produto Técnico Equivalente</t>
    </r>
  </si>
  <si>
    <r>
      <rPr>
        <rFont val="Arial"/>
        <b/>
        <color rgb="FF274E13"/>
        <sz val="11.0"/>
      </rPr>
      <t>Pré-Mistura</t>
    </r>
    <r>
      <rPr>
        <rFont val="Arial"/>
        <b val="0"/>
        <color rgb="FF274E13"/>
        <sz val="11.0"/>
      </rPr>
      <t xml:space="preserve"> - Produto Pré-mistura</t>
    </r>
  </si>
  <si>
    <r>
      <rPr>
        <rFont val="Arial"/>
        <b/>
        <color rgb="FF274E13"/>
        <sz val="11.0"/>
      </rPr>
      <t xml:space="preserve">PF </t>
    </r>
    <r>
      <rPr>
        <rFont val="Arial"/>
        <b val="0"/>
        <color rgb="FF274E13"/>
        <sz val="11.0"/>
      </rPr>
      <t>- Produto Formulado</t>
    </r>
  </si>
  <si>
    <r>
      <rPr>
        <rFont val="Arial"/>
        <b/>
        <color rgb="FF274E13"/>
        <sz val="11.0"/>
      </rPr>
      <t xml:space="preserve">PFN </t>
    </r>
    <r>
      <rPr>
        <rFont val="Arial"/>
        <b val="0"/>
        <color rgb="FF274E13"/>
        <sz val="11.0"/>
      </rPr>
      <t>- Produto Formulado a Base de Ingrediente Ativo Novo</t>
    </r>
  </si>
  <si>
    <r>
      <rPr>
        <rFont val="Arial"/>
        <b/>
        <color rgb="FF274E13"/>
        <sz val="11.0"/>
      </rPr>
      <t>PF/PTE</t>
    </r>
    <r>
      <rPr>
        <rFont val="Arial"/>
        <b val="0"/>
        <color rgb="FF274E13"/>
        <sz val="11.0"/>
      </rPr>
      <t xml:space="preserve"> - Produto Formulado a Base de Produto Técnico Equivalente</t>
    </r>
  </si>
  <si>
    <r>
      <rPr>
        <rFont val="Arial"/>
        <b/>
        <color rgb="FF274E13"/>
        <sz val="11.0"/>
      </rPr>
      <t xml:space="preserve">Bio </t>
    </r>
    <r>
      <rPr>
        <rFont val="Arial"/>
        <b val="0"/>
        <color rgb="FF274E13"/>
        <sz val="11.0"/>
      </rPr>
      <t>- Produto Formulado Biológico, Microbiológico, Bioquímico, Extrato Vegetal, Regulador de Crescimento ou Semioquímico; de Baixo Risco</t>
    </r>
  </si>
  <si>
    <r>
      <rPr>
        <rFont val="Arial"/>
        <b/>
        <color rgb="FF274E13"/>
        <sz val="11.0"/>
      </rPr>
      <t>Bio/Org</t>
    </r>
    <r>
      <rPr>
        <rFont val="Arial"/>
        <b val="0"/>
        <color rgb="FF274E13"/>
        <sz val="11.0"/>
      </rPr>
      <t xml:space="preserve"> - Produto Formulado Biológico, Microbiológico, Bioquímico, Extrato Vegetal, Regulador de Crescimento ou Semioquímico, para a Agricultura Orgânica</t>
    </r>
  </si>
  <si>
    <t>Registros Aprovados por Ano de Protocolo</t>
  </si>
  <si>
    <t>Total de Produtos Aprovados por Ano de Protocolo</t>
  </si>
  <si>
    <t>Ano de Registro dos Agrotóxicos, Componentes e Afins</t>
  </si>
  <si>
    <t>Total de Registros 2000 a 2023</t>
  </si>
  <si>
    <t>Ano de 2023</t>
  </si>
  <si>
    <t>I - Produto Altamente Perigoso ao Meio Ambiente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</si>
  <si>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</si>
  <si>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</si>
  <si>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</si>
  <si>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</si>
  <si>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</si>
  <si>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</si>
  <si>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</si>
  <si>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</si>
  <si>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</si>
  <si>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Não determinada devido à natureza do produto (Inimigos naturais)</t>
  </si>
  <si>
    <t>TC00122</t>
  </si>
  <si>
    <t>21000.006874/2014-54</t>
  </si>
  <si>
    <t>Boscalida Ascenza Técnico</t>
  </si>
  <si>
    <t>Ano de 2022</t>
  </si>
  <si>
    <t>TC00222</t>
  </si>
  <si>
    <t>21000.003590/2015-97</t>
  </si>
  <si>
    <t>Boscalid Técnico Nortox</t>
  </si>
  <si>
    <t>TC00322</t>
  </si>
  <si>
    <t>21000.035695/2017-77</t>
  </si>
  <si>
    <t>Boscalid Técnico Nortox II</t>
  </si>
  <si>
    <t>TC00422</t>
  </si>
  <si>
    <t>21000.018225/2016-68</t>
  </si>
  <si>
    <t>Mesotrione Técnico Nortox III</t>
  </si>
  <si>
    <t>Mesotrione</t>
  </si>
  <si>
    <t>TC00522</t>
  </si>
  <si>
    <t>21000.017460/2017-01</t>
  </si>
  <si>
    <t>Boscalid Técnico Gilmore</t>
  </si>
  <si>
    <t>TC00622</t>
  </si>
  <si>
    <t>21000.039061/2021-70</t>
  </si>
  <si>
    <t>Boscalid Técnico Udragon</t>
  </si>
  <si>
    <t>TC00722</t>
  </si>
  <si>
    <t>21000.026003/2020-03</t>
  </si>
  <si>
    <t>Bifentrina Técnico Tide</t>
  </si>
  <si>
    <t>Bifentrina</t>
  </si>
  <si>
    <t>TC00822</t>
  </si>
  <si>
    <t>21000.013202/2017-48</t>
  </si>
  <si>
    <t>Bifenthrin Yo Técnico Helm</t>
  </si>
  <si>
    <t>TC00922</t>
  </si>
  <si>
    <t>21000.058497/2016-09</t>
  </si>
  <si>
    <t xml:space="preserve">Bifentrina Técnico Stockton </t>
  </si>
  <si>
    <t>Stockton</t>
  </si>
  <si>
    <t>TC01022</t>
  </si>
  <si>
    <t>21000.001919/2015-85</t>
  </si>
  <si>
    <t>Epoxiconazole Técnico ET</t>
  </si>
  <si>
    <t>Epoxiconazol</t>
  </si>
  <si>
    <t>TC01122</t>
  </si>
  <si>
    <t>21000.003999/2015-11</t>
  </si>
  <si>
    <t>Pyraclostrobin Técnico Rainbow</t>
  </si>
  <si>
    <t>TC01222</t>
  </si>
  <si>
    <t>21000.037340/2016-31</t>
  </si>
  <si>
    <t>Diafentiuron Técnico GSP</t>
  </si>
  <si>
    <t>Diafentiuron</t>
  </si>
  <si>
    <t>TC01322</t>
  </si>
  <si>
    <t>21000.001933/2014-06</t>
  </si>
  <si>
    <t>Sulfometuron-Methyl Técnico Rotam</t>
  </si>
  <si>
    <t>Sulfometuron-methyl</t>
  </si>
  <si>
    <t>TC01422</t>
  </si>
  <si>
    <t>21000.034178/2016-08</t>
  </si>
  <si>
    <t>Picloram Técnico HB BRA</t>
  </si>
  <si>
    <t>Picloram</t>
  </si>
  <si>
    <t>BRA</t>
  </si>
  <si>
    <t>TC01522</t>
  </si>
  <si>
    <t xml:space="preserve">21000.047097/2018-21
</t>
  </si>
  <si>
    <t xml:space="preserve">Flumioxazin Técnico Lier
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</si>
  <si>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</si>
  <si>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TC01622</t>
  </si>
  <si>
    <t xml:space="preserve">21000.093837/2019-82
</t>
  </si>
  <si>
    <t>Spirodiclofen Técnico CCAB II</t>
  </si>
  <si>
    <t>Espirodiclofeno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</si>
  <si>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</si>
  <si>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TC01722</t>
  </si>
  <si>
    <t xml:space="preserve">21000.007970/2015-09
</t>
  </si>
  <si>
    <t>Espirodiclofeno Técnico Sumitomo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</si>
  <si>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</si>
  <si>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TC01822</t>
  </si>
  <si>
    <t xml:space="preserve">21000.006862/2014-20
</t>
  </si>
  <si>
    <t xml:space="preserve">Spirodiclofen Tecnico ST
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</si>
  <si>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</si>
  <si>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TC01922</t>
  </si>
  <si>
    <t xml:space="preserve">21000.006393/2015-20
</t>
  </si>
  <si>
    <t>Pydiflumetofen Técnico</t>
  </si>
  <si>
    <t>Pidiflumetofem</t>
  </si>
  <si>
    <t xml:space="preserve">Syngenta 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</si>
  <si>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</si>
  <si>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TC02022</t>
  </si>
  <si>
    <t xml:space="preserve">21000.005804/2015-60
</t>
  </si>
  <si>
    <t xml:space="preserve">Trifloxistrobina Técnico Sinon
</t>
  </si>
  <si>
    <t>Trifloxistrobina</t>
  </si>
  <si>
    <t>Sinon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</si>
  <si>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</si>
  <si>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TC02122</t>
  </si>
  <si>
    <t xml:space="preserve">21000.044015/2019-78
</t>
  </si>
  <si>
    <t xml:space="preserve">Espirodiclofeno Técnico Pilarquim
</t>
  </si>
  <si>
    <t>Pilarquim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</si>
  <si>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</si>
  <si>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TC02222</t>
  </si>
  <si>
    <t xml:space="preserve">21000.001740/2019-51
</t>
  </si>
  <si>
    <t xml:space="preserve">Picloram Técnico Bide
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</si>
  <si>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</si>
  <si>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TC02322</t>
  </si>
  <si>
    <t xml:space="preserve">21000.002415/2015-82
</t>
  </si>
  <si>
    <t xml:space="preserve">Espirodiclofeno Técnico CropChem
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</si>
  <si>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</si>
  <si>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TC02422</t>
  </si>
  <si>
    <t xml:space="preserve">21000.008614/2015-02
</t>
  </si>
  <si>
    <t xml:space="preserve">Carbendazim Técnico Adama Brasil
</t>
  </si>
  <si>
    <t>Carbendazim</t>
  </si>
  <si>
    <t>TC02522</t>
  </si>
  <si>
    <t xml:space="preserve">21000.040992/2018-15
</t>
  </si>
  <si>
    <t xml:space="preserve">Epoxiconazole Técnico Adama BR
</t>
  </si>
  <si>
    <t>TC02622</t>
  </si>
  <si>
    <t xml:space="preserve">21000.011827/2016-94
</t>
  </si>
  <si>
    <t xml:space="preserve">Isoxaflutol Técnico Nortox III
</t>
  </si>
  <si>
    <t>TC02722</t>
  </si>
  <si>
    <t xml:space="preserve">21000.041401/2018-27
</t>
  </si>
  <si>
    <t xml:space="preserve">Flumioxazin Técnico Nortox III
</t>
  </si>
  <si>
    <t>TC02822</t>
  </si>
  <si>
    <t>21000.013893/2017-80</t>
  </si>
  <si>
    <t xml:space="preserve">Picloram Técnico Nortox III
</t>
  </si>
  <si>
    <t>TC02922</t>
  </si>
  <si>
    <t xml:space="preserve">21000.008205/2013-36
</t>
  </si>
  <si>
    <t xml:space="preserve">Glifosato Técnico Beier
</t>
  </si>
  <si>
    <t>Glifosato</t>
  </si>
  <si>
    <t>TC03022</t>
  </si>
  <si>
    <t xml:space="preserve">21000.036105/2016-42
</t>
  </si>
  <si>
    <t xml:space="preserve">Fludioxonil Técnico Adama BR
</t>
  </si>
  <si>
    <t>Fludioxonil</t>
  </si>
  <si>
    <t>TC03122</t>
  </si>
  <si>
    <t xml:space="preserve">21000.009012/2014-83
</t>
  </si>
  <si>
    <t xml:space="preserve">S-metolaclor Técnico Adama
</t>
  </si>
  <si>
    <t>TC03222</t>
  </si>
  <si>
    <t>21000.049246/2019-78</t>
  </si>
  <si>
    <t xml:space="preserve">Picloram  Técnico Ada
</t>
  </si>
  <si>
    <t>TC03322</t>
  </si>
  <si>
    <t xml:space="preserve">21000.025278/2018-05
</t>
  </si>
  <si>
    <t xml:space="preserve">Flumioxazina Técnico Adama BR
</t>
  </si>
  <si>
    <t>TC03422</t>
  </si>
  <si>
    <t xml:space="preserve">21000.041197/2017-63
</t>
  </si>
  <si>
    <t xml:space="preserve">Espirodiclofeno Técnico Adama BR
</t>
  </si>
  <si>
    <t>TC03522</t>
  </si>
  <si>
    <t xml:space="preserve">21000.000410/2015-15
</t>
  </si>
  <si>
    <t xml:space="preserve">Espirodiclofeno Tradecorp Técnico
</t>
  </si>
  <si>
    <t>TC03622</t>
  </si>
  <si>
    <t>21000.008890/2014-81</t>
  </si>
  <si>
    <t xml:space="preserve">Metribuzim Técnico OF
</t>
  </si>
  <si>
    <t>TC03722</t>
  </si>
  <si>
    <t xml:space="preserve">21000.054482/2017-44
</t>
  </si>
  <si>
    <t xml:space="preserve">Glifosato Técnico FB
</t>
  </si>
  <si>
    <t xml:space="preserve">Glifosato
</t>
  </si>
  <si>
    <t>Ferbru</t>
  </si>
  <si>
    <t>TC03822</t>
  </si>
  <si>
    <t xml:space="preserve">21000.004256/2020-18
</t>
  </si>
  <si>
    <t xml:space="preserve">Flumioxazin Técnico NGC
</t>
  </si>
  <si>
    <t xml:space="preserve">Flumioxazina
</t>
  </si>
  <si>
    <t>TC03922</t>
  </si>
  <si>
    <t xml:space="preserve">21000.008773/2013-37
</t>
  </si>
  <si>
    <t xml:space="preserve">S-Metolacloro Técnico Rainbow
</t>
  </si>
  <si>
    <t>TC04022</t>
  </si>
  <si>
    <t>21000.001876/2010-23</t>
  </si>
  <si>
    <t>Hanaro Técnico</t>
  </si>
  <si>
    <t>Bistrifluron</t>
  </si>
  <si>
    <t>Iharabras</t>
  </si>
  <si>
    <t>TC04122</t>
  </si>
  <si>
    <t xml:space="preserve"> 21000.063809/2016-98</t>
  </si>
  <si>
    <t>Diflubenzuron Técnico SL</t>
  </si>
  <si>
    <t>Diflubenzuron</t>
  </si>
  <si>
    <t>TC04222</t>
  </si>
  <si>
    <t xml:space="preserve">21000.025460/2016-96
</t>
  </si>
  <si>
    <t xml:space="preserve">Picloram Técnico Gilmore
</t>
  </si>
  <si>
    <t>TC04322</t>
  </si>
  <si>
    <t xml:space="preserve">21000.045532/2020-06
</t>
  </si>
  <si>
    <t xml:space="preserve">S-Metolacloro Técnico Pilarquim
</t>
  </si>
  <si>
    <t>TC04422</t>
  </si>
  <si>
    <t xml:space="preserve">21000.006988/2014-02
</t>
  </si>
  <si>
    <t xml:space="preserve">Carbendazim Técnico Consagro
</t>
  </si>
  <si>
    <t>TC04522</t>
  </si>
  <si>
    <t xml:space="preserve">21000.020606/2016-15
</t>
  </si>
  <si>
    <t xml:space="preserve">Piraclostrobin Técnico Nortox III
</t>
  </si>
  <si>
    <t>TC04622</t>
  </si>
  <si>
    <t xml:space="preserve">21000.042024/2020-68
</t>
  </si>
  <si>
    <t xml:space="preserve">Imidacloprid Técnico NGC
</t>
  </si>
  <si>
    <t>TC04722</t>
  </si>
  <si>
    <t xml:space="preserve">21000.005989/2014-21
</t>
  </si>
  <si>
    <t>Tiametoxam Técnico Adama</t>
  </si>
  <si>
    <t>TC04822</t>
  </si>
  <si>
    <t xml:space="preserve">21000.047600/2018-49
</t>
  </si>
  <si>
    <t xml:space="preserve">Imidacloprido Técnico Adama BR
</t>
  </si>
  <si>
    <t xml:space="preserve">Imidacloprido
</t>
  </si>
  <si>
    <t>TC04922</t>
  </si>
  <si>
    <t xml:space="preserve">21000.005770/2015-11
</t>
  </si>
  <si>
    <t xml:space="preserve">Epoxiconazol Técnico Adama
</t>
  </si>
  <si>
    <t xml:space="preserve">Epoxiconazol
</t>
  </si>
  <si>
    <t>TC05022</t>
  </si>
  <si>
    <t xml:space="preserve">21000.007703/2014-42
</t>
  </si>
  <si>
    <t xml:space="preserve">Imidacloprid Técnico RDB
</t>
  </si>
  <si>
    <t>TC05122</t>
  </si>
  <si>
    <t xml:space="preserve">21000.008681/2014-38
</t>
  </si>
  <si>
    <t xml:space="preserve">Carbendazim Técnico OF
</t>
  </si>
  <si>
    <t xml:space="preserve">Carbendazim
</t>
  </si>
  <si>
    <t>TC05222</t>
  </si>
  <si>
    <t xml:space="preserve">21000.002498/2015-18
</t>
  </si>
  <si>
    <t xml:space="preserve">Imidacloprido Técnico OF
</t>
  </si>
  <si>
    <t>TC05322</t>
  </si>
  <si>
    <t xml:space="preserve">21000.004502/2018-17
</t>
  </si>
  <si>
    <t xml:space="preserve">Imidacloprid Técnico Sulphur Mills II
</t>
  </si>
  <si>
    <t>SM AGROCARE</t>
  </si>
  <si>
    <t>TC05422</t>
  </si>
  <si>
    <t xml:space="preserve">21000.008638/2015-53
</t>
  </si>
  <si>
    <t xml:space="preserve">Amicarbazone Técnico Proventis
</t>
  </si>
  <si>
    <t>TC05522</t>
  </si>
  <si>
    <t xml:space="preserve">21000.006917/2021-21
</t>
  </si>
  <si>
    <t xml:space="preserve">Pyraclostrobin Técnico ABT
</t>
  </si>
  <si>
    <t xml:space="preserve">Piraclostrobina
</t>
  </si>
  <si>
    <t>TC05622</t>
  </si>
  <si>
    <t xml:space="preserve">21000.000850/2015-72
</t>
  </si>
  <si>
    <t xml:space="preserve">Imidacloprido Técnico Cropchem
</t>
  </si>
  <si>
    <t>TC05722</t>
  </si>
  <si>
    <t xml:space="preserve">21000.000280/2016-00
</t>
  </si>
  <si>
    <t xml:space="preserve">Imidacloprid Técnico Sino- Agri
</t>
  </si>
  <si>
    <t>TC05822</t>
  </si>
  <si>
    <t xml:space="preserve">21000.014601/2020-21
</t>
  </si>
  <si>
    <t xml:space="preserve">Acetamiprid Técnico SAU
</t>
  </si>
  <si>
    <t xml:space="preserve">Acetamiprido
</t>
  </si>
  <si>
    <t>TC05922</t>
  </si>
  <si>
    <t xml:space="preserve">21000.055264/2020-22
</t>
  </si>
  <si>
    <t xml:space="preserve">Protioconazol Técnico Perterra
</t>
  </si>
  <si>
    <t xml:space="preserve">Protioconazol
</t>
  </si>
  <si>
    <t>TC06022</t>
  </si>
  <si>
    <t xml:space="preserve">21000.080482/2019-61
</t>
  </si>
  <si>
    <t xml:space="preserve">Flumioxazin Técnico CHDS II
</t>
  </si>
  <si>
    <t>TC06122</t>
  </si>
  <si>
    <t xml:space="preserve">21000.010316/2013-11
</t>
  </si>
  <si>
    <t xml:space="preserve">Epoxiconazol Técnico SH
</t>
  </si>
  <si>
    <t>TC06222</t>
  </si>
  <si>
    <t xml:space="preserve">21000.054948/2017-10
</t>
  </si>
  <si>
    <t xml:space="preserve">Pyraclostrobin Técnico NGC
</t>
  </si>
  <si>
    <t>TC06322</t>
  </si>
  <si>
    <t xml:space="preserve">21000.046700/2016-96
</t>
  </si>
  <si>
    <t xml:space="preserve">Pyraclostrobin Técnico Gilmore
</t>
  </si>
  <si>
    <t>TC06422</t>
  </si>
  <si>
    <t xml:space="preserve">21000.002294/2015-79
</t>
  </si>
  <si>
    <t xml:space="preserve">Ciproconazol Técnico Agrolead
</t>
  </si>
  <si>
    <t xml:space="preserve">Ciproconazol
</t>
  </si>
  <si>
    <t>Agrolead</t>
  </si>
  <si>
    <t>TC06522</t>
  </si>
  <si>
    <t xml:space="preserve">21000.077039/2020-47
</t>
  </si>
  <si>
    <t xml:space="preserve">Prothio Técnico Perterra
</t>
  </si>
  <si>
    <t>TC06622</t>
  </si>
  <si>
    <t>21000.015046/2020-55</t>
  </si>
  <si>
    <t>Piraclostrobina Técnico Tecnomyl</t>
  </si>
  <si>
    <t>Tecnomyl</t>
  </si>
  <si>
    <t>TC06722</t>
  </si>
  <si>
    <t xml:space="preserve">21000.041739/2020-01
</t>
  </si>
  <si>
    <t>Picoxistrobina Técnico Tecnomyl</t>
  </si>
  <si>
    <t>TC06822</t>
  </si>
  <si>
    <t xml:space="preserve">21000.006330/2015-52
</t>
  </si>
  <si>
    <t xml:space="preserve">Protioconazol Técnico Adama
</t>
  </si>
  <si>
    <t>TC06922</t>
  </si>
  <si>
    <t xml:space="preserve">21000.041196/2017-19
</t>
  </si>
  <si>
    <t xml:space="preserve">Amicarbazona Técnico Adama BR
</t>
  </si>
  <si>
    <t>TC07022</t>
  </si>
  <si>
    <t xml:space="preserve">21000.004738/2015-19
</t>
  </si>
  <si>
    <t xml:space="preserve">Lambda-Cyhalothrin Technical UPL BR
</t>
  </si>
  <si>
    <t xml:space="preserve">Lambda-cialotrina
</t>
  </si>
  <si>
    <t>TC07122</t>
  </si>
  <si>
    <t xml:space="preserve">21000.040040/2021-05
</t>
  </si>
  <si>
    <t xml:space="preserve">Forward Atrazine Técnico
</t>
  </si>
  <si>
    <t>Atrazina</t>
  </si>
  <si>
    <t>TC07222</t>
  </si>
  <si>
    <t xml:space="preserve">21000.023959/2018-21
</t>
  </si>
  <si>
    <t xml:space="preserve">Ciproconazol técnico Tecnomyl II
</t>
  </si>
  <si>
    <t>TC07322</t>
  </si>
  <si>
    <t xml:space="preserve">21000.008163/2015-03
</t>
  </si>
  <si>
    <t xml:space="preserve">Espirodiclofeno Técnico OF
</t>
  </si>
  <si>
    <t>TC07422</t>
  </si>
  <si>
    <t xml:space="preserve">21000. 070841/2021-97
</t>
  </si>
  <si>
    <t xml:space="preserve">Imidacloprido HY Técnico Helm
</t>
  </si>
  <si>
    <t>TC07522</t>
  </si>
  <si>
    <t xml:space="preserve">21000.086740/2019-13
</t>
  </si>
  <si>
    <t xml:space="preserve">Protioconazol HV Técnico Helm
</t>
  </si>
  <si>
    <t>TC07622</t>
  </si>
  <si>
    <t xml:space="preserve">21000.003680/2015-88
</t>
  </si>
  <si>
    <t xml:space="preserve">Spirodiclofen Y Técnico Helm
</t>
  </si>
  <si>
    <t>TC07722</t>
  </si>
  <si>
    <t>21000.109767/2021-14</t>
  </si>
  <si>
    <t xml:space="preserve">Atrazina Técnico Cropchem
</t>
  </si>
  <si>
    <t>TC07822</t>
  </si>
  <si>
    <t xml:space="preserve">21000.006287/2015-46
</t>
  </si>
  <si>
    <t xml:space="preserve">Espirodiclofeno Técnico SRC-CropChem
</t>
  </si>
  <si>
    <t>TC07922</t>
  </si>
  <si>
    <t xml:space="preserve">21000.051484/2020-87
</t>
  </si>
  <si>
    <t xml:space="preserve">Picoxistrobina Técnico CropcChem III
</t>
  </si>
  <si>
    <t>TC08022</t>
  </si>
  <si>
    <t xml:space="preserve">21000.038711/2020-89
</t>
  </si>
  <si>
    <t xml:space="preserve">Pimetrozina Técnico CropChem II
</t>
  </si>
  <si>
    <t>Pimetrozina</t>
  </si>
  <si>
    <t>TC08122</t>
  </si>
  <si>
    <t xml:space="preserve">21000.056927/2016-40
</t>
  </si>
  <si>
    <t xml:space="preserve">Pimetrozine Técnico Nortox
</t>
  </si>
  <si>
    <t>TC08222</t>
  </si>
  <si>
    <t xml:space="preserve">21000.050895/2019-11
</t>
  </si>
  <si>
    <t xml:space="preserve">Pimetrozina Técnico BRA
</t>
  </si>
  <si>
    <t>Nutrien</t>
  </si>
  <si>
    <t>TC08322</t>
  </si>
  <si>
    <t xml:space="preserve">21000.047962/2021-35
</t>
  </si>
  <si>
    <t>Pimetrozine Técnico FB</t>
  </si>
  <si>
    <t>TC08422</t>
  </si>
  <si>
    <t xml:space="preserve">21000.006170/2014-81
</t>
  </si>
  <si>
    <t xml:space="preserve">Metomil Técnico Cropchem
</t>
  </si>
  <si>
    <t>Metomil</t>
  </si>
  <si>
    <t>TC08522</t>
  </si>
  <si>
    <t xml:space="preserve">21000.107221/2021-11
</t>
  </si>
  <si>
    <t xml:space="preserve">Picloram Técnico Ihara I
</t>
  </si>
  <si>
    <t>Ihara</t>
  </si>
  <si>
    <t>TC08622</t>
  </si>
  <si>
    <t xml:space="preserve">21000.019273/2016-73
</t>
  </si>
  <si>
    <t xml:space="preserve">Spirodiclofen Técnico Rotam
</t>
  </si>
  <si>
    <t>TC08722</t>
  </si>
  <si>
    <t xml:space="preserve">21000.020279/2018-55
</t>
  </si>
  <si>
    <t xml:space="preserve">Dicamba Técnico SA
</t>
  </si>
  <si>
    <t>TC08822</t>
  </si>
  <si>
    <t xml:space="preserve">21000.010377/2013-70
</t>
  </si>
  <si>
    <t xml:space="preserve">Dicamba Técnico SD
</t>
  </si>
  <si>
    <t>TC08922</t>
  </si>
  <si>
    <t xml:space="preserve">21000.080680/2021-40
</t>
  </si>
  <si>
    <t xml:space="preserve">Imatezapir Z Técnico Helm
</t>
  </si>
  <si>
    <t>TC09022</t>
  </si>
  <si>
    <t xml:space="preserve">21000.011327/2019-03
</t>
  </si>
  <si>
    <t>Tebutiurom Técnico Sumitomo BR</t>
  </si>
  <si>
    <t>Tebutiurom</t>
  </si>
  <si>
    <t>TC09122</t>
  </si>
  <si>
    <t xml:space="preserve">21000.077130/2020-62
</t>
  </si>
  <si>
    <t xml:space="preserve">Prothioconazole Técnico NT
</t>
  </si>
  <si>
    <t>TC09222</t>
  </si>
  <si>
    <t xml:space="preserve">21000.037833/2021-39
</t>
  </si>
  <si>
    <t xml:space="preserve">Glufosinato Técnico Alta III
</t>
  </si>
  <si>
    <t>Glufosinato</t>
  </si>
  <si>
    <t>Alta</t>
  </si>
  <si>
    <t>TC09322</t>
  </si>
  <si>
    <t xml:space="preserve">21000.010831/2019-88
</t>
  </si>
  <si>
    <t xml:space="preserve">Acetamiprid Técnico United
</t>
  </si>
  <si>
    <t>TC09422</t>
  </si>
  <si>
    <t xml:space="preserve">21000.050596/2021-00
</t>
  </si>
  <si>
    <t xml:space="preserve">Bifenthrin Técnico Yangnong
</t>
  </si>
  <si>
    <t>TC09522</t>
  </si>
  <si>
    <t xml:space="preserve">21000.071339/2020-12
</t>
  </si>
  <si>
    <t xml:space="preserve">Bifenthrin Técnico NGC
</t>
  </si>
  <si>
    <t>TC09622</t>
  </si>
  <si>
    <t xml:space="preserve">21000.043480/2018-19
</t>
  </si>
  <si>
    <t xml:space="preserve">Amicarbazone Técnico Albaugh
</t>
  </si>
  <si>
    <t>TC09722</t>
  </si>
  <si>
    <t xml:space="preserve">21000.033077/2020-98
</t>
  </si>
  <si>
    <t>S-Metolaclor Técnico Solus</t>
  </si>
  <si>
    <t>TC09822</t>
  </si>
  <si>
    <t xml:space="preserve">21000.001088/2015-41
</t>
  </si>
  <si>
    <t xml:space="preserve">Metomil Técnico Gilmore
</t>
  </si>
  <si>
    <t>TC09922</t>
  </si>
  <si>
    <t xml:space="preserve">21000.068097/2019-46
</t>
  </si>
  <si>
    <t xml:space="preserve">Spirodiclofen Técnico FB
</t>
  </si>
  <si>
    <t>TC10022</t>
  </si>
  <si>
    <t xml:space="preserve">21000.001292/2015-62
</t>
  </si>
  <si>
    <t>Diurom Ascenza Técnico II</t>
  </si>
  <si>
    <t>Diurom</t>
  </si>
  <si>
    <t>TC10122</t>
  </si>
  <si>
    <t xml:space="preserve">21000.042849/2016-04
</t>
  </si>
  <si>
    <t xml:space="preserve">Dicamba Técnico Syn
</t>
  </si>
  <si>
    <t>TC10222</t>
  </si>
  <si>
    <t xml:space="preserve">21000.015885/2018-59
</t>
  </si>
  <si>
    <t xml:space="preserve">Spirodiclofeno Técnico Sulphur Mill II
</t>
  </si>
  <si>
    <t>TC10322</t>
  </si>
  <si>
    <t xml:space="preserve">21000.011516/2018-97
</t>
  </si>
  <si>
    <t xml:space="preserve">Acetamiprid Técnico Helm
</t>
  </si>
  <si>
    <t>TC10422</t>
  </si>
  <si>
    <t>21000.052727/2016-18</t>
  </si>
  <si>
    <t xml:space="preserve">Diurom Técnico Sino-Agri
</t>
  </si>
  <si>
    <t>TC10522</t>
  </si>
  <si>
    <t>21000.004857/2014-82</t>
  </si>
  <si>
    <t xml:space="preserve">Ciclanilida Técnico CCAB
</t>
  </si>
  <si>
    <t>Ciclanilida</t>
  </si>
  <si>
    <t>TC10622</t>
  </si>
  <si>
    <t xml:space="preserve">21000.006536/2015-01
</t>
  </si>
  <si>
    <t>Ciclanilida Técnica Sumitomo</t>
  </si>
  <si>
    <t>TC10722</t>
  </si>
  <si>
    <t xml:space="preserve">21000.019602/2016-86
</t>
  </si>
  <si>
    <t xml:space="preserve">Diflubenzurom Técnico Gharda
</t>
  </si>
  <si>
    <t>TC10822</t>
  </si>
  <si>
    <t xml:space="preserve">21000.038003/2016-61
</t>
  </si>
  <si>
    <t xml:space="preserve">Ciclanilida Técnico Adama
</t>
  </si>
  <si>
    <t>TC10922</t>
  </si>
  <si>
    <t xml:space="preserve">21000.031939/2020-48
</t>
  </si>
  <si>
    <t xml:space="preserve">Tebuconazole Técnico NGC
</t>
  </si>
  <si>
    <t>Tebuconazol</t>
  </si>
  <si>
    <t>TC11022</t>
  </si>
  <si>
    <t xml:space="preserve">21000.003831/2016-89
</t>
  </si>
  <si>
    <t xml:space="preserve">Glufosinato de Amônio Técnico Gilmore
</t>
  </si>
  <si>
    <t>TC11122</t>
  </si>
  <si>
    <t xml:space="preserve">21000.004722/2014-17
</t>
  </si>
  <si>
    <t xml:space="preserve">Clethodim Técnico NBL
</t>
  </si>
  <si>
    <t>Mitsui</t>
  </si>
  <si>
    <t>TC11222</t>
  </si>
  <si>
    <t xml:space="preserve">21000.007165/2018-10
</t>
  </si>
  <si>
    <t>Carbendazim Técnico CCAB</t>
  </si>
  <si>
    <t>TC11322</t>
  </si>
  <si>
    <t xml:space="preserve">21000.036819/2016-51
</t>
  </si>
  <si>
    <t xml:space="preserve">Epoxiconazole Técnico Nortox III 
</t>
  </si>
  <si>
    <t>TC11422</t>
  </si>
  <si>
    <t xml:space="preserve">21000.004139/2015-97
</t>
  </si>
  <si>
    <t xml:space="preserve">Epoxiconazole Técnico Nortox
</t>
  </si>
  <si>
    <t>TC11522</t>
  </si>
  <si>
    <t xml:space="preserve">21000.006439/2015-19
</t>
  </si>
  <si>
    <t xml:space="preserve">Epoxiconazole Tecnico Cropchem
</t>
  </si>
  <si>
    <t>TC11622</t>
  </si>
  <si>
    <t xml:space="preserve">21000.008418/2015-20
</t>
  </si>
  <si>
    <t xml:space="preserve"> Ametryn Técnico Sino-Agri
</t>
  </si>
  <si>
    <t>Ametrina</t>
  </si>
  <si>
    <t>TC11722</t>
  </si>
  <si>
    <t xml:space="preserve">21000.030028/2016-17
</t>
  </si>
  <si>
    <t xml:space="preserve">Spirodiclofen Técnico Sino-Agri
</t>
  </si>
  <si>
    <t>TC11822</t>
  </si>
  <si>
    <t xml:space="preserve">21000.000159/2015-99
</t>
  </si>
  <si>
    <t xml:space="preserve">Espirodiclofeno Técnico Adama
</t>
  </si>
  <si>
    <t>TC11922</t>
  </si>
  <si>
    <t xml:space="preserve">21000.061977/2016-49
</t>
  </si>
  <si>
    <t xml:space="preserve">Spirodiclofen R Técnico Helm 
</t>
  </si>
  <si>
    <t>TC12022</t>
  </si>
  <si>
    <t xml:space="preserve">21000.000255/2015-37
</t>
  </si>
  <si>
    <t xml:space="preserve">Espirodiclofen Técnico Nortox 
</t>
  </si>
  <si>
    <t>TC12122</t>
  </si>
  <si>
    <t xml:space="preserve">21000.040448/2017-92
</t>
  </si>
  <si>
    <t xml:space="preserve">Acefato Técnico Syncrom
</t>
  </si>
  <si>
    <t>TC12222</t>
  </si>
  <si>
    <t>21000.011652/2017-04</t>
  </si>
  <si>
    <t xml:space="preserve">Acefato Técnico Nortox II
</t>
  </si>
  <si>
    <t>TC12322</t>
  </si>
  <si>
    <t xml:space="preserve">21000.084748/2019-45
</t>
  </si>
  <si>
    <t xml:space="preserve">Pimetrozina Técnico Solus
</t>
  </si>
  <si>
    <t>TC12422</t>
  </si>
  <si>
    <t xml:space="preserve">21000.015774/2018-42
</t>
  </si>
  <si>
    <t xml:space="preserve">Flumioxazin Técnico FB
</t>
  </si>
  <si>
    <t>TC12522</t>
  </si>
  <si>
    <t xml:space="preserve">21000.037052/2016-87
</t>
  </si>
  <si>
    <t xml:space="preserve">Picoxistrobina Técnico Rainbow
</t>
  </si>
  <si>
    <t>TC12622</t>
  </si>
  <si>
    <t xml:space="preserve">21000.013651/2016-13
</t>
  </si>
  <si>
    <t xml:space="preserve">Atrazine Técnico EAGROW
</t>
  </si>
  <si>
    <t>TC12722</t>
  </si>
  <si>
    <t xml:space="preserve">21000.015078/2016-74
</t>
  </si>
  <si>
    <t xml:space="preserve">Atrazine Técnico Sino-Agri
</t>
  </si>
  <si>
    <t>TC12822</t>
  </si>
  <si>
    <t xml:space="preserve">21000.055331/2020-17
</t>
  </si>
  <si>
    <t>Dicamba Técnico Nortox V</t>
  </si>
  <si>
    <t>TC12922</t>
  </si>
  <si>
    <t xml:space="preserve">21000.008403/2013-08
</t>
  </si>
  <si>
    <t xml:space="preserve">Glifosato Técnico Alta III
</t>
  </si>
  <si>
    <t>TC13022</t>
  </si>
  <si>
    <t xml:space="preserve">21000.031597/2018-41
</t>
  </si>
  <si>
    <t xml:space="preserve">Dicamba Técnico CropChem I
</t>
  </si>
  <si>
    <t>TC13122</t>
  </si>
  <si>
    <t xml:space="preserve">21000.008463/2012-31
</t>
  </si>
  <si>
    <t xml:space="preserve">Carbendazim Técnico Rainbow
</t>
  </si>
  <si>
    <t>TC13222</t>
  </si>
  <si>
    <t xml:space="preserve">21000.002911/2016-17
</t>
  </si>
  <si>
    <t xml:space="preserve">Carbendazim Técnico Adama BR
</t>
  </si>
  <si>
    <t>TC13322</t>
  </si>
  <si>
    <t>21000.013335/2018-03</t>
  </si>
  <si>
    <t xml:space="preserve">Spiropidion Técnico </t>
  </si>
  <si>
    <t>Espiropidion</t>
  </si>
  <si>
    <t>TC13422</t>
  </si>
  <si>
    <t xml:space="preserve">  21000.058478/2021-31</t>
  </si>
  <si>
    <t xml:space="preserve">  Bifenthrin Técnico SAU</t>
  </si>
  <si>
    <t xml:space="preserve">BIorisk
</t>
  </si>
  <si>
    <t>TC13522</t>
  </si>
  <si>
    <t xml:space="preserve">  21000.006709/2017-45</t>
  </si>
  <si>
    <t>Metsulfurom-Metílico Técnico FMC</t>
  </si>
  <si>
    <t xml:space="preserve">  Metsulfurom-Metílico</t>
  </si>
  <si>
    <t>TC13622</t>
  </si>
  <si>
    <t xml:space="preserve">  21000.019990/2020-81</t>
  </si>
  <si>
    <t>Piraclostrobina Técnico Hailir</t>
  </si>
  <si>
    <t>TC13722</t>
  </si>
  <si>
    <t xml:space="preserve">  21000.065231/2019-57</t>
  </si>
  <si>
    <t xml:space="preserve">  Bifentrina Técnico CHDS</t>
  </si>
  <si>
    <t xml:space="preserve">  Bifentrina</t>
  </si>
  <si>
    <t>TC13822</t>
  </si>
  <si>
    <t xml:space="preserve">  21000.009321/2011-19</t>
  </si>
  <si>
    <t xml:space="preserve">  Acefato Técnico IN</t>
  </si>
  <si>
    <t>TC13922</t>
  </si>
  <si>
    <t xml:space="preserve">  21000.074935/2019-11</t>
  </si>
  <si>
    <t xml:space="preserve">  Acefato Técnico Crystal</t>
  </si>
  <si>
    <t>Crystal</t>
  </si>
  <si>
    <t>TC14022</t>
  </si>
  <si>
    <t>21000.015873/2018-24</t>
  </si>
  <si>
    <t>Fluimoxazina Técnico Cropchem II</t>
  </si>
  <si>
    <t>TC14122</t>
  </si>
  <si>
    <t>21000.066381/2019-88</t>
  </si>
  <si>
    <t>Metamifop Técnico</t>
  </si>
  <si>
    <t>Metamifope</t>
  </si>
  <si>
    <t>TC14222</t>
  </si>
  <si>
    <t>21000.004916/2014-12</t>
  </si>
  <si>
    <t>TIAMETOXAM TÉCNICO AGRISOR </t>
  </si>
  <si>
    <t> Tiametoxam</t>
  </si>
  <si>
    <t>TC14322</t>
  </si>
  <si>
    <t>21000.014925/2017-64</t>
  </si>
  <si>
    <t>IMIDACLOPRID TÉCNICO CCAB V</t>
  </si>
  <si>
    <t>TC14422</t>
  </si>
  <si>
    <t>21000.014927/2017-53</t>
  </si>
  <si>
    <t>IMIDACLOPRID TÉCNICO CCAB IV</t>
  </si>
  <si>
    <t> Imidacloprido</t>
  </si>
  <si>
    <t>TC14522</t>
  </si>
  <si>
    <t>21000.000545/2015-81</t>
  </si>
  <si>
    <t>IMIDACLOPRID TÉCNICO CCAB III</t>
  </si>
  <si>
    <t>TC14622</t>
  </si>
  <si>
    <t>21000.060942/2019-35</t>
  </si>
  <si>
    <t>CYPROCONAZOLE TÉCNICO JN</t>
  </si>
  <si>
    <t> Ciproconazol</t>
  </si>
  <si>
    <t xml:space="preserve">Biorisk
</t>
  </si>
  <si>
    <t>TC14722</t>
  </si>
  <si>
    <t>21000.039699/2017-24</t>
  </si>
  <si>
    <t>THIAMETHOXAM TÉCNICO ZS</t>
  </si>
  <si>
    <t>TC14822</t>
  </si>
  <si>
    <t>21000.002930/2014-81</t>
  </si>
  <si>
    <t>AZOXISTROBINA TÉCNICO HS</t>
  </si>
  <si>
    <t>TC14922</t>
  </si>
  <si>
    <t>21000.042600/2018-52</t>
  </si>
  <si>
    <t>FLUMIOXAZINA TÉCNICO BRA</t>
  </si>
  <si>
    <t>TC15022</t>
  </si>
  <si>
    <t>21000.037409/2018-99</t>
  </si>
  <si>
    <t>FLUMIOXAZIN TÉCNICO ROTAM</t>
  </si>
  <si>
    <t>TC15122</t>
  </si>
  <si>
    <t>21000.032747/2017-53</t>
  </si>
  <si>
    <t>Picloram Técnico CC BRA</t>
  </si>
  <si>
    <t>TC15222</t>
  </si>
  <si>
    <t>21000.019662/2019-41</t>
  </si>
  <si>
    <t>Flumioxazina Técnico SBT</t>
  </si>
  <si>
    <t>TC15322</t>
  </si>
  <si>
    <t>21000.001940/2015-81</t>
  </si>
  <si>
    <t>Boscalida Técnico Adama</t>
  </si>
  <si>
    <t>TC15422</t>
  </si>
  <si>
    <t>21000.006668/2014-44</t>
  </si>
  <si>
    <t>Boscalid Técnico Rainbow</t>
  </si>
  <si>
    <t>TC15522</t>
  </si>
  <si>
    <t>21000.042155/2017-40</t>
  </si>
  <si>
    <t>Picloram Técnico ZS</t>
  </si>
  <si>
    <t xml:space="preserve">ProRegistros </t>
  </si>
  <si>
    <t>TC15622</t>
  </si>
  <si>
    <t>21000.008485/2015-44</t>
  </si>
  <si>
    <t>Picloram Técnico OF</t>
  </si>
  <si>
    <t>TC15722</t>
  </si>
  <si>
    <t>21000.003725/2015-14</t>
  </si>
  <si>
    <t>Picloram Técnico Nortox BR</t>
  </si>
  <si>
    <t>TC15822</t>
  </si>
  <si>
    <t>21000.034382/2017-00</t>
  </si>
  <si>
    <t>Flumioxazin Técnico UPL</t>
  </si>
  <si>
    <t xml:space="preserve">UPL </t>
  </si>
  <si>
    <t>TC15922</t>
  </si>
  <si>
    <t>21000.004228/2018-86</t>
  </si>
  <si>
    <t>Flumioxazina Técnico Adama Brasil</t>
  </si>
  <si>
    <t xml:space="preserve">Adama </t>
  </si>
  <si>
    <t>TC16022</t>
  </si>
  <si>
    <t>21000.055089/2018-59</t>
  </si>
  <si>
    <t>Flutriafol Técnico Adama Ada</t>
  </si>
  <si>
    <t>Flutriafol</t>
  </si>
  <si>
    <t>TC16122</t>
  </si>
  <si>
    <t>21000.043659/2016-04</t>
  </si>
  <si>
    <t>Lambda-cialotrina Técnico Rainbow</t>
  </si>
  <si>
    <t>TC16222</t>
  </si>
  <si>
    <t>21000.071542/2019-55</t>
  </si>
  <si>
    <t xml:space="preserve">Clomazona Técnico Rainbow </t>
  </si>
  <si>
    <t>Clomazone</t>
  </si>
  <si>
    <t>TC16322</t>
  </si>
  <si>
    <t>21000.001648/2014-87</t>
  </si>
  <si>
    <t>Imidacloprid Técnico Proventis</t>
  </si>
  <si>
    <t>TC16422</t>
  </si>
  <si>
    <t>21000.032526/2020-81</t>
  </si>
  <si>
    <t>Flumioxazin Técnico Binnong</t>
  </si>
  <si>
    <t>TC16522</t>
  </si>
  <si>
    <t>21000.007917/2015-08</t>
  </si>
  <si>
    <t>FMX Técnico</t>
  </si>
  <si>
    <t>TC16622</t>
  </si>
  <si>
    <t>21000.020226/2016-72</t>
  </si>
  <si>
    <t>S- Metolacloro Sapec Técnico II</t>
  </si>
  <si>
    <t>Sapec</t>
  </si>
  <si>
    <t>TC16722</t>
  </si>
  <si>
    <t>21000.006145/2014-06</t>
  </si>
  <si>
    <t>S-Metolacloro Sapec Técnico</t>
  </si>
  <si>
    <t>TC16822</t>
  </si>
  <si>
    <t>21000.030616/2017-31</t>
  </si>
  <si>
    <t>Imidacloprid Técnico Alta II</t>
  </si>
  <si>
    <t>TC16922</t>
  </si>
  <si>
    <t>21000.030002/2019-11</t>
  </si>
  <si>
    <t>Flumioxazina B Técnico Helm</t>
  </si>
  <si>
    <t>TC17022</t>
  </si>
  <si>
    <t>21000.022196/2019-81</t>
  </si>
  <si>
    <t>Flumioxazin Técnico YN</t>
  </si>
  <si>
    <t>TC17122</t>
  </si>
  <si>
    <t>21000.025232/2019-69</t>
  </si>
  <si>
    <t>Flumioxazina técnico Ada BR</t>
  </si>
  <si>
    <t>TC17222</t>
  </si>
  <si>
    <t>21000.008617/2015-38</t>
  </si>
  <si>
    <t>Piriproxifen Técnico Proplan</t>
  </si>
  <si>
    <t>Piriproxifem</t>
  </si>
  <si>
    <t>TC17322</t>
  </si>
  <si>
    <t>21000.033072/2020-65</t>
  </si>
  <si>
    <t>Flumioxazim Técnico Solus</t>
  </si>
  <si>
    <t>TC17422</t>
  </si>
  <si>
    <t>21000.075150/2019-65</t>
  </si>
  <si>
    <t>Lambda-Cialotrina Técnico Ouro Fino</t>
  </si>
  <si>
    <t>TC17522</t>
  </si>
  <si>
    <t>21000.080812/2020-52</t>
  </si>
  <si>
    <t>Cletodim Técnico Ouro Fino</t>
  </si>
  <si>
    <t>TC17622</t>
  </si>
  <si>
    <t>21000.022531/2022-47</t>
  </si>
  <si>
    <t>Lambda-Cialotrina Técnico MG-BRA</t>
  </si>
  <si>
    <t>TC17722</t>
  </si>
  <si>
    <t>21000.079014/2019-44</t>
  </si>
  <si>
    <t>Lambda-Cialotrina Técnico CHDS</t>
  </si>
  <si>
    <t xml:space="preserve">CHDS </t>
  </si>
  <si>
    <t>TC17822</t>
  </si>
  <si>
    <t>21000.026252/2022-52</t>
  </si>
  <si>
    <t>Glufosinato Técnico Ihara II</t>
  </si>
  <si>
    <t>Glufosinato de Amônio</t>
  </si>
  <si>
    <t>TC17922</t>
  </si>
  <si>
    <t>21000.042865/2016-99</t>
  </si>
  <si>
    <t>Clorpirifós Técnico CCAB</t>
  </si>
  <si>
    <t>Clorpirifós</t>
  </si>
  <si>
    <t>TC18022</t>
  </si>
  <si>
    <t>21000.093882/2019-37</t>
  </si>
  <si>
    <t>Trifloxystrobin Técnico FB II</t>
  </si>
  <si>
    <t>TC18122</t>
  </si>
  <si>
    <t>21000.019823/2016-54</t>
  </si>
  <si>
    <t>Metribuzim Técnico GSP</t>
  </si>
  <si>
    <t>TC18222</t>
  </si>
  <si>
    <t>21000.031755/2016-00</t>
  </si>
  <si>
    <t>Alfa-Cipermetrina Técnico Hemani</t>
  </si>
  <si>
    <t>Alfa-Cipermetrina</t>
  </si>
  <si>
    <t>TC18322</t>
  </si>
  <si>
    <t>21000.046654/2018-97</t>
  </si>
  <si>
    <t>Cletodim Técnico Nortox III</t>
  </si>
  <si>
    <t>TC18422</t>
  </si>
  <si>
    <t>21000.004454/2017-86</t>
  </si>
  <si>
    <t>Lambda-Cialotrina Técnico Mega</t>
  </si>
  <si>
    <t>TC18522</t>
  </si>
  <si>
    <t>21000.031844/2016-48</t>
  </si>
  <si>
    <t>Inscalis Técnico</t>
  </si>
  <si>
    <t>Afidopiropen</t>
  </si>
  <si>
    <t>TC18622</t>
  </si>
  <si>
    <t>21000.040311/2021-14</t>
  </si>
  <si>
    <t>Cletodim Técnico  SCH</t>
  </si>
  <si>
    <t>TC18722</t>
  </si>
  <si>
    <t>21000.000805/2015-18</t>
  </si>
  <si>
    <t>Imidacloprido Técnico Stockton</t>
  </si>
  <si>
    <t>TC18822</t>
  </si>
  <si>
    <t>21000.009935/2011-92</t>
  </si>
  <si>
    <t>Aminociclopiraclor Tecnico</t>
  </si>
  <si>
    <t>Aminociclopiraclor</t>
  </si>
  <si>
    <t>TC18922</t>
  </si>
  <si>
    <t>21000.069791/2021-03</t>
  </si>
  <si>
    <t>Flumioxazim Técnico Albaugh I</t>
  </si>
  <si>
    <t>TC19022</t>
  </si>
  <si>
    <t>21000.010394/2012-26</t>
  </si>
  <si>
    <t>Diflubenzurom Técnico Consagro</t>
  </si>
  <si>
    <t>Consagro</t>
  </si>
  <si>
    <t>TC19122</t>
  </si>
  <si>
    <t>21000.028382/2020-68</t>
  </si>
  <si>
    <t>Flumioxazin Técnico Pilarquim LC</t>
  </si>
  <si>
    <t>TC19222</t>
  </si>
  <si>
    <t>21000.028995/2019-61</t>
  </si>
  <si>
    <t>Metoxifenozida Técnico BRA</t>
  </si>
  <si>
    <t>TC19322</t>
  </si>
  <si>
    <t>21000.043895/2016-12</t>
  </si>
  <si>
    <t>Metoxifenozida Técnico Cropchem</t>
  </si>
  <si>
    <t>TC19422</t>
  </si>
  <si>
    <t>21000.007385/2015-09</t>
  </si>
  <si>
    <t>Propiconazole Técnico Cropchem</t>
  </si>
  <si>
    <t>Propiconazol</t>
  </si>
  <si>
    <t>TC19522</t>
  </si>
  <si>
    <t>21000.005401/2016-00</t>
  </si>
  <si>
    <t>Metoxifenozide Técnico Nortox</t>
  </si>
  <si>
    <t>TC19622</t>
  </si>
  <si>
    <t>21000.004303/2014-85</t>
  </si>
  <si>
    <t>Imidacloprido Técnico Nortox BR</t>
  </si>
  <si>
    <t>TC19722</t>
  </si>
  <si>
    <t>21000.070083/2020-26</t>
  </si>
  <si>
    <t>Clethodim Técnico Brilliance II</t>
  </si>
  <si>
    <t>TC19822</t>
  </si>
  <si>
    <t>21000.004959/2015-89</t>
  </si>
  <si>
    <t>Picloram Técnico Stockton</t>
  </si>
  <si>
    <t>TC19922</t>
  </si>
  <si>
    <t>21000.005828/2014-38</t>
  </si>
  <si>
    <t>Picloram Técnico Agrisor</t>
  </si>
  <si>
    <t>TC20022</t>
  </si>
  <si>
    <t>21000.001482/2014-07</t>
  </si>
  <si>
    <t>Carfentrazona-Etílica Técnico China</t>
  </si>
  <si>
    <t>Carfentrazona-etílica</t>
  </si>
  <si>
    <t>TC20122</t>
  </si>
  <si>
    <t>21000.008754/2012-20</t>
  </si>
  <si>
    <t>Miclobutanil Tecnico SD</t>
  </si>
  <si>
    <t>Miclobutanil</t>
  </si>
  <si>
    <t>TC20222</t>
  </si>
  <si>
    <t>21000.008239/2014-10</t>
  </si>
  <si>
    <t>Clorpirifós Técnico Nortox BR</t>
  </si>
  <si>
    <t>TC20322</t>
  </si>
  <si>
    <t>21000.026354/2019-72</t>
  </si>
  <si>
    <t>Tiodicarb Técnico Nortox II</t>
  </si>
  <si>
    <t>Tiodicarbe</t>
  </si>
  <si>
    <t>TC20422</t>
  </si>
  <si>
    <t>21000.060120/2019-54</t>
  </si>
  <si>
    <t>Prothioconazole CNBR Técnico</t>
  </si>
  <si>
    <t>TC20522</t>
  </si>
  <si>
    <t>21000.059242/2016-55</t>
  </si>
  <si>
    <t>Protioconazole Técnico Nufarm</t>
  </si>
  <si>
    <t>TC20622</t>
  </si>
  <si>
    <t>21000.006830/2015-13</t>
  </si>
  <si>
    <t>Mesotrione Z Técnico Helm</t>
  </si>
  <si>
    <t>Mesotriona</t>
  </si>
  <si>
    <t>TC20722</t>
  </si>
  <si>
    <t>21000.005033/2017-72</t>
  </si>
  <si>
    <t>Fomesafem Técnico Rainbow</t>
  </si>
  <si>
    <t>TC20822</t>
  </si>
  <si>
    <t>21000.017146/2017-11</t>
  </si>
  <si>
    <t>Mesotriona Técnico Adama BR</t>
  </si>
  <si>
    <t>TC20922</t>
  </si>
  <si>
    <t>21000.003145/2014-46</t>
  </si>
  <si>
    <t>Carfentrazone-Ethyl Técnico UPL</t>
  </si>
  <si>
    <t>TC21022</t>
  </si>
  <si>
    <t>21000.023704/2021-63</t>
  </si>
  <si>
    <t>Fico e Fico Técnico</t>
  </si>
  <si>
    <t>Ioxinil Octanoate</t>
  </si>
  <si>
    <t>GreenUp</t>
  </si>
  <si>
    <t>TC21122</t>
  </si>
  <si>
    <t>21000.008139/2012-13</t>
  </si>
  <si>
    <t>Pinoxaden Tecnico</t>
  </si>
  <si>
    <t>Pinoxadem</t>
  </si>
  <si>
    <t>TC21222</t>
  </si>
  <si>
    <t>21000.007880/2015-18</t>
  </si>
  <si>
    <t xml:space="preserve"> Carfentrazona-Etílica Técnico Rainbow</t>
  </si>
  <si>
    <t>TC21322</t>
  </si>
  <si>
    <t>21000.067478/2020-41</t>
  </si>
  <si>
    <t>Tiodicarbe Técnico Albaugh</t>
  </si>
  <si>
    <t>TC21422</t>
  </si>
  <si>
    <t>21000.046296/2017-31</t>
  </si>
  <si>
    <t>Mesotrione Técnico Oxon II</t>
  </si>
  <si>
    <t>TC21522</t>
  </si>
  <si>
    <t>21000.002039/2014-45</t>
  </si>
  <si>
    <t>Carfentrazona-Etílica Técnico Ouro Fino</t>
  </si>
  <si>
    <t>TC21622</t>
  </si>
  <si>
    <t>21000.060655/2016-82</t>
  </si>
  <si>
    <t>Mesotriona Técnico ZS</t>
  </si>
  <si>
    <t>Proregistros</t>
  </si>
  <si>
    <t>TC21722</t>
  </si>
  <si>
    <t>21000.026248/2018-16</t>
  </si>
  <si>
    <t>Mesotriona Técnico AN</t>
  </si>
  <si>
    <t>TC21822</t>
  </si>
  <si>
    <t>21000.026244/2018-20</t>
  </si>
  <si>
    <t>Mesotriona Técnico ZJ</t>
  </si>
  <si>
    <t>TC21922</t>
  </si>
  <si>
    <t>21000.054869/2018-81</t>
  </si>
  <si>
    <t>Thiodicarb Técnico RDB</t>
  </si>
  <si>
    <t>TC22022</t>
  </si>
  <si>
    <t>21000.019139/2017-53</t>
  </si>
  <si>
    <t>Tiodicarbe Técnico Agrolead</t>
  </si>
  <si>
    <t>Agro-Lead</t>
  </si>
  <si>
    <t>TC22122</t>
  </si>
  <si>
    <t>21000.056731/2020-31</t>
  </si>
  <si>
    <t>Pymetrozine Técnico NGC</t>
  </si>
  <si>
    <t>TC22222</t>
  </si>
  <si>
    <t>21000.082948/2019-63</t>
  </si>
  <si>
    <t>Protioconazol Técnico Pilarquim</t>
  </si>
  <si>
    <t xml:space="preserve">Pilarquim </t>
  </si>
  <si>
    <t>TC22322</t>
  </si>
  <si>
    <t>21000.048304/2019-46</t>
  </si>
  <si>
    <t>Protioconazol Técnico Hailir</t>
  </si>
  <si>
    <t xml:space="preserve">AllierBrasil </t>
  </si>
  <si>
    <t>TC22422</t>
  </si>
  <si>
    <t>21000.074201/2020-75</t>
  </si>
  <si>
    <t>Dicamba Técnico NGC</t>
  </si>
  <si>
    <t>TC22522</t>
  </si>
  <si>
    <t>21000.048364/2017-05</t>
  </si>
  <si>
    <t>Protioconazole Técnico Nortox III</t>
  </si>
  <si>
    <t>TC22622</t>
  </si>
  <si>
    <t>21000.017027/2016-87</t>
  </si>
  <si>
    <t>Piraclostrobin Técnico Nortox II</t>
  </si>
  <si>
    <t>TC22722</t>
  </si>
  <si>
    <t>21000.026678/2017-49</t>
  </si>
  <si>
    <t>Mesotrione Técnico Sino Agri</t>
  </si>
  <si>
    <t>TC22822</t>
  </si>
  <si>
    <t>21000.042087/2016-38</t>
  </si>
  <si>
    <t>Difenoconazol Técnico FMC</t>
  </si>
  <si>
    <t xml:space="preserve">Difenoconazole </t>
  </si>
  <si>
    <t>TC22922</t>
  </si>
  <si>
    <t>21000.094040/2019-01</t>
  </si>
  <si>
    <t>Difenoconazole Técnico Limin</t>
  </si>
  <si>
    <t>TC23022</t>
  </si>
  <si>
    <t>21000.000423/2015-94</t>
  </si>
  <si>
    <t>Trifloxystrobin Técnico JN</t>
  </si>
  <si>
    <t>TC23122</t>
  </si>
  <si>
    <t>21000.020687/2020-21</t>
  </si>
  <si>
    <t>Lufenuron Técnico D'Verde</t>
  </si>
  <si>
    <t>Lufenuron</t>
  </si>
  <si>
    <t>D’Verde</t>
  </si>
  <si>
    <t>TC23222</t>
  </si>
  <si>
    <t>21000.024113/2019-99</t>
  </si>
  <si>
    <t>Protioconazole Técnico Sulphur Mills</t>
  </si>
  <si>
    <t>TC23322</t>
  </si>
  <si>
    <t>21000.017495/2021-19</t>
  </si>
  <si>
    <t>Prothio H Técnico Perterra</t>
  </si>
  <si>
    <t>TC23422</t>
  </si>
  <si>
    <t>21000.079366/2019-08</t>
  </si>
  <si>
    <t>Protioconazol Técnico Adama 3</t>
  </si>
  <si>
    <t>TC23522</t>
  </si>
  <si>
    <t>21000.106733/2021-60</t>
  </si>
  <si>
    <t>Lufenuron Técnico Sino-Agri</t>
  </si>
  <si>
    <t>TC23622</t>
  </si>
  <si>
    <t>21000.052724/2016-84</t>
  </si>
  <si>
    <t>Amicarbazone Técnico Rotam</t>
  </si>
  <si>
    <t>TC23722</t>
  </si>
  <si>
    <t>21000.053557/2016-99</t>
  </si>
  <si>
    <t>Mesotrione Técnico Sinon</t>
  </si>
  <si>
    <t>TC23822</t>
  </si>
  <si>
    <t>21000.026924/2022-20</t>
  </si>
  <si>
    <t>Acetamol Técnico</t>
  </si>
  <si>
    <t>Meghmani</t>
  </si>
  <si>
    <t>TC23922</t>
  </si>
  <si>
    <t>21000.033593/2022-84</t>
  </si>
  <si>
    <t>Protioconazol técnico Cropchem VI</t>
  </si>
  <si>
    <t>TC24022</t>
  </si>
  <si>
    <t>21000.033415/2020-91</t>
  </si>
  <si>
    <t>Terbutilazina Técnico CropChem</t>
  </si>
  <si>
    <t>TC24122</t>
  </si>
  <si>
    <t>21000.033809/2021-21</t>
  </si>
  <si>
    <t>Imazetapir Técnico Tide</t>
  </si>
  <si>
    <t>TC24222</t>
  </si>
  <si>
    <t>21000.096414/2021-39</t>
  </si>
  <si>
    <t>Nicosulfuron Técnico XW</t>
  </si>
  <si>
    <t>Nicosulfuron</t>
  </si>
  <si>
    <t>Xingfa &amp; Wenda</t>
  </si>
  <si>
    <t>TC24322</t>
  </si>
  <si>
    <t>21000.013520/2018-90</t>
  </si>
  <si>
    <t>Barus Técnico</t>
  </si>
  <si>
    <t>TC24422</t>
  </si>
  <si>
    <t>21000.004380/2015-16</t>
  </si>
  <si>
    <t>Ciproconazole Técnico Nortox</t>
  </si>
  <si>
    <t>TC24522</t>
  </si>
  <si>
    <t>21000.009477/2019-49</t>
  </si>
  <si>
    <t>Glifosato Técnico CropChem II</t>
  </si>
  <si>
    <t>TC24622</t>
  </si>
  <si>
    <t>21000.060569/2022-18</t>
  </si>
  <si>
    <t>Bifentrina Técnico Ihara I</t>
  </si>
  <si>
    <t>TC24722</t>
  </si>
  <si>
    <t>21000.018207/2022-24</t>
  </si>
  <si>
    <t>Glifosato Técnico Albaugh SHB</t>
  </si>
  <si>
    <t>TC24822</t>
  </si>
  <si>
    <t>21000.082127/2019-27</t>
  </si>
  <si>
    <t>Glifosato Técnico Nortox V</t>
  </si>
  <si>
    <t>TC24922</t>
  </si>
  <si>
    <t>21000.007826/2015-64</t>
  </si>
  <si>
    <t>Isoxaflutole Técnico UPL</t>
  </si>
  <si>
    <t>TC25022</t>
  </si>
  <si>
    <t>21000.052073/2016-22</t>
  </si>
  <si>
    <t>Difenoconazole L Técnico Helm</t>
  </si>
  <si>
    <t>TC25122</t>
  </si>
  <si>
    <t>21000.049246/2016-25</t>
  </si>
  <si>
    <t>Pimetrozina Técnico Cropchem</t>
  </si>
  <si>
    <t>TC25222</t>
  </si>
  <si>
    <t>21000.010630/2016-38</t>
  </si>
  <si>
    <t>Flutriafol Técnico Adama</t>
  </si>
  <si>
    <t>TC25322</t>
  </si>
  <si>
    <t>21000.047181/2017-64</t>
  </si>
  <si>
    <t>Protioconazol Técnico Ouro Fino</t>
  </si>
  <si>
    <t>TC25422</t>
  </si>
  <si>
    <t>21000.091428/2019-41</t>
  </si>
  <si>
    <t>Lufenurom Técnico Pilarquim</t>
  </si>
  <si>
    <t>TC25522</t>
  </si>
  <si>
    <t>21000.061081/2019-11</t>
  </si>
  <si>
    <t>Protioconazol  SH Técnico Helm</t>
  </si>
  <si>
    <t>TC25622</t>
  </si>
  <si>
    <t>21000.010504/2016-83</t>
  </si>
  <si>
    <t>Flutriafol Técnico Alta II</t>
  </si>
  <si>
    <t>TC25722</t>
  </si>
  <si>
    <t>21000.043762/2019-99</t>
  </si>
  <si>
    <t>Lufenuron Técnico FB</t>
  </si>
  <si>
    <t>TC25822</t>
  </si>
  <si>
    <t>21000.005373/2014-51</t>
  </si>
  <si>
    <t>Boscalid Técnico Bailly</t>
  </si>
  <si>
    <t>TC25922</t>
  </si>
  <si>
    <t>21000.023596/2021-29</t>
  </si>
  <si>
    <t>Protioconazol Técnico Oxiquímica</t>
  </si>
  <si>
    <t>Oxiquímica</t>
  </si>
  <si>
    <t>TC26022</t>
  </si>
  <si>
    <t>21000.082399/2020-61</t>
  </si>
  <si>
    <t>Protioconazole Técnico Tide</t>
  </si>
  <si>
    <t>TC26122</t>
  </si>
  <si>
    <t>21000.035575/2021-56</t>
  </si>
  <si>
    <t>Mesotrione Técnico Albaugh AZ</t>
  </si>
  <si>
    <t>TC26222</t>
  </si>
  <si>
    <t>21000.016710/2019-40</t>
  </si>
  <si>
    <t>Difenoconazole Técnico Ada</t>
  </si>
  <si>
    <t>TC26322</t>
  </si>
  <si>
    <t>21000.014845/2021-95</t>
  </si>
  <si>
    <t>Metribuzim Técnico OF I</t>
  </si>
  <si>
    <t>TC26422</t>
  </si>
  <si>
    <t>21000.093213/2019-65</t>
  </si>
  <si>
    <t xml:space="preserve">Protioconazol Técnico Tecnomyl </t>
  </si>
  <si>
    <t>TC26522</t>
  </si>
  <si>
    <t>21000.037453/2018-07</t>
  </si>
  <si>
    <t>Protioconazole Técnico Nortox V</t>
  </si>
  <si>
    <t>TC26622</t>
  </si>
  <si>
    <t>21000.028965/2017-93</t>
  </si>
  <si>
    <t>Azoxistrobin Técnico Genbra II</t>
  </si>
  <si>
    <t>Genbra</t>
  </si>
  <si>
    <t>TC26722</t>
  </si>
  <si>
    <t>21000.071892/2020-55</t>
  </si>
  <si>
    <t>Lambda-Cyhalothrin Técnico Sino-Agri</t>
  </si>
  <si>
    <t>TC26822</t>
  </si>
  <si>
    <t>21000.005750/2015-32</t>
  </si>
  <si>
    <t>Dicamba Técnico Nortox Br</t>
  </si>
  <si>
    <t>TC26922</t>
  </si>
  <si>
    <t>21000.018354/2019-07</t>
  </si>
  <si>
    <t>Flumioxazina Técnico Ada Brasil</t>
  </si>
  <si>
    <t>TC27022</t>
  </si>
  <si>
    <t>21000.041441/2019-50</t>
  </si>
  <si>
    <t>Sulfentrazone Técnico FB</t>
  </si>
  <si>
    <t>Sulfentrazona</t>
  </si>
  <si>
    <t>TC27122</t>
  </si>
  <si>
    <t>21000.056678/2021-50</t>
  </si>
  <si>
    <t>Sulfentrazona Técnico Alta</t>
  </si>
  <si>
    <t>TC27222</t>
  </si>
  <si>
    <t>21000.061812/2016-77</t>
  </si>
  <si>
    <t>Lufenuron Técnico Fersol</t>
  </si>
  <si>
    <t>Ameribrás</t>
  </si>
  <si>
    <t>TC27322</t>
  </si>
  <si>
    <t>21000.031295/2021-79</t>
  </si>
  <si>
    <t>Lambda-Cyhalothrin Técnico Bharat</t>
  </si>
  <si>
    <t>TC27422</t>
  </si>
  <si>
    <t>21000.008923/2014-93</t>
  </si>
  <si>
    <t>Lambda-cialotrina Técnico BR-Cropchem</t>
  </si>
  <si>
    <t>TC27522</t>
  </si>
  <si>
    <t>21000.001176/2014-62</t>
  </si>
  <si>
    <t>Nicosulfuron Técnico RTM</t>
  </si>
  <si>
    <t>TC27622</t>
  </si>
  <si>
    <t>21000.036498/2016-94</t>
  </si>
  <si>
    <t>Flumioxazim Sapec Técnico</t>
  </si>
  <si>
    <t>TC27722</t>
  </si>
  <si>
    <t>21000.067477/2020-05</t>
  </si>
  <si>
    <t>Tiametoxam Técnico Albaugh</t>
  </si>
  <si>
    <t>TC27822</t>
  </si>
  <si>
    <t>21000.004637/2015-30</t>
  </si>
  <si>
    <t>Tiametoxam OF I</t>
  </si>
  <si>
    <t>TC27922</t>
  </si>
  <si>
    <t>21000.004681/2018-92</t>
  </si>
  <si>
    <t>Metribuzim Técnico Nortox II</t>
  </si>
  <si>
    <t xml:space="preserve">Nortox </t>
  </si>
  <si>
    <t>21000.053656/2017-51</t>
  </si>
  <si>
    <t>Excalia Max</t>
  </si>
  <si>
    <t>Impirfluxam; Tebuconazol</t>
  </si>
  <si>
    <t> Sumitomo</t>
  </si>
  <si>
    <t>21000.003112/2014-04</t>
  </si>
  <si>
    <t>Naria DM</t>
  </si>
  <si>
    <t>Dimetomorfe; Piraclostrobina</t>
  </si>
  <si>
    <t>21000.033615/2018-20</t>
  </si>
  <si>
    <t>Dorai Max</t>
  </si>
  <si>
    <t>Dibrometo de Diquate; Amicarbazona</t>
  </si>
  <si>
    <t xml:space="preserve">Iharabras </t>
  </si>
  <si>
    <t>21000.087671/2019-65</t>
  </si>
  <si>
    <t>Xeque Mate HT</t>
  </si>
  <si>
    <t>Glifosato, Sal de Potássio</t>
  </si>
  <si>
    <t>21016.002575/2021-09</t>
  </si>
  <si>
    <t>Provilar</t>
  </si>
  <si>
    <t xml:space="preserve"> Bacillus velezensis; Bacillus subtilis</t>
  </si>
  <si>
    <t>21000.002714/2015-17</t>
  </si>
  <si>
    <t>Moddus Neo</t>
  </si>
  <si>
    <t>Trinexapaque-etílico</t>
  </si>
  <si>
    <t>21000.023777/2017-79</t>
  </si>
  <si>
    <t>Arquero</t>
  </si>
  <si>
    <t>Acetamiprido; Bifentrina</t>
  </si>
  <si>
    <t>21016.005575/2021-52</t>
  </si>
  <si>
    <t>Biopodisi</t>
  </si>
  <si>
    <t xml:space="preserve">Telenomus podisi </t>
  </si>
  <si>
    <t>Mosoletto</t>
  </si>
  <si>
    <t>21000.008103/2014-00</t>
  </si>
  <si>
    <t>Cinturão 500 SC</t>
  </si>
  <si>
    <t>21000.057698/2020-67</t>
  </si>
  <si>
    <t>Clorotalonil Oxon 720 SC II</t>
  </si>
  <si>
    <t>Clorotalonil</t>
  </si>
  <si>
    <t>21000.047910/2020-88</t>
  </si>
  <si>
    <t>Bravengis</t>
  </si>
  <si>
    <t>Clorotalonil; Tebuconazole</t>
  </si>
  <si>
    <t>21000.065447/2020-56</t>
  </si>
  <si>
    <t>Terbutilazina Oxon 500 SC I</t>
  </si>
  <si>
    <t xml:space="preserve">Terbutilazina </t>
  </si>
  <si>
    <t>21000.057696/2020-78</t>
  </si>
  <si>
    <t>Clorotalonil Oxon 720 SC</t>
  </si>
  <si>
    <t>21000.056174/2016-72</t>
  </si>
  <si>
    <t>Exert 540 EC</t>
  </si>
  <si>
    <t>Haloxifope-P-metílico</t>
  </si>
  <si>
    <t>21000.008003/2015-56</t>
  </si>
  <si>
    <t>Adver 240 SC</t>
  </si>
  <si>
    <t xml:space="preserve">Clorfenapir  </t>
  </si>
  <si>
    <t>21000.029403/2020-62</t>
  </si>
  <si>
    <t>Cropper</t>
  </si>
  <si>
    <t>Mancozebe; Protioconazol; Fluxapiroxade</t>
  </si>
  <si>
    <t>21000.004774/2015-74</t>
  </si>
  <si>
    <t>AMAZE 450 WG</t>
  </si>
  <si>
    <t>Cimoxanil</t>
  </si>
  <si>
    <t>21000.048795/2017-63</t>
  </si>
  <si>
    <t>MANZIVEX I</t>
  </si>
  <si>
    <t>Mancozebe</t>
  </si>
  <si>
    <t>21000.049554/2020-37</t>
  </si>
  <si>
    <t>ORINS</t>
  </si>
  <si>
    <t>Orius insidiosus</t>
  </si>
  <si>
    <t>Topbio</t>
  </si>
  <si>
    <t>21000.058750/2016-16</t>
  </si>
  <si>
    <t>PAYLOAD</t>
  </si>
  <si>
    <t>Flumioxazina; Clorimurom-etílico</t>
  </si>
  <si>
    <t>21016.005831/2021-10</t>
  </si>
  <si>
    <t xml:space="preserve"> BTP 400-21</t>
  </si>
  <si>
    <r>
      <rPr>
        <rFont val="Arial"/>
        <i/>
        <color rgb="FF000066"/>
        <sz val="11.0"/>
      </rPr>
      <t>Azadirachta indica</t>
    </r>
    <r>
      <rPr>
        <rFont val="Arial"/>
        <color rgb="FF000066"/>
        <sz val="11.0"/>
      </rPr>
      <t xml:space="preserve"> (Óleo de Nim)</t>
    </r>
  </si>
  <si>
    <t>21000.049552/2020-48</t>
  </si>
  <si>
    <t>CRISOP</t>
  </si>
  <si>
    <t>Chrysoperla externa</t>
  </si>
  <si>
    <t>21000.060199/2016-71</t>
  </si>
  <si>
    <t>SUREGUARD</t>
  </si>
  <si>
    <t>21000.060202/2016-56</t>
  </si>
  <si>
    <t>INTRISIC</t>
  </si>
  <si>
    <t>21000.033616/2018-74</t>
  </si>
  <si>
    <t>BURNER</t>
  </si>
  <si>
    <t>Dibrometo de Diquate; Flumioxazina</t>
  </si>
  <si>
    <t>21000.008949/2017-84</t>
  </si>
  <si>
    <t xml:space="preserve"> SELECT 3 EC </t>
  </si>
  <si>
    <t>21000.001832/2011-84</t>
  </si>
  <si>
    <t> ZAMPRO</t>
  </si>
  <si>
    <t>Ametoctradina; Dimetomorfe</t>
  </si>
  <si>
    <t>BASF</t>
  </si>
  <si>
    <t>21016.005694/2021-13</t>
  </si>
  <si>
    <t>GNC 010-2</t>
  </si>
  <si>
    <t xml:space="preserve"> Beauveria bassiana, isolado IBCB 66</t>
  </si>
  <si>
    <t>Gênica</t>
  </si>
  <si>
    <t>21016.005789/2021-29</t>
  </si>
  <si>
    <t>JB PA L-E</t>
  </si>
  <si>
    <t>Palmistichus elaeisis</t>
  </si>
  <si>
    <t>JB Biotecnologia</t>
  </si>
  <si>
    <t>21000.002290/2015-91</t>
  </si>
  <si>
    <t>AZOXISTROBINA COONAGRO 250 SC</t>
  </si>
  <si>
    <t>21000.003881/2014-02</t>
  </si>
  <si>
    <t>ZETHAPYR BR</t>
  </si>
  <si>
    <t>21000.004301/2015-77</t>
  </si>
  <si>
    <t>SNIPER​ PRIME</t>
  </si>
  <si>
    <t>Fluroxipir-meptilico; Picloram</t>
  </si>
  <si>
    <t>21000.005733/2015-03</t>
  </si>
  <si>
    <t>SHIFT</t>
  </si>
  <si>
    <t>21000.053654/2017-62</t>
  </si>
  <si>
    <t>FOX SUPRA</t>
  </si>
  <si>
    <t>Impirfluxam; Protioconazol</t>
  </si>
  <si>
    <t>21000.049006/2017-10</t>
  </si>
  <si>
    <t>TAGZOLE 250 EC</t>
  </si>
  <si>
    <t>Difenoconazol</t>
  </si>
  <si>
    <t>Tagros</t>
  </si>
  <si>
    <t>21000.032892/2017-34</t>
  </si>
  <si>
    <t>ORONDIS ULTRA</t>
  </si>
  <si>
    <t>Mandipropamida; Oxatiapiprolim</t>
  </si>
  <si>
    <t>21000.002866/2015-10</t>
  </si>
  <si>
    <t>PATROL</t>
  </si>
  <si>
    <t>Glufosinato - Sal de amônio</t>
  </si>
  <si>
    <t xml:space="preserve"> Adama </t>
  </si>
  <si>
    <t>21000.007673/2010-41</t>
  </si>
  <si>
    <t>BOREY SC</t>
  </si>
  <si>
    <t>Imidacloprido; Lambda-cialotrina</t>
  </si>
  <si>
    <t>Avgust</t>
  </si>
  <si>
    <t>21000.063504/2016-86</t>
  </si>
  <si>
    <t>BELYAN</t>
  </si>
  <si>
    <t>Mefentrifluconazol; Piraclostrobina; Fluxapiroxade</t>
  </si>
  <si>
    <t>21000.011806/2009-40</t>
  </si>
  <si>
    <t xml:space="preserve"> ZAMPRO DM</t>
  </si>
  <si>
    <t>Ametoctradina; Dimetomorfe</t>
  </si>
  <si>
    <t>21000.019081/2017-48</t>
  </si>
  <si>
    <t>CREVIXAR</t>
  </si>
  <si>
    <t>21000.019080/2017-01</t>
  </si>
  <si>
    <t>PALIVAR</t>
  </si>
  <si>
    <t>21000.063210/2016-54</t>
  </si>
  <si>
    <t>DIVEX</t>
  </si>
  <si>
    <t>Clorotalonil; Fluxapiroxade</t>
  </si>
  <si>
    <t>21000.051697/2018-94</t>
  </si>
  <si>
    <t xml:space="preserve"> FORASTEIRO</t>
  </si>
  <si>
    <t>2,4-D; Fluroxipir-meptílico; Picloram</t>
  </si>
  <si>
    <t>21000.009071/2012-90</t>
  </si>
  <si>
    <t>LUXOR</t>
  </si>
  <si>
    <t>Picloram; 2,4-D</t>
  </si>
  <si>
    <t>21000.000989/2013-54</t>
  </si>
  <si>
    <t>PALMERO WG</t>
  </si>
  <si>
    <t>21000.005567/2015-37</t>
  </si>
  <si>
    <t>COLT</t>
  </si>
  <si>
    <t>21000.002421/2018-82</t>
  </si>
  <si>
    <t>UPL 1014 FP</t>
  </si>
  <si>
    <t>Acefato; Bifentrina</t>
  </si>
  <si>
    <t>21000.048631/2021-12</t>
  </si>
  <si>
    <t>SQUADRA</t>
  </si>
  <si>
    <t>Beauveria bassiana - isolado IBCB 66; Metarhizium anisopliae cepa IBCB 425</t>
  </si>
  <si>
    <t>Ecosolução</t>
  </si>
  <si>
    <t>21016.006634/2021-18</t>
  </si>
  <si>
    <t>BACILLUS THURINGIENSIS BOM FUTURO</t>
  </si>
  <si>
    <t>Bacillus thuringiensis var. kurstaki isolado HD-1 (S 1450)</t>
  </si>
  <si>
    <t>Bom Futuro</t>
  </si>
  <si>
    <t>21016.005830/2021-67</t>
  </si>
  <si>
    <t>BTP 300-21</t>
  </si>
  <si>
    <t>Óleo de Nim (Azadirachta indica)</t>
  </si>
  <si>
    <t>21000.040243/2020-11</t>
  </si>
  <si>
    <t>PRODIGY</t>
  </si>
  <si>
    <t xml:space="preserve">Dow </t>
  </si>
  <si>
    <t>21016.007024/2021-23</t>
  </si>
  <si>
    <t>STPL-R1</t>
  </si>
  <si>
    <t>Cinetina; Ácido Giberélico, GA3; Ácido 4-Indol-3Ilbutírico</t>
  </si>
  <si>
    <t>Stoller</t>
  </si>
  <si>
    <t>21000.009602/2012-44</t>
  </si>
  <si>
    <t>HIGON R</t>
  </si>
  <si>
    <t>Clorimuron-etílico</t>
  </si>
  <si>
    <t>21000.007755/2015-08</t>
  </si>
  <si>
    <t>TIOFANATO NORTOX</t>
  </si>
  <si>
    <t>Tiofanato-metílico</t>
  </si>
  <si>
    <t>21000.027582/2017-06</t>
  </si>
  <si>
    <t>BENKEI</t>
  </si>
  <si>
    <t>Buprofezina</t>
  </si>
  <si>
    <t>21000.025834/2018-35</t>
  </si>
  <si>
    <t>HALOXIFOP-METÍLICO 124,7 EC TECNOMYL I</t>
  </si>
  <si>
    <t>Haloxifop-P-Metíl</t>
  </si>
  <si>
    <t>21000.004717/2012-42</t>
  </si>
  <si>
    <t>NUCLEUS</t>
  </si>
  <si>
    <t>21000.015789/2019-91</t>
  </si>
  <si>
    <t>WINOUT XTRA</t>
  </si>
  <si>
    <t>Fluazinam</t>
  </si>
  <si>
    <t>21000.005843/2015-67</t>
  </si>
  <si>
    <t>RAINVEL</t>
  </si>
  <si>
    <t>21000.001955/2014-68</t>
  </si>
  <si>
    <t>METOLOX 96 EC</t>
  </si>
  <si>
    <t xml:space="preserve"> S-Metacloro</t>
  </si>
  <si>
    <t>21000.049678/2017-17</t>
  </si>
  <si>
    <t>AMICARBAZONE NORTOX</t>
  </si>
  <si>
    <t>21000.044268/2017-80</t>
  </si>
  <si>
    <t>GARROTEBR</t>
  </si>
  <si>
    <t>Fluroxipir-meptilico; Picloram - Sal de Triisopropanolamina</t>
  </si>
  <si>
    <t xml:space="preserve">Ouro Fino </t>
  </si>
  <si>
    <t>21016.006788/2021-00</t>
  </si>
  <si>
    <t>BIOPALMIS</t>
  </si>
  <si>
    <t>Morsoleto</t>
  </si>
  <si>
    <t>21000.007555/2016-28</t>
  </si>
  <si>
    <t>PLATEAU SPIN</t>
  </si>
  <si>
    <t>Imazapique</t>
  </si>
  <si>
    <t>21000.003487/2018-90</t>
  </si>
  <si>
    <t>PLANITY</t>
  </si>
  <si>
    <t>Impirfluxam; Tebuconazol</t>
  </si>
  <si>
    <t>21016.007007/2021-96</t>
  </si>
  <si>
    <t>STM-R1</t>
  </si>
  <si>
    <t>21000.005915/2015-76</t>
  </si>
  <si>
    <t>SPARVIERO 100</t>
  </si>
  <si>
    <t>21000.026348/2019-15</t>
  </si>
  <si>
    <t>COFENRIN</t>
  </si>
  <si>
    <t>21000.004866/2010-40</t>
  </si>
  <si>
    <t>HANARO</t>
  </si>
  <si>
    <t>Bistriflurom</t>
  </si>
  <si>
    <t>21000.049252/2016-82</t>
  </si>
  <si>
    <t xml:space="preserve"> WIKING 600 WG</t>
  </si>
  <si>
    <t>Metsulfurom-Metílico</t>
  </si>
  <si>
    <t>21000.003100/2015-52</t>
  </si>
  <si>
    <t>FIPRONIL 800 WG PROVENTIS</t>
  </si>
  <si>
    <t>21000.005568/2015-81</t>
  </si>
  <si>
    <t>YETI</t>
  </si>
  <si>
    <t>21000.001211/2009-86</t>
  </si>
  <si>
    <t>VIGORBR</t>
  </si>
  <si>
    <t>21016.006623/2021-20</t>
  </si>
  <si>
    <t>BIODIATRAEA</t>
  </si>
  <si>
    <t>Trichospilus diatraeae</t>
  </si>
  <si>
    <t>21016.005713/2021-01</t>
  </si>
  <si>
    <t>BEAUVE 100</t>
  </si>
  <si>
    <r>
      <rPr>
        <rFont val="Arial"/>
        <i/>
        <color rgb="FF000066"/>
        <sz val="11.0"/>
      </rPr>
      <t>Beauveria bassiana</t>
    </r>
    <r>
      <rPr>
        <rFont val="Arial"/>
        <color rgb="FF000066"/>
        <sz val="11.0"/>
      </rPr>
      <t>, isolado IBCB 66</t>
    </r>
  </si>
  <si>
    <t>21016.005771/2021-27</t>
  </si>
  <si>
    <t>HIZIUM 100</t>
  </si>
  <si>
    <r>
      <rPr>
        <rFont val="Arial"/>
        <i/>
        <color rgb="FF000066"/>
        <sz val="11.0"/>
      </rPr>
      <t>Metarhizium anisopliae,</t>
    </r>
    <r>
      <rPr>
        <rFont val="Arial"/>
        <color rgb="FF000066"/>
        <sz val="11.0"/>
      </rPr>
      <t xml:space="preserve"> isolado IBCB 425</t>
    </r>
  </si>
  <si>
    <t>21000.000907/2015-33</t>
  </si>
  <si>
    <t>MPOWER GLIFOSATO 480 SL</t>
  </si>
  <si>
    <t>Glifosato, Sal de isopropilamina</t>
  </si>
  <si>
    <t>21000.009043/2014-34</t>
  </si>
  <si>
    <t>GLIFOSATO FARMWAY 480</t>
  </si>
  <si>
    <t>21016.007416/2021-92</t>
  </si>
  <si>
    <t>BOVAX</t>
  </si>
  <si>
    <t>Biossíntese</t>
  </si>
  <si>
    <t>21016.007420/2021-51</t>
  </si>
  <si>
    <t>METHABIO</t>
  </si>
  <si>
    <t xml:space="preserve">Metarhizium anisopliae, isolado IBCB 425 </t>
  </si>
  <si>
    <t>21016.005422/2021-13</t>
  </si>
  <si>
    <t>TEC HUNTER</t>
  </si>
  <si>
    <t xml:space="preserve"> Metarhizium anisopliae, cepa IBCB 425</t>
  </si>
  <si>
    <t>21016.005423/2021-50</t>
  </si>
  <si>
    <t>TEC WHITE</t>
  </si>
  <si>
    <t>21000.000627/2010-11</t>
  </si>
  <si>
    <t>ZAMPRO MT</t>
  </si>
  <si>
    <t xml:space="preserve"> Ametoctradina; Metiram</t>
  </si>
  <si>
    <t>21000.043179/2018-05</t>
  </si>
  <si>
    <t>APRESA</t>
  </si>
  <si>
    <t>Flumioxazina; S-Metolacloro</t>
  </si>
  <si>
    <t>21000.070413/2019-40</t>
  </si>
  <si>
    <t>JUMBO BR</t>
  </si>
  <si>
    <t>Sulfentrazona; Tebutiurom</t>
  </si>
  <si>
    <t>21000.009080/2014-42</t>
  </si>
  <si>
    <t>MAYORAL</t>
  </si>
  <si>
    <t>Imazapique; Imazapir</t>
  </si>
  <si>
    <t>21000.013211/2021-15</t>
  </si>
  <si>
    <t>ARBUST</t>
  </si>
  <si>
    <t>Triclopir-Butotílico</t>
  </si>
  <si>
    <t>21016.009154/2021-09</t>
  </si>
  <si>
    <t>COMBAT MBC</t>
  </si>
  <si>
    <t>Eloiza</t>
  </si>
  <si>
    <t>21000.008280/2013-05</t>
  </si>
  <si>
    <t>GLIFOSATO 480 SL CCAB</t>
  </si>
  <si>
    <t>21000.001563/2014-07</t>
  </si>
  <si>
    <t>CAPTUS PLUS</t>
  </si>
  <si>
    <t>Azoxistrobina; Ciproconazol</t>
  </si>
  <si>
    <t xml:space="preserve">Upl </t>
  </si>
  <si>
    <t>21000.025997/2017-37</t>
  </si>
  <si>
    <t>CIRCLE</t>
  </si>
  <si>
    <t>21000.006855/2015-17</t>
  </si>
  <si>
    <t>AMETRINA CCAB 500 SC</t>
  </si>
  <si>
    <t xml:space="preserve"> Ametrina</t>
  </si>
  <si>
    <t>21000.003566/2015-58</t>
  </si>
  <si>
    <t>FIPRONIL 800 WG PLS CL1</t>
  </si>
  <si>
    <t xml:space="preserve"> Fipronil</t>
  </si>
  <si>
    <t>21000.008078/2015-37</t>
  </si>
  <si>
    <t xml:space="preserve"> FIPRONIL CCAB 800 WG</t>
  </si>
  <si>
    <t>21000.076209/2020-76</t>
  </si>
  <si>
    <t>CLOROTALONIL C 720 SC PERTERRA</t>
  </si>
  <si>
    <t xml:space="preserve"> Clorotalonil  </t>
  </si>
  <si>
    <t>21000.010537/2013-81</t>
  </si>
  <si>
    <t>LOTUS 750 WG</t>
  </si>
  <si>
    <t>Nicossulfurom</t>
  </si>
  <si>
    <t>21000.006531/2013-17</t>
  </si>
  <si>
    <t xml:space="preserve"> APLIC</t>
  </si>
  <si>
    <t>Cloreto de Mepiquate; Ciclanilida</t>
  </si>
  <si>
    <t>21000.000413/2015-59</t>
  </si>
  <si>
    <t>2,4-D 806 ATANOR</t>
  </si>
  <si>
    <t>2,4-D, Sal de Dimetilamina</t>
  </si>
  <si>
    <t xml:space="preserve"> Albaugh</t>
  </si>
  <si>
    <t>21000.020399/2018-52</t>
  </si>
  <si>
    <t>REDIGO A</t>
  </si>
  <si>
    <t>21000.093595/2019-27</t>
  </si>
  <si>
    <t>SONDA HT</t>
  </si>
  <si>
    <t>21000.093592/2019-93</t>
  </si>
  <si>
    <t>TARGA MAX HT</t>
  </si>
  <si>
    <t>Quizalofope-P-Etílico</t>
  </si>
  <si>
    <t>21016.009062/2021-11</t>
  </si>
  <si>
    <t>LALSTOP ORGANIC DS</t>
  </si>
  <si>
    <t>Trichoderma asperellum, isolado URM-5911</t>
  </si>
  <si>
    <t>Lallemand</t>
  </si>
  <si>
    <t>21000.062635/2021-11</t>
  </si>
  <si>
    <t>TEZPETIX BEAUVE​</t>
  </si>
  <si>
    <t>Beauveria bassiana, isolado Simbi BB 15</t>
  </si>
  <si>
    <t>Simbiose</t>
  </si>
  <si>
    <t>21000.036553/2021-11</t>
  </si>
  <si>
    <t>ELAGESK</t>
  </si>
  <si>
    <t>Baculovírus Spodoptera frugiperda (SfMNPV), isolado 6</t>
  </si>
  <si>
    <t>21000.050736/2017-55</t>
  </si>
  <si>
    <t>HURON</t>
  </si>
  <si>
    <t>21000.049471/2018-23</t>
  </si>
  <si>
    <t>BORDALO PRO</t>
  </si>
  <si>
    <t>Profenofós; Lufenuron</t>
  </si>
  <si>
    <t>21000.042093/2020-71</t>
  </si>
  <si>
    <t>PROTEGE</t>
  </si>
  <si>
    <t xml:space="preserve"> Bacillus amyloliquefaciens, isolado CNPSo3202; Bacillus velezensis, isolado CNPSo3602; Bacillus thuringiensis, isolado CNPSo3915</t>
  </si>
  <si>
    <t>Tacto</t>
  </si>
  <si>
    <t>21016.000325/2022-15</t>
  </si>
  <si>
    <t>TEC PLUS</t>
  </si>
  <si>
    <t>Bacillus thutingiensis kurstaki, isolado HD-1 (S1450)</t>
  </si>
  <si>
    <t>21000.008460/2016-21</t>
  </si>
  <si>
    <t>PROPICONAZOLE NORTOX  500 EC</t>
  </si>
  <si>
    <t>21016.009763/2021-50</t>
  </si>
  <si>
    <t>GNC 009-3</t>
  </si>
  <si>
    <t>21016.005118/2021-68</t>
  </si>
  <si>
    <t>JB TET-H</t>
  </si>
  <si>
    <t xml:space="preserve"> Tetrastichus howardi</t>
  </si>
  <si>
    <t>21016.008880/2021-04</t>
  </si>
  <si>
    <t>THYDRA</t>
  </si>
  <si>
    <t>Trichoderma harzianum, cepa T78</t>
  </si>
  <si>
    <t>Symborg</t>
  </si>
  <si>
    <t>21000.041272/2020-91</t>
  </si>
  <si>
    <t>BIOTRIO PLUS</t>
  </si>
  <si>
    <t xml:space="preserve"> Total</t>
  </si>
  <si>
    <t>21016.000098/2022-10</t>
  </si>
  <si>
    <t>BIOTRICHO</t>
  </si>
  <si>
    <t xml:space="preserve"> Trichoderma harzianum, isolado IBLF1278; Trichoderma harzianum, isolado IBLF 1282; Trichoderma viride, isolado IBLF1275; Trichoderma viride, isolado IBLF1276</t>
  </si>
  <si>
    <t>Biomip</t>
  </si>
  <si>
    <t>21016.009148/2021-43</t>
  </si>
  <si>
    <t>FULMINANTE AKb</t>
  </si>
  <si>
    <t>21000.038731/2018-35</t>
  </si>
  <si>
    <t>KANPAI</t>
  </si>
  <si>
    <t>Acetamiprido; Lambda-Cialotrina</t>
  </si>
  <si>
    <t>21000.004984/2011-39</t>
  </si>
  <si>
    <t>CALIPEN</t>
  </si>
  <si>
    <t>Mesotriona; Atrazina</t>
  </si>
  <si>
    <t>21000.080679/2020-34</t>
  </si>
  <si>
    <t>TRICLOPIR 667 EC PERTERRA</t>
  </si>
  <si>
    <t>21000.001793/2014-68</t>
  </si>
  <si>
    <t>MYRIM</t>
  </si>
  <si>
    <t xml:space="preserve"> Tradecorp</t>
  </si>
  <si>
    <t>21016.007762/2021-71</t>
  </si>
  <si>
    <t>BIO CONDUCTION</t>
  </si>
  <si>
    <t>Beauveria bassiana, isolado CBMAI 2359</t>
  </si>
  <si>
    <t>21000.024256/2019-09</t>
  </si>
  <si>
    <t>SUNGAIN XTRA</t>
  </si>
  <si>
    <t>21016.009215/2021-20</t>
  </si>
  <si>
    <t>BIAGRO PASTO</t>
  </si>
  <si>
    <t>Metarhizium anisopliae, cepa IBCB 425</t>
  </si>
  <si>
    <t>21016.009482/2021-05</t>
  </si>
  <si>
    <t>BIO PHYGGA</t>
  </si>
  <si>
    <t>Bionat</t>
  </si>
  <si>
    <t>21000.006945/2015-08</t>
  </si>
  <si>
    <t xml:space="preserve"> AMETRINA NORTOX</t>
  </si>
  <si>
    <t>Nortox S.A.</t>
  </si>
  <si>
    <t>21000.008221/2014-18</t>
  </si>
  <si>
    <t>FUSIFLEX 250</t>
  </si>
  <si>
    <t>Fluazifope-P-Butílico; Fomesafem</t>
  </si>
  <si>
    <t>21000.031138/2020-82</t>
  </si>
  <si>
    <t>CROPPER BR</t>
  </si>
  <si>
    <t>21000.077094/2020-37</t>
  </si>
  <si>
    <t>SHODAN</t>
  </si>
  <si>
    <t xml:space="preserve">Sulfentrazona; Flumioxazina </t>
  </si>
  <si>
    <t>21000.011085/2018-69</t>
  </si>
  <si>
    <t>FLUMIOXAZIN CCAB 500 WP</t>
  </si>
  <si>
    <t>CCAB Agro S.A.</t>
  </si>
  <si>
    <t>21016.009298/2021-57</t>
  </si>
  <si>
    <t>BIOKATO</t>
  </si>
  <si>
    <t>Pseudomonas fluorescens, isolado CCTB03; Pseudomonas chlororaphis, isolado CCTB19</t>
  </si>
  <si>
    <t>21000.002974/2013-21</t>
  </si>
  <si>
    <t>HOLDER 500 SC</t>
  </si>
  <si>
    <t>21000.020348/2019-10</t>
  </si>
  <si>
    <t>OSBAR DUO</t>
  </si>
  <si>
    <t>Flumioxazina; Imazetapir</t>
  </si>
  <si>
    <t>21000.023317/2018-21</t>
  </si>
  <si>
    <t xml:space="preserve"> LONGAR 480 EC</t>
  </si>
  <si>
    <t xml:space="preserve"> Triclopir-butotílico</t>
  </si>
  <si>
    <t>21000.005910/2015-43</t>
  </si>
  <si>
    <t>GALGO</t>
  </si>
  <si>
    <t>21000.008319/2015-48</t>
  </si>
  <si>
    <t>TEXARO</t>
  </si>
  <si>
    <t>Diclosulam; Halauxifeno Metílico</t>
  </si>
  <si>
    <t>21000.062030/2016-55</t>
  </si>
  <si>
    <t>ACARIGEN</t>
  </si>
  <si>
    <t xml:space="preserve"> Abamectina</t>
  </si>
  <si>
    <t>21000.000244/2014-76</t>
  </si>
  <si>
    <t>ZORVEC ENICADE</t>
  </si>
  <si>
    <t>Oxatiapiprolim</t>
  </si>
  <si>
    <t xml:space="preserve">Corteva </t>
  </si>
  <si>
    <t>21000.000460/2014-11</t>
  </si>
  <si>
    <t>ZORVEC ZELAVIN</t>
  </si>
  <si>
    <t>21000.009005/2014-81</t>
  </si>
  <si>
    <t>CLEARSOL DF</t>
  </si>
  <si>
    <t>Imazapir</t>
  </si>
  <si>
    <t xml:space="preserve"> Basf </t>
  </si>
  <si>
    <t>21000.014399/2018-13</t>
  </si>
  <si>
    <t xml:space="preserve"> EDDUS EC</t>
  </si>
  <si>
    <t>Fomesafem; S-Metolacloro</t>
  </si>
  <si>
    <t>21000.001376/2015-04</t>
  </si>
  <si>
    <t>ROXAM 800 WP</t>
  </si>
  <si>
    <t>Indofil</t>
  </si>
  <si>
    <t>21000.062164/2016-76</t>
  </si>
  <si>
    <t>MIRAVIS DUO</t>
  </si>
  <si>
    <t>Pidiflumetofem; Difenoconazol</t>
  </si>
  <si>
    <t>21016.009773/2021-95</t>
  </si>
  <si>
    <t>GNC 010-3</t>
  </si>
  <si>
    <t xml:space="preserve"> Beauveria bassiana, cepa IBCB 66</t>
  </si>
  <si>
    <t>Genica</t>
  </si>
  <si>
    <t>21016.009271/2021-64</t>
  </si>
  <si>
    <t>BioMTZ</t>
  </si>
  <si>
    <t>Vital</t>
  </si>
  <si>
    <t>21016.009405/2021-47</t>
  </si>
  <si>
    <t>EcoCLAVY</t>
  </si>
  <si>
    <t>21016.008105/2021-41</t>
  </si>
  <si>
    <t>RAUBTIER</t>
  </si>
  <si>
    <t>21000.008081/2015-51</t>
  </si>
  <si>
    <t>SIMPLAR</t>
  </si>
  <si>
    <t>21000.025992/2017-12</t>
  </si>
  <si>
    <t>ADETUS</t>
  </si>
  <si>
    <t>21000.063107/2016-12</t>
  </si>
  <si>
    <t>MIRAVIS TOP</t>
  </si>
  <si>
    <t>21000.008310/2014-56</t>
  </si>
  <si>
    <t>CORAZA</t>
  </si>
  <si>
    <t>Deltametrina</t>
  </si>
  <si>
    <t>21000.008665/2015-26</t>
  </si>
  <si>
    <t xml:space="preserve"> SÓCIO</t>
  </si>
  <si>
    <t>Tiacloprido</t>
  </si>
  <si>
    <t>21000.009566/2013-08</t>
  </si>
  <si>
    <t>BIVACK</t>
  </si>
  <si>
    <t>21016.008894/2021-10</t>
  </si>
  <si>
    <t>STR1-PM</t>
  </si>
  <si>
    <t>Cinetina; Ácido Giberélico, GA3; Ácido 4-Indol-3ilbutírico</t>
  </si>
  <si>
    <t>21000.002472/2015-61</t>
  </si>
  <si>
    <t>DIQUATE 200 SL LUBA</t>
  </si>
  <si>
    <t>Dibrometo de Diquate</t>
  </si>
  <si>
    <t>21016.009392/2021-14</t>
  </si>
  <si>
    <t>BTP 016-19</t>
  </si>
  <si>
    <t>Total Biotecnologia</t>
  </si>
  <si>
    <t>21000.062162/2016-87</t>
  </si>
  <si>
    <t>MIRAVIS</t>
  </si>
  <si>
    <t>21000.060836/2021-76</t>
  </si>
  <si>
    <t>TEZPETIX ISA</t>
  </si>
  <si>
    <t>Isaria fumosorosea, cepa ESALQ-4778</t>
  </si>
  <si>
    <t>21016.007389/2021-58</t>
  </si>
  <si>
    <t>CATOLACCUS AMIPA</t>
  </si>
  <si>
    <t>Catolaccus grandis</t>
  </si>
  <si>
    <t>AMIPA</t>
  </si>
  <si>
    <t>21016.009751/2021-25</t>
  </si>
  <si>
    <t>GNC 006-3</t>
  </si>
  <si>
    <t>Trichoderma asperellum, isolado CBMAI 1622</t>
  </si>
  <si>
    <t>21000.054785/2017-67</t>
  </si>
  <si>
    <t>PRIMACY</t>
  </si>
  <si>
    <t>Amicarbazona; Sulfentrazona</t>
  </si>
  <si>
    <t>21016.009391/2021-61</t>
  </si>
  <si>
    <t>TAKOTROP</t>
  </si>
  <si>
    <t>21000.014414/2018-23</t>
  </si>
  <si>
    <t>AMETRINA 500 SC CCAB</t>
  </si>
  <si>
    <t>21000.029233/2017-11</t>
  </si>
  <si>
    <t>THUMB-TACK NORTOX</t>
  </si>
  <si>
    <t>21000.008432/2015-23</t>
  </si>
  <si>
    <t>RICEPAL</t>
  </si>
  <si>
    <t>Propanil</t>
  </si>
  <si>
    <t>21000.007386/2016-26</t>
  </si>
  <si>
    <t>AZOXYSTROBIN 250 SC YONON</t>
  </si>
  <si>
    <t>21000.062811/2016-40</t>
  </si>
  <si>
    <t>GELSURA FF</t>
  </si>
  <si>
    <t xml:space="preserve"> Alfa-cipermetrina</t>
  </si>
  <si>
    <t>21000.008240/2015-17</t>
  </si>
  <si>
    <t>GLUFOSINATE YONON</t>
  </si>
  <si>
    <t>Glufosinato - Sal de Amônio</t>
  </si>
  <si>
    <t>21000.032022/2017-65</t>
  </si>
  <si>
    <t>ENTIGRIS WG</t>
  </si>
  <si>
    <t>Alfa-cipermetrina; Dinotefurano</t>
  </si>
  <si>
    <t xml:space="preserve">Basf </t>
  </si>
  <si>
    <t>21000.007164/2015-22</t>
  </si>
  <si>
    <t>GLUFOS-WYN 200 SL</t>
  </si>
  <si>
    <t>21000.002230/2013-14</t>
  </si>
  <si>
    <t>FIPRONIL NAG 250 FS</t>
  </si>
  <si>
    <t>21000.020489/2017-62</t>
  </si>
  <si>
    <t>ECOF0G-160</t>
  </si>
  <si>
    <t>Pirimetanil</t>
  </si>
  <si>
    <t>21000.006728/2008-81</t>
  </si>
  <si>
    <t> CASCADE</t>
  </si>
  <si>
    <t>Flufenoxurom</t>
  </si>
  <si>
    <t>21000.009640/2010-35</t>
  </si>
  <si>
    <t>AUG 106</t>
  </si>
  <si>
    <t>21000.037776/2016-21</t>
  </si>
  <si>
    <t>HALOXYFOP 200 + CLETODIM 250 EC UPL</t>
  </si>
  <si>
    <t>Haloxifope-P-Metílico; Cletodim</t>
  </si>
  <si>
    <t>21000.004061/2015-19</t>
  </si>
  <si>
    <t>GRIZZLI</t>
  </si>
  <si>
    <t>21016.009200/2021-61</t>
  </si>
  <si>
    <t>1,4 SIGHT</t>
  </si>
  <si>
    <t>1,4 Dimetilnaftaleno</t>
  </si>
  <si>
    <t>Bem Brasil </t>
  </si>
  <si>
    <t>21000.028848/2017-20</t>
  </si>
  <si>
    <t>CEVYA</t>
  </si>
  <si>
    <t>Mefentrifluconazole</t>
  </si>
  <si>
    <t>21000.062088/2020-85</t>
  </si>
  <si>
    <t>SUGOY</t>
  </si>
  <si>
    <t>Metominostrobina; Impirfluxam; Clorotalonil</t>
  </si>
  <si>
    <t>21000.008619/2015-27</t>
  </si>
  <si>
    <t>PROPICONAZOLE MAX NORTOX</t>
  </si>
  <si>
    <t>21000.049090/2020-69</t>
  </si>
  <si>
    <t>GEMPOX</t>
  </si>
  <si>
    <t>Glufosinato - Sal de Amônio</t>
  </si>
  <si>
    <t>21000.005031/2017-83</t>
  </si>
  <si>
    <t>TRICLOMAX</t>
  </si>
  <si>
    <t>Triclopir-butotílico</t>
  </si>
  <si>
    <t xml:space="preserve">Rainbow </t>
  </si>
  <si>
    <t>21000.007764/2015-91</t>
  </si>
  <si>
    <t>CYPTRIN</t>
  </si>
  <si>
    <t>Cipermetrina</t>
  </si>
  <si>
    <t>21000.004972/2015-38</t>
  </si>
  <si>
    <t>GOOD-HARVEST GLIFOSATO 480 SL</t>
  </si>
  <si>
    <t>Glifosato - Sal de Isopropilamina</t>
  </si>
  <si>
    <t>21000.009712/2011-25</t>
  </si>
  <si>
    <t>ORVEGO ME</t>
  </si>
  <si>
    <t>Ametoctradina; Metiram</t>
  </si>
  <si>
    <t> Basf </t>
  </si>
  <si>
    <t>21000.026515/2017-66</t>
  </si>
  <si>
    <t>PICATINA FLORA</t>
  </si>
  <si>
    <t>Pidiflumetofem; Fludioxonil</t>
  </si>
  <si>
    <t>21000.005263/2015-70</t>
  </si>
  <si>
    <t>WALLOP</t>
  </si>
  <si>
    <t>Acetocloro</t>
  </si>
  <si>
    <t>Monsanto</t>
  </si>
  <si>
    <t>21000.007995/2015-02</t>
  </si>
  <si>
    <t>CREAVIS</t>
  </si>
  <si>
    <t>21016.009732/2021-07</t>
  </si>
  <si>
    <t>LARVANEM  </t>
  </si>
  <si>
    <t>Heterorhabditis bacteriophora</t>
  </si>
  <si>
    <t>Koppert</t>
  </si>
  <si>
    <t>21016.009730/2021-18</t>
  </si>
  <si>
    <t>CAPSANEM</t>
  </si>
  <si>
    <t>Steinernema carpocapsae</t>
  </si>
  <si>
    <t>21000.049705/2020-57</t>
  </si>
  <si>
    <t>LANFOR PRO</t>
  </si>
  <si>
    <t>Azoxistrobina; Ciproconazol</t>
  </si>
  <si>
    <t>21000.017158/2020-41</t>
  </si>
  <si>
    <t>BRAULTRA 720 SC</t>
  </si>
  <si>
    <t> CAC</t>
  </si>
  <si>
    <t>21016.009914/2021-70</t>
  </si>
  <si>
    <t>BIAGRO CANA</t>
  </si>
  <si>
    <t>Metarhizium anisopliae</t>
  </si>
  <si>
    <t>21000.003377/2018-28</t>
  </si>
  <si>
    <t>REVIEST</t>
  </si>
  <si>
    <t>Protioconazol; Impirfluxam</t>
  </si>
  <si>
    <t>21016.009499/2021-54</t>
  </si>
  <si>
    <t>Spodoptera frugiperda multiple nucleopolyhedrovirus (SfMNPV)</t>
  </si>
  <si>
    <t>Bioma </t>
  </si>
  <si>
    <t>21016.010202/2021-01</t>
  </si>
  <si>
    <t> TWIXX-D</t>
  </si>
  <si>
    <t>Bacillus amyloliquefaciens, cepa CPQBA 040-11DRM 01; Bacillus amyloliquefaciens, cepa CPQBA 040-11DRM 04</t>
  </si>
  <si>
    <t>Agrivalle</t>
  </si>
  <si>
    <t>21000.055125/2018-84</t>
  </si>
  <si>
    <t>AZOXISTROBIN 200 + CIPROCONAZOL 80 SC CCAB</t>
  </si>
  <si>
    <t>21016.000935/2022-19</t>
  </si>
  <si>
    <t>BEAUVERIA BOM FUTURO</t>
  </si>
  <si>
    <t>Beauveria bassiana, isolado IBCB 66</t>
  </si>
  <si>
    <t>21016.009582/2021-23</t>
  </si>
  <si>
    <t>BTP 010-19</t>
  </si>
  <si>
    <t>Bacillus subtilis, isolado CNPSo2720; Bacillus velezensis, isolado CNPSo 3602; Bacillus pumilus, isolado CNPSo3203</t>
  </si>
  <si>
    <t>21016.009717/2021-51</t>
  </si>
  <si>
    <t>ACC MAX</t>
  </si>
  <si>
    <t>Bacillus amyloliquefaciens, isolado CNPSo3202; Bacillus velezensis, isolado CNPSo3602; Bacillus thuringiensis, isolado CNPSo3915</t>
  </si>
  <si>
    <t> Total Biotecnologia</t>
  </si>
  <si>
    <t>21000.004638/2015-84</t>
  </si>
  <si>
    <t>HARNESS PLUS</t>
  </si>
  <si>
    <t>21016.010175/2021-69</t>
  </si>
  <si>
    <t>PROFIX-F</t>
  </si>
  <si>
    <t>Bacillus subtilis, cepa ATCC 6051; Bacillus licheniformis, cepa ATCC 12713; Paecilomyces lilacinus, cepa CPQBA 040-11 DRM 10</t>
  </si>
  <si>
    <t>Massen</t>
  </si>
  <si>
    <t>21016.010174/2021-14</t>
  </si>
  <si>
    <t>PROFIX-E</t>
  </si>
  <si>
    <t>Bacillus subtilis, cepa ATCC 6051; Bacillus licheniformis, cepa ATCC 12713; Paecilomyces lilacinus, cepa CPQBA 040-11 DRM 10</t>
  </si>
  <si>
    <t>21016.010125/2021-81</t>
  </si>
  <si>
    <t> PROFIX-D</t>
  </si>
  <si>
    <t>21016.010171/2021-81</t>
  </si>
  <si>
    <t>PROFIX-G</t>
  </si>
  <si>
    <t> Bacillus subtilis, cepa ATCC 6051; Bacillus licheniformis, cepa ATCC 12713; Paecilomyces lilacinus, cepa CPQBA 040-11 DRM 10</t>
  </si>
  <si>
    <t>Massen </t>
  </si>
  <si>
    <t>21016.001743/2022-11</t>
  </si>
  <si>
    <t>BIOPRECIOSO</t>
  </si>
  <si>
    <t>Trichogramma pretiosum</t>
  </si>
  <si>
    <t>Morsoletto</t>
  </si>
  <si>
    <t>21000.047340/2017-21</t>
  </si>
  <si>
    <t>FLUAZINAM CROP 500 SC</t>
  </si>
  <si>
    <t>AllierBrasil </t>
  </si>
  <si>
    <t>21016.001509/2022-94</t>
  </si>
  <si>
    <t>BIOHOWARDI</t>
  </si>
  <si>
    <t>Tetrastichus howardi</t>
  </si>
  <si>
    <t>21016.010201/2021-59</t>
  </si>
  <si>
    <t>TWIXX-C</t>
  </si>
  <si>
    <t>21016.001517/2021-50</t>
  </si>
  <si>
    <t>CLETHODIM R 240 EC PERTERRA</t>
  </si>
  <si>
    <t>21016.006269/2021-33</t>
  </si>
  <si>
    <t>CONCRIZ</t>
  </si>
  <si>
    <t>VSF</t>
  </si>
  <si>
    <t>21000.008044/2015-42</t>
  </si>
  <si>
    <t> SULFENTRAZONE UPL BR 500 SC</t>
  </si>
  <si>
    <t>UPL </t>
  </si>
  <si>
    <t>21016.009481/2021-52</t>
  </si>
  <si>
    <t>BIO CENTULES</t>
  </si>
  <si>
    <t>21000.008648/2011-65</t>
  </si>
  <si>
    <t>TANREK 500 SC</t>
  </si>
  <si>
    <t>21000.006547/2021-21</t>
  </si>
  <si>
    <t>PODISUL</t>
  </si>
  <si>
    <t>Telenomus podisi </t>
  </si>
  <si>
    <t>Sul-Mip</t>
  </si>
  <si>
    <t>21000.026178/2017-15</t>
  </si>
  <si>
    <t>ENGENIA</t>
  </si>
  <si>
    <t>21016.010108/2021-44</t>
  </si>
  <si>
    <t>LALGUARD JAVA WP</t>
  </si>
  <si>
    <t>Cordyceps javanica, isolado BRM 27666</t>
  </si>
  <si>
    <t>21000.061846/2020-48</t>
  </si>
  <si>
    <t>EQUINOX</t>
  </si>
  <si>
    <t>S-Metolacloro; Sulfentrazona</t>
  </si>
  <si>
    <t>21000.005919/2015-54</t>
  </si>
  <si>
    <t>FIPRONIL 200 SC GHARDA</t>
  </si>
  <si>
    <t>Gharda</t>
  </si>
  <si>
    <t>21016.009574/2021-87</t>
  </si>
  <si>
    <t>TRICHODERMIL EVO OD</t>
  </si>
  <si>
    <t>Trichoderma harzianum, cepa 1306</t>
  </si>
  <si>
    <t>21000.003005/2015-59</t>
  </si>
  <si>
    <t>AZOXISTROBINA + CIPROCONAZOL COONAGRO 280 SC</t>
  </si>
  <si>
    <t>21016.010206/2021-81</t>
  </si>
  <si>
    <t>TWIXX-F</t>
  </si>
  <si>
    <t>Bacillus amyloliquefaciens, cepa CPQBA 040-11DRM 01; Bacillus amyloliquefaciens, cepa CPQBA 040- 11DRM 04</t>
  </si>
  <si>
    <t>21000.029579/2018-08</t>
  </si>
  <si>
    <t>ELESTAL 300 SC</t>
  </si>
  <si>
    <t>21016.010207/2021-26</t>
  </si>
  <si>
    <t>TWIXX-G</t>
  </si>
  <si>
    <t>Bacillus amyloliquefaciens, cepa CPQBA 040-11DRM 01; Bacillus amyloliquefaciens, cepa CPQBA 040-11DRM 04</t>
  </si>
  <si>
    <t>21000.009754/2011-66</t>
  </si>
  <si>
    <t>AUG 134</t>
  </si>
  <si>
    <t>21000.003764/2020-89</t>
  </si>
  <si>
    <t>EXCALIA EVO</t>
  </si>
  <si>
    <t>Impirfluxam; Difenoconazol, Picoxistrobina</t>
  </si>
  <si>
    <t>21000.022473/2021-71</t>
  </si>
  <si>
    <t>SENSUS  </t>
  </si>
  <si>
    <t>Clomazona; Sulfentrazona  </t>
  </si>
  <si>
    <t> Ouro Fino</t>
  </si>
  <si>
    <t>21000.003276/2012-61</t>
  </si>
  <si>
    <t>UTILON 500 SC</t>
  </si>
  <si>
    <t>Plurie</t>
  </si>
  <si>
    <t>21016.009994/2021-63</t>
  </si>
  <si>
    <t> TUTAVIR</t>
  </si>
  <si>
    <t>Phthorimaea operculella granulovirus (PhopGV-V65), isolado ID243 (DSMZ GV-0019)</t>
  </si>
  <si>
    <t>21000.008705/2015-30</t>
  </si>
  <si>
    <t>CROPCARE SC</t>
  </si>
  <si>
    <t>Azoxistrobina; Tebuconazol</t>
  </si>
  <si>
    <t>21000.000952/2015-98</t>
  </si>
  <si>
    <t>TIOFANATO 500 SC PLS CL1</t>
  </si>
  <si>
    <t>Tiofanato-Metílico</t>
  </si>
  <si>
    <t>21016.006466/2021-52</t>
  </si>
  <si>
    <t>EPIZOTIL</t>
  </si>
  <si>
    <t>Metarhizium rileyi, cepa CCT7771</t>
  </si>
  <si>
    <t>Agrobiológica</t>
  </si>
  <si>
    <t>21000.008430/2015-34</t>
  </si>
  <si>
    <t> POTENZA SINON PLUS 36 EC</t>
  </si>
  <si>
    <t>21000.002897/2015-71</t>
  </si>
  <si>
    <t> FLUROXYPYR 80 + PICLORAM 80 ME UPL</t>
  </si>
  <si>
    <t>Fluroxipir-Metílico; Picloram</t>
  </si>
  <si>
    <t>21016.001518/2021-02</t>
  </si>
  <si>
    <t> FLUAZINAM 800 WG PERTERRA</t>
  </si>
  <si>
    <t>21000.023708/2021-41</t>
  </si>
  <si>
    <t>VALLEX</t>
  </si>
  <si>
    <t xml:space="preserve">Piriproxifem </t>
  </si>
  <si>
    <t>21016.010276/2021-30</t>
  </si>
  <si>
    <t>UNNAT</t>
  </si>
  <si>
    <t>Bacillus paralicheniformis, isolado CH2970; Bacillus paralicheniformis, isolado CH0273; Bacillus subtillis, isolado CH4000</t>
  </si>
  <si>
    <t>Chr. Hansen</t>
  </si>
  <si>
    <t>21000.022953/2021-31</t>
  </si>
  <si>
    <t>TRIPLEC</t>
  </si>
  <si>
    <t>21000.028908/2022-71</t>
  </si>
  <si>
    <t xml:space="preserve">KARAMUJO BIO </t>
  </si>
  <si>
    <t xml:space="preserve"> Tephrosia candida</t>
  </si>
  <si>
    <t>Rawell</t>
  </si>
  <si>
    <t>21000.010455/2020-65</t>
  </si>
  <si>
    <t>GRASIDIM FULL</t>
  </si>
  <si>
    <t>21016.002783/2022-81</t>
  </si>
  <si>
    <t>MODERA</t>
  </si>
  <si>
    <t xml:space="preserve">Hubio </t>
  </si>
  <si>
    <t>21000.025999/2017-26</t>
  </si>
  <si>
    <t>ELATUS EASY</t>
  </si>
  <si>
    <t>Azoxistrobina; Benzovindiflupir</t>
  </si>
  <si>
    <t>21016.010064/2021-52</t>
  </si>
  <si>
    <t>NIMAXXA</t>
  </si>
  <si>
    <t xml:space="preserve"> Bacillus paralicheniformis, isolado CH2970; Bacillus paralicheniformis, isolado CH0273; Bacillus subtillis, isolado CH4000</t>
  </si>
  <si>
    <t>21000.034301/2019-25</t>
  </si>
  <si>
    <t>VERACE</t>
  </si>
  <si>
    <t>21000.017426/2020-24</t>
  </si>
  <si>
    <t>DOMADO 200 SL</t>
  </si>
  <si>
    <t>21000.024675/2019-32</t>
  </si>
  <si>
    <t>AGROSBAN</t>
  </si>
  <si>
    <t>Clorpirifós</t>
  </si>
  <si>
    <t>21016.010205/2021-37</t>
  </si>
  <si>
    <t>TWIXX-E</t>
  </si>
  <si>
    <t>Bacillus amyloliquefaciens, cepa CPQBA 040-11DRM 01; Bacillus amyloliquefaciens, cepa CPQBA 040- 11DRM 04</t>
  </si>
  <si>
    <t xml:space="preserve">Massen </t>
  </si>
  <si>
    <t>21016.002179/2022-54</t>
  </si>
  <si>
    <t>VIRUMIX WP</t>
  </si>
  <si>
    <t>Comdeagro</t>
  </si>
  <si>
    <t>21000.050477/2017-62</t>
  </si>
  <si>
    <t>CROPSHIELD</t>
  </si>
  <si>
    <t xml:space="preserve">Syncrom </t>
  </si>
  <si>
    <t>21000.045429/2016-71</t>
  </si>
  <si>
    <t>SOCKER</t>
  </si>
  <si>
    <t xml:space="preserve"> Acefato</t>
  </si>
  <si>
    <t>Sipcam</t>
  </si>
  <si>
    <t>21016.009496/2021-11</t>
  </si>
  <si>
    <t>TRICHODERMIL EVO WP</t>
  </si>
  <si>
    <t>Trichoderma harzianum, cepa 1306</t>
  </si>
  <si>
    <t>21000.019765/2016-69</t>
  </si>
  <si>
    <t>PICLORAN CCAB 240 SL</t>
  </si>
  <si>
    <t>21016.006591/2021-62</t>
  </si>
  <si>
    <t>ORIUS ATTACK</t>
  </si>
  <si>
    <t>21000.000957/2016-00</t>
  </si>
  <si>
    <t xml:space="preserve"> DIRETO</t>
  </si>
  <si>
    <t>Glifosato, Sal de Isopropilamina; Imazetapir, Sal da Amônio</t>
  </si>
  <si>
    <t>21000.091433/2021-79</t>
  </si>
  <si>
    <t>HABITAT</t>
  </si>
  <si>
    <t>Trichoderma afroharzianum, linhagem CEN 287</t>
  </si>
  <si>
    <t>21000.098594/2021-93</t>
  </si>
  <si>
    <t>BIOATRIA</t>
  </si>
  <si>
    <t>21000.004252/2013-19</t>
  </si>
  <si>
    <t>PREET</t>
  </si>
  <si>
    <t>21016.009681/2021-13</t>
  </si>
  <si>
    <t>LEPTHURE</t>
  </si>
  <si>
    <t>Bacillus thuringiensis, isolado S 234</t>
  </si>
  <si>
    <t>21000.008960/2016-63</t>
  </si>
  <si>
    <t>ZOOM ULTRA 250 SC</t>
  </si>
  <si>
    <t>Futriafol</t>
  </si>
  <si>
    <t>21000.074303/2020-91</t>
  </si>
  <si>
    <t>GHALOR</t>
  </si>
  <si>
    <t>2,4-D, Sal Dimetilamina; 2,4-D, Sal Dietanolamina</t>
  </si>
  <si>
    <t>21016.006960/2021-17</t>
  </si>
  <si>
    <t>ECOKILLER</t>
  </si>
  <si>
    <t>Óleo de Neem (Azadirachta indica)</t>
  </si>
  <si>
    <t>Prophyto</t>
  </si>
  <si>
    <t>21000.023702/2018-79</t>
  </si>
  <si>
    <t>DIQUAT NORTOX</t>
  </si>
  <si>
    <t>21016.002031/2021-39</t>
  </si>
  <si>
    <t>DIQUAT VANON 200 SL</t>
  </si>
  <si>
    <t>21000.037330/2016-04</t>
  </si>
  <si>
    <t>FIPRONIL 800 WG YONON</t>
  </si>
  <si>
    <t xml:space="preserve"> Yonon </t>
  </si>
  <si>
    <t>21000.004261/2021-10</t>
  </si>
  <si>
    <t>RAVEL</t>
  </si>
  <si>
    <t>Óleo Essencial de Cinnamomum verum</t>
  </si>
  <si>
    <t>Ballagro</t>
  </si>
  <si>
    <t>21000.083713/2020-22</t>
  </si>
  <si>
    <t>TARSSUS</t>
  </si>
  <si>
    <t>21000.008343/2015-87</t>
  </si>
  <si>
    <t xml:space="preserve"> ACEPHATE-2 750 SP</t>
  </si>
  <si>
    <t>21000.007843/2013-30</t>
  </si>
  <si>
    <t>TECNUP PREMIUM 480 SL</t>
  </si>
  <si>
    <t>Glifosato, Sal de Isopropilamina</t>
  </si>
  <si>
    <t>21000.041843/2017-92</t>
  </si>
  <si>
    <t>FROWNCIDE 750 SC</t>
  </si>
  <si>
    <t xml:space="preserve"> Iharabras</t>
  </si>
  <si>
    <t>21016.009623/2021-81</t>
  </si>
  <si>
    <t>Trichoagro JCO</t>
  </si>
  <si>
    <t>Trichoderma viride Cepa IBLF 1275; Trichoderma viride Cepa IBLF 1276; Trichoderma harzianum Cepa IBLF 1278; Trichoderma harzianum Cepa IBLF 1282</t>
  </si>
  <si>
    <t>JCO</t>
  </si>
  <si>
    <t>21000.008313/2014-90</t>
  </si>
  <si>
    <t>FLUAZINAM 500 SC PLS CL1</t>
  </si>
  <si>
    <t>21016.006879/2021-37</t>
  </si>
  <si>
    <t>Spodomax</t>
  </si>
  <si>
    <t>Metarhizium riley</t>
  </si>
  <si>
    <t>21000.028854/2017-87</t>
  </si>
  <si>
    <t>Melyra</t>
  </si>
  <si>
    <t xml:space="preserve">Mefentrifluconazole; Piraclostrobina </t>
  </si>
  <si>
    <t>21000.008150/2014-45</t>
  </si>
  <si>
    <t>Epik</t>
  </si>
  <si>
    <t>Lactofem</t>
  </si>
  <si>
    <t>Sipicam Nichino</t>
  </si>
  <si>
    <t>21000.029362/2021-95</t>
  </si>
  <si>
    <t>Fico</t>
  </si>
  <si>
    <t>Octanoato de Ioxinila</t>
  </si>
  <si>
    <t>21000.004345/2014-16</t>
  </si>
  <si>
    <t>Takape 750 WG</t>
  </si>
  <si>
    <t>Sulfometurom-Metílico</t>
  </si>
  <si>
    <t>21000.066741/2019-41</t>
  </si>
  <si>
    <t>LANDRIN</t>
  </si>
  <si>
    <t>Indoxacarbe; Fipronil</t>
  </si>
  <si>
    <t>Landrin</t>
  </si>
  <si>
    <t>21000.006071/2010-76</t>
  </si>
  <si>
    <t>SCATTO</t>
  </si>
  <si>
    <t>Gowan</t>
  </si>
  <si>
    <t>21016.009469/2021-48</t>
  </si>
  <si>
    <t>CRYPTON</t>
  </si>
  <si>
    <t>Cryptolaemus montrouzieri</t>
  </si>
  <si>
    <t>21000.008581/2015-92</t>
  </si>
  <si>
    <t>S-METOLACLOR 960 EC PROVENTIS</t>
  </si>
  <si>
    <t>21016.003300/2022-65</t>
  </si>
  <si>
    <t>TRIKOFERT</t>
  </si>
  <si>
    <t>Trichoderma harzianum, cepa IBLF1278; Trichoderma harzianum, cepa IBLF1282; Trichoderma viride, cepa IBLF1275; Trichoderma viride, cepa IBLF1276</t>
  </si>
  <si>
    <t>21016.003618/2022-46</t>
  </si>
  <si>
    <t>BEMIZAI</t>
  </si>
  <si>
    <t>Toyobo</t>
  </si>
  <si>
    <t>21016.003646/2022-63</t>
  </si>
  <si>
    <t>NOHOPPER</t>
  </si>
  <si>
    <t xml:space="preserve"> Toyobo</t>
  </si>
  <si>
    <t>21016.003088/2022-36</t>
  </si>
  <si>
    <t>TRIKOFIT</t>
  </si>
  <si>
    <t>Trichoderma harzianum</t>
  </si>
  <si>
    <t>21016.003111/2022-92</t>
  </si>
  <si>
    <t>BIO GREEN</t>
  </si>
  <si>
    <t>21016.001203/2022-38</t>
  </si>
  <si>
    <t>TURIN-CRY S</t>
  </si>
  <si>
    <t>Bacillus thuringiensis var. kurstaki</t>
  </si>
  <si>
    <t>21016.002728/2022-91</t>
  </si>
  <si>
    <t>SLT 04</t>
  </si>
  <si>
    <t>Beauveria bassiana</t>
  </si>
  <si>
    <t>21000.080567/2020-83</t>
  </si>
  <si>
    <t>GLUFOSINATO 200 SL PERTERRA</t>
  </si>
  <si>
    <t>21016.008742/2021-17</t>
  </si>
  <si>
    <t>CAPSIALIL</t>
  </si>
  <si>
    <t>Extrato de Capsicum annuum; Extrato de Allium sativum</t>
  </si>
  <si>
    <t>21016.002724/2022-11</t>
  </si>
  <si>
    <t>SLT 03</t>
  </si>
  <si>
    <t>Metarhizium anisopliae, Cepa IBCB 425</t>
  </si>
  <si>
    <t>21000.046849/2022-13</t>
  </si>
  <si>
    <t>BTEL</t>
  </si>
  <si>
    <t>Bacillus thuringiensis, isolado CBMAI 1398</t>
  </si>
  <si>
    <t>Dillon</t>
  </si>
  <si>
    <t>21016.003105/2022-35</t>
  </si>
  <si>
    <t>METARHIZIUM ANISOPLIAE BOM FUTURO</t>
  </si>
  <si>
    <t>Metarhizium anisopliae, Isolado IBCB 425</t>
  </si>
  <si>
    <t>21016.005782/2021-15</t>
  </si>
  <si>
    <t>TRICHONINGYD FR 25</t>
  </si>
  <si>
    <t>Trichoderma koningiopsis, Cepa CCT 2142</t>
  </si>
  <si>
    <t>TZ Biotec</t>
  </si>
  <si>
    <t>21016.002972/2022-53</t>
  </si>
  <si>
    <t>BOVE-META BOM FUTURO</t>
  </si>
  <si>
    <t>Beauveria bassiana, Isolado IBCB 66; Metarhizium anisopliae, Isolado IBCB 425</t>
  </si>
  <si>
    <t>21000.051405/2017-32</t>
  </si>
  <si>
    <t xml:space="preserve">EXCALIA  </t>
  </si>
  <si>
    <t xml:space="preserve"> Impirfluxam</t>
  </si>
  <si>
    <t>21000.029596/2020-51</t>
  </si>
  <si>
    <t xml:space="preserve"> STRIKE</t>
  </si>
  <si>
    <t>21000.079890/2022-76</t>
  </si>
  <si>
    <t>INSECTO ORG</t>
  </si>
  <si>
    <t>Terra Diatomácea</t>
  </si>
  <si>
    <t>Bequisa</t>
  </si>
  <si>
    <t>21000.015251/2021-00</t>
  </si>
  <si>
    <t>AZOXISTROBINA+CIPROCONAZOL+OXICLORETO DE COBRE SC ALBAUGH 01</t>
  </si>
  <si>
    <t>Azoxistrobina; Ciproconazol; Oxicloreto de Cobre</t>
  </si>
  <si>
    <t>21000.025426/2016-11</t>
  </si>
  <si>
    <t>SPORANE</t>
  </si>
  <si>
    <t xml:space="preserve">Azoxistrobina; Ciproconazol </t>
  </si>
  <si>
    <t>21000.032558/2016-08</t>
  </si>
  <si>
    <t>GALAPUS SB</t>
  </si>
  <si>
    <t>21016.010127/2021-71</t>
  </si>
  <si>
    <t>STIMUTROP</t>
  </si>
  <si>
    <t>21000.026129/2017-74</t>
  </si>
  <si>
    <t>ATRAFORCE</t>
  </si>
  <si>
    <t>21016.008083/2021-19</t>
  </si>
  <si>
    <t>NEMA PROTECTION</t>
  </si>
  <si>
    <t>Bacillus amyloliquefaciens, Isolado CBMAI 2356</t>
  </si>
  <si>
    <t>21000.008984/2010-27</t>
  </si>
  <si>
    <t>PROTEMAX</t>
  </si>
  <si>
    <t>Imidacloprido; Tiodicarbe</t>
  </si>
  <si>
    <t xml:space="preserve">ALTA </t>
  </si>
  <si>
    <t>21000.052074/2018-39</t>
  </si>
  <si>
    <t>BOKSIA 300 WG</t>
  </si>
  <si>
    <t>Indoxacarbe</t>
  </si>
  <si>
    <t>21016.004205/2022-89</t>
  </si>
  <si>
    <t>BEAVEOURO</t>
  </si>
  <si>
    <t>Valeouro</t>
  </si>
  <si>
    <t>21016.004204/2022-34</t>
  </si>
  <si>
    <t>METHAOURO</t>
  </si>
  <si>
    <t>21016.010307/2021-52</t>
  </si>
  <si>
    <t>BV0518</t>
  </si>
  <si>
    <t>Purpureocillium lilacinum, isolado BV05</t>
  </si>
  <si>
    <t>Vittia</t>
  </si>
  <si>
    <t>21000.049670/2017-51</t>
  </si>
  <si>
    <t xml:space="preserve"> METOXIFENOZIDE NORTOX</t>
  </si>
  <si>
    <t>21000.079939/2020-29</t>
  </si>
  <si>
    <t>PHYSCION</t>
  </si>
  <si>
    <t>Extrato de Rheum palmatum</t>
  </si>
  <si>
    <t xml:space="preserve"> Dinagro</t>
  </si>
  <si>
    <t>21016.000688/2022-42</t>
  </si>
  <si>
    <t>BTP 007-19</t>
  </si>
  <si>
    <t>Bacillus velezensis, isolado CNPSo 3602</t>
  </si>
  <si>
    <t>21000.011679/2018-70</t>
  </si>
  <si>
    <t>PROTERRA 200 SL</t>
  </si>
  <si>
    <t>21000.042459/2020-11</t>
  </si>
  <si>
    <t>GLINT FULL</t>
  </si>
  <si>
    <t>21000.002728/2009-92</t>
  </si>
  <si>
    <t>KUSTI</t>
  </si>
  <si>
    <t>21000.054716/2017-53</t>
  </si>
  <si>
    <t>ALON</t>
  </si>
  <si>
    <t>Lufenurom; Bifentrina</t>
  </si>
  <si>
    <t>Globachem</t>
  </si>
  <si>
    <t>21016.002667/2021-81</t>
  </si>
  <si>
    <t>METOMY</t>
  </si>
  <si>
    <t>21000.032238/2017-21</t>
  </si>
  <si>
    <t>ORONDIS FLEXI</t>
  </si>
  <si>
    <t>Azoxistrobina; Oxatiapiprolim</t>
  </si>
  <si>
    <t>21000.040377/2016-47</t>
  </si>
  <si>
    <t>VINQUO</t>
  </si>
  <si>
    <t>Afidopiropeno</t>
  </si>
  <si>
    <t>21000.018847/2016-96</t>
  </si>
  <si>
    <t>FIPRONIL JS 800 WG</t>
  </si>
  <si>
    <t>21016.003612/2022-79</t>
  </si>
  <si>
    <t>TRICHOFOURT</t>
  </si>
  <si>
    <t>Trichoderma harzianum, isolado IBLF 1278; Trichoderma harzianum, isolado IBLF 1282; Trichoderma viride, isolado IBLF 1275; Trichoderma viride, isolado 1276​.</t>
  </si>
  <si>
    <t>21016.004701/2022-32</t>
  </si>
  <si>
    <t>BIOSAVE</t>
  </si>
  <si>
    <t>C.C.A. Agroindustrial</t>
  </si>
  <si>
    <t>21000.029408/2020-95</t>
  </si>
  <si>
    <t>HDB 276</t>
  </si>
  <si>
    <t>Clorotalonil; Tebuconazol</t>
  </si>
  <si>
    <t xml:space="preserve"> Helm</t>
  </si>
  <si>
    <t>21000.008625/2015-84</t>
  </si>
  <si>
    <t>SUN-DIURON 800 WG</t>
  </si>
  <si>
    <t>21000.043240/2018-14</t>
  </si>
  <si>
    <t>JOYA</t>
  </si>
  <si>
    <t>21016.005109/2021-77</t>
  </si>
  <si>
    <t>TRICHONYD RS FR 25</t>
  </si>
  <si>
    <t>Trichoderma reesei, cepa CCT 2768</t>
  </si>
  <si>
    <t>21000.083636/2021-91</t>
  </si>
  <si>
    <t>ORUS</t>
  </si>
  <si>
    <t>21000.012458/2010-61</t>
  </si>
  <si>
    <t>NUPRID 600 FS</t>
  </si>
  <si>
    <t>21016.001485/2022-73</t>
  </si>
  <si>
    <t>SPODOVEX; LITTOVIR</t>
  </si>
  <si>
    <t>Spodoptera littoralis nucleopolyhedrovirus (SpliNPV)</t>
  </si>
  <si>
    <t>21000.003666/2015-84</t>
  </si>
  <si>
    <t>MEDEIRO WG</t>
  </si>
  <si>
    <t>Fosetil</t>
  </si>
  <si>
    <t>21000.024554/2019-91</t>
  </si>
  <si>
    <t>TERRAD’OR 339 SC</t>
  </si>
  <si>
    <t>21000.033041/2017-17</t>
  </si>
  <si>
    <t>VINSETO</t>
  </si>
  <si>
    <t>21016.004855/2022-24</t>
  </si>
  <si>
    <t>TRICHODERMA BOM FUTURO</t>
  </si>
  <si>
    <t>Trichoderma harzianum, isolado IBLF 1278; Trichoderma harzianum, isolado IBLF 1282; Trichoderma viride, isolado IBLF 1275; Trichoderma viride, isolado IBLF 1276</t>
  </si>
  <si>
    <t>21000.016147/2019-18</t>
  </si>
  <si>
    <t xml:space="preserve"> BARUS 339 SC  </t>
  </si>
  <si>
    <t>21000.025811/2017-40</t>
  </si>
  <si>
    <t>DICAMAX LV</t>
  </si>
  <si>
    <t>21000.054727/2017-33</t>
  </si>
  <si>
    <t>PRODUTOP 500 SC</t>
  </si>
  <si>
    <t>21000.018273/2021-13</t>
  </si>
  <si>
    <t>TRACKING 720 WG</t>
  </si>
  <si>
    <t>Glifosato, Sal de Amônio</t>
  </si>
  <si>
    <t>21016.004081/2022-31</t>
  </si>
  <si>
    <t>METTAPLUS</t>
  </si>
  <si>
    <t>Café Brasil</t>
  </si>
  <si>
    <t>21016.004085/2022-10</t>
  </si>
  <si>
    <t>TRICHOADVANCE</t>
  </si>
  <si>
    <t>21016.004074/2022-30</t>
  </si>
  <si>
    <t>BONVERO</t>
  </si>
  <si>
    <t>21016.004317/2021-59</t>
  </si>
  <si>
    <t>CELTIC</t>
  </si>
  <si>
    <t>Beauveria bassiana, isolado BALL 6-2; Isaria javanica, isolado URM 7662</t>
  </si>
  <si>
    <t>21016.004055/2021-22</t>
  </si>
  <si>
    <t>CERAMAX</t>
  </si>
  <si>
    <t>Natamicina</t>
  </si>
  <si>
    <t>21000.015756/2016-07</t>
  </si>
  <si>
    <t>METRARO</t>
  </si>
  <si>
    <t xml:space="preserve"> S-Metolacloro</t>
  </si>
  <si>
    <t>21016.004565/2022-81</t>
  </si>
  <si>
    <t>REPORTH</t>
  </si>
  <si>
    <t>21016.004822/2022-84</t>
  </si>
  <si>
    <t>BIOVÉRO</t>
  </si>
  <si>
    <t xml:space="preserve"> J. A. Moura</t>
  </si>
  <si>
    <t>21016.009190/2021-64</t>
  </si>
  <si>
    <t>PERIMETER</t>
  </si>
  <si>
    <t>Swinglea glutinosa, Extrato de</t>
  </si>
  <si>
    <t>21016.004942/2022-81</t>
  </si>
  <si>
    <t>MBYO TRIC; RNBIO TRIC</t>
  </si>
  <si>
    <t>MB Enzymas</t>
  </si>
  <si>
    <t>21000.008323/2015-14</t>
  </si>
  <si>
    <t xml:space="preserve"> ACEPHATE-1 750 SP</t>
  </si>
  <si>
    <t>21000.008428/2015-65</t>
  </si>
  <si>
    <t>ACEPHATE-3 750 SP</t>
  </si>
  <si>
    <t xml:space="preserve">Acefato </t>
  </si>
  <si>
    <t>21016.000094/2022-31</t>
  </si>
  <si>
    <t>PROGRANIC MEGA</t>
  </si>
  <si>
    <t>Larrea tridentata, Extrato de</t>
  </si>
  <si>
    <t xml:space="preserve">Naturacide </t>
  </si>
  <si>
    <t>21016.005245/2022-48</t>
  </si>
  <si>
    <t>SITIUS</t>
  </si>
  <si>
    <t xml:space="preserve">C.C.A </t>
  </si>
  <si>
    <t>21016.004939/2022-68</t>
  </si>
  <si>
    <t xml:space="preserve"> MBYO META; RNBIO META</t>
  </si>
  <si>
    <t>21016.004934/2022-35</t>
  </si>
  <si>
    <t>MBYO BV; RNBIO BV</t>
  </si>
  <si>
    <t>21016.004059/2022-91</t>
  </si>
  <si>
    <t>COMPOSTEC MCO METHA</t>
  </si>
  <si>
    <t>Compostec</t>
  </si>
  <si>
    <t>21016.004057/2022-01</t>
  </si>
  <si>
    <t>COMPOSTEC MCO BETHA</t>
  </si>
  <si>
    <t xml:space="preserve"> Compostec</t>
  </si>
  <si>
    <t>21000.002701/2014-67</t>
  </si>
  <si>
    <t>SISTIVA</t>
  </si>
  <si>
    <t>Fluxapiroxade</t>
  </si>
  <si>
    <t>21016.009479/2021-83</t>
  </si>
  <si>
    <t>CITOBLOOM 2.4</t>
  </si>
  <si>
    <t>6-benzilaminopurina</t>
  </si>
  <si>
    <t>Biogrow</t>
  </si>
  <si>
    <t>21016.001665/2022-55</t>
  </si>
  <si>
    <t xml:space="preserve"> NEMBAC 42; AMYPROTEC 42</t>
  </si>
  <si>
    <t>Bacillus velezensis, estirpe FZB42</t>
  </si>
  <si>
    <t>21016.010263/2021-61</t>
  </si>
  <si>
    <t>METALEAF</t>
  </si>
  <si>
    <t xml:space="preserve"> Massen</t>
  </si>
  <si>
    <t>21000.001856/2016-48</t>
  </si>
  <si>
    <t>HALOXYFOP 124,7 EC UPL</t>
  </si>
  <si>
    <t>Haloxifope-P-Metílico</t>
  </si>
  <si>
    <t>21000.050331/2017-17</t>
  </si>
  <si>
    <t>Elenchos</t>
  </si>
  <si>
    <t>21000.009031/2012-48</t>
  </si>
  <si>
    <t>ALMANE</t>
  </si>
  <si>
    <t>21000.008338/2012-21</t>
  </si>
  <si>
    <t>AXIAL</t>
  </si>
  <si>
    <t>21000.009032/2012-92</t>
  </si>
  <si>
    <t xml:space="preserve"> RADIS</t>
  </si>
  <si>
    <t>21000.063133/2016-32</t>
  </si>
  <si>
    <t>LUKAT 200 SL</t>
  </si>
  <si>
    <t>21000.000428/2016-06</t>
  </si>
  <si>
    <t>S-METOLACLOR 960 EC PLS CL1</t>
  </si>
  <si>
    <t>21000.009520/2012-08</t>
  </si>
  <si>
    <t xml:space="preserve">SEDUM </t>
  </si>
  <si>
    <t>Clodinafope-Propargil; Pinoxadem</t>
  </si>
  <si>
    <t>21016.000088/2022-84</t>
  </si>
  <si>
    <t>SMARTFRESH INBOX</t>
  </si>
  <si>
    <t>Metilciclopropeno</t>
  </si>
  <si>
    <t xml:space="preserve">Agrofresh </t>
  </si>
  <si>
    <t>21000.009033/2012-37</t>
  </si>
  <si>
    <t xml:space="preserve">TRAXOS </t>
  </si>
  <si>
    <t>21000.000386/2015-14</t>
  </si>
  <si>
    <t>CLORPIRIFÓS 480 EC LUBA</t>
  </si>
  <si>
    <t xml:space="preserve"> AllierBrasil </t>
  </si>
  <si>
    <t>21000.000060/2016-78</t>
  </si>
  <si>
    <t>FIPRONIL 800 WG UPL</t>
  </si>
  <si>
    <t>21000.009980/2013-17</t>
  </si>
  <si>
    <t>Avorio Top</t>
  </si>
  <si>
    <t>Cimoxanil; Clorotalonil</t>
  </si>
  <si>
    <t>21016.006840/2021-10</t>
  </si>
  <si>
    <t>Bamytis</t>
  </si>
  <si>
    <t>Bacillus amyloliquefaciens, isolado SVG 00027-B; Bacillus amyloliquefaciens, isolado SVG 00028-B; Bacillus subtilis, isolado SVG 00030-B; Bacillus thuringiensis, isolado SVG 00029-B</t>
  </si>
  <si>
    <t>Biota Innovations</t>
  </si>
  <si>
    <t>21016.007036/2021-58</t>
  </si>
  <si>
    <t>Nemabac</t>
  </si>
  <si>
    <t>21000.005566/2015-92</t>
  </si>
  <si>
    <t>Sato 648</t>
  </si>
  <si>
    <t>TC00121</t>
  </si>
  <si>
    <t>21000.051789/2017-93</t>
  </si>
  <si>
    <t>Flutriafol Técnico Sumitomo Br</t>
  </si>
  <si>
    <t>O perfil toxicológico foi considerado equivalente ao produto técnico de referência.</t>
  </si>
  <si>
    <t>III - Produto Perigoso ao Meio Ambiente</t>
  </si>
  <si>
    <t>Ano de 2021</t>
  </si>
  <si>
    <t>TC00221</t>
  </si>
  <si>
    <t>21000.002452/2013-29</t>
  </si>
  <si>
    <t>S-Metolacloro Técnico CCAB</t>
  </si>
  <si>
    <t>II - Produto Muito Perigoso ao Meio Ambiente</t>
  </si>
  <si>
    <t>TC00321</t>
  </si>
  <si>
    <t>21000.040550/2017-98</t>
  </si>
  <si>
    <t>Atrazina Técnica Nortox IV</t>
  </si>
  <si>
    <t>TC00421</t>
  </si>
  <si>
    <t>21000.006895/2018-01</t>
  </si>
  <si>
    <t>Chlorpyrifós Técnico FB</t>
  </si>
  <si>
    <t>TC00521</t>
  </si>
  <si>
    <t>21042.002770/2020-22</t>
  </si>
  <si>
    <t>Glufosinato Técnico Alamos</t>
  </si>
  <si>
    <t>TC00621</t>
  </si>
  <si>
    <t>21000.013241/2019-15</t>
  </si>
  <si>
    <t>Hexazinona Técnico UPL</t>
  </si>
  <si>
    <t>Hexazinona</t>
  </si>
  <si>
    <t>TC00721</t>
  </si>
  <si>
    <t>21000.066265/2019-69</t>
  </si>
  <si>
    <t>Imidacloprid técnico FB</t>
  </si>
  <si>
    <t>TC00821</t>
  </si>
  <si>
    <t>21000.087814/2019-39</t>
  </si>
  <si>
    <t>Lambda-cialotrina Técnica Nortox II</t>
  </si>
  <si>
    <t>TC00921</t>
  </si>
  <si>
    <t>21000.016503/2020-29</t>
  </si>
  <si>
    <t>Mesotrione Técnico Albaugh BN</t>
  </si>
  <si>
    <t>TC01021</t>
  </si>
  <si>
    <t>21000.004560/2020-65</t>
  </si>
  <si>
    <t>Mesotriona Técnico Solus</t>
  </si>
  <si>
    <t>TC01121</t>
  </si>
  <si>
    <t>21000.006506/2015-97</t>
  </si>
  <si>
    <t>Mesotriona Técnico Tide</t>
  </si>
  <si>
    <t>TC01221</t>
  </si>
  <si>
    <t>21000.007086/2015-66</t>
  </si>
  <si>
    <t>Mesotrione B Tecnico Helm</t>
  </si>
  <si>
    <t>TC01321</t>
  </si>
  <si>
    <t>21000.007777/2014-89</t>
  </si>
  <si>
    <t>Atrazine Tech Oxon</t>
  </si>
  <si>
    <t>TC01421</t>
  </si>
  <si>
    <t>21000.022970/2020-98</t>
  </si>
  <si>
    <t>Atrazine Técnico CCAB II</t>
  </si>
  <si>
    <t>TC01521</t>
  </si>
  <si>
    <t>21000.007778/2013-42</t>
  </si>
  <si>
    <t>Trinexapaque-Etilico Ascenza Tecnico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</si>
  <si>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</si>
  <si>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TC01621</t>
  </si>
  <si>
    <t>21000.031085/2019-66</t>
  </si>
  <si>
    <t>Diquate Técnico Alamos</t>
  </si>
  <si>
    <t>Diquate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</si>
  <si>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</si>
  <si>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TC01721</t>
  </si>
  <si>
    <t>21000.006812/2014-42</t>
  </si>
  <si>
    <t>Dicamba Técnico Sumitomo BR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</si>
  <si>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</si>
  <si>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TC01821</t>
  </si>
  <si>
    <t>21000.005490/2015-03</t>
  </si>
  <si>
    <t xml:space="preserve">Prothioconazole Technical UPL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</si>
  <si>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</si>
  <si>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TC01921</t>
  </si>
  <si>
    <t>21000.002471/2015-17</t>
  </si>
  <si>
    <t>Hexazinona Técnico SNB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</si>
  <si>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</si>
  <si>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TC02021</t>
  </si>
  <si>
    <t>21000.064445/2019-14</t>
  </si>
  <si>
    <t>Methomyl Técnico FB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</si>
  <si>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</si>
  <si>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TC02121</t>
  </si>
  <si>
    <t>21000.064447/2019-03</t>
  </si>
  <si>
    <t>Hexazinone Técnico FB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</si>
  <si>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</si>
  <si>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TC02221</t>
  </si>
  <si>
    <t>21000.093851/2019-86</t>
  </si>
  <si>
    <t>Fipronil Técnico FB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</si>
  <si>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</si>
  <si>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TC02321</t>
  </si>
  <si>
    <t>21000.067337/2019-95</t>
  </si>
  <si>
    <t>Atrazina Técnico CHDS</t>
  </si>
  <si>
    <t>CHD'S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</si>
  <si>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</si>
  <si>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TC02421</t>
  </si>
  <si>
    <t>21000.006576/2014-64</t>
  </si>
  <si>
    <t>Ciprodinil Técnico Rainbow</t>
  </si>
  <si>
    <t>Ciprodinil</t>
  </si>
  <si>
    <t>TC02521</t>
  </si>
  <si>
    <t>21000.016567/2017-24</t>
  </si>
  <si>
    <t>Difenoconazol Técnico Rainbow</t>
  </si>
  <si>
    <t>TC02621</t>
  </si>
  <si>
    <t>21000.002105/2015-68</t>
  </si>
  <si>
    <t>Clorpirifós Técnico Agrogill</t>
  </si>
  <si>
    <t>TC02721</t>
  </si>
  <si>
    <t>21000.067479/2020-96</t>
  </si>
  <si>
    <t>Metomil Técnico Albaugh 01</t>
  </si>
  <si>
    <t>TC02821</t>
  </si>
  <si>
    <t>21000.024663/2016-65</t>
  </si>
  <si>
    <t>Methomyl Técnico ZS</t>
  </si>
  <si>
    <t>TC02921</t>
  </si>
  <si>
    <t>21000.008324/2014-70</t>
  </si>
  <si>
    <t>Metomil Técnico Nortox BR</t>
  </si>
  <si>
    <t>TC03021</t>
  </si>
  <si>
    <t xml:space="preserve"> 21000.040392/2016-95</t>
  </si>
  <si>
    <t>Difenoconazole Y Técnico Helm</t>
  </si>
  <si>
    <t>TC03121</t>
  </si>
  <si>
    <t>21000.013262/2017-61</t>
  </si>
  <si>
    <t>Fipronil Técnico Sino-Agri</t>
  </si>
  <si>
    <t>TK03221</t>
  </si>
  <si>
    <t>21000.008412/2015-52</t>
  </si>
  <si>
    <t>Glifosato Pré-Mistura Dow Agrosciences</t>
  </si>
  <si>
    <t>Dow</t>
  </si>
  <si>
    <t>TC03321</t>
  </si>
  <si>
    <t>21000.026249/2018-52</t>
  </si>
  <si>
    <t>Terbutilazina Técnico ZS</t>
  </si>
  <si>
    <t>TC03421</t>
  </si>
  <si>
    <t>21000.003483/2018-10</t>
  </si>
  <si>
    <t>Flumioxazin Técnico CCAB II</t>
  </si>
  <si>
    <t>TC03521</t>
  </si>
  <si>
    <t>21000.035743/2020-22</t>
  </si>
  <si>
    <t>Bifentrina Técnico Alta</t>
  </si>
  <si>
    <t>TC03621</t>
  </si>
  <si>
    <t>21000.023785/2017-15</t>
  </si>
  <si>
    <t>Protioconazol Técnico Adama Brasil</t>
  </si>
  <si>
    <t>TC03721</t>
  </si>
  <si>
    <t>21000.050462/2017-02</t>
  </si>
  <si>
    <t>Atrazina Técnico Adama Br</t>
  </si>
  <si>
    <t>TC03821</t>
  </si>
  <si>
    <t>21000.032529/2020-14</t>
  </si>
  <si>
    <t>Mesotrione Técnico Binnong</t>
  </si>
  <si>
    <t>TC03921</t>
  </si>
  <si>
    <t>21000.001984/2015-19</t>
  </si>
  <si>
    <t>Mesotriona Técnico SBN-CropChem</t>
  </si>
  <si>
    <t>TC04021</t>
  </si>
  <si>
    <t>21000.011012/2019-58</t>
  </si>
  <si>
    <t>Protioconazol Técnico Albaugh I</t>
  </si>
  <si>
    <t>TC04121</t>
  </si>
  <si>
    <t>21000.007775/2014-90</t>
  </si>
  <si>
    <t>Protioconazol Técnico Rainbow</t>
  </si>
  <si>
    <t>TC04221</t>
  </si>
  <si>
    <t>21000.069725/2020-44</t>
  </si>
  <si>
    <t>Imazapic Técnico SD</t>
  </si>
  <si>
    <t>TC04321</t>
  </si>
  <si>
    <t>21000.005184/2019-92</t>
  </si>
  <si>
    <t>Protioconazol Técnico JZ</t>
  </si>
  <si>
    <t>Partner</t>
  </si>
  <si>
    <t>TC04421</t>
  </si>
  <si>
    <t>21000.052385/2018-06</t>
  </si>
  <si>
    <t>Protioconazol Técnico BL</t>
  </si>
  <si>
    <t>TC04521</t>
  </si>
  <si>
    <t>21000.012224/2020-96</t>
  </si>
  <si>
    <t>Azoxistrobina Técnico D'Verde</t>
  </si>
  <si>
    <t>Azoxistrobin</t>
  </si>
  <si>
    <t>D'Verde</t>
  </si>
  <si>
    <t>TC04621</t>
  </si>
  <si>
    <t>21000.054939/2017-11</t>
  </si>
  <si>
    <t>Protioconazol Técnico Adama Br</t>
  </si>
  <si>
    <t>TC04721</t>
  </si>
  <si>
    <t>21000.003724/2015-70</t>
  </si>
  <si>
    <t>Imazamox Técnico Nortox</t>
  </si>
  <si>
    <t>Imazamoxi</t>
  </si>
  <si>
    <t>TC04821</t>
  </si>
  <si>
    <t>21000.025001/2016-11</t>
  </si>
  <si>
    <t>Clorpirifós Técnico GSP</t>
  </si>
  <si>
    <t>TC04921</t>
  </si>
  <si>
    <t>21000.001470/2015-55</t>
  </si>
  <si>
    <t>Flumioxazin Técnico Agrogill</t>
  </si>
  <si>
    <t>TC05021</t>
  </si>
  <si>
    <t>21000.051704/2018-58</t>
  </si>
  <si>
    <t>Glufosinato de Amônio Técnico Ada Brasil</t>
  </si>
  <si>
    <t>TC05121</t>
  </si>
  <si>
    <t>21000.025709/2019-14</t>
  </si>
  <si>
    <t>Cyproconazole técnico ZY</t>
  </si>
  <si>
    <t>Syncron</t>
  </si>
  <si>
    <t>TC05221</t>
  </si>
  <si>
    <t>21000.062113/2020-21</t>
  </si>
  <si>
    <t>Tebuconazole Técnico Albaugh II</t>
  </si>
  <si>
    <t>TC05321</t>
  </si>
  <si>
    <t>21000.069564/2020-99</t>
  </si>
  <si>
    <t>Hexazinona Técnico Albaugh 01</t>
  </si>
  <si>
    <t>TC05421</t>
  </si>
  <si>
    <t>21000.004113/2015-49</t>
  </si>
  <si>
    <t>Imazamoxi Técnico Cropchem</t>
  </si>
  <si>
    <t>TC05521</t>
  </si>
  <si>
    <t>21000.050447/2017-56</t>
  </si>
  <si>
    <t>Clorpirifós Técnico Sumitomo BR</t>
  </si>
  <si>
    <t>TC05621</t>
  </si>
  <si>
    <t>21000.002501/2021-33</t>
  </si>
  <si>
    <t>Bifentrina Técnica Albaugh</t>
  </si>
  <si>
    <t>TC05721</t>
  </si>
  <si>
    <t>21000.010295/2013-25</t>
  </si>
  <si>
    <t>Halauxifen-Metil Técnico</t>
  </si>
  <si>
    <t>Halauxifen-metil</t>
  </si>
  <si>
    <t>TC05821</t>
  </si>
  <si>
    <t>21000.066693/2020-25</t>
  </si>
  <si>
    <t>Dibrometo de Diquate Técnico Adama Brasil</t>
  </si>
  <si>
    <t>TC05921</t>
  </si>
  <si>
    <t>21000.022721/2019-69</t>
  </si>
  <si>
    <t>Bifentrina Técnico Rainbow</t>
  </si>
  <si>
    <t>TC06021</t>
  </si>
  <si>
    <t>21000.068429/2020-26</t>
  </si>
  <si>
    <t>Tebutiurom Técnico Tecnomyl II</t>
  </si>
  <si>
    <t>TC06121</t>
  </si>
  <si>
    <t>21000.012101/2016-79</t>
  </si>
  <si>
    <t>Indoxacarbe Técnico Cropchem</t>
  </si>
  <si>
    <t>TC06221</t>
  </si>
  <si>
    <t>21000.018345/2018-27</t>
  </si>
  <si>
    <t>Indoxacarb Técnico FB</t>
  </si>
  <si>
    <t>INdoxacarbe</t>
  </si>
  <si>
    <t>TC06321</t>
  </si>
  <si>
    <t>21000.032111/2019-73</t>
  </si>
  <si>
    <t>Indoxacarb Técnico CHDS</t>
  </si>
  <si>
    <t>TC06421</t>
  </si>
  <si>
    <t>21000.008111/2013-67</t>
  </si>
  <si>
    <t>Triflumurom Ascenza Tecnico</t>
  </si>
  <si>
    <t>Triflumuron</t>
  </si>
  <si>
    <t>TC06521</t>
  </si>
  <si>
    <t>21000.027936/2016-23</t>
  </si>
  <si>
    <t>Triflumuron Técnico Nortox</t>
  </si>
  <si>
    <t>TC06621</t>
  </si>
  <si>
    <t>21000.020441/2016-73</t>
  </si>
  <si>
    <t>Bifenthrin S Técnico Helm</t>
  </si>
  <si>
    <t>TC06721</t>
  </si>
  <si>
    <t>21000.000847/2015-59</t>
  </si>
  <si>
    <t>Clomazona Técnico SCY-Cropchem</t>
  </si>
  <si>
    <t>Clomazona</t>
  </si>
  <si>
    <t>TC06821</t>
  </si>
  <si>
    <t xml:space="preserve"> 21000.002942/2020-54</t>
  </si>
  <si>
    <t>Bifentrina Técnico Cropchem II</t>
  </si>
  <si>
    <t>TC06921</t>
  </si>
  <si>
    <t>21000.001875/2015-93</t>
  </si>
  <si>
    <t>Glufosinato de Amônio Técnico CropChem</t>
  </si>
  <si>
    <t>TC07021</t>
  </si>
  <si>
    <t>21000.004391/2014-15</t>
  </si>
  <si>
    <t>Cyclaniliprole Técnico ISK</t>
  </si>
  <si>
    <t>Ciclaniliprole</t>
  </si>
  <si>
    <t>TC07121</t>
  </si>
  <si>
    <t>21000.008036/2011-72</t>
  </si>
  <si>
    <t>Dimetomorfe Tradecorp Técnico</t>
  </si>
  <si>
    <t>TC07221</t>
  </si>
  <si>
    <t>21000.008545/2015-29</t>
  </si>
  <si>
    <t>Captan Técnico YGC</t>
  </si>
  <si>
    <t>Captana</t>
  </si>
  <si>
    <t>TC07321</t>
  </si>
  <si>
    <t>21000.001061/2015-59</t>
  </si>
  <si>
    <t>Fluazinam Técnico Rainbow</t>
  </si>
  <si>
    <t>TC07421</t>
  </si>
  <si>
    <t>21000.012588/2018-51</t>
  </si>
  <si>
    <t xml:space="preserve">2,4-D STK Técnico </t>
  </si>
  <si>
    <t>TC07521</t>
  </si>
  <si>
    <t>21000.036958/2016-84</t>
  </si>
  <si>
    <t xml:space="preserve">2,4-D Acid Técnico Agrolead </t>
  </si>
  <si>
    <t>TC07621</t>
  </si>
  <si>
    <t>21000.017916/2019-97</t>
  </si>
  <si>
    <t>2,4-D Técnico DT</t>
  </si>
  <si>
    <t>TC07721</t>
  </si>
  <si>
    <t>21000.001145/2017-54</t>
  </si>
  <si>
    <t>Tebuconazole Técnico Nortox V</t>
  </si>
  <si>
    <t>TC07821</t>
  </si>
  <si>
    <t>21000.002498/2014-29</t>
  </si>
  <si>
    <t>Atrazina Técnico Mil</t>
  </si>
  <si>
    <t>TC07921</t>
  </si>
  <si>
    <t>21000.009019/2014-03</t>
  </si>
  <si>
    <t>Glufosinato-Amonium Técnico SD</t>
  </si>
  <si>
    <t>TC08021</t>
  </si>
  <si>
    <t>21000.026094/2020-79</t>
  </si>
  <si>
    <t>Clorpirifós Técnico ZS</t>
  </si>
  <si>
    <t>TC08121</t>
  </si>
  <si>
    <t>21000.002165/2015-81</t>
  </si>
  <si>
    <t>Dicamba Técnico UPL</t>
  </si>
  <si>
    <t>TC08221</t>
  </si>
  <si>
    <t>21000.030687/2020-30</t>
  </si>
  <si>
    <t>Pyraclostrobin Técnico FB</t>
  </si>
  <si>
    <t>TC08321</t>
  </si>
  <si>
    <t>21000.036815/2016-72</t>
  </si>
  <si>
    <t xml:space="preserve">Dicamba Técnico Prentiss </t>
  </si>
  <si>
    <t>TC08421</t>
  </si>
  <si>
    <t>21000.006438/2014-85</t>
  </si>
  <si>
    <t>Clomazona Técnico Oxon</t>
  </si>
  <si>
    <t>TC08521</t>
  </si>
  <si>
    <t>21000.000234/2014-31</t>
  </si>
  <si>
    <t>Oxathiapiprolin Técnico</t>
  </si>
  <si>
    <t>TC08621</t>
  </si>
  <si>
    <t>21000.019621/2016-11</t>
  </si>
  <si>
    <t>Flumioxazina Técnico Cropchem</t>
  </si>
  <si>
    <t>TC08721</t>
  </si>
  <si>
    <t>21000.004581/2014-32</t>
  </si>
  <si>
    <t>Clothianidin Técnico Rainbow</t>
  </si>
  <si>
    <t>Clotianidina</t>
  </si>
  <si>
    <t>TC08821</t>
  </si>
  <si>
    <t>21000.002911/2014-55</t>
  </si>
  <si>
    <t>Fenpropimorph Técnico</t>
  </si>
  <si>
    <t>Fenpropimorfe</t>
  </si>
  <si>
    <t>TC08921</t>
  </si>
  <si>
    <t>21000.035783/2016-98</t>
  </si>
  <si>
    <t>Dicamba Técnico Tide II</t>
  </si>
  <si>
    <t>TC09021</t>
  </si>
  <si>
    <t>21000.018766/2017-77</t>
  </si>
  <si>
    <t>Prothioconazole Technical UPL BR</t>
  </si>
  <si>
    <t>TC09121</t>
  </si>
  <si>
    <t>21000.006769/2013-34</t>
  </si>
  <si>
    <t>Oxifluorfem Ascenza Tecnico</t>
  </si>
  <si>
    <t>Oxifluorfen</t>
  </si>
  <si>
    <t>TC09221</t>
  </si>
  <si>
    <t>21000.006383/2015-94</t>
  </si>
  <si>
    <t>Indoxacarbe Técnico Rainbow</t>
  </si>
  <si>
    <t>TC09321</t>
  </si>
  <si>
    <t>21000.052150/2020-21</t>
  </si>
  <si>
    <t>Diquat Técnico CropChem III</t>
  </si>
  <si>
    <t>TC09421</t>
  </si>
  <si>
    <t>21000.025464/2016-74</t>
  </si>
  <si>
    <t>Dicamba Técnico Gilmore</t>
  </si>
  <si>
    <t>TC09521</t>
  </si>
  <si>
    <t>21000.055183/2018-16</t>
  </si>
  <si>
    <t>Dicamba Técnico FB</t>
  </si>
  <si>
    <t>FB</t>
  </si>
  <si>
    <t>TC09621</t>
  </si>
  <si>
    <t>21000.030162/2016-18</t>
  </si>
  <si>
    <t>Cresoxim-Metílico Técnico Cropchem</t>
  </si>
  <si>
    <t>Cresoxim-metílico</t>
  </si>
  <si>
    <t>TC09721</t>
  </si>
  <si>
    <t>21000.010324/2013-59</t>
  </si>
  <si>
    <t>Dicamba Técnico BRA</t>
  </si>
  <si>
    <t>TC09821</t>
  </si>
  <si>
    <t>21000.007506/2009-66</t>
  </si>
  <si>
    <t>Ametoctradin Técnico</t>
  </si>
  <si>
    <t>Ametoctradina</t>
  </si>
  <si>
    <t>TC09921</t>
  </si>
  <si>
    <t>21000.005386/2014-20</t>
  </si>
  <si>
    <t>Isofetamid Técnico ISK</t>
  </si>
  <si>
    <t>Isofetamida</t>
  </si>
  <si>
    <t>TC10021</t>
  </si>
  <si>
    <t>21000.041734/2016-94</t>
  </si>
  <si>
    <t>Acetamiprido Técnico Tide</t>
  </si>
  <si>
    <t>TC10121</t>
  </si>
  <si>
    <t>21000.021010/2020-19</t>
  </si>
  <si>
    <t>Clorotatalonil Técnico Tecnomyl</t>
  </si>
  <si>
    <t>TC10221</t>
  </si>
  <si>
    <t>21000.027240/2016-05</t>
  </si>
  <si>
    <t>2,4-D Técnico TJX</t>
  </si>
  <si>
    <t>CAC</t>
  </si>
  <si>
    <t>TC10321</t>
  </si>
  <si>
    <t>21000.042160/2017-52</t>
  </si>
  <si>
    <t>2,4-D Técnico ZS</t>
  </si>
  <si>
    <t>TC10421</t>
  </si>
  <si>
    <t>21000.076311/2020-71</t>
  </si>
  <si>
    <t xml:space="preserve">Tebuconazole Técnico Albaugh </t>
  </si>
  <si>
    <t>TC10521</t>
  </si>
  <si>
    <t>21000.075396/2020-71</t>
  </si>
  <si>
    <t>Flutriafol Técnico Albaugh II</t>
  </si>
  <si>
    <t>TC10621</t>
  </si>
  <si>
    <t>21000.002584/2015-12</t>
  </si>
  <si>
    <t>S-Metolacloro Técnico Rotam</t>
  </si>
  <si>
    <t>TC10721</t>
  </si>
  <si>
    <t>21000.008575/2014-54</t>
  </si>
  <si>
    <t>Sulfentrazona Técnico Adama Br</t>
  </si>
  <si>
    <t>Sulfentrazone</t>
  </si>
  <si>
    <t>TC10821</t>
  </si>
  <si>
    <t>21000.053270/2017-40</t>
  </si>
  <si>
    <t>Trifloxistrobina Técnico Ouro Fino</t>
  </si>
  <si>
    <t xml:space="preserve">Trifloxistrobina </t>
  </si>
  <si>
    <t>TC10921</t>
  </si>
  <si>
    <t>21000.027675/2018-11</t>
  </si>
  <si>
    <t>Cyproconazole Técnico FB II</t>
  </si>
  <si>
    <t>TC11021</t>
  </si>
  <si>
    <t>21000.020136/2017-62</t>
  </si>
  <si>
    <t>Dicamba Ascenza Técnico</t>
  </si>
  <si>
    <t>TC11121</t>
  </si>
  <si>
    <t>21000.006444/2013-51</t>
  </si>
  <si>
    <t>Cymoxanil TB Tecnico Oxon</t>
  </si>
  <si>
    <t>TC11221</t>
  </si>
  <si>
    <t>21000.007900/2013-81</t>
  </si>
  <si>
    <t>Trifloxistrobina Técnico Rainbow</t>
  </si>
  <si>
    <t>TC11321</t>
  </si>
  <si>
    <t>21000.002010/2014-63</t>
  </si>
  <si>
    <t>Azoxystrobin Técnico Uniphos</t>
  </si>
  <si>
    <t>TC11421</t>
  </si>
  <si>
    <t>21000.008257/2013-11</t>
  </si>
  <si>
    <t>Trifloxistrobin Técnico YNG</t>
  </si>
  <si>
    <t>TC11521</t>
  </si>
  <si>
    <t>21000.045062/2020-72</t>
  </si>
  <si>
    <t>Ciproconazol Técnico Albaugh JSC</t>
  </si>
  <si>
    <t>TC11621</t>
  </si>
  <si>
    <t>21000.001970/2016-78</t>
  </si>
  <si>
    <t>Trifloxistrobina Técnico BRA</t>
  </si>
  <si>
    <t>TC11721</t>
  </si>
  <si>
    <t>21000.012326/2018-97</t>
  </si>
  <si>
    <t>Flumioxazina Técnico Alta</t>
  </si>
  <si>
    <t>TC11821</t>
  </si>
  <si>
    <t>21000.008456/2016-63</t>
  </si>
  <si>
    <t>Flumioxazin Técnico Nortox</t>
  </si>
  <si>
    <t>TC11921</t>
  </si>
  <si>
    <t>21000.006541/2016-97</t>
  </si>
  <si>
    <t>Dicamba Técnico DT</t>
  </si>
  <si>
    <t>TC12021</t>
  </si>
  <si>
    <t>21000.018271/2018-29</t>
  </si>
  <si>
    <t>Trifloxistrobin Técnico Nortox III</t>
  </si>
  <si>
    <t>TC12121</t>
  </si>
  <si>
    <t>21000.002418/2015-16</t>
  </si>
  <si>
    <t>Trifloxistrobina Técnico CropChem</t>
  </si>
  <si>
    <t>TC12221</t>
  </si>
  <si>
    <t>21000.027813/2018-54</t>
  </si>
  <si>
    <t>Trifloxistrobin Técnico CHD'S</t>
  </si>
  <si>
    <t>TC12321</t>
  </si>
  <si>
    <t>21000.053560/2016-11</t>
  </si>
  <si>
    <t>Tiofanato Técnico Sinon</t>
  </si>
  <si>
    <t>TC12421</t>
  </si>
  <si>
    <t>21000.055086/2018-15</t>
  </si>
  <si>
    <t>Dicamba Técnico Ada</t>
  </si>
  <si>
    <t>TC12521</t>
  </si>
  <si>
    <t>21000.038071/2016-21</t>
  </si>
  <si>
    <t>Fluroxipir-Metílico Técnico BRA</t>
  </si>
  <si>
    <t>Fluroxipir-Metílico</t>
  </si>
  <si>
    <t>TC12621</t>
  </si>
  <si>
    <t>21000.046917/2016-04</t>
  </si>
  <si>
    <t>Fluroxipir-Meptílico Técnico Adama BR </t>
  </si>
  <si>
    <t>TC12721</t>
  </si>
  <si>
    <t>21000.006518/2018-64</t>
  </si>
  <si>
    <t>Fluroxypyr-Meptyl Técnico Lier</t>
  </si>
  <si>
    <t>TC12821</t>
  </si>
  <si>
    <t>21000.024501/2020-11</t>
  </si>
  <si>
    <t>Fluroxypyr-Meptyl Técnico NGC</t>
  </si>
  <si>
    <t>TC12921</t>
  </si>
  <si>
    <t>21000.008573/2014-65</t>
  </si>
  <si>
    <t>Ciproconazol Técnico OF</t>
  </si>
  <si>
    <t>TC13021</t>
  </si>
  <si>
    <t>21000.033042/2020-59</t>
  </si>
  <si>
    <t>Cyproconazole Técnico NGC</t>
  </si>
  <si>
    <t>TC13121</t>
  </si>
  <si>
    <t>21000.008299/2014-24</t>
  </si>
  <si>
    <t>Ciproconazole SC Técnico Helm</t>
  </si>
  <si>
    <t>TC13221</t>
  </si>
  <si>
    <t>21000.008553/2015-75</t>
  </si>
  <si>
    <t xml:space="preserve">Fluroxipir Técnico Ouro Fino </t>
  </si>
  <si>
    <t>TC13321</t>
  </si>
  <si>
    <t>21000.000006/2014-61</t>
  </si>
  <si>
    <t>Fluroxipir-Meptílico Técnico Nortox BR</t>
  </si>
  <si>
    <t>TC13421</t>
  </si>
  <si>
    <t>21000.027079/2017-42</t>
  </si>
  <si>
    <t>Fluroxipir Técnico Cropchem</t>
  </si>
  <si>
    <t>TC13521</t>
  </si>
  <si>
    <t>21000.060788/2019-00</t>
  </si>
  <si>
    <t>Mesotriona NC Técnico Helm</t>
  </si>
  <si>
    <t>TC13621</t>
  </si>
  <si>
    <t>21000.010161/2013-12</t>
  </si>
  <si>
    <t>Tebuconazol Técnico Mil</t>
  </si>
  <si>
    <t>TC13721</t>
  </si>
  <si>
    <t>21000.062236/2016-85</t>
  </si>
  <si>
    <t>Budbreak Técnico</t>
  </si>
  <si>
    <t>Cianamida</t>
  </si>
  <si>
    <t>Anasac</t>
  </si>
  <si>
    <t>TC13821</t>
  </si>
  <si>
    <t>21000.047293/2017-15</t>
  </si>
  <si>
    <t>Indoxacarb Técnico Sino-Agri</t>
  </si>
  <si>
    <t>TC13921</t>
  </si>
  <si>
    <t>21000.054154/2018-29</t>
  </si>
  <si>
    <t>Pimetrozina técnico Rainbow</t>
  </si>
  <si>
    <t>IV - Produto Pouco Perigoso ao Meio Ambiente</t>
  </si>
  <si>
    <t>TC14021</t>
  </si>
  <si>
    <t>21000.043658/2016-51</t>
  </si>
  <si>
    <t>Flumioxazin Técnico Proventis</t>
  </si>
  <si>
    <t>TC14121</t>
  </si>
  <si>
    <t>21000.052469/2016-70</t>
  </si>
  <si>
    <t>Flumioxazin Técnico Adama</t>
  </si>
  <si>
    <t>TC14221</t>
  </si>
  <si>
    <t>21000.048260/2016-10</t>
  </si>
  <si>
    <t>Flumioxazin Técnico Proventis II</t>
  </si>
  <si>
    <t>TC14321</t>
  </si>
  <si>
    <t>21000.010132/2011-81</t>
  </si>
  <si>
    <t>Fipronil Técnico CN</t>
  </si>
  <si>
    <t>TC14421</t>
  </si>
  <si>
    <t>21000.025011/2018-18</t>
  </si>
  <si>
    <t>Imazetapir Técnico BRA</t>
  </si>
  <si>
    <t>TC14521</t>
  </si>
  <si>
    <t>21000.056398/2016-84</t>
  </si>
  <si>
    <t>Isoxaflutol Técnico Ola</t>
  </si>
  <si>
    <t>TC14621</t>
  </si>
  <si>
    <t>21000.071260/2019-58</t>
  </si>
  <si>
    <t>Isoxaflutol Técnico Ada Brasil</t>
  </si>
  <si>
    <t>TC14721</t>
  </si>
  <si>
    <t>21000.010780/2019-94</t>
  </si>
  <si>
    <t>Diafentiurom Técnico Proventis II</t>
  </si>
  <si>
    <t>TC14821</t>
  </si>
  <si>
    <t>21000.001471/2014-19</t>
  </si>
  <si>
    <t>Triflumuron Técnico RTM</t>
  </si>
  <si>
    <t>TC14921</t>
  </si>
  <si>
    <t>21000.025575/2018-42</t>
  </si>
  <si>
    <t>Sulfentrazone Técnico CHD'S</t>
  </si>
  <si>
    <t>TC15021</t>
  </si>
  <si>
    <t>21000.003779/2015-80</t>
  </si>
  <si>
    <t>Imazethapyr Técnico SD</t>
  </si>
  <si>
    <t>Sharda</t>
  </si>
  <si>
    <t>TC15121</t>
  </si>
  <si>
    <t>21000.002775/2015-84</t>
  </si>
  <si>
    <t>Fipronil Técnico Nortox BR</t>
  </si>
  <si>
    <t>Firponil</t>
  </si>
  <si>
    <t>TC15221</t>
  </si>
  <si>
    <t>21000.007229/2015-30</t>
  </si>
  <si>
    <t>Indoxacarbe Técnico Nortox</t>
  </si>
  <si>
    <t>TC15321</t>
  </si>
  <si>
    <t>21000.008895/2014-12</t>
  </si>
  <si>
    <t>Ametrina Técnico OF</t>
  </si>
  <si>
    <t>TC15421</t>
  </si>
  <si>
    <t>21000.032237/2020-81</t>
  </si>
  <si>
    <t>Ametrina Técnico Binnong</t>
  </si>
  <si>
    <t>TC15521</t>
  </si>
  <si>
    <t>21000.000447/2015-43</t>
  </si>
  <si>
    <t>Ametrina Técnico Nortox</t>
  </si>
  <si>
    <t>TC15621</t>
  </si>
  <si>
    <t>21000.000510/2017-11</t>
  </si>
  <si>
    <t>S-metolacloro Técnico Adama BR</t>
  </si>
  <si>
    <t>TC15721</t>
  </si>
  <si>
    <t>21000.008357/2015-09</t>
  </si>
  <si>
    <t>Ametrina Técnico Alta II</t>
  </si>
  <si>
    <t>TC15821</t>
  </si>
  <si>
    <t>21000.052925/2017-62</t>
  </si>
  <si>
    <t>Ametrina Técnico Adama</t>
  </si>
  <si>
    <t>TC15921</t>
  </si>
  <si>
    <t>21000.041736/2020-60</t>
  </si>
  <si>
    <t>Atrazina Técnico Binnong</t>
  </si>
  <si>
    <t>TC16021</t>
  </si>
  <si>
    <t>21000.035923/2020-12</t>
  </si>
  <si>
    <t>S-metolachlor Técnico Binnong</t>
  </si>
  <si>
    <t>TC16121</t>
  </si>
  <si>
    <t>21000.020587/2020-03</t>
  </si>
  <si>
    <t>Thiacloprid Técnico SAU</t>
  </si>
  <si>
    <t>TC16221</t>
  </si>
  <si>
    <t>21000.025712/2019-20</t>
  </si>
  <si>
    <t>Pyriproxifen Técnico ZY</t>
  </si>
  <si>
    <t>TC16321</t>
  </si>
  <si>
    <t>21000.014622/2019-11</t>
  </si>
  <si>
    <t>Flumioxazim Técnico Rainbow</t>
  </si>
  <si>
    <t>TC16421</t>
  </si>
  <si>
    <t>21000.022188/2021-50</t>
  </si>
  <si>
    <t>Bifenthrin Técnico Wynca</t>
  </si>
  <si>
    <t>TC16521</t>
  </si>
  <si>
    <t>21000.000626/2015-81</t>
  </si>
  <si>
    <t xml:space="preserve">Smilyn Técnico </t>
  </si>
  <si>
    <t>TC16621</t>
  </si>
  <si>
    <t>21000.032118/2019-95</t>
  </si>
  <si>
    <t>Pyriproxyfen Técnico CHDS</t>
  </si>
  <si>
    <t>TC16721</t>
  </si>
  <si>
    <t>21000.008036/2015-04</t>
  </si>
  <si>
    <t>Piraclostrobin Técnico Nortox</t>
  </si>
  <si>
    <t>TC16821</t>
  </si>
  <si>
    <t>21000.005831/2014-51</t>
  </si>
  <si>
    <t>Bifenthrin Y Técnico Helm</t>
  </si>
  <si>
    <t>TC16921</t>
  </si>
  <si>
    <t>21000.036187/2017-14</t>
  </si>
  <si>
    <t>Flumioxazin Técnico UPL BR</t>
  </si>
  <si>
    <t>TC17021</t>
  </si>
  <si>
    <t>21000.031071/2020-86</t>
  </si>
  <si>
    <t>Pyriproxyfen Técnico NGC</t>
  </si>
  <si>
    <t>TC17121</t>
  </si>
  <si>
    <t>21000.046412/2017-12</t>
  </si>
  <si>
    <t>Impyrfluxam Técnico</t>
  </si>
  <si>
    <t>Impirfluxam</t>
  </si>
  <si>
    <t>TC17221</t>
  </si>
  <si>
    <t>21000.007332/2014-07</t>
  </si>
  <si>
    <t>Bifentrina Técnico Mil</t>
  </si>
  <si>
    <t>TC17321</t>
  </si>
  <si>
    <t>21000.026482/2016-73</t>
  </si>
  <si>
    <t>Bifentrina Técnico Adama BR</t>
  </si>
  <si>
    <t>TC17421</t>
  </si>
  <si>
    <t>21000.041695/2018-97</t>
  </si>
  <si>
    <t>Flumioxazina Técnico ALS</t>
  </si>
  <si>
    <t>TC17521</t>
  </si>
  <si>
    <t>21000.025544/2018-91</t>
  </si>
  <si>
    <t>Cipermetrina Técnica Nortox V</t>
  </si>
  <si>
    <t>TC17621</t>
  </si>
  <si>
    <t>21000.001471/2018-42</t>
  </si>
  <si>
    <t>Bifentrina Técnica Nortox III</t>
  </si>
  <si>
    <t>TC17721</t>
  </si>
  <si>
    <t>21000.029850/2017-16</t>
  </si>
  <si>
    <t>Flumioxazin Técnico Nortox II</t>
  </si>
  <si>
    <t>TC17821</t>
  </si>
  <si>
    <t>21000.024989/2018-54</t>
  </si>
  <si>
    <t>Sulfentrazone Técnico Nortox V</t>
  </si>
  <si>
    <t>TC17921</t>
  </si>
  <si>
    <t>21000.004985/2014-26</t>
  </si>
  <si>
    <t>Dicamba Técnico Nortox</t>
  </si>
  <si>
    <t>TC18021</t>
  </si>
  <si>
    <t>21000.013972/2018-71</t>
  </si>
  <si>
    <t>Piraclostrobina Técnico Sulphur Mills</t>
  </si>
  <si>
    <t>TC18121</t>
  </si>
  <si>
    <t>21000.001745/2015-51</t>
  </si>
  <si>
    <t>Sulfumeturom Técnico JE-CropChem</t>
  </si>
  <si>
    <t>TC18221</t>
  </si>
  <si>
    <t>21000.008036/2012-53</t>
  </si>
  <si>
    <t>Trifloxistrobina Tradecorp Técnico</t>
  </si>
  <si>
    <t>TC18321</t>
  </si>
  <si>
    <t>21000.016148/2021-79</t>
  </si>
  <si>
    <t>Nicosulfurom Técnico Albaugh 01</t>
  </si>
  <si>
    <t>TC18421</t>
  </si>
  <si>
    <t>21000.005352/2015-16</t>
  </si>
  <si>
    <t>Carbendazim Técnico RTM</t>
  </si>
  <si>
    <t>TC18521</t>
  </si>
  <si>
    <t>21000.018926/2021-64</t>
  </si>
  <si>
    <t>Nicosulfuron Técnico NAB</t>
  </si>
  <si>
    <t>TC18621</t>
  </si>
  <si>
    <t>21000.006476/2014-38</t>
  </si>
  <si>
    <t>Clorimurom-Etílico Técnico Consagro</t>
  </si>
  <si>
    <t>Clorimuron</t>
  </si>
  <si>
    <t>TC18721</t>
  </si>
  <si>
    <t>21000.009457/2017-14</t>
  </si>
  <si>
    <t>Metoxifenozida Técnico UPL</t>
  </si>
  <si>
    <t>TC18821</t>
  </si>
  <si>
    <t>21000.031169/2019-08</t>
  </si>
  <si>
    <t>Diafentiurom Técnico CCAB II</t>
  </si>
  <si>
    <t>TC18921</t>
  </si>
  <si>
    <t>21000.047184/2017-06</t>
  </si>
  <si>
    <t>Flutriafol Técnico Ouro Fino</t>
  </si>
  <si>
    <t>Ouro FIno</t>
  </si>
  <si>
    <t>TC19021</t>
  </si>
  <si>
    <t>21000.062632/2016-11</t>
  </si>
  <si>
    <t>Revysol Técnico</t>
  </si>
  <si>
    <t>Mefentrifluconazol</t>
  </si>
  <si>
    <t>TC19121</t>
  </si>
  <si>
    <t>21000.007231/2014-28</t>
  </si>
  <si>
    <t>Sulfometuron Metil Técnico Nortox</t>
  </si>
  <si>
    <t>21000.007002/2016-75</t>
  </si>
  <si>
    <t>Clomazone CCAB 500 EC II</t>
  </si>
  <si>
    <t>21000.010846/2011-99</t>
  </si>
  <si>
    <t>Difluben 240 SC</t>
  </si>
  <si>
    <t>21000.033427/2017-11</t>
  </si>
  <si>
    <t>Livenko 500 SC</t>
  </si>
  <si>
    <t>21000.008001/2014-86</t>
  </si>
  <si>
    <t>Adengo</t>
  </si>
  <si>
    <t>Tiencarbazona; Isoxaflutol</t>
  </si>
  <si>
    <t>Stockton-Agrimor</t>
  </si>
  <si>
    <t>21000.004633/2014-71</t>
  </si>
  <si>
    <t>Atrazina 250 + Simazina 250 SC CCAB​</t>
  </si>
  <si>
    <t xml:space="preserve">Atrazina; Simazina </t>
  </si>
  <si>
    <t>21000.020432/2018-44</t>
  </si>
  <si>
    <t>Clorotalonil Nortox</t>
  </si>
  <si>
    <t>21000.012444/2010-48</t>
  </si>
  <si>
    <t xml:space="preserve">	Kasuran</t>
  </si>
  <si>
    <t>Kasugamicina; Oxicloreto de Cobre </t>
  </si>
  <si>
    <t>21000.004596/2018-24</t>
  </si>
  <si>
    <t xml:space="preserve">	Herbimax 806 SL</t>
  </si>
  <si>
    <t>21000.054241/2018-86</t>
  </si>
  <si>
    <t>Eliminate</t>
  </si>
  <si>
    <t>21000.000984/2014-11</t>
  </si>
  <si>
    <t>Celebre</t>
  </si>
  <si>
    <t xml:space="preserve">Metomil </t>
  </si>
  <si>
    <t>21000.001144/2014-67</t>
  </si>
  <si>
    <t>Nortox Maximus</t>
  </si>
  <si>
    <t xml:space="preserve"> Clorimurom-Etílico; Glifosato​, Sal de Amônio</t>
  </si>
  <si>
    <t>21000.002228/2014-18</t>
  </si>
  <si>
    <t xml:space="preserve"> Weedoff</t>
  </si>
  <si>
    <t>21000.004381/2013-07</t>
  </si>
  <si>
    <t>Hugecane</t>
  </si>
  <si>
    <t>Diurom; Hexazinona</t>
  </si>
  <si>
    <t>21000.005314/2013-00</t>
  </si>
  <si>
    <t>Nicosulfuron STK 40 SC</t>
  </si>
  <si>
    <t>21000.008018/2013-52</t>
  </si>
  <si>
    <t>Ganis 400 SC</t>
  </si>
  <si>
    <t>Bispiribaque-Sódico</t>
  </si>
  <si>
    <t>21000.009075/2013-59</t>
  </si>
  <si>
    <t>Albatross WG</t>
  </si>
  <si>
    <t>21000.009799/2013-01</t>
  </si>
  <si>
    <t>Trop Supra</t>
  </si>
  <si>
    <t>21000.010312/2013-24</t>
  </si>
  <si>
    <t>Banjo SC</t>
  </si>
  <si>
    <t>21000.012985/2016-61</t>
  </si>
  <si>
    <t>Emzeb Platina</t>
  </si>
  <si>
    <t>Sabero</t>
  </si>
  <si>
    <t>21000.018118/2019-82</t>
  </si>
  <si>
    <t>Baculomip-SF</t>
  </si>
  <si>
    <t xml:space="preserve">Spodoptera frugiperda multiple nucleopolyhedrovirus </t>
  </si>
  <si>
    <t>Promip</t>
  </si>
  <si>
    <t>21000.018926/2019-40</t>
  </si>
  <si>
    <t>Cletodim Nortox 240 EC</t>
  </si>
  <si>
    <t>21000.038700/2018-84</t>
  </si>
  <si>
    <t>Devamectin 18 EC</t>
  </si>
  <si>
    <t>21000.039791/2018-75</t>
  </si>
  <si>
    <t xml:space="preserve"> Maxclom 500 EC</t>
  </si>
  <si>
    <t>21000.042940/2018-83</t>
  </si>
  <si>
    <t>Garant</t>
  </si>
  <si>
    <t>Hidróxido de Cobre</t>
  </si>
  <si>
    <t>Mitsui &amp; Co.</t>
  </si>
  <si>
    <t>21000.044147/2019-08</t>
  </si>
  <si>
    <t>Kantor 1000 EC</t>
  </si>
  <si>
    <t>Malationa</t>
  </si>
  <si>
    <t>21000.002099/2014-68</t>
  </si>
  <si>
    <t>Azoxystrobin 250 SC Proventis</t>
  </si>
  <si>
    <t xml:space="preserve">Proventis </t>
  </si>
  <si>
    <t>21000.009245/2016-48</t>
  </si>
  <si>
    <t>Cletodim 240 EC Proventis</t>
  </si>
  <si>
    <t>21000.040832/2020-91</t>
  </si>
  <si>
    <t xml:space="preserve"> Bettus Org</t>
  </si>
  <si>
    <t>Bacillus thuringiensis</t>
  </si>
  <si>
    <t>Nooa Ciência</t>
  </si>
  <si>
    <t>21000.008080/2018-59</t>
  </si>
  <si>
    <t>Glufosinato 200 SL OF</t>
  </si>
  <si>
    <t>21000.044804/2020-42</t>
  </si>
  <si>
    <t>Metarhizium SR</t>
  </si>
  <si>
    <t>Oligos Biotecnologia</t>
  </si>
  <si>
    <t>21000.048339/2020-19</t>
  </si>
  <si>
    <t>Rudder</t>
  </si>
  <si>
    <t>Bacillus velezensis</t>
  </si>
  <si>
    <t>21000.049029/2020-11</t>
  </si>
  <si>
    <t>Bionema</t>
  </si>
  <si>
    <t>21000.049307/2020-31</t>
  </si>
  <si>
    <t>Btkill JCO</t>
  </si>
  <si>
    <r>
      <rPr>
        <rFont val="Arial"/>
        <color rgb="FF000066"/>
        <sz val="11.0"/>
      </rPr>
      <t>Bacillus thuringiensis</t>
    </r>
    <r>
      <rPr>
        <rFont val="Calibri"/>
        <color rgb="FF000000"/>
        <sz val="12.0"/>
      </rPr>
      <t> </t>
    </r>
  </si>
  <si>
    <t xml:space="preserve"> JCO</t>
  </si>
  <si>
    <t>21000.076596/2019-15</t>
  </si>
  <si>
    <t>Metha Protection</t>
  </si>
  <si>
    <t>21000.001285/2011-37</t>
  </si>
  <si>
    <t>Dumper</t>
  </si>
  <si>
    <t>21000.005237/2019-75</t>
  </si>
  <si>
    <t>Glifosato 720 Wg Tecnomyl</t>
  </si>
  <si>
    <t>21000.000307/2010-61</t>
  </si>
  <si>
    <t>Atrazina Alta 500 SC</t>
  </si>
  <si>
    <t>21000.008082/2018-48</t>
  </si>
  <si>
    <t>Glufosinato 200 SL Ouro Fino</t>
  </si>
  <si>
    <t>21000.015875/2018-13</t>
  </si>
  <si>
    <t>Noster</t>
  </si>
  <si>
    <t>Diafentiurom</t>
  </si>
  <si>
    <t>21000.017731/2019-82</t>
  </si>
  <si>
    <t>Augory</t>
  </si>
  <si>
    <t>21000.019908/2018-02</t>
  </si>
  <si>
    <t>Nexton</t>
  </si>
  <si>
    <t>21000.019909/2018-49</t>
  </si>
  <si>
    <t>Haloxifop-Metílico 124,7 EC Tecnomyl II</t>
  </si>
  <si>
    <t>Haloxifop-p-metílico</t>
  </si>
  <si>
    <t>21000.038711/2018-64</t>
  </si>
  <si>
    <t>Promitor 480 EC</t>
  </si>
  <si>
    <t>21000.045180/2018-66</t>
  </si>
  <si>
    <t>Poquer EC BR</t>
  </si>
  <si>
    <t xml:space="preserve"> Adama</t>
  </si>
  <si>
    <t>21000.052030/2018-17</t>
  </si>
  <si>
    <t>Legion</t>
  </si>
  <si>
    <t>Fenitrotiona; Esfenvalerato</t>
  </si>
  <si>
    <t>21000.052287/2020-85</t>
  </si>
  <si>
    <t>BTP 005-19</t>
  </si>
  <si>
    <t>Bacillus pumilus</t>
  </si>
  <si>
    <t>21000.053099/2020-74</t>
  </si>
  <si>
    <t>Bioup</t>
  </si>
  <si>
    <t>21000.055689/2018-17</t>
  </si>
  <si>
    <t>Curanza</t>
  </si>
  <si>
    <t>21000.061392/2020-13</t>
  </si>
  <si>
    <t>Jb Tel-P</t>
  </si>
  <si>
    <t xml:space="preserve"> Telenomus podisi</t>
  </si>
  <si>
    <t>21000.010973/2008-92</t>
  </si>
  <si>
    <t>Ridomil Gold MZ 680 WG</t>
  </si>
  <si>
    <t xml:space="preserve">Mancozebe; Metalaxil-M </t>
  </si>
  <si>
    <t>21000.002770/2012-17</t>
  </si>
  <si>
    <t>Zack</t>
  </si>
  <si>
    <t xml:space="preserve">2,4-D; Picloram </t>
  </si>
  <si>
    <t>21000.002804/2015-16</t>
  </si>
  <si>
    <t xml:space="preserve"> Abamectina 72 EC Cropchem</t>
  </si>
  <si>
    <t>21000.005824/2013-79</t>
  </si>
  <si>
    <t>Sinochem Fluazinam 500 SC</t>
  </si>
  <si>
    <t>21000.006521/2018-88</t>
  </si>
  <si>
    <t>Atrazina 900 WG Crop</t>
  </si>
  <si>
    <t xml:space="preserve"> Atrazina </t>
  </si>
  <si>
    <t xml:space="preserve"> ProRegistros</t>
  </si>
  <si>
    <t>21000.008190/2013-14</t>
  </si>
  <si>
    <t>Soyatop</t>
  </si>
  <si>
    <t> Rainbow</t>
  </si>
  <si>
    <t>21000.019537/2016-99</t>
  </si>
  <si>
    <t>Wonder</t>
  </si>
  <si>
    <t>21000.019541/2016-57</t>
  </si>
  <si>
    <t>Cative</t>
  </si>
  <si>
    <t>21000.025806/2016-56</t>
  </si>
  <si>
    <t>Triclopir Nortox</t>
  </si>
  <si>
    <t>21000.037344/2016-10</t>
  </si>
  <si>
    <t>Voleo</t>
  </si>
  <si>
    <t>Trifloxissulfurom-sódico</t>
  </si>
  <si>
    <t xml:space="preserve">Tecnomyl </t>
  </si>
  <si>
    <t>21000.066489/2020-12</t>
  </si>
  <si>
    <t>Fal1780-2</t>
  </si>
  <si>
    <t>Cinetina; Ácido Giberélico; Ácido 4-Indol-3-Ilbutírico</t>
  </si>
  <si>
    <t xml:space="preserve"> De Sangosse</t>
  </si>
  <si>
    <t>21000.001964/2014-59</t>
  </si>
  <si>
    <t>Prilan 250 SC</t>
  </si>
  <si>
    <t>21000.005976/2018-86</t>
  </si>
  <si>
    <t>Proclaim Fit 45 WG</t>
  </si>
  <si>
    <t>21000.039718/2018-01</t>
  </si>
  <si>
    <t>Horos BR</t>
  </si>
  <si>
    <t>Picoxistrobina; Tebuconazol</t>
  </si>
  <si>
    <t>21000.000139/2018-61</t>
  </si>
  <si>
    <t xml:space="preserve">Kingstar Xtra </t>
  </si>
  <si>
    <t>21000.029240/2017-12</t>
  </si>
  <si>
    <t>Atrazina 900 WG Fersol</t>
  </si>
  <si>
    <t xml:space="preserve"> Atrazina</t>
  </si>
  <si>
    <t xml:space="preserve"> Ameribrás</t>
  </si>
  <si>
    <t>21000.067136/2020-21</t>
  </si>
  <si>
    <t>Biogalloi</t>
  </si>
  <si>
    <t>Trichogramma galloi  </t>
  </si>
  <si>
    <t>21000.077164/2020-57</t>
  </si>
  <si>
    <t xml:space="preserve"> Amitrix SC</t>
  </si>
  <si>
    <t>Bacillus amyloliquefaciens</t>
  </si>
  <si>
    <t>21000.001088/2013-80</t>
  </si>
  <si>
    <t xml:space="preserve">Fipronil Eds 250 FS </t>
  </si>
  <si>
    <t xml:space="preserve">Fipronil  </t>
  </si>
  <si>
    <t>21000.006543/2016-86</t>
  </si>
  <si>
    <t>Sequest​</t>
  </si>
  <si>
    <t>21000.010395/2012-71</t>
  </si>
  <si>
    <t xml:space="preserve">Diflubenzuron CCAB 480 SC </t>
  </si>
  <si>
    <t>21000.010401/2013-71</t>
  </si>
  <si>
    <t>Asafat 750 SP</t>
  </si>
  <si>
    <t>21000.025258/2020-41</t>
  </si>
  <si>
    <t>Ingrain</t>
  </si>
  <si>
    <t>Ácido Abscísico</t>
  </si>
  <si>
    <t>21000.066502/2020-25</t>
  </si>
  <si>
    <t>Revel</t>
  </si>
  <si>
    <t>De Sangosse</t>
  </si>
  <si>
    <t>21000.066143/2020-14</t>
  </si>
  <si>
    <t>Baculonat Sf</t>
  </si>
  <si>
    <t>Spodoptera frugiperda multiple nucleopolyhedrovirus</t>
  </si>
  <si>
    <t>21000.069895/2019-95</t>
  </si>
  <si>
    <t xml:space="preserve">New Elatus 1 </t>
  </si>
  <si>
    <t>Benzovindiflupir; Ciproconazol; Difenoconazol</t>
  </si>
  <si>
    <t>21000.068107/2019-43</t>
  </si>
  <si>
    <t>Mitrion</t>
  </si>
  <si>
    <t xml:space="preserve"> Benzovindiflupir; Protioconazol </t>
  </si>
  <si>
    <t>21000.062849/2020-07</t>
  </si>
  <si>
    <t>Eco-Zone</t>
  </si>
  <si>
    <t>Bacillus thuringiensis var. aizawai  </t>
  </si>
  <si>
    <t>21000.058626/2020-37</t>
  </si>
  <si>
    <t xml:space="preserve">Spodovir </t>
  </si>
  <si>
    <t>21000.048711/2020-97</t>
  </si>
  <si>
    <t xml:space="preserve">Keepdry Org </t>
  </si>
  <si>
    <t xml:space="preserve">Terra Diatomácea  </t>
  </si>
  <si>
    <t>Irrigação Dias</t>
  </si>
  <si>
    <t>21000.055858/2018-19</t>
  </si>
  <si>
    <t xml:space="preserve">Hipertrina  </t>
  </si>
  <si>
    <t>21000.036050/2020-57</t>
  </si>
  <si>
    <t xml:space="preserve"> Ataplan </t>
  </si>
  <si>
    <t xml:space="preserve">Bacillus velezensis; Bacillus subtilis </t>
  </si>
  <si>
    <t>21000.031997/2019-38</t>
  </si>
  <si>
    <t>Iscalure Bw 60</t>
  </si>
  <si>
    <t>Grandlure</t>
  </si>
  <si>
    <t xml:space="preserve">Isca Tecnologias </t>
  </si>
  <si>
    <t>21000.013931/2018-85</t>
  </si>
  <si>
    <t>Atrazina 500 SC CCAB</t>
  </si>
  <si>
    <t>21000.011670/2011-92</t>
  </si>
  <si>
    <t>Linear</t>
  </si>
  <si>
    <t>Aminopiralide; 2,4-D</t>
  </si>
  <si>
    <t>Dow AgroSciences</t>
  </si>
  <si>
    <t>21000.006434/2014-05</t>
  </si>
  <si>
    <t xml:space="preserve">Izogor </t>
  </si>
  <si>
    <t>Imazapir; Imazapique</t>
  </si>
  <si>
    <t>21000.031527/2020-16</t>
  </si>
  <si>
    <t xml:space="preserve">Boven </t>
  </si>
  <si>
    <t xml:space="preserve">Beauveria bassiana </t>
  </si>
  <si>
    <t>Biota</t>
  </si>
  <si>
    <t>21000.008578/2015-79</t>
  </si>
  <si>
    <t>Panzer Max 750 WG</t>
  </si>
  <si>
    <t>Clorimurom-Etílico</t>
  </si>
  <si>
    <t>21000.030750/2019-02</t>
  </si>
  <si>
    <t>Brazeb 800 WP</t>
  </si>
  <si>
    <t>21000.001016/2014-13</t>
  </si>
  <si>
    <t xml:space="preserve"> Adobe 450 FS</t>
  </si>
  <si>
    <t xml:space="preserve"> Ipconazol </t>
  </si>
  <si>
    <t>21000.003979/2015-32</t>
  </si>
  <si>
    <t xml:space="preserve">Distintobr </t>
  </si>
  <si>
    <t xml:space="preserve"> Isoxaflutol</t>
  </si>
  <si>
    <t xml:space="preserve"> Ouro Fino</t>
  </si>
  <si>
    <t>21000.054289/2020-17</t>
  </si>
  <si>
    <t xml:space="preserve">Biobac-T </t>
  </si>
  <si>
    <t>Vital Brasil</t>
  </si>
  <si>
    <t>21000.075531/2020-88</t>
  </si>
  <si>
    <t>Ltb-001</t>
  </si>
  <si>
    <t>Cinetina; Ácido 4-Indol-3-Ilbutírico</t>
  </si>
  <si>
    <t>21000.076426/2020-66</t>
  </si>
  <si>
    <t xml:space="preserve">Ltb-001a </t>
  </si>
  <si>
    <t>21016.003037/2020-42</t>
  </si>
  <si>
    <t>Nematrop</t>
  </si>
  <si>
    <t>Bacillus subtilis</t>
  </si>
  <si>
    <t>Biotrip</t>
  </si>
  <si>
    <t>21000.048254/2016-54</t>
  </si>
  <si>
    <t>Mauser 500 SC</t>
  </si>
  <si>
    <t>21000.013729/2020-78</t>
  </si>
  <si>
    <t>Shadow K</t>
  </si>
  <si>
    <t>21000.010804/2012-39</t>
  </si>
  <si>
    <r>
      <rPr>
        <rFont val="Arial"/>
        <color rgb="FF000066"/>
        <sz val="11.0"/>
      </rPr>
      <t>Diuron 468 Hexazinona 132 CCAB WG</t>
    </r>
    <r>
      <rPr>
        <rFont val="Calibri"/>
        <color rgb="FF000000"/>
        <sz val="12.0"/>
      </rPr>
      <t> </t>
    </r>
  </si>
  <si>
    <t>Diurom; Hexazinona</t>
  </si>
  <si>
    <t>21000.007408/2014-96</t>
  </si>
  <si>
    <t>Procampo 500 SC</t>
  </si>
  <si>
    <t xml:space="preserve">Carbendazim  </t>
  </si>
  <si>
    <t>21000.079045/2020-39</t>
  </si>
  <si>
    <t>Flycontrol WP</t>
  </si>
  <si>
    <t>21000.035386/2018-88</t>
  </si>
  <si>
    <t>Rapid Gold</t>
  </si>
  <si>
    <t>Mancozebe; Cimoxamil</t>
  </si>
  <si>
    <t xml:space="preserve"> Proregistros</t>
  </si>
  <si>
    <t>21000.035381/2018-55</t>
  </si>
  <si>
    <t>Dosay</t>
  </si>
  <si>
    <t>21000.027914/2018-25</t>
  </si>
  <si>
    <t>Difenoconazol Ccab 250 EC</t>
  </si>
  <si>
    <t xml:space="preserve"> Difenoconazole</t>
  </si>
  <si>
    <t>21000.023123/2016-64</t>
  </si>
  <si>
    <t>Enlist Crops Colex-D</t>
  </si>
  <si>
    <t>2,4-D, Sal de Colina</t>
  </si>
  <si>
    <t>21000.008107/2015-61</t>
  </si>
  <si>
    <t xml:space="preserve"> Lanex 800 WG</t>
  </si>
  <si>
    <t>21000.005602/2014-37</t>
  </si>
  <si>
    <t>Versátilbr</t>
  </si>
  <si>
    <t>Azoxistrobina  </t>
  </si>
  <si>
    <t>21000.001390/2013-38</t>
  </si>
  <si>
    <t>Fipronil Zei 250 FS</t>
  </si>
  <si>
    <t> AllierBrasil </t>
  </si>
  <si>
    <t>21000.082612/2020-34</t>
  </si>
  <si>
    <t>Mng03/14  </t>
  </si>
  <si>
    <t>Trichoderma asperellum</t>
  </si>
  <si>
    <t xml:space="preserve">Agrobiológica </t>
  </si>
  <si>
    <t>21000.007613/2014-51</t>
  </si>
  <si>
    <t>Azoxistrobina Atanor 250 SC</t>
  </si>
  <si>
    <t>21000.004096/2015-40</t>
  </si>
  <si>
    <t>Empiric</t>
  </si>
  <si>
    <t>21000.000284/2015-07</t>
  </si>
  <si>
    <t xml:space="preserve">Fipronil Nortox Max </t>
  </si>
  <si>
    <t>21000.000566/2015-04</t>
  </si>
  <si>
    <t>Azoxystrobin 250 Sc Pls Cl1</t>
  </si>
  <si>
    <t>21000.002562/2014-71</t>
  </si>
  <si>
    <t xml:space="preserve"> Bevorin </t>
  </si>
  <si>
    <t xml:space="preserve">Alfa-cipermetrina; Fipronil; Piraclostrobina    </t>
  </si>
  <si>
    <t>21000.006614/2013-06</t>
  </si>
  <si>
    <r>
      <rPr>
        <rFont val="Arial"/>
        <color rgb="FF000066"/>
        <sz val="11.0"/>
      </rPr>
      <t>Glory</t>
    </r>
    <r>
      <rPr>
        <rFont val="Calibri"/>
        <color rgb="FF000000"/>
        <sz val="12.0"/>
      </rPr>
      <t> </t>
    </r>
    <r>
      <rPr>
        <rFont val="Calibri"/>
        <b/>
        <color rgb="FF000000"/>
        <sz val="12.0"/>
      </rPr>
      <t> </t>
    </r>
  </si>
  <si>
    <t>Haloxifope-p-metílico</t>
  </si>
  <si>
    <t>21000.010768/2012-11</t>
  </si>
  <si>
    <t>Hexazinona 132 + Diurom 468 WG Genbra</t>
  </si>
  <si>
    <t>Hexazinona; Diurom</t>
  </si>
  <si>
    <t>21000.029442/2018-45</t>
  </si>
  <si>
    <t>Cadet</t>
  </si>
  <si>
    <t xml:space="preserve">Proregistros </t>
  </si>
  <si>
    <t>21000.018809/2016-33</t>
  </si>
  <si>
    <t>Kolyna</t>
  </si>
  <si>
    <t>21000.001196/2011-91</t>
  </si>
  <si>
    <t>Tronador</t>
  </si>
  <si>
    <t>Aminopiralide, Sal Triisopropanolamina; 2,4-D, Sal Triisopropanolamina</t>
  </si>
  <si>
    <t>Dow Agrosciences</t>
  </si>
  <si>
    <t>21000.003823/2013-90</t>
  </si>
  <si>
    <t xml:space="preserve"> Fipronil Eds 800 WG</t>
  </si>
  <si>
    <t>21000.001124/2013-13</t>
  </si>
  <si>
    <t>Fipronil Brt 250 FS</t>
  </si>
  <si>
    <t>21000.002871/2013-61</t>
  </si>
  <si>
    <t>Fipronil Nag 800 WG</t>
  </si>
  <si>
    <t>21000.063586/2020-45</t>
  </si>
  <si>
    <t>Botanigard WP</t>
  </si>
  <si>
    <t>Beauveria bassiana, cepa GHA</t>
  </si>
  <si>
    <t>21000.017815/2018-35</t>
  </si>
  <si>
    <t>Bt-Turbo</t>
  </si>
  <si>
    <t>Biovalens</t>
  </si>
  <si>
    <t>21000.010870/2012-17</t>
  </si>
  <si>
    <t>Glifosato Nortox Ultra</t>
  </si>
  <si>
    <t>21000.008228/2021-51</t>
  </si>
  <si>
    <t>Laphy Protection</t>
  </si>
  <si>
    <t>21000.006959/2013-51</t>
  </si>
  <si>
    <t>Azoxistrobin 200 Ciproconazole 80 CCAB SC</t>
  </si>
  <si>
    <t xml:space="preserve"> Azoxistrobina; Ciproconazol</t>
  </si>
  <si>
    <t>21000.006199/2014-63</t>
  </si>
  <si>
    <t>Nadran 250</t>
  </si>
  <si>
    <t>Cloreto de Mepiquate</t>
  </si>
  <si>
    <t>Luxembourg</t>
  </si>
  <si>
    <t>21000.004288/2011-22</t>
  </si>
  <si>
    <t>Glifoxin WG</t>
  </si>
  <si>
    <t>Glifosato, Sal de amônio</t>
  </si>
  <si>
    <t>21000.001335/2014-29</t>
  </si>
  <si>
    <t>Adexar</t>
  </si>
  <si>
    <t>Fluxapiroxade; Epoxiconazol</t>
  </si>
  <si>
    <t>21000.002840/2021-10</t>
  </si>
  <si>
    <t>Tbio</t>
  </si>
  <si>
    <t xml:space="preserve">Beauveria bassiana; Metarhizium anisopliae </t>
  </si>
  <si>
    <t>21000.083035/2020-06</t>
  </si>
  <si>
    <t>Loopovir</t>
  </si>
  <si>
    <t>Chrysodeixis includens nucleopolyhedrovirus</t>
  </si>
  <si>
    <t>21000.017341/2018-21</t>
  </si>
  <si>
    <t>Isoxaflutole 750 WG BR</t>
  </si>
  <si>
    <t>21000.015781/2019-25</t>
  </si>
  <si>
    <t>Bastnate Xtra</t>
  </si>
  <si>
    <t xml:space="preserve"> Rainbow </t>
  </si>
  <si>
    <t>21000.013984/2016-34</t>
  </si>
  <si>
    <t>Cletodim 240 EC Pls Cl1</t>
  </si>
  <si>
    <t xml:space="preserve"> Cletodim</t>
  </si>
  <si>
    <t xml:space="preserve"> Proventis</t>
  </si>
  <si>
    <t>21000.005916/2015-11</t>
  </si>
  <si>
    <t>Lambda-Cialotrina 50 CS</t>
  </si>
  <si>
    <t xml:space="preserve">Oxon </t>
  </si>
  <si>
    <t>21000.003313/2013-12</t>
  </si>
  <si>
    <t>Bingo 250 FS</t>
  </si>
  <si>
    <t>21000.001415/2015-65</t>
  </si>
  <si>
    <t>Glifosato 720 WG Atanor</t>
  </si>
  <si>
    <t>21000.001403/2014-50</t>
  </si>
  <si>
    <t>Trop Milenia</t>
  </si>
  <si>
    <t>21000.000902/2014-20</t>
  </si>
  <si>
    <t xml:space="preserve"> Avanti</t>
  </si>
  <si>
    <t>21000.000109/2014-21</t>
  </si>
  <si>
    <t>Weedfire</t>
  </si>
  <si>
    <t xml:space="preserve"> Fluroxipir-Meptílico</t>
  </si>
  <si>
    <t>21000.038935/2018-76</t>
  </si>
  <si>
    <t>Glufosinate-Ammonium Yng  </t>
  </si>
  <si>
    <t xml:space="preserve">Glufosinato-sal de amônio  </t>
  </si>
  <si>
    <t> Yonon</t>
  </si>
  <si>
    <t>21000.002561/2014-27</t>
  </si>
  <si>
    <t>Rentap</t>
  </si>
  <si>
    <t>Fipronil; Alfa-cipermetrina; Piraclostrobina</t>
  </si>
  <si>
    <t>21000.006398/2014-71</t>
  </si>
  <si>
    <t>Phenom</t>
  </si>
  <si>
    <t>21000.006548/2014-47</t>
  </si>
  <si>
    <t>Instal 250 FS</t>
  </si>
  <si>
    <t>21000.006662/2014-77</t>
  </si>
  <si>
    <t> Maratona 250 FS</t>
  </si>
  <si>
    <t>21000.008460/2014-60</t>
  </si>
  <si>
    <t>Saurus WG</t>
  </si>
  <si>
    <t>21000.010054/2013-86</t>
  </si>
  <si>
    <t>Scirocco</t>
  </si>
  <si>
    <t>21000.017340/2018-87</t>
  </si>
  <si>
    <t>Blexis</t>
  </si>
  <si>
    <t> Isoxaflutol </t>
  </si>
  <si>
    <t>21000.028339/2017-05</t>
  </si>
  <si>
    <t>Ametrina CCAB 800 WG</t>
  </si>
  <si>
    <t>21000.028341/2017-76</t>
  </si>
  <si>
    <t>Sultão</t>
  </si>
  <si>
    <t>21000.028342/2017-11</t>
  </si>
  <si>
    <t>Ameforce</t>
  </si>
  <si>
    <t>21000.028344/2017-18</t>
  </si>
  <si>
    <t>Ametrina 800 WG CHDS</t>
  </si>
  <si>
    <t>21000.035382/2018-08</t>
  </si>
  <si>
    <t> Fen</t>
  </si>
  <si>
    <t>21000.054935/2017-32</t>
  </si>
  <si>
    <t>Cronnos OD BR</t>
  </si>
  <si>
    <t>Picoxistrobina; Tebuconazol; Mancozebe</t>
  </si>
  <si>
    <t> Adama</t>
  </si>
  <si>
    <t>21000.004589/2013-18</t>
  </si>
  <si>
    <t>Glifosal Safe</t>
  </si>
  <si>
    <t>Glifosato -  Sal de isopropilamina </t>
  </si>
  <si>
    <t>21000.026127/2017-85</t>
  </si>
  <si>
    <t>Atrazina 900 Wg OF</t>
  </si>
  <si>
    <t>21000.005608/2013-23</t>
  </si>
  <si>
    <t>Lato</t>
  </si>
  <si>
    <t>Lactofem  </t>
  </si>
  <si>
    <t>Anulado</t>
  </si>
  <si>
    <t>21000.079654/2020-98</t>
  </si>
  <si>
    <t>Trichodermaiz WP</t>
  </si>
  <si>
    <t>Biocontrol</t>
  </si>
  <si>
    <t>21000.030122/2020-52</t>
  </si>
  <si>
    <t>Bassmax</t>
  </si>
  <si>
    <t> Beauveria bassiana</t>
  </si>
  <si>
    <t>21000.030095/2020-18</t>
  </si>
  <si>
    <t>Bio-Bass</t>
  </si>
  <si>
    <t>21000.011751/2021-64</t>
  </si>
  <si>
    <t>Bemitrixwg</t>
  </si>
  <si>
    <t>21000.000295/2021-27</t>
  </si>
  <si>
    <t>Nat Beauveria</t>
  </si>
  <si>
    <t xml:space="preserve"> Beauveria bassiana</t>
  </si>
  <si>
    <t>Agropaulo</t>
  </si>
  <si>
    <t>21000.004653/2019-56</t>
  </si>
  <si>
    <t>Detonan</t>
  </si>
  <si>
    <t>Florpirauxifen-benzil</t>
  </si>
  <si>
    <t>21000.006053/2012-56</t>
  </si>
  <si>
    <t>Trilla Plus</t>
  </si>
  <si>
    <t>21000.006054/2012-09</t>
  </si>
  <si>
    <t>Rainburon Plus</t>
  </si>
  <si>
    <t>21000.008274/2014-21</t>
  </si>
  <si>
    <t>Vessarya Br</t>
  </si>
  <si>
    <t xml:space="preserve"> Picoxistrobina; Benzovindiflupir</t>
  </si>
  <si>
    <t>21000.012031/2021-16</t>
  </si>
  <si>
    <t>Metamix WG</t>
  </si>
  <si>
    <t>21000.008806/2014-20</t>
  </si>
  <si>
    <t>Zelone</t>
  </si>
  <si>
    <t>Imazetapir; Imazapique</t>
  </si>
  <si>
    <t>21000.002208/2014-47</t>
  </si>
  <si>
    <t>Shopra 970 WG</t>
  </si>
  <si>
    <t xml:space="preserve"> 2,4-D</t>
  </si>
  <si>
    <t>21000.008285/2013-20</t>
  </si>
  <si>
    <t>Revanche</t>
  </si>
  <si>
    <t xml:space="preserve">  21000.002422/2013-12  </t>
  </si>
  <si>
    <t>Kamuy  </t>
  </si>
  <si>
    <t>Fenpirazamina; Procimidona   </t>
  </si>
  <si>
    <t xml:space="preserve"> Sumitomo </t>
  </si>
  <si>
    <t>21000.006023/2014-10</t>
  </si>
  <si>
    <t>Kenja</t>
  </si>
  <si>
    <t xml:space="preserve"> Isofetamida  </t>
  </si>
  <si>
    <t>Isk Biosciences</t>
  </si>
  <si>
    <t>21000.030928/2017-45</t>
  </si>
  <si>
    <t xml:space="preserve">Clorfenapir 240 SC Cropchem
</t>
  </si>
  <si>
    <t>Clorfenapir</t>
  </si>
  <si>
    <t>21000.004040/2014-12</t>
  </si>
  <si>
    <t>Diuron CCAB 500 SC</t>
  </si>
  <si>
    <t>21000.002906/2015-23</t>
  </si>
  <si>
    <t xml:space="preserve"> Zelig</t>
  </si>
  <si>
    <t xml:space="preserve"> Clomazona</t>
  </si>
  <si>
    <t>21000.001621/2011-41</t>
  </si>
  <si>
    <t>Tebutiuron CCAB 500 SC</t>
  </si>
  <si>
    <t>21000.000670/2015-91</t>
  </si>
  <si>
    <t>Flexstar GT</t>
  </si>
  <si>
    <t>Fomesafem-Sódico; Glifosato, Sal de Di-amônio</t>
  </si>
  <si>
    <t>21000.083517/2020-58</t>
  </si>
  <si>
    <t>Minex-Neo</t>
  </si>
  <si>
    <t xml:space="preserve"> Neochrysocharis formosa</t>
  </si>
  <si>
    <t>21000.001647/2014-32</t>
  </si>
  <si>
    <t>Hexafort WG</t>
  </si>
  <si>
    <t xml:space="preserve"> UPL</t>
  </si>
  <si>
    <t>21000.004045/2014-37</t>
  </si>
  <si>
    <t>Tiofanato 500 SC Proventis</t>
  </si>
  <si>
    <t>21000.008418/2014-49</t>
  </si>
  <si>
    <t>Lot 500 SC</t>
  </si>
  <si>
    <t>21000.008613/2015-50</t>
  </si>
  <si>
    <t>Patrol BR SL</t>
  </si>
  <si>
    <t>21000.009724/2013-11</t>
  </si>
  <si>
    <t>Ankara 350 SC</t>
  </si>
  <si>
    <t>21000.010393/2011-09</t>
  </si>
  <si>
    <t>Flowsan FS</t>
  </si>
  <si>
    <t>Tiram</t>
  </si>
  <si>
    <t xml:space="preserve">Taminco </t>
  </si>
  <si>
    <t>21000.036314/2016-96</t>
  </si>
  <si>
    <t>Noweed Nortox</t>
  </si>
  <si>
    <t> Fluroxipir-meptílico; Picloram</t>
  </si>
  <si>
    <t xml:space="preserve"> Nortox</t>
  </si>
  <si>
    <t>21000.046617/2018-89</t>
  </si>
  <si>
    <t>Baikal</t>
  </si>
  <si>
    <t xml:space="preserve">Tradecorp </t>
  </si>
  <si>
    <t>21000.006554/2014-02</t>
  </si>
  <si>
    <t>Bellavi</t>
  </si>
  <si>
    <t>Clorantraniliprole</t>
  </si>
  <si>
    <t>21000.006553/2014-50</t>
  </si>
  <si>
    <t>Cernis</t>
  </si>
  <si>
    <t>21000.051170/2020-84</t>
  </si>
  <si>
    <t>Pretio IN</t>
  </si>
  <si>
    <t>IN Soluções</t>
  </si>
  <si>
    <t>21000.083511/2020-81</t>
  </si>
  <si>
    <t>Barkmax</t>
  </si>
  <si>
    <t>Neoseiulus barkeri</t>
  </si>
  <si>
    <t xml:space="preserve">Topbio </t>
  </si>
  <si>
    <t>21016.002180/2021-06</t>
  </si>
  <si>
    <t>Bioscap Liq</t>
  </si>
  <si>
    <t>21000.080483/2019-14</t>
  </si>
  <si>
    <t>Baktillis</t>
  </si>
  <si>
    <t>21016.001419/2021-12</t>
  </si>
  <si>
    <t>Ecobals</t>
  </si>
  <si>
    <t>21000.002697/2014-37</t>
  </si>
  <si>
    <t>Simanex Supermix</t>
  </si>
  <si>
    <t>Simazina; Atrazina</t>
  </si>
  <si>
    <t>21000.002785/2014-39</t>
  </si>
  <si>
    <t>Protecta</t>
  </si>
  <si>
    <t>Abamectina; Ciantraniliprole</t>
  </si>
  <si>
    <t>21000.003215/2021-95</t>
  </si>
  <si>
    <t>Smartfresh Protabs</t>
  </si>
  <si>
    <t xml:space="preserve"> AgroFresh </t>
  </si>
  <si>
    <t>21000.007038/2014-97</t>
  </si>
  <si>
    <t>Seltima</t>
  </si>
  <si>
    <t>21016.001266/2021-11</t>
  </si>
  <si>
    <t>Ecobaci T</t>
  </si>
  <si>
    <t>21016.002876/2021-24</t>
  </si>
  <si>
    <t>Ecotetran</t>
  </si>
  <si>
    <t>21000.008090/2021-90</t>
  </si>
  <si>
    <t>Vir Protection C.I.</t>
  </si>
  <si>
    <t xml:space="preserve">Chrysodeixis includens multiple nucleopolyhedrovirus (ChinNPV) </t>
  </si>
  <si>
    <t>21000.002695/2014-48</t>
  </si>
  <si>
    <t>Gesazina Supermix</t>
  </si>
  <si>
    <t>21000.002397/2014-58</t>
  </si>
  <si>
    <t>Plesiva</t>
  </si>
  <si>
    <t>21000.029919/2020-15</t>
  </si>
  <si>
    <t>Isoxaflutol 750 WG Albaugh</t>
  </si>
  <si>
    <t>21000.014189/2021-21</t>
  </si>
  <si>
    <t>Telemip</t>
  </si>
  <si>
    <t>Telenomus podisi</t>
  </si>
  <si>
    <t>21000.082109/2020-89</t>
  </si>
  <si>
    <t>Looper Protection</t>
  </si>
  <si>
    <t>Chrysodeixis includens multiple nucleopolyhedrovirus (ChinMNPV)</t>
  </si>
  <si>
    <t>21000.003945/2013-86</t>
  </si>
  <si>
    <t>Bonanza</t>
  </si>
  <si>
    <t>21000.010139/2013-64</t>
  </si>
  <si>
    <t>Atrazina Atanor II</t>
  </si>
  <si>
    <t>21000.010138/2013-10</t>
  </si>
  <si>
    <t>2,4-D Atanor II</t>
  </si>
  <si>
    <t>21000.054747/2017-12</t>
  </si>
  <si>
    <t>Bazuka Duo</t>
  </si>
  <si>
    <t>Metomil; Bifentrina</t>
  </si>
  <si>
    <t>21000.000671/2015-35</t>
  </si>
  <si>
    <t>Yeti Gold</t>
  </si>
  <si>
    <t>Azoxistrobina; Tebuconazol</t>
  </si>
  <si>
    <t>21016.001497/2021-17</t>
  </si>
  <si>
    <t>Velez</t>
  </si>
  <si>
    <t>21000.033429/2017-18</t>
  </si>
  <si>
    <t>Looper 250 EC</t>
  </si>
  <si>
    <t>21000.006024/2014-56</t>
  </si>
  <si>
    <t xml:space="preserve">Goemon </t>
  </si>
  <si>
    <t xml:space="preserve">Isk Biosciences </t>
  </si>
  <si>
    <t>21000.083185/2020-10</t>
  </si>
  <si>
    <t>Greencontrol</t>
  </si>
  <si>
    <t xml:space="preserve"> Trichoderma harzianum</t>
  </si>
  <si>
    <t>21000.010140/2013-99</t>
  </si>
  <si>
    <t>Atrazina Atanor III</t>
  </si>
  <si>
    <t>21016.001306/2021-17</t>
  </si>
  <si>
    <t>Ecocordy</t>
  </si>
  <si>
    <t>Isaria fumosorosea</t>
  </si>
  <si>
    <t>21000.083514/2020-14</t>
  </si>
  <si>
    <t>Ideus</t>
  </si>
  <si>
    <t>Neoseiulus idaeus</t>
  </si>
  <si>
    <t>21016.002720/2021-43</t>
  </si>
  <si>
    <t>Amanzi</t>
  </si>
  <si>
    <t>21000.010137/2013-75</t>
  </si>
  <si>
    <t>2,4-D Atanor III</t>
  </si>
  <si>
    <t>2,4 D, Sal de Dimetilamina</t>
  </si>
  <si>
    <t>21000.001789/2013-19</t>
  </si>
  <si>
    <t>Asgard 500 SC</t>
  </si>
  <si>
    <t>21000.043164/2018-39</t>
  </si>
  <si>
    <t>Armero BR</t>
  </si>
  <si>
    <t xml:space="preserve"> Protioconazol; Mancozebe</t>
  </si>
  <si>
    <t>21000.039024/2017-85</t>
  </si>
  <si>
    <t>Profair</t>
  </si>
  <si>
    <t>Azoxistrobina; Mancozebe; Protioconazol</t>
  </si>
  <si>
    <t>21000.008657/2014-07</t>
  </si>
  <si>
    <t>Grasidim</t>
  </si>
  <si>
    <t>21000.000795/2015-11</t>
  </si>
  <si>
    <t>Checkill 800 Wg</t>
  </si>
  <si>
    <t>21000.008902/2011-25</t>
  </si>
  <si>
    <t>Helmstar</t>
  </si>
  <si>
    <t>21000.008358/2021-93</t>
  </si>
  <si>
    <t>Bracomip</t>
  </si>
  <si>
    <t>Habrobracon hebetor</t>
  </si>
  <si>
    <t>21000.008145/2016-02</t>
  </si>
  <si>
    <t>Tecnup Premium 620</t>
  </si>
  <si>
    <t>21000.001929/2014-30</t>
  </si>
  <si>
    <t>Rebron</t>
  </si>
  <si>
    <t>Ciproconazol; Ciantraniliprole</t>
  </si>
  <si>
    <t>21000.000106/2014-97</t>
  </si>
  <si>
    <t>Weedshot</t>
  </si>
  <si>
    <t>Fluroxipir-Meptílico</t>
  </si>
  <si>
    <t>21000.007761/2013-95</t>
  </si>
  <si>
    <t>Clomazone Nortox</t>
  </si>
  <si>
    <t>21000.005361/2014-26</t>
  </si>
  <si>
    <t>Ciproconazol CCAB 100 SL</t>
  </si>
  <si>
    <t>21000.055192/2017-18</t>
  </si>
  <si>
    <t>Aslan SL</t>
  </si>
  <si>
    <t>21000.027721/2017-93</t>
  </si>
  <si>
    <t>Osbar 500 WP</t>
  </si>
  <si>
    <t>21000.032430/2017-17</t>
  </si>
  <si>
    <t>Eddus</t>
  </si>
  <si>
    <t>21000.003491/2013-43</t>
  </si>
  <si>
    <t>Prolectus  </t>
  </si>
  <si>
    <t>Fenpyrazamina; Procimidona   </t>
  </si>
  <si>
    <t>21000.053569/2016-13</t>
  </si>
  <si>
    <t>Judoka Super 250 CS</t>
  </si>
  <si>
    <t>21000.010249/2013-26</t>
  </si>
  <si>
    <t>Kilate FS</t>
  </si>
  <si>
    <t>Captana; Carbendazim</t>
  </si>
  <si>
    <t>21000.052232/2016-99</t>
  </si>
  <si>
    <t>Trytor</t>
  </si>
  <si>
    <t>Triclopir Butotílico</t>
  </si>
  <si>
    <t>Bra Defensivos</t>
  </si>
  <si>
    <t>21000.022948/2016-61</t>
  </si>
  <si>
    <t>UPL 138 FP Brasil</t>
  </si>
  <si>
    <t>Bifentrina; Acetamiprido</t>
  </si>
  <si>
    <t>21000.010788/2012-84</t>
  </si>
  <si>
    <t>Palmero</t>
  </si>
  <si>
    <t xml:space="preserve"> lsoxaflutol</t>
  </si>
  <si>
    <t>21000.007382/2013-03</t>
  </si>
  <si>
    <t>Kelper 400 SC</t>
  </si>
  <si>
    <t xml:space="preserve">Crystal </t>
  </si>
  <si>
    <t>21000.058853/2016-86</t>
  </si>
  <si>
    <t>Fomesafen Ccab 250 SL</t>
  </si>
  <si>
    <t>Fomesafen</t>
  </si>
  <si>
    <t>21000.020406/2020-31</t>
  </si>
  <si>
    <t>Hayate</t>
  </si>
  <si>
    <t> Ciclaniliprole</t>
  </si>
  <si>
    <t>21000.003785/2013-75</t>
  </si>
  <si>
    <t>Fipronil Zei 800 WG</t>
  </si>
  <si>
    <t>21000.001225/2015-48</t>
  </si>
  <si>
    <t>Muteki</t>
  </si>
  <si>
    <t>21000.001097/2015-32</t>
  </si>
  <si>
    <t>Zenby</t>
  </si>
  <si>
    <t xml:space="preserve">Isofetamida  </t>
  </si>
  <si>
    <t>21000.003702/2014-29</t>
  </si>
  <si>
    <t>Charge</t>
  </si>
  <si>
    <t>Clorfluazurom</t>
  </si>
  <si>
    <t>21000.027529/2018-88</t>
  </si>
  <si>
    <t>Roof 150 EC</t>
  </si>
  <si>
    <t xml:space="preserve"> Indoxacarbe</t>
  </si>
  <si>
    <t>21000.001564/2015-24</t>
  </si>
  <si>
    <t>Protection Nortox</t>
  </si>
  <si>
    <t>Azoxistrobina; Tebuconazole</t>
  </si>
  <si>
    <t>21000.008875/2014-33</t>
  </si>
  <si>
    <t xml:space="preserve"> Interllect</t>
  </si>
  <si>
    <t>21000.002390/2015-17</t>
  </si>
  <si>
    <t>Facero</t>
  </si>
  <si>
    <t>21016.004692/2021-07</t>
  </si>
  <si>
    <t>Bioatena</t>
  </si>
  <si>
    <t>21000.019550/2020-24</t>
  </si>
  <si>
    <t>Tatius</t>
  </si>
  <si>
    <t>21000.047336/2017-62</t>
  </si>
  <si>
    <t>Macroquat 200 SL</t>
  </si>
  <si>
    <t>Allierbrasil</t>
  </si>
  <si>
    <t>21000.006811/2014-06</t>
  </si>
  <si>
    <t>Bispiribac Nortox</t>
  </si>
  <si>
    <t>21000.000181/2014-58</t>
  </si>
  <si>
    <t>Atabron Ultra</t>
  </si>
  <si>
    <t> Clorfluazurom</t>
  </si>
  <si>
    <t>21016.002932/2021-21</t>
  </si>
  <si>
    <t>Tricozak</t>
  </si>
  <si>
    <t xml:space="preserve">Trichoderma harzianum; Trichoderma asperellum; Bacillus amyloliquefaciens  </t>
  </si>
  <si>
    <t>21000.028710/2018-10</t>
  </si>
  <si>
    <t>Nepaxir</t>
  </si>
  <si>
    <t>Acetamiprido; Alfa‐cipermetrina</t>
  </si>
  <si>
    <t>21000.007241/2014-63</t>
  </si>
  <si>
    <t>Voga</t>
  </si>
  <si>
    <t>21000.004938/2013-00</t>
  </si>
  <si>
    <t>Quickcane</t>
  </si>
  <si>
    <t>Hexazinona; Diurom</t>
  </si>
  <si>
    <t>21000.005917/2015-65</t>
  </si>
  <si>
    <t>Tranvel</t>
  </si>
  <si>
    <t>Dicamba, Sal Sódico</t>
  </si>
  <si>
    <t>21000.008851/2013-01</t>
  </si>
  <si>
    <t>Eliack</t>
  </si>
  <si>
    <t>21000.049085/2017-51</t>
  </si>
  <si>
    <t>Tiodicarbe Crop 800 WG</t>
  </si>
  <si>
    <t>21000.021200/2017-22</t>
  </si>
  <si>
    <t>Guardanil 720 SC</t>
  </si>
  <si>
    <t>CAC Química</t>
  </si>
  <si>
    <t>21000.006631/2012-54</t>
  </si>
  <si>
    <t>Gesazina Combi</t>
  </si>
  <si>
    <t>Atrazina; Simazina</t>
  </si>
  <si>
    <t>21000.005913/2015-87</t>
  </si>
  <si>
    <t>Dicare</t>
  </si>
  <si>
    <t>21000.002441/2015-19</t>
  </si>
  <si>
    <t>Clorimurom Max Nortox</t>
  </si>
  <si>
    <t>21000.055237/2018-35</t>
  </si>
  <si>
    <t>Valtar</t>
  </si>
  <si>
    <t>Cinamaldeído</t>
  </si>
  <si>
    <t>Daymsa</t>
  </si>
  <si>
    <t>21016.001242/2021-54</t>
  </si>
  <si>
    <t>Vircontrol H.A</t>
  </si>
  <si>
    <t>Helicoverpa armigera multiple nucleopolyhedrovirus (HarSNPV)</t>
  </si>
  <si>
    <t>21000.070273/2020-43</t>
  </si>
  <si>
    <t>Biostat WP</t>
  </si>
  <si>
    <t>Purpureocillium lilacinum</t>
  </si>
  <si>
    <t>21000.081294/2020-94</t>
  </si>
  <si>
    <t>Amylo-X SL</t>
  </si>
  <si>
    <t>21000.005178/2014-21</t>
  </si>
  <si>
    <t>Sun-Carbendazim 500 SC</t>
  </si>
  <si>
    <t>21000.045850/2020-69</t>
  </si>
  <si>
    <t xml:space="preserve"> Lastro</t>
  </si>
  <si>
    <t>Bacillus subtilis, Bacillus velezensis e Bacillus pumilus</t>
  </si>
  <si>
    <t>21000.045512/2020-27</t>
  </si>
  <si>
    <t>Bombardeiro</t>
  </si>
  <si>
    <t>21000.054286/2018-51</t>
  </si>
  <si>
    <t>Mira 900 WG</t>
  </si>
  <si>
    <t xml:space="preserve">Solus </t>
  </si>
  <si>
    <t>21000.009380/2012-60</t>
  </si>
  <si>
    <t>Tronx</t>
  </si>
  <si>
    <t>21000.055354/2017-18</t>
  </si>
  <si>
    <t>Megatop 800 WG</t>
  </si>
  <si>
    <t>21000.015880/2018-26</t>
  </si>
  <si>
    <t>Sandal 200 SP</t>
  </si>
  <si>
    <t xml:space="preserve"> Tecnomyl </t>
  </si>
  <si>
    <t>21000.029887/2019-14</t>
  </si>
  <si>
    <t>Pontual</t>
  </si>
  <si>
    <t>Azoxistrobina; Ciproconazol; Clorotalonil</t>
  </si>
  <si>
    <t>21000.009981/2013-53</t>
  </si>
  <si>
    <t>Potomac</t>
  </si>
  <si>
    <t>21000.007967/2015-87</t>
  </si>
  <si>
    <t>Paxeo</t>
  </si>
  <si>
    <t>Diclosulam, Halauxifem-Metil</t>
  </si>
  <si>
    <t>21000.001503/2013-03</t>
  </si>
  <si>
    <t>Fusilade</t>
  </si>
  <si>
    <t>Fluasifope-P-Butílico</t>
  </si>
  <si>
    <t>21000.002169/2014-88</t>
  </si>
  <si>
    <t>Tordon HL</t>
  </si>
  <si>
    <t>Picloram; 2,4-D, Sal de Colina</t>
  </si>
  <si>
    <t>21000.002739/2014-30</t>
  </si>
  <si>
    <t>Panoramic HL</t>
  </si>
  <si>
    <t>21000.007999/2015-82</t>
  </si>
  <si>
    <t>Clorfenapir CCAB 240 SC</t>
  </si>
  <si>
    <t>21000.008240/2014-36</t>
  </si>
  <si>
    <t>Deuter</t>
  </si>
  <si>
    <t>21000.008310/2015-37</t>
  </si>
  <si>
    <t>Podos</t>
  </si>
  <si>
    <t>Flumetralina</t>
  </si>
  <si>
    <t>21000.009158/2013-48</t>
  </si>
  <si>
    <t>Clomazone 500 EC Nortox</t>
  </si>
  <si>
    <t>21000.010409/2013-37</t>
  </si>
  <si>
    <t>Carbomax</t>
  </si>
  <si>
    <t>21000.014472/2016-95</t>
  </si>
  <si>
    <t>Bonara</t>
  </si>
  <si>
    <t> Imazapique; Imazapir</t>
  </si>
  <si>
    <t>21000.019911/2018-18</t>
  </si>
  <si>
    <t>Cletodim 240 EC Tecnomyl II</t>
  </si>
  <si>
    <t>21000.019920/2018-17</t>
  </si>
  <si>
    <t>Cletodim 240 EC Tecnomyl I</t>
  </si>
  <si>
    <t>21000.020036/2018-17</t>
  </si>
  <si>
    <t>Cletodim 240 EC Tecnomyl III</t>
  </si>
  <si>
    <t>21000.055228/2018-44</t>
  </si>
  <si>
    <t>Avert</t>
  </si>
  <si>
    <t>21016.002857/2021-06</t>
  </si>
  <si>
    <t>Rizoderma TSI</t>
  </si>
  <si>
    <t>Trichoderma afroharzianum</t>
  </si>
  <si>
    <t xml:space="preserve"> Rizobacter</t>
  </si>
  <si>
    <t>21000.000166/2015-91</t>
  </si>
  <si>
    <t>Metomil Nortox</t>
  </si>
  <si>
    <t>21000.003088/2015-86</t>
  </si>
  <si>
    <t>Calypso Ultra</t>
  </si>
  <si>
    <t>Tiacloprido; Beta-ciflutrina</t>
  </si>
  <si>
    <t>21000.003516/2013-17</t>
  </si>
  <si>
    <t xml:space="preserve"> Fipronil Brt 800 WG</t>
  </si>
  <si>
    <t>21000.003554/2018-76</t>
  </si>
  <si>
    <t>Flumi 500 Agrogill</t>
  </si>
  <si>
    <t>21000.003677/2014-83</t>
  </si>
  <si>
    <t>Celphos Tablet</t>
  </si>
  <si>
    <t>Fosfeto de Alumínio</t>
  </si>
  <si>
    <t>21000.003771/2015-13</t>
  </si>
  <si>
    <t>Revus Top SC</t>
  </si>
  <si>
    <t>Mandipropamida; Difenoconazole</t>
  </si>
  <si>
    <t>21000.008273/2015-67</t>
  </si>
  <si>
    <t>Kitter</t>
  </si>
  <si>
    <t>Tebuconazole</t>
  </si>
  <si>
    <t>21000.008658/2014-43</t>
  </si>
  <si>
    <t xml:space="preserve"> Título</t>
  </si>
  <si>
    <t xml:space="preserve"> Sulfentrazona</t>
  </si>
  <si>
    <t>21000.040219/2017-78</t>
  </si>
  <si>
    <t>Diquat Crop 200 SL</t>
  </si>
  <si>
    <t>21000.002738/2014-95</t>
  </si>
  <si>
    <t>Jornada HL</t>
  </si>
  <si>
    <t xml:space="preserve">Dow Agrosciences </t>
  </si>
  <si>
    <t>21000.033597/2018-86</t>
  </si>
  <si>
    <t>Gameover</t>
  </si>
  <si>
    <t>21000.034531/2020-28</t>
  </si>
  <si>
    <t>Jb Cri-E</t>
  </si>
  <si>
    <t xml:space="preserve"> Chrysoperla externa</t>
  </si>
  <si>
    <t>21000.037110/2019-15</t>
  </si>
  <si>
    <t>Temicab Xtra</t>
  </si>
  <si>
    <t>2,4-D, Sal de Potássio; Picloram, Sal de Potássio</t>
  </si>
  <si>
    <t>21000.038680/2020-66</t>
  </si>
  <si>
    <t>Defender</t>
  </si>
  <si>
    <t>CL Empreendimentos</t>
  </si>
  <si>
    <t>21000.038682/2020-55</t>
  </si>
  <si>
    <t>Destroyer</t>
  </si>
  <si>
    <t>21000.047015/2016-87</t>
  </si>
  <si>
    <t>Difenoconazole 250 EC Tagros</t>
  </si>
  <si>
    <t>21000.049375/2020-08</t>
  </si>
  <si>
    <t>Marlox FS</t>
  </si>
  <si>
    <t>21000.067771/2019-75</t>
  </si>
  <si>
    <t xml:space="preserve"> Crisopídeo Amipa</t>
  </si>
  <si>
    <t>21016.002925/2021-29</t>
  </si>
  <si>
    <t>Bt Protection</t>
  </si>
  <si>
    <t>21016.003072/2021-42</t>
  </si>
  <si>
    <t>Gnc006-2</t>
  </si>
  <si>
    <t xml:space="preserve"> Gênica</t>
  </si>
  <si>
    <t>21016.003958/2021-96</t>
  </si>
  <si>
    <t>Powerfung</t>
  </si>
  <si>
    <t>21016.004965/2021-13</t>
  </si>
  <si>
    <t>Bioolimpo</t>
  </si>
  <si>
    <t>Beauveria bassiana; Metarhizium anisopliae</t>
  </si>
  <si>
    <t>21016.004966/2021-50</t>
  </si>
  <si>
    <t>Btp 078-20</t>
  </si>
  <si>
    <t>21016.005102/2021-55</t>
  </si>
  <si>
    <t>Gnc 009-2</t>
  </si>
  <si>
    <t>21000.007209/2011-35</t>
  </si>
  <si>
    <t xml:space="preserve"> Único</t>
  </si>
  <si>
    <t>Azoxistrobina </t>
  </si>
  <si>
    <t>21016.004594/2021-61</t>
  </si>
  <si>
    <t>Ecobass Ultra</t>
  </si>
  <si>
    <t>21000.010003/2013-54</t>
  </si>
  <si>
    <t>Brakima</t>
  </si>
  <si>
    <t>21000.004104/2015-58</t>
  </si>
  <si>
    <t>Kaligreen Pro</t>
  </si>
  <si>
    <t>Bicarbonato de Potássio</t>
  </si>
  <si>
    <t>21000.049250/2016-93</t>
  </si>
  <si>
    <t>Maragato 500 EC</t>
  </si>
  <si>
    <t>21000.008877/2014-22</t>
  </si>
  <si>
    <t>Clect</t>
  </si>
  <si>
    <t>21000.010719/2021-61</t>
  </si>
  <si>
    <t>Bioin-Tricho-P</t>
  </si>
  <si>
    <t>BioIn</t>
  </si>
  <si>
    <t>21000.007357/2015-83</t>
  </si>
  <si>
    <t>Zorvec Encantia</t>
  </si>
  <si>
    <t>Oxatiapiprolina; Famoxadona</t>
  </si>
  <si>
    <t>21000.008641/2015-77</t>
  </si>
  <si>
    <t>Sirtaki 360 CS</t>
  </si>
  <si>
    <t>21000.010414/2013-40</t>
  </si>
  <si>
    <t xml:space="preserve"> Fosfeto De Alumínio Biorisk</t>
  </si>
  <si>
    <t>21000.019483/2016-61</t>
  </si>
  <si>
    <t>Zorvec Entido</t>
  </si>
  <si>
    <t xml:space="preserve"> Oxatiapiprolina; Dimetomorfe</t>
  </si>
  <si>
    <t>21000.007849/2015-79</t>
  </si>
  <si>
    <t xml:space="preserve"> Sulfentrazone 500 SC PLS CL1</t>
  </si>
  <si>
    <t>21000.019417/2021-59</t>
  </si>
  <si>
    <t>Spical C</t>
  </si>
  <si>
    <t>Neoseiulus califomicus</t>
  </si>
  <si>
    <t>CP2</t>
  </si>
  <si>
    <t>21000.020022/2021-07</t>
  </si>
  <si>
    <t>Spical K</t>
  </si>
  <si>
    <t xml:space="preserve"> Neoseiulus californicus </t>
  </si>
  <si>
    <t>21016.004693/2021-43</t>
  </si>
  <si>
    <t>Biosparta</t>
  </si>
  <si>
    <t>21016.005428/2021-82</t>
  </si>
  <si>
    <t>Mahazai</t>
  </si>
  <si>
    <t xml:space="preserve"> Metarhizium anisopliae</t>
  </si>
  <si>
    <t>21016.005427/2021-38</t>
  </si>
  <si>
    <t>Nomite</t>
  </si>
  <si>
    <t>21000.009253/2016-94</t>
  </si>
  <si>
    <t>Tiofanil FS</t>
  </si>
  <si>
    <t xml:space="preserve"> Clorotalonil; Tiofanato-metílico</t>
  </si>
  <si>
    <t>21016.004751/2021-39</t>
  </si>
  <si>
    <t>BTP 076-20</t>
  </si>
  <si>
    <t>21000.013075/2016-04</t>
  </si>
  <si>
    <t>Procimidone 750 WG</t>
  </si>
  <si>
    <t>Procimidona</t>
  </si>
  <si>
    <t>21000.014752/2016-01</t>
  </si>
  <si>
    <t>Mainspring Flora</t>
  </si>
  <si>
    <t>Ciantraniliprole; Pimetrozina</t>
  </si>
  <si>
    <t>21000.010366/2018-02</t>
  </si>
  <si>
    <t>Glifo Had Crop</t>
  </si>
  <si>
    <t>21000.071874/2020-73</t>
  </si>
  <si>
    <t>Sapek Max</t>
  </si>
  <si>
    <t xml:space="preserve">Glufosinato, Sal de Amônio  </t>
  </si>
  <si>
    <t>21000.042913/2021-14</t>
  </si>
  <si>
    <t>AmyloTrop</t>
  </si>
  <si>
    <t>21016.004758/2021-51</t>
  </si>
  <si>
    <t>BTP 077-20</t>
  </si>
  <si>
    <t>21016.001499/2021-14</t>
  </si>
  <si>
    <t>Pherogen Dispenser Spofr</t>
  </si>
  <si>
    <t>Acetato de (Z)-9-tetradecenila; Acetato de (Z)-11-hexadecenila</t>
  </si>
  <si>
    <t>Provivi</t>
  </si>
  <si>
    <t>21000.004826/2015-11</t>
  </si>
  <si>
    <t>Rateio 200 SL</t>
  </si>
  <si>
    <t>21016.001378/2021-64</t>
  </si>
  <si>
    <t>Isa 3</t>
  </si>
  <si>
    <t>Isaria fumorosea</t>
  </si>
  <si>
    <t xml:space="preserve">Vital </t>
  </si>
  <si>
    <t>21000.043330/2018-05</t>
  </si>
  <si>
    <t>Scudd</t>
  </si>
  <si>
    <t>Basf S.A.</t>
  </si>
  <si>
    <t>21000.043335/2018-20</t>
  </si>
  <si>
    <t>Vertopian</t>
  </si>
  <si>
    <t xml:space="preserve">Fenpropimorfe </t>
  </si>
  <si>
    <t>21000.039085/2021-29</t>
  </si>
  <si>
    <t>Inlayon Eco</t>
  </si>
  <si>
    <t>21000.020602/2016-29</t>
  </si>
  <si>
    <t>Sercadis</t>
  </si>
  <si>
    <t>21000.008776/2013-71</t>
  </si>
  <si>
    <t>Randell 648 SL</t>
  </si>
  <si>
    <t>21000.001765/2015-21</t>
  </si>
  <si>
    <t>Hexazinona - T Nortox</t>
  </si>
  <si>
    <t>Hexazinona; Tebutiurom</t>
  </si>
  <si>
    <t>21000.022953/2016-74</t>
  </si>
  <si>
    <t xml:space="preserve">Upl 217 FP BR​ </t>
  </si>
  <si>
    <t>Azoxistrobina; Mancozebe; Tebuconazole</t>
  </si>
  <si>
    <t>21016.002105/2021-37</t>
  </si>
  <si>
    <t>Accel</t>
  </si>
  <si>
    <t>Benziladenina</t>
  </si>
  <si>
    <t>21000.052994/2018-57</t>
  </si>
  <si>
    <t>Pirifast</t>
  </si>
  <si>
    <t>21000.008380/2015-95</t>
  </si>
  <si>
    <t>Poderus</t>
  </si>
  <si>
    <t>21000.094057/2019-50</t>
  </si>
  <si>
    <t>Blast Top</t>
  </si>
  <si>
    <t>Clomazone; Ametrina</t>
  </si>
  <si>
    <t>21000.069419/2020-16</t>
  </si>
  <si>
    <t>Drill Protection</t>
  </si>
  <si>
    <t xml:space="preserve"> Simbiose</t>
  </si>
  <si>
    <t>21000.009028/2013-13</t>
  </si>
  <si>
    <t>Varum</t>
  </si>
  <si>
    <t>21000.003312/2013-78</t>
  </si>
  <si>
    <t>Bingo 800 WG</t>
  </si>
  <si>
    <t>21000.047658/2018-92</t>
  </si>
  <si>
    <t>Nisshin 40 SC</t>
  </si>
  <si>
    <t>Isk</t>
  </si>
  <si>
    <t>21000.008642/2013-50</t>
  </si>
  <si>
    <t>Dinole 250 EC</t>
  </si>
  <si>
    <t>21000.023448/2018-17</t>
  </si>
  <si>
    <t>Methoxyfenozide Wood 240 SC</t>
  </si>
  <si>
    <t>21000.002106/2014-21</t>
  </si>
  <si>
    <t>Hermion</t>
  </si>
  <si>
    <t xml:space="preserve">Ciproconazol; Ciantraniliprole </t>
  </si>
  <si>
    <t>21000.005081/2014-18</t>
  </si>
  <si>
    <t>Azoxy + Cypro 280 SC Proventis</t>
  </si>
  <si>
    <t>21000.002191/2014-28</t>
  </si>
  <si>
    <t>Tekove 480 SC</t>
  </si>
  <si>
    <t xml:space="preserve">Rotam </t>
  </si>
  <si>
    <t>21000.033613/2018-31</t>
  </si>
  <si>
    <t xml:space="preserve">Dorai </t>
  </si>
  <si>
    <t>21000.007149/2014-01</t>
  </si>
  <si>
    <t xml:space="preserve">Diuron 500 SC Proventis  </t>
  </si>
  <si>
    <t xml:space="preserve">Diurom </t>
  </si>
  <si>
    <t>21000.038466/2016-23</t>
  </si>
  <si>
    <t>Glufosinate-Ammonium 200 G/L SL</t>
  </si>
  <si>
    <t xml:space="preserve">Lemma </t>
  </si>
  <si>
    <t>21000.002170/2018-36</t>
  </si>
  <si>
    <t xml:space="preserve"> Indoxacarb 150 G/L SC</t>
  </si>
  <si>
    <t xml:space="preserve"> Lemma</t>
  </si>
  <si>
    <t>21000.005762/2010-52</t>
  </si>
  <si>
    <t>Zapret SC</t>
  </si>
  <si>
    <t>TC00120</t>
  </si>
  <si>
    <t>21000.008856/2013-26</t>
  </si>
  <si>
    <t>Azoxystrobin Técnico Nortox BR</t>
  </si>
  <si>
    <t>Ano de 2020</t>
  </si>
  <si>
    <t>TC00220</t>
  </si>
  <si>
    <t>21000.006000/2015-88</t>
  </si>
  <si>
    <t>Azoxistrobina Técnico Adama</t>
  </si>
  <si>
    <t>TC00320</t>
  </si>
  <si>
    <t>21000.010111/2017-51</t>
  </si>
  <si>
    <t>Clorotalonil Técnico Gilmore</t>
  </si>
  <si>
    <t>TC00420</t>
  </si>
  <si>
    <t>21000.061101/2016-01</t>
  </si>
  <si>
    <t>Metoxifenozide Técnico Nortox II</t>
  </si>
  <si>
    <t>TC00520</t>
  </si>
  <si>
    <t>21000.020878/2017-98</t>
  </si>
  <si>
    <t>Methoxyfenozide Técnico Rotam</t>
  </si>
  <si>
    <t>TC00620</t>
  </si>
  <si>
    <t>21000.011897/2018-12</t>
  </si>
  <si>
    <t>Methoxyfenozide Técnico Sino-Agri</t>
  </si>
  <si>
    <t>TC00720</t>
  </si>
  <si>
    <t>21000.048992/2018-63</t>
  </si>
  <si>
    <t>Methoxyfenozida Técnico Oxon</t>
  </si>
  <si>
    <t>TC00820</t>
  </si>
  <si>
    <t>21000.032114/2019-15</t>
  </si>
  <si>
    <t>Methoxyfenozide Técnico CHDS</t>
  </si>
  <si>
    <t>TC00920</t>
  </si>
  <si>
    <t>21000.008235/2012-61</t>
  </si>
  <si>
    <t>Acefato Técnico RL</t>
  </si>
  <si>
    <t>TC01020</t>
  </si>
  <si>
    <t>21000.004580/2014-98</t>
  </si>
  <si>
    <t>Mesotrione Técnico Rainbow</t>
  </si>
  <si>
    <t>TC01120</t>
  </si>
  <si>
    <t>21000.010329/2011-10</t>
  </si>
  <si>
    <t>Fipronil Técnico AK</t>
  </si>
  <si>
    <t>TC01220</t>
  </si>
  <si>
    <t>21000.010414/2011-88</t>
  </si>
  <si>
    <t>Fipronil Técnico UN</t>
  </si>
  <si>
    <t>TC01320</t>
  </si>
  <si>
    <t>21000.010395/2011-90</t>
  </si>
  <si>
    <t>Fipronil Técnico DN</t>
  </si>
  <si>
    <t>TC01420</t>
  </si>
  <si>
    <t>21000.010471/2011-67</t>
  </si>
  <si>
    <t>Fipronil Técnico NAG</t>
  </si>
  <si>
    <t>TC01520</t>
  </si>
  <si>
    <t>21000.002794/2012-68</t>
  </si>
  <si>
    <t>Fipronil S Técnico Helm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</si>
  <si>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</si>
  <si>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TC01620</t>
  </si>
  <si>
    <t>21000.004288/2012-11</t>
  </si>
  <si>
    <t>Fipronil Técnico AG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</si>
  <si>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</si>
  <si>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TC01720</t>
  </si>
  <si>
    <t>21000.003110/2013-26</t>
  </si>
  <si>
    <t>Fipronil Técnico DS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</si>
  <si>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</si>
  <si>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TC01820</t>
  </si>
  <si>
    <t>21000.001927/2016-11</t>
  </si>
  <si>
    <t>Fipronil Técnico Rawell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</si>
  <si>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</si>
  <si>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TC01920</t>
  </si>
  <si>
    <t>21000.001213/2014-32</t>
  </si>
  <si>
    <t>Metribuzim Técnico Proventis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</si>
  <si>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</si>
  <si>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TC02020</t>
  </si>
  <si>
    <t>21000.016461/2017-21</t>
  </si>
  <si>
    <t>Metribuzim Técnico Adama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</si>
  <si>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</si>
  <si>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TC02120</t>
  </si>
  <si>
    <t>21000.007561/2011-71</t>
  </si>
  <si>
    <t>Falgro Técnico</t>
  </si>
  <si>
    <t>Ácido Giberélico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</si>
  <si>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</si>
  <si>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TC02220</t>
  </si>
  <si>
    <t>21000.024294/2016-19</t>
  </si>
  <si>
    <t>Indoxacarbe Técnico Sharda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</si>
  <si>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</si>
  <si>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TC02320</t>
  </si>
  <si>
    <t>21000.007551/2014-88</t>
  </si>
  <si>
    <t>Cinetina Técnica</t>
  </si>
  <si>
    <t>Cinetina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</si>
  <si>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</si>
  <si>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TK02420</t>
  </si>
  <si>
    <t>21000.008135/2014-05</t>
  </si>
  <si>
    <t>Indaziflam MRB Pré-Mistura</t>
  </si>
  <si>
    <t>Indaziflam</t>
  </si>
  <si>
    <t>TK02520</t>
  </si>
  <si>
    <t>21000.000415/2015-48</t>
  </si>
  <si>
    <t>Indaziflam IFT Pré-Mistura</t>
  </si>
  <si>
    <t>TC02620</t>
  </si>
  <si>
    <t>21000.006884/2014-90</t>
  </si>
  <si>
    <t>S-Metolacloro Técnico Cropchem</t>
  </si>
  <si>
    <t>TC02720</t>
  </si>
  <si>
    <t>21000.008635/2014-39</t>
  </si>
  <si>
    <t>S-Metolachlor Técnico Agrogil</t>
  </si>
  <si>
    <t>TC02820</t>
  </si>
  <si>
    <t>21000.005620/2014-19</t>
  </si>
  <si>
    <t>S-metolacloro Técnico Nortox</t>
  </si>
  <si>
    <t>TC02920</t>
  </si>
  <si>
    <t>21000.001022/2015-51</t>
  </si>
  <si>
    <t>S-Metolaclor Técnico SD</t>
  </si>
  <si>
    <t>TC03020</t>
  </si>
  <si>
    <t>21000.003717/2017-30</t>
  </si>
  <si>
    <t>S-Metolachlor Técnico Sino-Agri</t>
  </si>
  <si>
    <t>TC03120</t>
  </si>
  <si>
    <t>21000.043348/2017-18</t>
  </si>
  <si>
    <t>S-metolacloro Técnico Adama Brasil</t>
  </si>
  <si>
    <t>TC03220</t>
  </si>
  <si>
    <t>21000.037700/2019-48</t>
  </si>
  <si>
    <t>S-Metolacloro B Técnico Helm</t>
  </si>
  <si>
    <t>TC03320</t>
  </si>
  <si>
    <t>21000.009967/2011-98</t>
  </si>
  <si>
    <t>Fipronil Técnico Sub</t>
  </si>
  <si>
    <t>Sipcam Nichino</t>
  </si>
  <si>
    <t>TC03420</t>
  </si>
  <si>
    <t>21000.007491/2012-31</t>
  </si>
  <si>
    <t>Folpete Tradecorp Técnico</t>
  </si>
  <si>
    <t>Folpete</t>
  </si>
  <si>
    <t>TC03520</t>
  </si>
  <si>
    <t>21000.010311/2013-80</t>
  </si>
  <si>
    <t>Simazina Técnico Mil</t>
  </si>
  <si>
    <t>Simazina</t>
  </si>
  <si>
    <t>TC03620</t>
  </si>
  <si>
    <t>21000.003651/2015-16</t>
  </si>
  <si>
    <t>Ciproconazol Técnico Rainbow</t>
  </si>
  <si>
    <t>TC03720</t>
  </si>
  <si>
    <t>21000.044423/2018-49</t>
  </si>
  <si>
    <t>Simazina Técnico ZS</t>
  </si>
  <si>
    <t>Pro-Registros</t>
  </si>
  <si>
    <t>TC03820</t>
  </si>
  <si>
    <t>21000.003411/2013-50</t>
  </si>
  <si>
    <t>Lufenurom Tradecorp Técnico</t>
  </si>
  <si>
    <t>Lufenurom</t>
  </si>
  <si>
    <t>TC03920</t>
  </si>
  <si>
    <t>21000.039394/2019-84</t>
  </si>
  <si>
    <t>Clorpirifós Técnico ADA</t>
  </si>
  <si>
    <t>TC04020</t>
  </si>
  <si>
    <t>21000.010459/2019-18</t>
  </si>
  <si>
    <t>Isoxaflutol Tradecorp Técnico II</t>
  </si>
  <si>
    <t>TC04120</t>
  </si>
  <si>
    <t>21000.00256/2010-85</t>
  </si>
  <si>
    <t>Ácido Giberélico Técnico (GA3)</t>
  </si>
  <si>
    <t>TC04220</t>
  </si>
  <si>
    <t>21000.006387/2015-72</t>
  </si>
  <si>
    <t>Glufosinato Técnico FW</t>
  </si>
  <si>
    <t>TC04320</t>
  </si>
  <si>
    <t>21000.007226/2015-04</t>
  </si>
  <si>
    <t>Glufosinate Técnico Nortox II</t>
  </si>
  <si>
    <t>TC04420</t>
  </si>
  <si>
    <t>21000.007893/2015-89</t>
  </si>
  <si>
    <t>Glufosinato de Amônio Técnico Sino-Agri</t>
  </si>
  <si>
    <t>TC04520</t>
  </si>
  <si>
    <t>21000.005880/2016-56</t>
  </si>
  <si>
    <t>Glufosinato de Amônio Técnico Tide</t>
  </si>
  <si>
    <t>TC04620</t>
  </si>
  <si>
    <t>21000.011848/2016-18</t>
  </si>
  <si>
    <t>Glufosinato de Amônio Técnico Biesterfeld</t>
  </si>
  <si>
    <t>Biesterfeld</t>
  </si>
  <si>
    <t>TC04720</t>
  </si>
  <si>
    <t>21000.036378/2016-97</t>
  </si>
  <si>
    <t>Glufosinato Técnico Dinagro</t>
  </si>
  <si>
    <t>TC04820</t>
  </si>
  <si>
    <t>21000.038012/2016-52</t>
  </si>
  <si>
    <t>Glufosinato de Amônio Técnico Pilarquim</t>
  </si>
  <si>
    <t>TC04920</t>
  </si>
  <si>
    <t>21000.053480/2016-57</t>
  </si>
  <si>
    <t>Glufosinate-Ammonium Técnico Rotam</t>
  </si>
  <si>
    <t>TC05020</t>
  </si>
  <si>
    <t>21000.025576/2018-97</t>
  </si>
  <si>
    <t>Glufosinato Técnico CHD'S</t>
  </si>
  <si>
    <t>TC05120</t>
  </si>
  <si>
    <t>21000.008990/2012-46</t>
  </si>
  <si>
    <t>Fluazinam Técnico Crystal</t>
  </si>
  <si>
    <t>TC05220</t>
  </si>
  <si>
    <t>21000.000408/2013-84</t>
  </si>
  <si>
    <t>Isoxaflutol Tradecorp Técnico</t>
  </si>
  <si>
    <t>TC05320</t>
  </si>
  <si>
    <t>21000.008251/2013-55</t>
  </si>
  <si>
    <t>Isoxaflutol Técnico Ouro FIno</t>
  </si>
  <si>
    <t>TC05420</t>
  </si>
  <si>
    <t>21000.014275/2016-76</t>
  </si>
  <si>
    <t>Isoxaflutol Técnico Nortox II</t>
  </si>
  <si>
    <t>TC05520</t>
  </si>
  <si>
    <t>21000.008647/2013-82</t>
  </si>
  <si>
    <t>Ametrina Técnico Biorisk</t>
  </si>
  <si>
    <t>TC05620</t>
  </si>
  <si>
    <t>21000.005544/2015-22</t>
  </si>
  <si>
    <t>Difenoconazol Técnico Adama</t>
  </si>
  <si>
    <t>TC05720</t>
  </si>
  <si>
    <t>21000.006073/2015-70</t>
  </si>
  <si>
    <t>Difenoconazole Técnico Tagros</t>
  </si>
  <si>
    <t>TC05820</t>
  </si>
  <si>
    <t>21000.022237/2016-97</t>
  </si>
  <si>
    <t>DIfenoconazole Técnico CCAB</t>
  </si>
  <si>
    <t>TC05920</t>
  </si>
  <si>
    <t>21000.056411/2016-03</t>
  </si>
  <si>
    <t>Difenoconazole Técnico Cropchem II</t>
  </si>
  <si>
    <t>TC06020</t>
  </si>
  <si>
    <t>21000.026238/2018-72</t>
  </si>
  <si>
    <t>Difenoconazole Técnico Nortox IV</t>
  </si>
  <si>
    <t>TC06120</t>
  </si>
  <si>
    <t>21000.048993/2018-16</t>
  </si>
  <si>
    <t>Picloram Técnico RB</t>
  </si>
  <si>
    <t>TC06220</t>
  </si>
  <si>
    <t>21000.026915/2018-52</t>
  </si>
  <si>
    <t>Diflubenzuron Técnico OF</t>
  </si>
  <si>
    <t>TC06320</t>
  </si>
  <si>
    <t>21000.036979/2018-61</t>
  </si>
  <si>
    <t>Ciproconazole Técnico Nortox II</t>
  </si>
  <si>
    <t>TC06420</t>
  </si>
  <si>
    <t>21000.018567/2019-21</t>
  </si>
  <si>
    <t>Lufenuron Técnico SC</t>
  </si>
  <si>
    <t>TC06520</t>
  </si>
  <si>
    <t>21000.015742/2018-47</t>
  </si>
  <si>
    <t>Dicamba Técnico CHD'S</t>
  </si>
  <si>
    <t>TC06620</t>
  </si>
  <si>
    <t>21000.022801/2018-33</t>
  </si>
  <si>
    <t>Dicamba Técnico SOGP</t>
  </si>
  <si>
    <t>TC06720</t>
  </si>
  <si>
    <t>21000.007731/2014-60</t>
  </si>
  <si>
    <t>Dicamba Técnico Gharda</t>
  </si>
  <si>
    <t>TC06820</t>
  </si>
  <si>
    <t>21000.048098/2016-21</t>
  </si>
  <si>
    <t>Dicamba Técnico CCAB</t>
  </si>
  <si>
    <t>TC06920</t>
  </si>
  <si>
    <t>21000.062712/2016-68</t>
  </si>
  <si>
    <t>Dicamba Técnico Sulphur Mills</t>
  </si>
  <si>
    <t>TC07020</t>
  </si>
  <si>
    <t>21000.055398/2016-67</t>
  </si>
  <si>
    <t>Dicamba Técnico Monsanto I</t>
  </si>
  <si>
    <t>TC07120</t>
  </si>
  <si>
    <t>21000.053450/2017-21</t>
  </si>
  <si>
    <t>Dicamba Técnico Albaugh GH</t>
  </si>
  <si>
    <t>TC07220</t>
  </si>
  <si>
    <t>21000.032893/2018-60</t>
  </si>
  <si>
    <t>Dicamba Técnico Ouro Fino</t>
  </si>
  <si>
    <t>TC07320</t>
  </si>
  <si>
    <t>21000.014396/2020-02</t>
  </si>
  <si>
    <t>Bifentrina Técnico Ouro Fino</t>
  </si>
  <si>
    <t>TC07420</t>
  </si>
  <si>
    <t>21000.007410/2014-65</t>
  </si>
  <si>
    <t>Azoxistrobina Técnico BRA</t>
  </si>
  <si>
    <t>TC07520</t>
  </si>
  <si>
    <t>21000.053873/2017-41</t>
  </si>
  <si>
    <t>Diquate Técnico Vanon</t>
  </si>
  <si>
    <t>TC07620</t>
  </si>
  <si>
    <t>21000.027916/2018-14</t>
  </si>
  <si>
    <t>Diquat Técnico CCAB III</t>
  </si>
  <si>
    <t>TC07720</t>
  </si>
  <si>
    <t>21000.042075/2018-75</t>
  </si>
  <si>
    <t>Diquat Técnico CropChem II</t>
  </si>
  <si>
    <t>TC07820</t>
  </si>
  <si>
    <t>21000.044172/2018-01</t>
  </si>
  <si>
    <t>Ciproconazol Técnico CHDS</t>
  </si>
  <si>
    <t>TC07920</t>
  </si>
  <si>
    <t>21000.031444/2019-85</t>
  </si>
  <si>
    <t>Mesotrione Técnico Albaugh</t>
  </si>
  <si>
    <t>TC08020</t>
  </si>
  <si>
    <t>21000.083203/2019-11</t>
  </si>
  <si>
    <t>Tebuconazol Técnico Adama 3</t>
  </si>
  <si>
    <t>TC08120</t>
  </si>
  <si>
    <t>21000.044730/2018-20</t>
  </si>
  <si>
    <t>Azoxistrobina Técnico Adama 2</t>
  </si>
  <si>
    <t>TC08220</t>
  </si>
  <si>
    <t>21000.008129/2014-40</t>
  </si>
  <si>
    <t>Bifentrina Técnico BR Cropchem</t>
  </si>
  <si>
    <t>TC08320</t>
  </si>
  <si>
    <t>21000.007267/2015-92</t>
  </si>
  <si>
    <t>Bifenthrin Técnico CCAB</t>
  </si>
  <si>
    <t>TC08420</t>
  </si>
  <si>
    <t>21000.007360/2013-35</t>
  </si>
  <si>
    <t>Bifentrina Técnica Nortox</t>
  </si>
  <si>
    <t>TC08520</t>
  </si>
  <si>
    <t>21000.007776/2014-34</t>
  </si>
  <si>
    <t>Bifenthrin Técnico Bharat</t>
  </si>
  <si>
    <t>TC08620</t>
  </si>
  <si>
    <t>21000.010826/2019-75</t>
  </si>
  <si>
    <t>Thiametoxam Técnico United</t>
  </si>
  <si>
    <t>TC08720</t>
  </si>
  <si>
    <t>21000.013401/2019-18</t>
  </si>
  <si>
    <t>Imidacloprid Yécnico CHD'S</t>
  </si>
  <si>
    <t>TC08820</t>
  </si>
  <si>
    <t>21000.091742/2019-24</t>
  </si>
  <si>
    <t>Acefato Técnico FB</t>
  </si>
  <si>
    <t>TC08920</t>
  </si>
  <si>
    <t>21000.066268/2019-01</t>
  </si>
  <si>
    <t>Diquat Técnico FB</t>
  </si>
  <si>
    <t>TC09020</t>
  </si>
  <si>
    <t>21000.022470/2020-56</t>
  </si>
  <si>
    <t>Diquat Técnico NGC</t>
  </si>
  <si>
    <t>TC09120</t>
  </si>
  <si>
    <t>21000.040450/2017-61</t>
  </si>
  <si>
    <t>Ciproconazol Técnico CJB​</t>
  </si>
  <si>
    <t>TC09220</t>
  </si>
  <si>
    <t>21000.017864/2016-14</t>
  </si>
  <si>
    <t>Dinotefuran Técnico</t>
  </si>
  <si>
    <t>Dinotefuran</t>
  </si>
  <si>
    <t>TC09320</t>
  </si>
  <si>
    <t>21000.001815/2014-90</t>
  </si>
  <si>
    <t>Yamato Técnico</t>
  </si>
  <si>
    <t>Piroxasulfone</t>
  </si>
  <si>
    <t>TC09420</t>
  </si>
  <si>
    <t>21000.000903/2014-74</t>
  </si>
  <si>
    <t>Metsulfuron-Methyl Técnico RTM</t>
  </si>
  <si>
    <t>TC09520</t>
  </si>
  <si>
    <t>21000.001792/2014-13</t>
  </si>
  <si>
    <t>Bifentrina Ascenza Técnico</t>
  </si>
  <si>
    <t>TC09620</t>
  </si>
  <si>
    <t>21000.001416/2015-18</t>
  </si>
  <si>
    <t>Bifentrina Técnico HB-CropChem</t>
  </si>
  <si>
    <t>TC09720</t>
  </si>
  <si>
    <t>21000.002180/2015-29</t>
  </si>
  <si>
    <t>Metsulfurom Técnico JE-CropChem</t>
  </si>
  <si>
    <t>TC09820</t>
  </si>
  <si>
    <t>21000.008720/2015-88</t>
  </si>
  <si>
    <t>Ciproconazol Técnico Dinagro</t>
  </si>
  <si>
    <t>Dinagro</t>
  </si>
  <si>
    <t>TC09920</t>
  </si>
  <si>
    <t>21000.015665/2017-44</t>
  </si>
  <si>
    <t xml:space="preserve">Ciproconazol Técnico PG </t>
  </si>
  <si>
    <t>TC10020</t>
  </si>
  <si>
    <t>21000.016221/2017-26</t>
  </si>
  <si>
    <t>Ciproconazol Técnico Sol</t>
  </si>
  <si>
    <t>TC10120</t>
  </si>
  <si>
    <t>21000.016218/2017-11</t>
  </si>
  <si>
    <t>Ciproconazol China Técnico</t>
  </si>
  <si>
    <t>TC10220</t>
  </si>
  <si>
    <t>21000.016225/2017-12</t>
  </si>
  <si>
    <t>Ciproconazol Técnico PG2</t>
  </si>
  <si>
    <t>TC10320</t>
  </si>
  <si>
    <t>21000.024265/2017-20</t>
  </si>
  <si>
    <t>Cyproconazole Técnico Biorisk</t>
  </si>
  <si>
    <t>TC10420</t>
  </si>
  <si>
    <t>21000.029241/2017-67</t>
  </si>
  <si>
    <t>Ciproconazol Técnico Fersol</t>
  </si>
  <si>
    <t>TC10520</t>
  </si>
  <si>
    <t>21000.043657/2019-50</t>
  </si>
  <si>
    <t>Thiodicarb Técnico SJ</t>
  </si>
  <si>
    <t>TC10620</t>
  </si>
  <si>
    <t>21000.026710/2019-58</t>
  </si>
  <si>
    <t>Lufenuron Técnico Tecnomyl</t>
  </si>
  <si>
    <t>TC10720</t>
  </si>
  <si>
    <t>21000.055087/2018-60</t>
  </si>
  <si>
    <t>Dicamba Técnico Adama Brasil</t>
  </si>
  <si>
    <t>TC10820</t>
  </si>
  <si>
    <t>21000.008904/2014-67</t>
  </si>
  <si>
    <t>Imidacloprido Técnico Adama</t>
  </si>
  <si>
    <t>TC10920</t>
  </si>
  <si>
    <t>21000.002699/2014-26</t>
  </si>
  <si>
    <t>Mepiquat Chloride Técnico RTM</t>
  </si>
  <si>
    <t>Cloreto de mepiquate</t>
  </si>
  <si>
    <t>TC11020</t>
  </si>
  <si>
    <t>21000.010500/2011-91</t>
  </si>
  <si>
    <t>Fipronil Tecnico CH</t>
  </si>
  <si>
    <t>TC11120</t>
  </si>
  <si>
    <t>21000.001645/2014-43</t>
  </si>
  <si>
    <t>2,4-D Técnico UPL</t>
  </si>
  <si>
    <t>TC11220</t>
  </si>
  <si>
    <t>21000.004703/2014-91</t>
  </si>
  <si>
    <t>Tiacloprido Tradecorp Técnico</t>
  </si>
  <si>
    <t>TC11320</t>
  </si>
  <si>
    <t>21000.011800/2019-14</t>
  </si>
  <si>
    <t>Thiacloprid Técnico United</t>
  </si>
  <si>
    <t>TC11420</t>
  </si>
  <si>
    <t>21000.007083/2014-41</t>
  </si>
  <si>
    <t>Thiodicarb Técnico RTM</t>
  </si>
  <si>
    <t>TC11520</t>
  </si>
  <si>
    <t>21000.007565/2014-00</t>
  </si>
  <si>
    <t>Tiodicarbe Técnico Ouro Fino</t>
  </si>
  <si>
    <t>TC11620</t>
  </si>
  <si>
    <t>21000.007869/2014-69</t>
  </si>
  <si>
    <t>Tiodicarbe Técnico SN-Cropchem</t>
  </si>
  <si>
    <t>TC11720</t>
  </si>
  <si>
    <t>21000.008999/2014-19</t>
  </si>
  <si>
    <t>Tiodicarbe Técnico BRA</t>
  </si>
  <si>
    <t>TC11820</t>
  </si>
  <si>
    <t>21000.004519/2020-99</t>
  </si>
  <si>
    <t>Bifentrina Técnico MI-BRA</t>
  </si>
  <si>
    <t>TC11920</t>
  </si>
  <si>
    <t>21000.001764/2015-87</t>
  </si>
  <si>
    <t>Metsulfurom-Metílico Técnico Nortox</t>
  </si>
  <si>
    <t>TC12020</t>
  </si>
  <si>
    <t>21000.008077/2015-92</t>
  </si>
  <si>
    <t>Sonda Técnico</t>
  </si>
  <si>
    <t>TC12120</t>
  </si>
  <si>
    <t>21000.029405/2017-56</t>
  </si>
  <si>
    <t>S-Metolacloro Técnico SNB</t>
  </si>
  <si>
    <t>TC12220</t>
  </si>
  <si>
    <t>21000.004625/2015-26</t>
  </si>
  <si>
    <t>Metsulfuron Técnico BRA</t>
  </si>
  <si>
    <t>TC12320</t>
  </si>
  <si>
    <t>21000.005841/2015-78</t>
  </si>
  <si>
    <t>Triclopir-Butotílico Técnico Rainbow</t>
  </si>
  <si>
    <t>TC12420</t>
  </si>
  <si>
    <t>21000.009563/2017-90</t>
  </si>
  <si>
    <t>Trinexapac Técnico CCAB II</t>
  </si>
  <si>
    <t>TC12520</t>
  </si>
  <si>
    <t>21000.019914/2018-51</t>
  </si>
  <si>
    <t>Bifenthrin Técnico Betachem</t>
  </si>
  <si>
    <t>TC12620</t>
  </si>
  <si>
    <t>21000.051765/2018-15</t>
  </si>
  <si>
    <t>Indoxacarb Técnico Jingbo</t>
  </si>
  <si>
    <t>Indoxabarbe</t>
  </si>
  <si>
    <t>TC12720</t>
  </si>
  <si>
    <t>21000.062122/2019-88</t>
  </si>
  <si>
    <t>Tebuconazol Técnico Adama 2</t>
  </si>
  <si>
    <t>TC12820</t>
  </si>
  <si>
    <t>21000.006081/2015-16</t>
  </si>
  <si>
    <t>Glufosinato Técnico Wynca</t>
  </si>
  <si>
    <t>TC12920</t>
  </si>
  <si>
    <t>21000.001402/2014-13</t>
  </si>
  <si>
    <t>Simazina Técnico Milenia BR</t>
  </si>
  <si>
    <t>TC13020</t>
  </si>
  <si>
    <t>21000.043652/2016-84</t>
  </si>
  <si>
    <t xml:space="preserve">Imidacloprido Técnico Rainbow </t>
  </si>
  <si>
    <t>TC13120</t>
  </si>
  <si>
    <t>21000.025710/2019-31</t>
  </si>
  <si>
    <t>Tebuconazole Técnico HH</t>
  </si>
  <si>
    <t>TC13220</t>
  </si>
  <si>
    <t>21000.006196/2015-19</t>
  </si>
  <si>
    <t>Ciproconazol Tecnico OF I</t>
  </si>
  <si>
    <t>TC13320</t>
  </si>
  <si>
    <t>21000.007819/2014-81</t>
  </si>
  <si>
    <t>Trinexapaque-Etílico Técnico OF</t>
  </si>
  <si>
    <t>TC13420</t>
  </si>
  <si>
    <t>21000.011837/2019-72</t>
  </si>
  <si>
    <t>Lamba Cialotrina Técnico Tecnomyl</t>
  </si>
  <si>
    <t>TC13520</t>
  </si>
  <si>
    <t>21000.054455/2018-52</t>
  </si>
  <si>
    <t>Lambda-Cialotrina Técnico Pilarquim</t>
  </si>
  <si>
    <t>TC13620</t>
  </si>
  <si>
    <t>21000.033643/2017-66</t>
  </si>
  <si>
    <t>Diquat Técnico Ihara</t>
  </si>
  <si>
    <t>TC13720</t>
  </si>
  <si>
    <t>21000.025763/2017-90</t>
  </si>
  <si>
    <t>Diquat Técnico Alta</t>
  </si>
  <si>
    <t>TC13820</t>
  </si>
  <si>
    <t>21000.007228/2015-95</t>
  </si>
  <si>
    <t>Diquat Técnico Nortox BR</t>
  </si>
  <si>
    <t>TC13920</t>
  </si>
  <si>
    <t>21000.004659/2015-08</t>
  </si>
  <si>
    <t>Diquat Técnico Agrogill</t>
  </si>
  <si>
    <t>TC14020</t>
  </si>
  <si>
    <t>21000.002368/2015-77</t>
  </si>
  <si>
    <t>Diquate Técnico LA</t>
  </si>
  <si>
    <t>TC14120</t>
  </si>
  <si>
    <t>Dimethomorph Técnico Rotam</t>
  </si>
  <si>
    <t>TC14220</t>
  </si>
  <si>
    <t>21000.005556/2018-08</t>
  </si>
  <si>
    <t>Dimetomorfe Técnico SD</t>
  </si>
  <si>
    <t>TC14320</t>
  </si>
  <si>
    <t>21000.008445/2014-11</t>
  </si>
  <si>
    <t>Cletodim Técnico Rainbow</t>
  </si>
  <si>
    <t>TC14420</t>
  </si>
  <si>
    <t>21000.041219/2017-95</t>
  </si>
  <si>
    <t>Sulfentrazone A Técnico Helm</t>
  </si>
  <si>
    <t>TC14520</t>
  </si>
  <si>
    <t>21000.027545/2018-71</t>
  </si>
  <si>
    <t>Dicamba Técnico HY-Green</t>
  </si>
  <si>
    <t>Hy-Green</t>
  </si>
  <si>
    <t>TC14620</t>
  </si>
  <si>
    <t>21000.033336/2019-47</t>
  </si>
  <si>
    <t>Dimetomorfe Técnico Nortox II</t>
  </si>
  <si>
    <t>TC14720</t>
  </si>
  <si>
    <t>21000.006068/2010-52</t>
  </si>
  <si>
    <t>Difen Técnico</t>
  </si>
  <si>
    <t>TC14820</t>
  </si>
  <si>
    <t>21000.007716/2015-01</t>
  </si>
  <si>
    <t>Dimetmorfe Técnico Ascenza II</t>
  </si>
  <si>
    <t>TC14920</t>
  </si>
  <si>
    <t>21000.008672/2015-28</t>
  </si>
  <si>
    <t>Triclopir Técnico Adama BR</t>
  </si>
  <si>
    <t>TC15020</t>
  </si>
  <si>
    <t>21000.045444/2016-10</t>
  </si>
  <si>
    <t>Dimetomorfe Técnico Adama</t>
  </si>
  <si>
    <t>TC15120</t>
  </si>
  <si>
    <t>21000.027924/2017-80</t>
  </si>
  <si>
    <t>Sulfentrazone Técnico Nortox II</t>
  </si>
  <si>
    <t>TC15220</t>
  </si>
  <si>
    <t>21000.004867/2010-94</t>
  </si>
  <si>
    <t>Ommi Técnico</t>
  </si>
  <si>
    <t>Tolfenpirade</t>
  </si>
  <si>
    <t>Nichino</t>
  </si>
  <si>
    <t>TC15320</t>
  </si>
  <si>
    <t>21000.033215/2018-14</t>
  </si>
  <si>
    <t>Diquat Técnico Tecnomyl</t>
  </si>
  <si>
    <t>TC15420</t>
  </si>
  <si>
    <t>21000.035346/2017-55</t>
  </si>
  <si>
    <t>Tebuconazole YH Técnico Helm</t>
  </si>
  <si>
    <t>TC15520</t>
  </si>
  <si>
    <t>21000.005896/2014-05</t>
  </si>
  <si>
    <t>Mesotrione Técnico Nortox Br</t>
  </si>
  <si>
    <t>TC15620</t>
  </si>
  <si>
    <t>21000.040292/2018-21</t>
  </si>
  <si>
    <t>Dibrometo de Diquate Técnico Ada BR</t>
  </si>
  <si>
    <t>TC15720</t>
  </si>
  <si>
    <t>21000.013203/2017-92</t>
  </si>
  <si>
    <t>Flutriafol JS Técnico Helm</t>
  </si>
  <si>
    <t>TC15820</t>
  </si>
  <si>
    <t>21000.006857/2017-60</t>
  </si>
  <si>
    <t>Mesotriona Técnico Adama</t>
  </si>
  <si>
    <t>TC15920</t>
  </si>
  <si>
    <t>21000.045794/2018-48</t>
  </si>
  <si>
    <t>Tiametoxam Técnico Adama Brasil</t>
  </si>
  <si>
    <t>TC16020</t>
  </si>
  <si>
    <t>21000.003619/2015-31</t>
  </si>
  <si>
    <t>Clorpirifós Técnico DS</t>
  </si>
  <si>
    <t>TC16120</t>
  </si>
  <si>
    <t>21000.049122/2017-21</t>
  </si>
  <si>
    <t>Clorpirifós Técnico Alta</t>
  </si>
  <si>
    <t>TC16220</t>
  </si>
  <si>
    <t>21000.034859/2019-19</t>
  </si>
  <si>
    <t>Ciproconazol Técnico NKC</t>
  </si>
  <si>
    <t>TC16320</t>
  </si>
  <si>
    <t>21000.008590/2014-01</t>
  </si>
  <si>
    <t>Mesotriona Técnico SD</t>
  </si>
  <si>
    <t>TC16420</t>
  </si>
  <si>
    <t>21000.003656/2014-68</t>
  </si>
  <si>
    <t>Tebuconazole Técnico RdB</t>
  </si>
  <si>
    <t>TC16520</t>
  </si>
  <si>
    <t>21000.046873/2017-95</t>
  </si>
  <si>
    <t>Diquat Técnico CCAB II</t>
  </si>
  <si>
    <t>TC16620</t>
  </si>
  <si>
    <t>21000.042618/2019-35</t>
  </si>
  <si>
    <t>Acetamiprid Técnico SJ</t>
  </si>
  <si>
    <t>TC16720</t>
  </si>
  <si>
    <t>21000.002588/2015-09</t>
  </si>
  <si>
    <t>Mesotrione Técnico Oxon</t>
  </si>
  <si>
    <t>TC16820</t>
  </si>
  <si>
    <t>21000.009045/2014-23</t>
  </si>
  <si>
    <t>Clorpirifós Técnico LA</t>
  </si>
  <si>
    <t>TC16920</t>
  </si>
  <si>
    <t>21000.013494/2020-14</t>
  </si>
  <si>
    <t>Acetamiprid Técnico D'Verde</t>
  </si>
  <si>
    <t>TC17020</t>
  </si>
  <si>
    <t>21000.052538/2018-15</t>
  </si>
  <si>
    <t>Clorpirifós Técnico SGC</t>
  </si>
  <si>
    <t>TC17120</t>
  </si>
  <si>
    <t>21000.001473/2009-41</t>
  </si>
  <si>
    <t>Thiencarbazone Methyl Técnico</t>
  </si>
  <si>
    <t>Tiencarbazona</t>
  </si>
  <si>
    <t>TC17220</t>
  </si>
  <si>
    <t>21000.002250/2013-87</t>
  </si>
  <si>
    <t>Fenpyrazamine Técnico</t>
  </si>
  <si>
    <t>Fenpirazamina</t>
  </si>
  <si>
    <t>21000.002907/2015-78</t>
  </si>
  <si>
    <t>Glucare</t>
  </si>
  <si>
    <t>21000.024554/2016-48</t>
  </si>
  <si>
    <t>Malathion CCAB 1170 UL</t>
  </si>
  <si>
    <t>21000.054222/2017-79</t>
  </si>
  <si>
    <t>CoriscoBR</t>
  </si>
  <si>
    <t>21000.040398/2019-13</t>
  </si>
  <si>
    <t>BF 20.001</t>
  </si>
  <si>
    <t>Trichoderma harzianum; Trichoderma asperellum; Bacillus amyloliquefaciens</t>
  </si>
  <si>
    <t>21000.036792/2019-49</t>
  </si>
  <si>
    <t>BF 10.001/17</t>
  </si>
  <si>
    <t>21000.026100/2016-10</t>
  </si>
  <si>
    <t>Diador</t>
  </si>
  <si>
    <t>21000.049013/2017-11</t>
  </si>
  <si>
    <t>Inodozeb 750 WG  </t>
  </si>
  <si>
    <t xml:space="preserve">Indofil </t>
  </si>
  <si>
    <t>21000.059210/2016-50</t>
  </si>
  <si>
    <t>Mesopec</t>
  </si>
  <si>
    <t>21000.009725/2013-66</t>
  </si>
  <si>
    <t>Minecto Pro  </t>
  </si>
  <si>
    <t>21000.008439/2014-64</t>
  </si>
  <si>
    <t>Sunward  </t>
  </si>
  <si>
    <t>21000.007487/2013-54</t>
  </si>
  <si>
    <t> Aviate 250 SC </t>
  </si>
  <si>
    <t>21000.002206/2015-39</t>
  </si>
  <si>
    <t>Masterole</t>
  </si>
  <si>
    <t>21000.006626/2015-94</t>
  </si>
  <si>
    <t>Esteio</t>
  </si>
  <si>
    <t>21000.008769/2015-31</t>
  </si>
  <si>
    <t>Abaday</t>
  </si>
  <si>
    <t>Lufenurom; Tiodicarbe</t>
  </si>
  <si>
    <t>Nufarm</t>
  </si>
  <si>
    <t>21000.010316/2012-21</t>
  </si>
  <si>
    <t>Bravonil Top</t>
  </si>
  <si>
    <t>Clorotalonil; Difenoconazol</t>
  </si>
  <si>
    <t>21000.059035/2019-43</t>
  </si>
  <si>
    <t>Aradya</t>
  </si>
  <si>
    <t>Gênica Inovação</t>
  </si>
  <si>
    <t>21000.040400/2019-46</t>
  </si>
  <si>
    <t>Tanus</t>
  </si>
  <si>
    <t>21000.036495/2016-51</t>
  </si>
  <si>
    <t>Danadim</t>
  </si>
  <si>
    <t>21000.015696/2018-86</t>
  </si>
  <si>
    <t>Zambra</t>
  </si>
  <si>
    <t>21000.010515/2011-59</t>
  </si>
  <si>
    <t>Sonnis</t>
  </si>
  <si>
    <t>S-metolacloro; Hexazinona</t>
  </si>
  <si>
    <t>21000.004034/2011-12</t>
  </si>
  <si>
    <t>Chaparral</t>
  </si>
  <si>
    <t>Aminopiralide; Metsulfurom-metílico</t>
  </si>
  <si>
    <t>21000.003031/2017-49</t>
  </si>
  <si>
    <t>Provisia 50 EC  </t>
  </si>
  <si>
    <t>21000.060261/2019-77</t>
  </si>
  <si>
    <t>Bacmix BTKSC </t>
  </si>
  <si>
    <t>21000.005527/2013-23</t>
  </si>
  <si>
    <t xml:space="preserve">Survey 250 FS </t>
  </si>
  <si>
    <t>21000.033410/2018-44</t>
  </si>
  <si>
    <t>Sluggo  </t>
  </si>
  <si>
    <t>Fosfato Férrico​</t>
  </si>
  <si>
    <t>W. Neudorff</t>
  </si>
  <si>
    <t>21000.059159/2016-86</t>
  </si>
  <si>
    <t>Hangar</t>
  </si>
  <si>
    <t>21000.015951/2016-29</t>
  </si>
  <si>
    <t>Limpa</t>
  </si>
  <si>
    <t>BRA Defensivos</t>
  </si>
  <si>
    <t>21000.004050/2014-40</t>
  </si>
  <si>
    <t>2,4-D Nortox 970 WG</t>
  </si>
  <si>
    <t>21000.009959/2012-22</t>
  </si>
  <si>
    <t>Hexazinona Tradecorp 250 SL</t>
  </si>
  <si>
    <t>21000.031010/2019-85</t>
  </si>
  <si>
    <t>Vitality</t>
  </si>
  <si>
    <t>21000.031015/2019-16</t>
  </si>
  <si>
    <t>Subt</t>
  </si>
  <si>
    <t>21000.031019/2019-96</t>
  </si>
  <si>
    <t>Imune III</t>
  </si>
  <si>
    <t>21000.031026/2019-98</t>
  </si>
  <si>
    <t>Biobaci III</t>
  </si>
  <si>
    <t>21000.031028/2019-87</t>
  </si>
  <si>
    <t>Amys</t>
  </si>
  <si>
    <t>21000.037416/2019-71</t>
  </si>
  <si>
    <t> Amblymip</t>
  </si>
  <si>
    <t>Amblyseius tamatavensis </t>
  </si>
  <si>
    <t>21000.062272/2019-91</t>
  </si>
  <si>
    <t>Vigga</t>
  </si>
  <si>
    <t>Extrato de Alho </t>
  </si>
  <si>
    <t>Omex</t>
  </si>
  <si>
    <t>21000.019351/2016-30</t>
  </si>
  <si>
    <t>Sulfentrazone 500 SC Tagros</t>
  </si>
  <si>
    <t>21000.031016/2019-52</t>
  </si>
  <si>
    <t>Nema III</t>
  </si>
  <si>
    <t>21000.031024/2019-07</t>
  </si>
  <si>
    <t>Bug-Killer</t>
  </si>
  <si>
    <t>21000.039056/2018-61</t>
  </si>
  <si>
    <t>Bassi Control</t>
  </si>
  <si>
    <t>Innova Ltda.</t>
  </si>
  <si>
    <t>21000.054227/2017-00</t>
  </si>
  <si>
    <t>Off Road</t>
  </si>
  <si>
    <t>21000.031018/2019-41</t>
  </si>
  <si>
    <t>Meta III</t>
  </si>
  <si>
    <t>21000.004207/2013-56</t>
  </si>
  <si>
    <t>Tordon Ultra</t>
  </si>
  <si>
    <t>2,4-D; Aminopiralide</t>
  </si>
  <si>
    <t>21000.005469/2013-38</t>
  </si>
  <si>
    <t>Tronador Ultra</t>
  </si>
  <si>
    <t>21000.006068/2013-03</t>
  </si>
  <si>
    <t>Synero Ultra</t>
  </si>
  <si>
    <t>21000.006069/2013-40</t>
  </si>
  <si>
    <t>Disparo Ultra</t>
  </si>
  <si>
    <t>21000.008196/2013-83</t>
  </si>
  <si>
    <t>Kaptron</t>
  </si>
  <si>
    <t>Aminopiralide; Picloram; Fluroxipir-Meptílico</t>
  </si>
  <si>
    <t>21000.008653/2013-30</t>
  </si>
  <si>
    <t>Destro</t>
  </si>
  <si>
    <t>21000.008654/2013-84</t>
  </si>
  <si>
    <t>Livra</t>
  </si>
  <si>
    <t>21000.026944/2018-14</t>
  </si>
  <si>
    <t>Btfert</t>
  </si>
  <si>
    <t>Micro-Bio</t>
  </si>
  <si>
    <t>21000.035570/2019-17</t>
  </si>
  <si>
    <t>Green Muscardine</t>
  </si>
  <si>
    <t>21000.060125/2019-87</t>
  </si>
  <si>
    <t>Duocontrol</t>
  </si>
  <si>
    <t xml:space="preserve"> Beauveria bassiana; Metarhizium anisopliae</t>
  </si>
  <si>
    <t>21000.021379/2019-80</t>
  </si>
  <si>
    <t>Exilis</t>
  </si>
  <si>
    <t>21000.036419/2019-98</t>
  </si>
  <si>
    <t>Fal 1780</t>
  </si>
  <si>
    <t>21000.060260/2019-22</t>
  </si>
  <si>
    <t>Biometa</t>
  </si>
  <si>
    <t>21000.003807/2013-05</t>
  </si>
  <si>
    <t>Jaguar Ultra</t>
  </si>
  <si>
    <t>21000.004206/2013-10</t>
  </si>
  <si>
    <t>Palace Ultra</t>
  </si>
  <si>
    <t>21000.005051/2010-88</t>
  </si>
  <si>
    <t>Prowl H2O</t>
  </si>
  <si>
    <t>Pendimetalina</t>
  </si>
  <si>
    <t>21000.005418/2014-97</t>
  </si>
  <si>
    <t>Abamectin Nortox 400 WG</t>
  </si>
  <si>
    <t>21000.006046/2012-54</t>
  </si>
  <si>
    <t>Sirtaki 500 EC</t>
  </si>
  <si>
    <t>21000.010118/2013-49</t>
  </si>
  <si>
    <t>Krugar 250 SL</t>
  </si>
  <si>
    <t>Rotam do Brasil</t>
  </si>
  <si>
    <t>21000.087642/2019-01</t>
  </si>
  <si>
    <t>Bms Max</t>
  </si>
  <si>
    <t>Metarhizium anisopliae; Beauveria bassiana</t>
  </si>
  <si>
    <t>21000.031014/2019-63</t>
  </si>
  <si>
    <t>Tricho III</t>
  </si>
  <si>
    <t>21000.023423/2016-43</t>
  </si>
  <si>
    <t xml:space="preserve">Entone  </t>
  </si>
  <si>
    <t>21000.009067/2010-60</t>
  </si>
  <si>
    <t>Horos EC</t>
  </si>
  <si>
    <t>Tebuconazol; Picoxistrobina</t>
  </si>
  <si>
    <t>21000.008916/2011-49</t>
  </si>
  <si>
    <t>Slogan</t>
  </si>
  <si>
    <t xml:space="preserve">Picloram; Fluroxipir-meptílico </t>
  </si>
  <si>
    <t>21000.008870/2014-19</t>
  </si>
  <si>
    <t>Tiofanato CCAB 500 SC</t>
  </si>
  <si>
    <t>21000.008483/2014-74</t>
  </si>
  <si>
    <t>Indoxacarb 15 SC Gharda</t>
  </si>
  <si>
    <t>21000.008475/2014-28</t>
  </si>
  <si>
    <t>Indoxacarb CCAB 150 SC</t>
  </si>
  <si>
    <t>21000.008444/2014-77</t>
  </si>
  <si>
    <t>Sunpass</t>
  </si>
  <si>
    <t>21000.007684/2010-21</t>
  </si>
  <si>
    <t>Acronis FS</t>
  </si>
  <si>
    <t>Piraclostrobina; Tiofanato Metílico</t>
  </si>
  <si>
    <t>21000.004194/2013-15</t>
  </si>
  <si>
    <t>Dazin</t>
  </si>
  <si>
    <t>21000.003274/2012-72</t>
  </si>
  <si>
    <t>Desali 150 EC</t>
  </si>
  <si>
    <t>Benzovindiflupir; Azoxistrobina</t>
  </si>
  <si>
    <t>21000.003102/2015-41</t>
  </si>
  <si>
    <t>Bastnate</t>
  </si>
  <si>
    <t>21000.002973/2013-86</t>
  </si>
  <si>
    <t>Shopra 806 SL</t>
  </si>
  <si>
    <t>21000.051480/2017-01</t>
  </si>
  <si>
    <t>Aumenax</t>
  </si>
  <si>
    <t>Fluxapiroxade; Oxicloreto de Cobre</t>
  </si>
  <si>
    <t>21000.021385/2019-37</t>
  </si>
  <si>
    <t>Perlan</t>
  </si>
  <si>
    <t>Ácido Giberélico; Benziladenina</t>
  </si>
  <si>
    <t>21000.007990/2017-33</t>
  </si>
  <si>
    <t>Listar</t>
  </si>
  <si>
    <t>21000.006462/2014-14</t>
  </si>
  <si>
    <t>Megasato 480 SL</t>
  </si>
  <si>
    <t>Agroimport</t>
  </si>
  <si>
    <t>21000.005875/2015-62</t>
  </si>
  <si>
    <t>Atectra SL</t>
  </si>
  <si>
    <t>21000.003101/2015-05</t>
  </si>
  <si>
    <t>Glufair</t>
  </si>
  <si>
    <t>21000.001840/2020-11</t>
  </si>
  <si>
    <t>Bovettus Org</t>
  </si>
  <si>
    <t>21000.004331/2010-79</t>
  </si>
  <si>
    <t>Acapela</t>
  </si>
  <si>
    <t>Du Pont</t>
  </si>
  <si>
    <t>21000.070222/2019-88</t>
  </si>
  <si>
    <t>Romeo SC</t>
  </si>
  <si>
    <t>Saccharomyces cerevisiae</t>
  </si>
  <si>
    <t>Bio Springer</t>
  </si>
  <si>
    <t>21000.002249/2008-95</t>
  </si>
  <si>
    <t>Klinner</t>
  </si>
  <si>
    <t>Carbedazim; Tebuconazol</t>
  </si>
  <si>
    <t>21000.010938/2011-79</t>
  </si>
  <si>
    <t>Curanza 600 FS Pro</t>
  </si>
  <si>
    <t>21000.054132/2018-69</t>
  </si>
  <si>
    <t>Vacciplant</t>
  </si>
  <si>
    <r>
      <rPr>
        <rFont val="Arial"/>
        <color rgb="FF000066"/>
        <sz val="11.0"/>
      </rPr>
      <t>Laminarina (Extrato da alga</t>
    </r>
    <r>
      <rPr>
        <rFont val="Arial"/>
        <i/>
        <color rgb="FF000066"/>
        <sz val="11.0"/>
      </rPr>
      <t xml:space="preserve"> Laminaria digitata</t>
    </r>
    <r>
      <rPr>
        <rFont val="Arial"/>
        <color rgb="FF000066"/>
        <sz val="11.0"/>
      </rPr>
      <t>)</t>
    </r>
  </si>
  <si>
    <t>21000.040614/2016-70</t>
  </si>
  <si>
    <t xml:space="preserve">Plethora BR  </t>
  </si>
  <si>
    <t>Indoxacarbe; Novalurom</t>
  </si>
  <si>
    <t>21000.059033/2019-54</t>
  </si>
  <si>
    <t>Latria</t>
  </si>
  <si>
    <t>21000.004590/2011-81</t>
  </si>
  <si>
    <t>Acapela BR</t>
  </si>
  <si>
    <t>21000.007080/2011-65</t>
  </si>
  <si>
    <t>​Simazina 500 SC Rainbow</t>
  </si>
  <si>
    <t>21000.007648/2011-48</t>
  </si>
  <si>
    <t>Raster</t>
  </si>
  <si>
    <t>Cialofope-Butílico; Penoxsulam</t>
  </si>
  <si>
    <t>21000.023996/2017-58</t>
  </si>
  <si>
    <t>Ofek-Turbo</t>
  </si>
  <si>
    <t>21000.020598/2016-07</t>
  </si>
  <si>
    <t>Dk Max</t>
  </si>
  <si>
    <t>Zhongshan Química</t>
  </si>
  <si>
    <t>21000.008805/2019-90</t>
  </si>
  <si>
    <t>B.fresh</t>
  </si>
  <si>
    <t>21000.008314/2014-34</t>
  </si>
  <si>
    <t>Sunaim</t>
  </si>
  <si>
    <t>21000.008121/2010-50</t>
  </si>
  <si>
    <t>Fullmuron</t>
  </si>
  <si>
    <t>21000.008520/2014-44</t>
  </si>
  <si>
    <t>Surrena</t>
  </si>
  <si>
    <t>21000.009863/2013-45</t>
  </si>
  <si>
    <t>Vaporpho3os Phosphine Fumigant</t>
  </si>
  <si>
    <t>Fosfina</t>
  </si>
  <si>
    <t>21000.072018/2019-00</t>
  </si>
  <si>
    <t xml:space="preserve">Vircontrol C.i </t>
  </si>
  <si>
    <r>
      <rPr>
        <rFont val="Arial"/>
        <i/>
        <color rgb="FF000066"/>
        <sz val="11.0"/>
      </rPr>
      <t>Chrysodeixis includens</t>
    </r>
    <r>
      <rPr>
        <rFont val="Arial"/>
        <i val="0"/>
        <color rgb="FF000066"/>
        <sz val="11.0"/>
      </rPr>
      <t xml:space="preserve"> multiple nucleopolyhedrovirus (ChinMNPV)</t>
    </r>
  </si>
  <si>
    <t>21000.000039/2016-72</t>
  </si>
  <si>
    <t>Banjo Adama</t>
  </si>
  <si>
    <t>21000.005842/2015-12</t>
  </si>
  <si>
    <t xml:space="preserve"> Rainvel Xtra</t>
  </si>
  <si>
    <t>21000.006322/2013-65</t>
  </si>
  <si>
    <t>Terius</t>
  </si>
  <si>
    <t>21000.034676/2016-42</t>
  </si>
  <si>
    <t>Graduate A+  ​</t>
  </si>
  <si>
    <t>Azoxistrobina; Fludioxonil</t>
  </si>
  <si>
    <t>21000.006496/2017-51</t>
  </si>
  <si>
    <t>Glufosinato - Sal de Amônio Sapec 200 SL</t>
  </si>
  <si>
    <t>21000.005842/2020-80</t>
  </si>
  <si>
    <t>Mesopel Mix</t>
  </si>
  <si>
    <t>Dillon Biotecnologia</t>
  </si>
  <si>
    <t>21000.019946/2018-57</t>
  </si>
  <si>
    <t>Blavity</t>
  </si>
  <si>
    <t xml:space="preserve"> Fluxapiroxade; Protioconazol </t>
  </si>
  <si>
    <t>21000.031662/2016-77</t>
  </si>
  <si>
    <t>Unânime BR</t>
  </si>
  <si>
    <t>21000.037926/2018-68</t>
  </si>
  <si>
    <t>GrandeBR Ultra</t>
  </si>
  <si>
    <t>21000.048256/2016-43</t>
  </si>
  <si>
    <t>Paclot</t>
  </si>
  <si>
    <t>Paclobutrazol</t>
  </si>
  <si>
    <t>21000.003739/2010-23</t>
  </si>
  <si>
    <t>Domark Pro</t>
  </si>
  <si>
    <t xml:space="preserve">Tetraconazol; Carbendazim  </t>
  </si>
  <si>
    <t>21000.005256/2013-14</t>
  </si>
  <si>
    <t>Survey 800 WG</t>
  </si>
  <si>
    <t>21000.008336/2017-47</t>
  </si>
  <si>
    <t>Fipronil 800 WG CCAB</t>
  </si>
  <si>
    <t>21000.007770/2010-33</t>
  </si>
  <si>
    <t>Pendulum Aqua  </t>
  </si>
  <si>
    <t>21000.007181/2019-93</t>
  </si>
  <si>
    <t>Kombat</t>
  </si>
  <si>
    <t>21000.009042/2019-02</t>
  </si>
  <si>
    <t>Baknem </t>
  </si>
  <si>
    <t>21000.009048/2019-71</t>
  </si>
  <si>
    <t>Konem</t>
  </si>
  <si>
    <t>21000.032774/2016-45</t>
  </si>
  <si>
    <t>Trigger 240 SC</t>
  </si>
  <si>
    <t>21000.073374/2019-32</t>
  </si>
  <si>
    <t>Biobassi</t>
  </si>
  <si>
    <t>21000.052329/2017-82</t>
  </si>
  <si>
    <t>Iprodione Nortox</t>
  </si>
  <si>
    <t>Iprodiona</t>
  </si>
  <si>
    <t>21000.007644/2014-11</t>
  </si>
  <si>
    <t> Viriato</t>
  </si>
  <si>
    <t>Hexitiazoxi </t>
  </si>
  <si>
    <t>21000.090213/2019-11</t>
  </si>
  <si>
    <t>Aveo EZ</t>
  </si>
  <si>
    <t>21000.090211/2019-14</t>
  </si>
  <si>
    <t>Lumialza</t>
  </si>
  <si>
    <t>21000.053857/2017-59</t>
  </si>
  <si>
    <t xml:space="preserve">UPL 3024 FP  </t>
  </si>
  <si>
    <t>Glufosinato - Sal de Amônio; S-Metolacloro</t>
  </si>
  <si>
    <t>21000.026133/2017-32</t>
  </si>
  <si>
    <t>Dk Plus   </t>
  </si>
  <si>
    <t>21000.011593/2010-90</t>
  </si>
  <si>
    <t>Chrome Sinon  </t>
  </si>
  <si>
    <t>21000.011126/2016-55</t>
  </si>
  <si>
    <t>Bifenmax​</t>
  </si>
  <si>
    <t>21000.010784/2012-04</t>
  </si>
  <si>
    <t>Atrazina 900 WG Alamos</t>
  </si>
  <si>
    <t>21000.009245/2013-03</t>
  </si>
  <si>
    <t xml:space="preserve">Afinal  </t>
  </si>
  <si>
    <t>21000.007386/2015-45</t>
  </si>
  <si>
    <t xml:space="preserve">Diafentiuron Nortox  </t>
  </si>
  <si>
    <t>21000.005373/2020-07</t>
  </si>
  <si>
    <t>Stimucontrol Evolution</t>
  </si>
  <si>
    <t>21000.001430/2012-61</t>
  </si>
  <si>
    <t xml:space="preserve">Bim Max  </t>
  </si>
  <si>
    <t xml:space="preserve">Triciclazol; Tebuconazole  </t>
  </si>
  <si>
    <t>21000.000976/2015-47</t>
  </si>
  <si>
    <t>Aproach Power</t>
  </si>
  <si>
    <t>Picoxistrobina; Ciproconazol</t>
  </si>
  <si>
    <t>21000.001644/2013-18</t>
  </si>
  <si>
    <t>Clorimurom 250 WG Rainbow</t>
  </si>
  <si>
    <t>21000.001764/2013-15</t>
  </si>
  <si>
    <t>Climur</t>
  </si>
  <si>
    <t>21000.002978/2013-17</t>
  </si>
  <si>
    <t>Velbow</t>
  </si>
  <si>
    <t>21000.003590/2020-54</t>
  </si>
  <si>
    <t>Bioexos</t>
  </si>
  <si>
    <r>
      <rPr>
        <rFont val="Arial"/>
        <i/>
        <color rgb="FF000066"/>
        <sz val="11.0"/>
      </rPr>
      <t>Azadirachta indica</t>
    </r>
    <r>
      <rPr>
        <rFont val="Arial"/>
        <i val="0"/>
        <color rgb="FF000066"/>
        <sz val="11.0"/>
      </rPr>
      <t xml:space="preserve"> (Óleo de neem)</t>
    </r>
  </si>
  <si>
    <t>21000.004957/2012-47</t>
  </si>
  <si>
    <t>Standak Top UBS</t>
  </si>
  <si>
    <t>Piraclostrobina; Tiofanato-Metílico; Fipronil</t>
  </si>
  <si>
    <t>21000.010466/2011-54</t>
  </si>
  <si>
    <t>Optill</t>
  </si>
  <si>
    <t xml:space="preserve">Saflufenacil; Imazetapir  </t>
  </si>
  <si>
    <t>21000.015690/2020-23</t>
  </si>
  <si>
    <t>Mettus Org</t>
  </si>
  <si>
    <t>Nooa</t>
  </si>
  <si>
    <t>21000.064956/2019-28</t>
  </si>
  <si>
    <t>Vir Protection</t>
  </si>
  <si>
    <r>
      <rPr>
        <rFont val="Arial"/>
        <i/>
        <color rgb="FF000066"/>
        <sz val="11.0"/>
      </rPr>
      <t xml:space="preserve">Spodoptera frugiperda </t>
    </r>
    <r>
      <rPr>
        <rFont val="Arial"/>
        <i val="0"/>
        <color rgb="FF000066"/>
        <sz val="11.0"/>
      </rPr>
      <t>multiple nucleopolyhedrovirus</t>
    </r>
  </si>
  <si>
    <t>21000.058666/2019-45</t>
  </si>
  <si>
    <t xml:space="preserve">BI2002/17​ </t>
  </si>
  <si>
    <t>21000.008183/2010-61</t>
  </si>
  <si>
    <t>Trop M</t>
  </si>
  <si>
    <t xml:space="preserve">Glifosato  </t>
  </si>
  <si>
    <t>21000.008216/2013-16</t>
  </si>
  <si>
    <t>Carimbo 500 EC</t>
  </si>
  <si>
    <t>21000.010327/2013-92</t>
  </si>
  <si>
    <t xml:space="preserve">Tebutiuron Nortox  </t>
  </si>
  <si>
    <t>21000.091918/2019-48</t>
  </si>
  <si>
    <t>Cotésia Biocamp</t>
  </si>
  <si>
    <t>Cotesia flavipes</t>
  </si>
  <si>
    <t>Laboratório Biocamp</t>
  </si>
  <si>
    <t>21000.060497/2019-11</t>
  </si>
  <si>
    <t>BI73.002/17  </t>
  </si>
  <si>
    <t>21000.008840/2012-32</t>
  </si>
  <si>
    <t>Cordon WP</t>
  </si>
  <si>
    <t xml:space="preserve">Mancozebe; Cimoxanil </t>
  </si>
  <si>
    <t>21000.007034/2013-28</t>
  </si>
  <si>
    <t>Encke</t>
  </si>
  <si>
    <t>21000.016574/2020-21</t>
  </si>
  <si>
    <t>Isacontrol</t>
  </si>
  <si>
    <t>21000.012605/2020-75</t>
  </si>
  <si>
    <t>Furatrop</t>
  </si>
  <si>
    <t>21000.002235/2014-10</t>
  </si>
  <si>
    <t>Yamato</t>
  </si>
  <si>
    <t>21000.003083/2015-53</t>
  </si>
  <si>
    <t>Kyojin</t>
  </si>
  <si>
    <t xml:space="preserve">Piroxasulfone; Flumioxazina  </t>
  </si>
  <si>
    <t>21000.007365/2015-20</t>
  </si>
  <si>
    <t xml:space="preserve">Yamato SC  </t>
  </si>
  <si>
    <t xml:space="preserve">Piroxasulfone  </t>
  </si>
  <si>
    <t>21000.007368/2015-63</t>
  </si>
  <si>
    <t>Falcon</t>
  </si>
  <si>
    <t>21000.063665/2016-70</t>
  </si>
  <si>
    <t>Ritmo</t>
  </si>
  <si>
    <t xml:space="preserve">Piroxasulfone; Amicarbazona   </t>
  </si>
  <si>
    <t>21000.011191/2011-76</t>
  </si>
  <si>
    <t>Kilate</t>
  </si>
  <si>
    <t>Captana; Carbedazim</t>
  </si>
  <si>
    <t>21000.010237/2017-25</t>
  </si>
  <si>
    <t>Tricana</t>
  </si>
  <si>
    <t>Diurom; Hexazinona; Tebutiurom</t>
  </si>
  <si>
    <t>21000.054791/2017-14</t>
  </si>
  <si>
    <t xml:space="preserve">Malathion CCAB 1000 EC  </t>
  </si>
  <si>
    <t>21000.015721/2011-55</t>
  </si>
  <si>
    <t>Sulphur 800 WG Perterra</t>
  </si>
  <si>
    <t>Enxofre</t>
  </si>
  <si>
    <t>21000.035533/2016-58</t>
  </si>
  <si>
    <t>Clorfenapir Nortox</t>
  </si>
  <si>
    <t>21000.037158/2016-81</t>
  </si>
  <si>
    <t>Takumi</t>
  </si>
  <si>
    <t>Flubendiamida</t>
  </si>
  <si>
    <t>21000.089831/2019-19</t>
  </si>
  <si>
    <t>MethaControl Evolution</t>
  </si>
  <si>
    <t>21000.006412/2020-85</t>
  </si>
  <si>
    <t>CS-A1-0083</t>
  </si>
  <si>
    <t>21000.008178/2015-63</t>
  </si>
  <si>
    <t>Imazetapir Nortox</t>
  </si>
  <si>
    <t>21000.003199/2012-40</t>
  </si>
  <si>
    <t>Cosavet</t>
  </si>
  <si>
    <t>21000.008116/2011-28</t>
  </si>
  <si>
    <t>Diuron 800 WG Rainbow</t>
  </si>
  <si>
    <t>21000.021854/2020-51</t>
  </si>
  <si>
    <t>Vult</t>
  </si>
  <si>
    <t>21000.022679/2020-10</t>
  </si>
  <si>
    <t>Biolin</t>
  </si>
  <si>
    <t>21000.026098/2020-57</t>
  </si>
  <si>
    <t>Profix-A</t>
  </si>
  <si>
    <t>Bacillus subtilis; Bacillus licheniformis; Paecilomyces lilacinus</t>
  </si>
  <si>
    <t>21000.026606/2020-05</t>
  </si>
  <si>
    <t>Profix-C</t>
  </si>
  <si>
    <t>21000.027500/2020-11</t>
  </si>
  <si>
    <t>Profix-B</t>
  </si>
  <si>
    <t>21000.084700/2019-37</t>
  </si>
  <si>
    <t>Vibranium</t>
  </si>
  <si>
    <t>AgBiTech</t>
  </si>
  <si>
    <t>21000.084706/2019-12</t>
  </si>
  <si>
    <t>Bovel</t>
  </si>
  <si>
    <t>21000.002308/2015-54</t>
  </si>
  <si>
    <t xml:space="preserve">Glufonium  </t>
  </si>
  <si>
    <t xml:space="preserve">Sinon </t>
  </si>
  <si>
    <t>21000.003557/2013-03</t>
  </si>
  <si>
    <t>Hexapar</t>
  </si>
  <si>
    <t xml:space="preserve">Diurom; Hexazinona </t>
  </si>
  <si>
    <t>21000.002394/2012-52</t>
  </si>
  <si>
    <t>Edegal</t>
  </si>
  <si>
    <t>21000.007439/2013-66</t>
  </si>
  <si>
    <t>Fipronil CCAB 250 FS</t>
  </si>
  <si>
    <t xml:space="preserve">Fipronil </t>
  </si>
  <si>
    <t>21000.009909/2010-83</t>
  </si>
  <si>
    <t>Flumioxazin 500 SC</t>
  </si>
  <si>
    <t>21000.014269/2016-19</t>
  </si>
  <si>
    <t>Pasture Nortox</t>
  </si>
  <si>
    <t xml:space="preserve">Fluroxipir-Meptílico; Triclopir-butotílico </t>
  </si>
  <si>
    <t>21000.048604/2017-63</t>
  </si>
  <si>
    <t>Tora</t>
  </si>
  <si>
    <t>21000.064879/2019-14</t>
  </si>
  <si>
    <t>Sympatico</t>
  </si>
  <si>
    <r>
      <rPr>
        <rFont val="Arial"/>
        <i/>
        <color rgb="FF000066"/>
        <sz val="11.0"/>
      </rPr>
      <t>Bacillus thuringiensis</t>
    </r>
    <r>
      <rPr>
        <rFont val="Arial"/>
        <i val="0"/>
        <color rgb="FF000066"/>
        <sz val="11.0"/>
      </rPr>
      <t xml:space="preserve"> subsp. </t>
    </r>
    <r>
      <rPr>
        <rFont val="Arial"/>
        <i/>
        <color rgb="FF000066"/>
        <sz val="11.0"/>
      </rPr>
      <t>kurstaki</t>
    </r>
    <r>
      <rPr>
        <rFont val="Arial"/>
        <i val="0"/>
        <color rgb="FF000066"/>
        <sz val="11.0"/>
      </rPr>
      <t xml:space="preserve">; </t>
    </r>
    <r>
      <rPr>
        <rFont val="Arial"/>
        <i/>
        <color rgb="FF000066"/>
        <sz val="11.0"/>
      </rPr>
      <t>Bacillus thuringiensis</t>
    </r>
    <r>
      <rPr>
        <rFont val="Arial"/>
        <i val="0"/>
        <color rgb="FF000066"/>
        <sz val="11.0"/>
      </rPr>
      <t xml:space="preserve"> subsp. </t>
    </r>
    <r>
      <rPr>
        <rFont val="Arial"/>
        <i/>
        <color rgb="FF000066"/>
        <sz val="11.0"/>
      </rPr>
      <t>aizawai</t>
    </r>
  </si>
  <si>
    <t xml:space="preserve">Sumitomo </t>
  </si>
  <si>
    <t>21000.004792/2012-11</t>
  </si>
  <si>
    <t>Sumimax AMT</t>
  </si>
  <si>
    <t>Ametrina; Flumioxazina</t>
  </si>
  <si>
    <t>21000.005275/2012-51</t>
  </si>
  <si>
    <t>Metomil 215 SL Volcano</t>
  </si>
  <si>
    <t>21000.004017/2015-09</t>
  </si>
  <si>
    <t xml:space="preserve">Sectia 350 </t>
  </si>
  <si>
    <t>Ouro fino</t>
  </si>
  <si>
    <t>21000.000548/2010-18</t>
  </si>
  <si>
    <t>Maxim Quattro Professional</t>
  </si>
  <si>
    <t>Azoxistrobina; Tiabendazol; Fludioxonil; Metalaxil-M</t>
  </si>
  <si>
    <t>21000.005811/2010-57</t>
  </si>
  <si>
    <t>Atento 500 FS</t>
  </si>
  <si>
    <t>Fluquinconazol</t>
  </si>
  <si>
    <t>21000.006766/2011-39</t>
  </si>
  <si>
    <t>Ametrina 800 WG Rainbow</t>
  </si>
  <si>
    <t>21000.003451/2016-44</t>
  </si>
  <si>
    <t xml:space="preserve"> Bifentrina 100 EC Nortox</t>
  </si>
  <si>
    <t>21000.038608/2016-52</t>
  </si>
  <si>
    <t>Bitrin​ 100 EC</t>
  </si>
  <si>
    <t>21000.001749/2015-39</t>
  </si>
  <si>
    <t>Sinfonat</t>
  </si>
  <si>
    <t>Glufosinato, Sal de amônio</t>
  </si>
  <si>
    <t>21000.003738/2010-89</t>
  </si>
  <si>
    <t>Galileo TM</t>
  </si>
  <si>
    <t>Tetraconazol; Tiofanato-Metílico </t>
  </si>
  <si>
    <t>21000.005732/2012-16</t>
  </si>
  <si>
    <t>Sugarina Plus</t>
  </si>
  <si>
    <t>21000.044013/2019-89</t>
  </si>
  <si>
    <t xml:space="preserve">Azoxistrobina + Tebuconazol (120+200) SC  </t>
  </si>
  <si>
    <t>21000.010390/2012-48</t>
  </si>
  <si>
    <t>Raigen</t>
  </si>
  <si>
    <t>Clorotalonil; Difenoconazol</t>
  </si>
  <si>
    <t>21000.007301/2015-29</t>
  </si>
  <si>
    <t>Antaris</t>
  </si>
  <si>
    <t>Saflufenacil; Imazetapir</t>
  </si>
  <si>
    <t>21000.005733/2012-52</t>
  </si>
  <si>
    <t>Gesamena Plus</t>
  </si>
  <si>
    <t>21000.084701/2019-81</t>
  </si>
  <si>
    <t>Nácar</t>
  </si>
  <si>
    <r>
      <rPr>
        <rFont val="Arial"/>
        <i/>
        <color rgb="FF000066"/>
        <sz val="11.0"/>
      </rPr>
      <t>Spodoptera frugiperda multiplenucleopolyhedrovirus</t>
    </r>
    <r>
      <rPr>
        <rFont val="Arial"/>
        <i val="0"/>
        <color rgb="FF000066"/>
        <sz val="11.0"/>
      </rPr>
      <t xml:space="preserve"> (SfMNPV) </t>
    </r>
  </si>
  <si>
    <t>Agbitech</t>
  </si>
  <si>
    <t>21000.055404/2017-67</t>
  </si>
  <si>
    <t xml:space="preserve">Araddo  </t>
  </si>
  <si>
    <t>Cletodim; Fluroxipir-Meptílico</t>
  </si>
  <si>
    <t>21000.077290/2019-78</t>
  </si>
  <si>
    <t>BioMatch JCO </t>
  </si>
  <si>
    <t>JCO Indústria</t>
  </si>
  <si>
    <t>21000.050032/2019-44</t>
  </si>
  <si>
    <t>Trichosul</t>
  </si>
  <si>
    <t>Trichogramma pretiosum </t>
  </si>
  <si>
    <t>21000.062705/2016-66</t>
  </si>
  <si>
    <t>Vitene</t>
  </si>
  <si>
    <t xml:space="preserve"> Azoxistrobina; Difenoconazole</t>
  </si>
  <si>
    <t>21000.008960/2014-00</t>
  </si>
  <si>
    <t>Teburaz</t>
  </si>
  <si>
    <t>21000.007118/2015-23</t>
  </si>
  <si>
    <t>Sulfentrazone 500 SC Proventis</t>
  </si>
  <si>
    <t>21000.043695/2018-21</t>
  </si>
  <si>
    <t>Gigante 360 CS</t>
  </si>
  <si>
    <t>21000.036162/2017-11</t>
  </si>
  <si>
    <t>Breezes 240 SC</t>
  </si>
  <si>
    <t>21000.006548/2012-85</t>
  </si>
  <si>
    <t>Trop Max</t>
  </si>
  <si>
    <t>21000.041921/2016-78</t>
  </si>
  <si>
    <t xml:space="preserve"> Click</t>
  </si>
  <si>
    <t>21000.036344/2020-89</t>
  </si>
  <si>
    <t xml:space="preserve">MNG-04/20  </t>
  </si>
  <si>
    <t>Maneogene</t>
  </si>
  <si>
    <t>21000.029675/2020-62</t>
  </si>
  <si>
    <t>Shocker-B</t>
  </si>
  <si>
    <t>Bacillus amyloliquefaciens; Bacillus amyloliquefaciens; Trichoderma harzianum</t>
  </si>
  <si>
    <t>21000.028669/2020-98</t>
  </si>
  <si>
    <t>Shocker-A</t>
  </si>
  <si>
    <t>21000.011759/2018-25</t>
  </si>
  <si>
    <t>Sivanto Fusion</t>
  </si>
  <si>
    <t xml:space="preserve"> Espiromesifeno; Flupiradifurone   </t>
  </si>
  <si>
    <t>21000.018212/2018-51</t>
  </si>
  <si>
    <t>Dogma</t>
  </si>
  <si>
    <t xml:space="preserve"> S-Metolacloro; Glufosinato - Sal de Amônio </t>
  </si>
  <si>
    <t>21000.017999/2018-33</t>
  </si>
  <si>
    <t>Takumi SC</t>
  </si>
  <si>
    <t xml:space="preserve"> Flubendiamida</t>
  </si>
  <si>
    <t>21000.004348/2013-79</t>
  </si>
  <si>
    <t xml:space="preserve">Halley 600 </t>
  </si>
  <si>
    <t xml:space="preserve">Hexazinona; Diurom   </t>
  </si>
  <si>
    <t>21000.004382/2013-43</t>
  </si>
  <si>
    <t>Megatraz</t>
  </si>
  <si>
    <t>er</t>
  </si>
  <si>
    <t>21000.008131/2014-19</t>
  </si>
  <si>
    <t>Tiofanato Metil Atanor 500 SC</t>
  </si>
  <si>
    <t>21000.008574/2014-18</t>
  </si>
  <si>
    <t xml:space="preserve">Trix 250 </t>
  </si>
  <si>
    <t xml:space="preserve">Trinexapaque-etílico </t>
  </si>
  <si>
    <t>21000.010606/2011-94</t>
  </si>
  <si>
    <t>Fegrat</t>
  </si>
  <si>
    <t xml:space="preserve"> S-metolacloro; Hexazinona   </t>
  </si>
  <si>
    <t>21000.010681/2012-36</t>
  </si>
  <si>
    <t xml:space="preserve">Fitter </t>
  </si>
  <si>
    <t>Cyprodinil; Fludioxonil</t>
  </si>
  <si>
    <t>21000.009296/2012-46</t>
  </si>
  <si>
    <t xml:space="preserve"> Rozox </t>
  </si>
  <si>
    <t>Triciclazol; Tebuconazole</t>
  </si>
  <si>
    <t>21000.008660/2010-99</t>
  </si>
  <si>
    <t>Visclor</t>
  </si>
  <si>
    <t xml:space="preserve"> Clorotalonil</t>
  </si>
  <si>
    <t xml:space="preserve"> Oxon Brasil</t>
  </si>
  <si>
    <t>21000.019766/2018-75</t>
  </si>
  <si>
    <t>Entigris</t>
  </si>
  <si>
    <t>Dinotefuram; Alfa-cipermetrina</t>
  </si>
  <si>
    <t>21000.017908/2017-89</t>
  </si>
  <si>
    <t>Primum</t>
  </si>
  <si>
    <t>Prentis</t>
  </si>
  <si>
    <t>21000.029283/2020-01</t>
  </si>
  <si>
    <t>Bactel</t>
  </si>
  <si>
    <t>21000.055395/2017-12</t>
  </si>
  <si>
    <t xml:space="preserve"> Viovan</t>
  </si>
  <si>
    <t xml:space="preserve">Picoxistrobina; Protioconazol  </t>
  </si>
  <si>
    <t>21000.051356/2017-38</t>
  </si>
  <si>
    <t>Affront</t>
  </si>
  <si>
    <t>Azoxistrobina; Difenoconazol; Clorotalonil</t>
  </si>
  <si>
    <t>21000.049211/2019-39</t>
  </si>
  <si>
    <t xml:space="preserve">Boveril Plus </t>
  </si>
  <si>
    <t>21000.015855/2011-76</t>
  </si>
  <si>
    <t>Combinado</t>
  </si>
  <si>
    <t xml:space="preserve">Tebutiurom; Hexazinona </t>
  </si>
  <si>
    <t>21000.011337/2008-88</t>
  </si>
  <si>
    <t>Falgro 4 SL</t>
  </si>
  <si>
    <t>21000.010186/2011-46</t>
  </si>
  <si>
    <t xml:space="preserve">N-large </t>
  </si>
  <si>
    <t>Stoller do Brasil Ltda</t>
  </si>
  <si>
    <t>21000.009601/2012-08</t>
  </si>
  <si>
    <t>Higon E</t>
  </si>
  <si>
    <t>21000.000801/2013-78</t>
  </si>
  <si>
    <t xml:space="preserve">Acronis UBS </t>
  </si>
  <si>
    <t xml:space="preserve"> Piraclostrobina; Tiofanato Metílico</t>
  </si>
  <si>
    <t>21000.005631/2012-37</t>
  </si>
  <si>
    <t xml:space="preserve">Zagrone  TS </t>
  </si>
  <si>
    <t>21000.001526/2014-91</t>
  </si>
  <si>
    <t>Azoxy</t>
  </si>
  <si>
    <t>21000.002511/2013-69</t>
  </si>
  <si>
    <t xml:space="preserve">Azoxistrobin Nortox  </t>
  </si>
  <si>
    <t>21000.005341/2014-55</t>
  </si>
  <si>
    <t xml:space="preserve">Aproach Power BR </t>
  </si>
  <si>
    <t>21000.009038/2014-21</t>
  </si>
  <si>
    <t>Metomil 215 SL Nortox</t>
  </si>
  <si>
    <t>21000.044649/2020-64</t>
  </si>
  <si>
    <t xml:space="preserve">Bovemip  </t>
  </si>
  <si>
    <t>21000.044644/2020-31</t>
  </si>
  <si>
    <t>Metamip</t>
  </si>
  <si>
    <t>21000.042763/2020-50</t>
  </si>
  <si>
    <t xml:space="preserve">Tank  </t>
  </si>
  <si>
    <t xml:space="preserve">Cryptolaemus montrouzieri  </t>
  </si>
  <si>
    <t>21000.055204/2018-95</t>
  </si>
  <si>
    <t xml:space="preserve">Clopanto  </t>
  </si>
  <si>
    <t>21000.039720/2018-72</t>
  </si>
  <si>
    <t xml:space="preserve">Arremate  </t>
  </si>
  <si>
    <t>Fluroxipir-meptílico; Picloram; Triclopir-butotílico</t>
  </si>
  <si>
    <t>21000.010680/2012-91</t>
  </si>
  <si>
    <t xml:space="preserve"> Curanza Pro</t>
  </si>
  <si>
    <t xml:space="preserve">Ciantraniliprole </t>
  </si>
  <si>
    <t>21000.071413/2019-67</t>
  </si>
  <si>
    <t>Bovéria-Turbo WP</t>
  </si>
  <si>
    <t>21000.037401/2020-47</t>
  </si>
  <si>
    <t>Auin CE-A</t>
  </si>
  <si>
    <t>Beauveria bassiana</t>
  </si>
  <si>
    <t xml:space="preserve">Agrivalle </t>
  </si>
  <si>
    <t>21000.031942/2020-61</t>
  </si>
  <si>
    <t>Twixx-B</t>
  </si>
  <si>
    <t>21000.034672/2020-41</t>
  </si>
  <si>
    <t>MNG-08/20</t>
  </si>
  <si>
    <t>Hirsutella thompsonii</t>
  </si>
  <si>
    <t>21000.010134/2012-51</t>
  </si>
  <si>
    <t xml:space="preserve"> Fecyde</t>
  </si>
  <si>
    <t>21000.031608/2020-16</t>
  </si>
  <si>
    <t xml:space="preserve"> Twixx-A </t>
  </si>
  <si>
    <t>21000.018215/2018-94</t>
  </si>
  <si>
    <t>Bolt</t>
  </si>
  <si>
    <t xml:space="preserve"> Sulfentrazona ; Imazetapir</t>
  </si>
  <si>
    <t>21000.048756/2017-66</t>
  </si>
  <si>
    <t>Primeval 50 SC</t>
  </si>
  <si>
    <t>21000.048467/2017-67</t>
  </si>
  <si>
    <t>Smilodon 50 SC</t>
  </si>
  <si>
    <t>21000.004740/2015-80</t>
  </si>
  <si>
    <t xml:space="preserve">Offer 200 SL  </t>
  </si>
  <si>
    <t xml:space="preserve">Diquate  </t>
  </si>
  <si>
    <t>21000.004501/2018-72</t>
  </si>
  <si>
    <t xml:space="preserve"> Ajanta Super  </t>
  </si>
  <si>
    <t>Cipermetrina; Profenofós</t>
  </si>
  <si>
    <t>Coromandel</t>
  </si>
  <si>
    <t>21000.036137/2020-24</t>
  </si>
  <si>
    <t xml:space="preserve"> DFCControl</t>
  </si>
  <si>
    <t>21000.007898/2013-40</t>
  </si>
  <si>
    <t xml:space="preserve">Soyaclean </t>
  </si>
  <si>
    <t xml:space="preserve">Imazetapir  </t>
  </si>
  <si>
    <t>21000.000300/2013-91</t>
  </si>
  <si>
    <t xml:space="preserve">Zutron 250 WP  </t>
  </si>
  <si>
    <t>21000.008082/2015-03</t>
  </si>
  <si>
    <t xml:space="preserve">Acetamiprid CCAB 200 SP II </t>
  </si>
  <si>
    <t>21000.018000/2018-73</t>
  </si>
  <si>
    <t>Laijin</t>
  </si>
  <si>
    <t>21000.050885/2018-03</t>
  </si>
  <si>
    <t>Unanimus</t>
  </si>
  <si>
    <t>21000.026120/2017-63</t>
  </si>
  <si>
    <t xml:space="preserve">Atrazina 900 WG CHDS  </t>
  </si>
  <si>
    <t>21000.026132/2017-98</t>
  </si>
  <si>
    <t xml:space="preserve">Atrazina CCAB 900 WG </t>
  </si>
  <si>
    <t>21000.026131/2017-43</t>
  </si>
  <si>
    <t>Attract</t>
  </si>
  <si>
    <t> 21000.008639/2012-55</t>
  </si>
  <si>
    <t xml:space="preserve">Odeon WG  </t>
  </si>
  <si>
    <t>21000.085942/2019-48</t>
  </si>
  <si>
    <t xml:space="preserve"> BioIsa</t>
  </si>
  <si>
    <t>Isaria fumosorosea cepa-ESALQ-3422</t>
  </si>
  <si>
    <t>21000.003993/2013-74</t>
  </si>
  <si>
    <t>Triclorpyr STK 480 EC</t>
  </si>
  <si>
    <t>21000.010872/2012-06</t>
  </si>
  <si>
    <t>Revus MZ</t>
  </si>
  <si>
    <t>Mancozebe; Mandipropamida</t>
  </si>
  <si>
    <t>21000.043210/2020-14</t>
  </si>
  <si>
    <t xml:space="preserve"> Beauveria SR</t>
  </si>
  <si>
    <t>Bio/org</t>
  </si>
  <si>
    <t>21000.010415/2013-94</t>
  </si>
  <si>
    <t>Margaren</t>
  </si>
  <si>
    <t>21000.042285/2020-88</t>
  </si>
  <si>
    <t>Congregga</t>
  </si>
  <si>
    <t xml:space="preserve"> GENICA</t>
  </si>
  <si>
    <t>21000.002433/2014-83</t>
  </si>
  <si>
    <t>Supermix</t>
  </si>
  <si>
    <t>21000.000785/2011-51</t>
  </si>
  <si>
    <t>Tagger</t>
  </si>
  <si>
    <t xml:space="preserve"> Lufenurom</t>
  </si>
  <si>
    <t xml:space="preserve">Alta - América Latina </t>
  </si>
  <si>
    <t>21000.050925/2019-90</t>
  </si>
  <si>
    <t xml:space="preserve">AGVL008  </t>
  </si>
  <si>
    <t>Clonostachys rosea</t>
  </si>
  <si>
    <t>21000.002297/2015-11</t>
  </si>
  <si>
    <t>Fairestar</t>
  </si>
  <si>
    <t>21000.037260/2016-86</t>
  </si>
  <si>
    <t>Trifloxissulfuron CCAB 750 WG</t>
  </si>
  <si>
    <t>Trifloxissulfuron-sódico</t>
  </si>
  <si>
    <t xml:space="preserve">CCAB </t>
  </si>
  <si>
    <t>21000.005296/2014-39</t>
  </si>
  <si>
    <t>Haleb</t>
  </si>
  <si>
    <t xml:space="preserve">Ciproconazol </t>
  </si>
  <si>
    <t>21000.008486/2012-46</t>
  </si>
  <si>
    <t>Claque</t>
  </si>
  <si>
    <t>21000.006629/2012-85</t>
  </si>
  <si>
    <t>Gesazina​</t>
  </si>
  <si>
    <t>21000.010410/2013-61</t>
  </si>
  <si>
    <t>Widclear</t>
  </si>
  <si>
    <t xml:space="preserve">Fluroxipir-Meptílico </t>
  </si>
  <si>
    <t>21000.008121/2011-31</t>
  </si>
  <si>
    <t>Agrotop</t>
  </si>
  <si>
    <t>Difenoconazole</t>
  </si>
  <si>
    <t>Pilarquim BR</t>
  </si>
  <si>
    <t>21000.055106/2017-77</t>
  </si>
  <si>
    <t>Allus</t>
  </si>
  <si>
    <t>Imazetapir; Sulfentrazona</t>
  </si>
  <si>
    <t>21000.041823/2020-17</t>
  </si>
  <si>
    <t>Opala WP</t>
  </si>
  <si>
    <t>21000.056103/2018-31</t>
  </si>
  <si>
    <t>Senha WG</t>
  </si>
  <si>
    <t xml:space="preserve"> AllierBrasil</t>
  </si>
  <si>
    <t>21000.015784/2019-69</t>
  </si>
  <si>
    <t xml:space="preserve"> Mesozine Xtra</t>
  </si>
  <si>
    <t>Atrazina; Mesotriona</t>
  </si>
  <si>
    <t>21000.022236/2016-42</t>
  </si>
  <si>
    <t>Glufosionato CCAB 200 SL</t>
  </si>
  <si>
    <t>21000.043079/2018-71</t>
  </si>
  <si>
    <t>Boundary EC</t>
  </si>
  <si>
    <t xml:space="preserve"> Metribuzim; S-metolacloro</t>
  </si>
  <si>
    <t>21000.063681/2016-62</t>
  </si>
  <si>
    <t> Sonda</t>
  </si>
  <si>
    <t>21000.084704/2019-15</t>
  </si>
  <si>
    <t xml:space="preserve">Bove K </t>
  </si>
  <si>
    <t>21000.005404/2016-35</t>
  </si>
  <si>
    <t>Glufosinato Nortox</t>
  </si>
  <si>
    <t>21000.018676/2018-67</t>
  </si>
  <si>
    <t>Verdum WG</t>
  </si>
  <si>
    <t>21000.002233/2014-21</t>
  </si>
  <si>
    <t>Ommi EW</t>
  </si>
  <si>
    <t>21000.003085/2015-42</t>
  </si>
  <si>
    <t>Chaser EW</t>
  </si>
  <si>
    <t>21000.007083/2015-22</t>
  </si>
  <si>
    <t xml:space="preserve">Chaser EC​  </t>
  </si>
  <si>
    <t xml:space="preserve"> Tolfenpirade</t>
  </si>
  <si>
    <t>21000.010766/2010-52</t>
  </si>
  <si>
    <t>Ommi EC </t>
  </si>
  <si>
    <t>21000.059532/2020-85</t>
  </si>
  <si>
    <t>Bioscap</t>
  </si>
  <si>
    <t>21000.010607/2011-39</t>
  </si>
  <si>
    <t>Grover SE</t>
  </si>
  <si>
    <t>S-metolacloro; Hexazinona</t>
  </si>
  <si>
    <t>21000.034533/2020-17</t>
  </si>
  <si>
    <t>Nemattack</t>
  </si>
  <si>
    <t>Pochonia chlamydosporia</t>
  </si>
  <si>
    <t>21000.036513/2020-81</t>
  </si>
  <si>
    <t xml:space="preserve"> PC-Max</t>
  </si>
  <si>
    <t xml:space="preserve"> Pochonia chlamydosporia</t>
  </si>
  <si>
    <t>21000.036516/2020-14</t>
  </si>
  <si>
    <t>Clamax</t>
  </si>
  <si>
    <t>21000.052133/2020-93</t>
  </si>
  <si>
    <t>Trapper</t>
  </si>
  <si>
    <t>21000.060701/2020-20</t>
  </si>
  <si>
    <t>FlyControl</t>
  </si>
  <si>
    <t>21000.002019/2015-55</t>
  </si>
  <si>
    <t>Fidalgo</t>
  </si>
  <si>
    <t>21000.019953/2018-59</t>
  </si>
  <si>
    <t xml:space="preserve">Maxpac 250 EC  </t>
  </si>
  <si>
    <t>Allier</t>
  </si>
  <si>
    <t>21042.000640/2020-55</t>
  </si>
  <si>
    <t>Sulbracon</t>
  </si>
  <si>
    <t>Sulp-Mip</t>
  </si>
  <si>
    <t>21000.042765/2020-49</t>
  </si>
  <si>
    <t>Trilloi</t>
  </si>
  <si>
    <t>Trichogramma galloi</t>
  </si>
  <si>
    <t>21000.039742/2020-57</t>
  </si>
  <si>
    <t>Fx Protection</t>
  </si>
  <si>
    <t>21000.013615/2020-28</t>
  </si>
  <si>
    <t xml:space="preserve">Boveria-Turbo SC </t>
  </si>
  <si>
    <t>21000.011826/2011-35</t>
  </si>
  <si>
    <t xml:space="preserve">Rocale  </t>
  </si>
  <si>
    <t>Tiametoxam, Difenoconazol, Metalaxil-M</t>
  </si>
  <si>
    <t>21000.003213/2012-13</t>
  </si>
  <si>
    <t>Maxim Advanced Professional</t>
  </si>
  <si>
    <t>Tiabendazol; Fludioxonil; Metalaxil-M</t>
  </si>
  <si>
    <t>21000.002453/2013-73</t>
  </si>
  <si>
    <t>Carion</t>
  </si>
  <si>
    <t>Azoxistrobina; Metalaxil-M; Fludioxonil</t>
  </si>
  <si>
    <t>21000.008755/2013-55</t>
  </si>
  <si>
    <t>Mertec</t>
  </si>
  <si>
    <t>Tiabendazol </t>
  </si>
  <si>
    <t>21000.002455/2013-62</t>
  </si>
  <si>
    <t>Gorgon 250 SC</t>
  </si>
  <si>
    <t>21000.001229/2010-11</t>
  </si>
  <si>
    <t>Dimilin 480 SC</t>
  </si>
  <si>
    <t>21000.004383/2013-98</t>
  </si>
  <si>
    <t>Megatrina  </t>
  </si>
  <si>
    <t>21000.008659/2014-98</t>
  </si>
  <si>
    <t xml:space="preserve">Sunpax  </t>
  </si>
  <si>
    <t>21000.009764/2013-63</t>
  </si>
  <si>
    <t>Redigo</t>
  </si>
  <si>
    <t>21000.082168/2019-13</t>
  </si>
  <si>
    <t>PreTec</t>
  </si>
  <si>
    <t>Peptídeo Derivado de Proteína Harpin (PDPH)</t>
  </si>
  <si>
    <t>Plant Health</t>
  </si>
  <si>
    <t>21000.002427/2014-26</t>
  </si>
  <si>
    <t>Triclopyr Stockton 480 EC</t>
  </si>
  <si>
    <t>21000.042764/2020-02</t>
  </si>
  <si>
    <t>Telper</t>
  </si>
  <si>
    <t>TopBio</t>
  </si>
  <si>
    <t>21000.057978/2019-31</t>
  </si>
  <si>
    <t>Beauve Protection</t>
  </si>
  <si>
    <t>21000.007811/2009-58</t>
  </si>
  <si>
    <t>Delta Técnico</t>
  </si>
  <si>
    <t>Ano de 2019</t>
  </si>
  <si>
    <t>21000.005039/2012-35</t>
  </si>
  <si>
    <t>Difenoconazole Js Técnico Helm</t>
  </si>
  <si>
    <t>21000.001245/2015-19</t>
  </si>
  <si>
    <t>Difenoconazole Técnico SNB</t>
  </si>
  <si>
    <t>21000.003708/2015-87</t>
  </si>
  <si>
    <t>Sulfentrazona Técnico IS</t>
  </si>
  <si>
    <t>21000.018050/2017-70</t>
  </si>
  <si>
    <t>Olasul Técnico</t>
  </si>
  <si>
    <t>21000.029014/2017-31</t>
  </si>
  <si>
    <t>Sulfentrazone OL Técnico Helm</t>
  </si>
  <si>
    <t>21000.004912/2015-15</t>
  </si>
  <si>
    <t>Inssimo</t>
  </si>
  <si>
    <t>Acibenzolar-S-Metílico</t>
  </si>
  <si>
    <t>21000.002971/2013-97</t>
  </si>
  <si>
    <t>Azoxystrobin Técnico YNG</t>
  </si>
  <si>
    <t>21000.029897/2017-80</t>
  </si>
  <si>
    <t>Diquat ZF Técnico Helm</t>
  </si>
  <si>
    <t>21000.008454/2016-74</t>
  </si>
  <si>
    <t>Metribuzim Técnico Nortox</t>
  </si>
  <si>
    <t>21000.009677/2013-14</t>
  </si>
  <si>
    <t>Roundup Original Mais</t>
  </si>
  <si>
    <t>21000.005821/2015-05</t>
  </si>
  <si>
    <t>Decisive</t>
  </si>
  <si>
    <t>21000.036600/2016-51</t>
  </si>
  <si>
    <t>Kasan Max 750 WG</t>
  </si>
  <si>
    <t>21000.039552/2016-53</t>
  </si>
  <si>
    <t>Taura 200 EC</t>
  </si>
  <si>
    <t>21000.027803/2016-57</t>
  </si>
  <si>
    <t>Elatus Trio</t>
  </si>
  <si>
    <t>Azoxistrobina, Benzovindiflupir, Difenoconazol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</si>
  <si>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</si>
  <si>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21000.000445/2015-54</t>
  </si>
  <si>
    <t>Tiger 100 EW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</si>
  <si>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</si>
  <si>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21000.004387/2013-76</t>
  </si>
  <si>
    <t>Topatudo</t>
  </si>
  <si>
    <t>Agroimport do Brasil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</si>
  <si>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</si>
  <si>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21000.001643/2013-73</t>
  </si>
  <si>
    <t>Zardo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</si>
  <si>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</si>
  <si>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21000.007847/2012-37</t>
  </si>
  <si>
    <t>Tamiz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</si>
  <si>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</si>
  <si>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21000.006487/2015-07</t>
  </si>
  <si>
    <t>Agile</t>
  </si>
  <si>
    <t>Cletodim; Haloxifop</t>
  </si>
  <si>
    <t>Arysta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</si>
  <si>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</si>
  <si>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21000.000354/2014-38</t>
  </si>
  <si>
    <t>Voraz EC</t>
  </si>
  <si>
    <t>Metomil; Novalurom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</si>
  <si>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</si>
  <si>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21000.008154/2012-61</t>
  </si>
  <si>
    <t>Avicta 500 FS Pro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</si>
  <si>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</si>
  <si>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21000.000108/2014-86</t>
  </si>
  <si>
    <t>Soyaguard Xtra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</si>
  <si>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</si>
  <si>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21000.013348/2016-11</t>
  </si>
  <si>
    <t>Abamectin Técnico RdB</t>
  </si>
  <si>
    <t>21000.023171/2018-14</t>
  </si>
  <si>
    <t>Hexazinona Técnico Adama BR</t>
  </si>
  <si>
    <t>21000.004986/2014-71</t>
  </si>
  <si>
    <t>Tiofanato-Metílico Técnico Sup</t>
  </si>
  <si>
    <t xml:space="preserve">Tiofanato-metílico </t>
  </si>
  <si>
    <t>21000.014891/2016-27</t>
  </si>
  <si>
    <t>Tiofanato-Metílico Técnico Tide</t>
  </si>
  <si>
    <t>21000.008018/2017-86</t>
  </si>
  <si>
    <t>Tiofanato-Metílico Técnico Fersol</t>
  </si>
  <si>
    <t>21000.005142/2014-47</t>
  </si>
  <si>
    <t>Tiofanato-Metílico Técnico Consagro</t>
  </si>
  <si>
    <t>21000.009836/2007-24</t>
  </si>
  <si>
    <t>Indoxacarbe 150 EC</t>
  </si>
  <si>
    <t>21000.031655/2016-75</t>
  </si>
  <si>
    <t>Sensei</t>
  </si>
  <si>
    <t>21000.005401/2013-59</t>
  </si>
  <si>
    <t>Paclo BR</t>
  </si>
  <si>
    <t>21000.003335/2016-25</t>
  </si>
  <si>
    <t>Alibi Flora</t>
  </si>
  <si>
    <t>21000.045531/2017-58</t>
  </si>
  <si>
    <t>Difenoconazol Técnico CCAB</t>
  </si>
  <si>
    <t>21000.039815/2016-24</t>
  </si>
  <si>
    <t>Clorotalonil Técnico BRA</t>
  </si>
  <si>
    <t>21000.057967/2016-17</t>
  </si>
  <si>
    <t>2,4-D Técnico Alta II</t>
  </si>
  <si>
    <t>21000.000256/2015-81</t>
  </si>
  <si>
    <t>2,4-D Técnico Nortox CH</t>
  </si>
  <si>
    <t>21000.008283/2014-11</t>
  </si>
  <si>
    <t>Difenoconazole Técnico SUP</t>
  </si>
  <si>
    <t>21000.049911/2017-61</t>
  </si>
  <si>
    <t>Trychonyd FR 25</t>
  </si>
  <si>
    <t>TZ Biotech</t>
  </si>
  <si>
    <t>21000.000877/2015-65</t>
  </si>
  <si>
    <t>Admiral 100 EW</t>
  </si>
  <si>
    <t>21000.000874/2015-21</t>
  </si>
  <si>
    <t>Cordial 100 EW</t>
  </si>
  <si>
    <t>21000.006258/2018-27</t>
  </si>
  <si>
    <t>Purpureonyd FR 25</t>
  </si>
  <si>
    <t>Paecilomyces lilacinus</t>
  </si>
  <si>
    <t>21000.008747/2009-22</t>
  </si>
  <si>
    <t>Diflubenzuron Técnico SH</t>
  </si>
  <si>
    <t>21000.006959/2014-32</t>
  </si>
  <si>
    <t>Glufosinato de Amônio Técnico Sinon</t>
  </si>
  <si>
    <t>Glufosinato - Sal de Amômio</t>
  </si>
  <si>
    <t>21000.001768/2015-65</t>
  </si>
  <si>
    <t>Glufosinato de Amônio Técnico Adama</t>
  </si>
  <si>
    <t>21000.033927/2018-33</t>
  </si>
  <si>
    <t>Clorpirifós Tradecorp Técnico II</t>
  </si>
  <si>
    <t>21000.004888/2015-14</t>
  </si>
  <si>
    <t>Fomesafem Técnico BRA</t>
  </si>
  <si>
    <t>21000.003546/2015-87</t>
  </si>
  <si>
    <t>Fomesafem Técnico Alta</t>
  </si>
  <si>
    <t>21000.008774/2013-81</t>
  </si>
  <si>
    <t>Glufosinato De Amônio Técnico Rainbow</t>
  </si>
  <si>
    <t>21000.005485/2015-92</t>
  </si>
  <si>
    <t>Glyphosate Técnico Sino-Agri</t>
  </si>
  <si>
    <t>21000.021594/2018-08</t>
  </si>
  <si>
    <t>Tebutiurom Técnico Alta III</t>
  </si>
  <si>
    <t>21000.003567/2015-01</t>
  </si>
  <si>
    <t>Tebutiuron Técnico Rainbow</t>
  </si>
  <si>
    <t>21000.007634/2013-96</t>
  </si>
  <si>
    <t>Tebutiurom Técnico OF</t>
  </si>
  <si>
    <t>21000.006154/2013-16</t>
  </si>
  <si>
    <t>Acefato Técnico CCAB II</t>
  </si>
  <si>
    <t>21000.000177/2016-51</t>
  </si>
  <si>
    <t>Imazapique Técnico Adama</t>
  </si>
  <si>
    <t>21000.004112/2015-02</t>
  </si>
  <si>
    <t>Imazapique Técnico Cropchem</t>
  </si>
  <si>
    <t>21000.003587/2015-73</t>
  </si>
  <si>
    <t>Imazapic Técnico Nortox</t>
  </si>
  <si>
    <t>21000.007354/2015-40</t>
  </si>
  <si>
    <t>Cyproconazole Técnico Sino-Agri</t>
  </si>
  <si>
    <t>21000.011825/2011-91</t>
  </si>
  <si>
    <t>Fuoro</t>
  </si>
  <si>
    <t>21000.011828/2011-24</t>
  </si>
  <si>
    <t>Sorba</t>
  </si>
  <si>
    <t>21000.000876/2015-11</t>
  </si>
  <si>
    <t>Fielder 100 EW</t>
  </si>
  <si>
    <t>21000.000875/2015-76</t>
  </si>
  <si>
    <t>Epingle 100 EW</t>
  </si>
  <si>
    <t>21000.024466/2018-16</t>
  </si>
  <si>
    <t>Bt-turbo Max</t>
  </si>
  <si>
    <t>Bacillus thuringiensis var. kurstaki</t>
  </si>
  <si>
    <t>21000.002116/2016-29</t>
  </si>
  <si>
    <t>Piriproxifen Nortox</t>
  </si>
  <si>
    <t>21000.024472/2018-65</t>
  </si>
  <si>
    <t>Bio-Hulk</t>
  </si>
  <si>
    <t>21000.004449/2017-73</t>
  </si>
  <si>
    <t>Natucontrol</t>
  </si>
  <si>
    <t>21000.009066/2014-49</t>
  </si>
  <si>
    <t>Celebrate</t>
  </si>
  <si>
    <t>Cletodim; Quizalofop</t>
  </si>
  <si>
    <t>21000.002765/2010-34</t>
  </si>
  <si>
    <t>Switch</t>
  </si>
  <si>
    <t>Cyprodinil; Fluxioxonil</t>
  </si>
  <si>
    <t>21000.005348/2010-43</t>
  </si>
  <si>
    <t>Invict</t>
  </si>
  <si>
    <t>21000.013849/2017-70</t>
  </si>
  <si>
    <t>Airone Inox</t>
  </si>
  <si>
    <t>Oxicloreto de Cobre; Hidróxido de Cobre</t>
  </si>
  <si>
    <t>21000.013837/2017-45</t>
  </si>
  <si>
    <t>Arione Scudo</t>
  </si>
  <si>
    <t>21000.014376/2011-32</t>
  </si>
  <si>
    <t>Bucanero</t>
  </si>
  <si>
    <t>21000.000125/2010-90</t>
  </si>
  <si>
    <t>Maxim Quattro</t>
  </si>
  <si>
    <t>21000.046476/2017-13</t>
  </si>
  <si>
    <t>Fysium</t>
  </si>
  <si>
    <t>21000.052264/2017-75</t>
  </si>
  <si>
    <t>Imidacloprido Técnico Atanor III</t>
  </si>
  <si>
    <t>21000.003781/2015-59</t>
  </si>
  <si>
    <t>Novaluron Técnico Ihara</t>
  </si>
  <si>
    <t>21000.047111/2018-97</t>
  </si>
  <si>
    <t>Tebuthiuron Técnico Lier</t>
  </si>
  <si>
    <t>21000.049261/2017-54</t>
  </si>
  <si>
    <t>Imidacloprid Técnico Sulphur Mills</t>
  </si>
  <si>
    <t>21000.013615/2018-11</t>
  </si>
  <si>
    <t>Lufenuron Técnico NS BRA</t>
  </si>
  <si>
    <t>21000.001452/2013-10</t>
  </si>
  <si>
    <t>Imazetapir Técnico CCAB</t>
  </si>
  <si>
    <t>21000.003534/2013-91</t>
  </si>
  <si>
    <t>Imazapique Técnico Mil</t>
  </si>
  <si>
    <t>21000.054473/2017-53</t>
  </si>
  <si>
    <t>Cyproconazole Técnico FB</t>
  </si>
  <si>
    <t>21000.009025/2011-18</t>
  </si>
  <si>
    <t>Diuron 500 SC Rainbow</t>
  </si>
  <si>
    <t>21000.002245/2013-74</t>
  </si>
  <si>
    <t>Veldara</t>
  </si>
  <si>
    <t>Piraclostrobina; Fluxapiroxade</t>
  </si>
  <si>
    <t>21000.049200/2017-97</t>
  </si>
  <si>
    <t>Metarhryd FR 25</t>
  </si>
  <si>
    <t>21000.044858/2018-93</t>
  </si>
  <si>
    <t>BF30.001</t>
  </si>
  <si>
    <t>21000.005489/2012-28</t>
  </si>
  <si>
    <t>Captain 500 WP</t>
  </si>
  <si>
    <t>21000.006574/2012-11</t>
  </si>
  <si>
    <t>Trilla</t>
  </si>
  <si>
    <t>21000.006578/2012-91</t>
  </si>
  <si>
    <t>Rainburon</t>
  </si>
  <si>
    <t>21000.004386/2013-21</t>
  </si>
  <si>
    <t>Atrazina Agro Import</t>
  </si>
  <si>
    <t>21000.009979/2012-01</t>
  </si>
  <si>
    <t>Exemplo</t>
  </si>
  <si>
    <t>Pf/PTE</t>
  </si>
  <si>
    <t>21000.002607/2012-46</t>
  </si>
  <si>
    <t>Davos</t>
  </si>
  <si>
    <t>21000.011216/2009-17</t>
  </si>
  <si>
    <t>Cartarys</t>
  </si>
  <si>
    <t>Cloridato de Cartape</t>
  </si>
  <si>
    <t>Volcano</t>
  </si>
  <si>
    <t>21000.003501/2011-89</t>
  </si>
  <si>
    <t>Calaris</t>
  </si>
  <si>
    <t>21000.010425/2013-20</t>
  </si>
  <si>
    <t>Atrazina CCAB 500 SC</t>
  </si>
  <si>
    <t>21000.026027/2017-59</t>
  </si>
  <si>
    <t>Acetamiprido 200 SP OF</t>
  </si>
  <si>
    <t>21000.004789/2012-90</t>
  </si>
  <si>
    <t>Lousal</t>
  </si>
  <si>
    <t>21000.042691/2016-64</t>
  </si>
  <si>
    <t>Acefato Técnico GSP</t>
  </si>
  <si>
    <t>21000.063712/2016-85</t>
  </si>
  <si>
    <t>Tiofanato Metílico Técnico FMC</t>
  </si>
  <si>
    <t>21000.003443/2013-55</t>
  </si>
  <si>
    <t>Tiametoxam Técnico YNG</t>
  </si>
  <si>
    <t>21000.040619/2016-01</t>
  </si>
  <si>
    <t>Comissário</t>
  </si>
  <si>
    <t>Bifentrina; Diafentiurom</t>
  </si>
  <si>
    <t>21000.009292/2011-87</t>
  </si>
  <si>
    <t>Nippon</t>
  </si>
  <si>
    <t>21000.015663/2011-60</t>
  </si>
  <si>
    <t>Atrazina Fersol 250 SC</t>
  </si>
  <si>
    <t>Fersol</t>
  </si>
  <si>
    <t>21000.007977/2012-70</t>
  </si>
  <si>
    <t>Kasan 800 WP</t>
  </si>
  <si>
    <t>21000.007630/2012-27</t>
  </si>
  <si>
    <t>Xopotó 800 WP</t>
  </si>
  <si>
    <t>21000.004098/2015-39</t>
  </si>
  <si>
    <t>Agrilist</t>
  </si>
  <si>
    <t>21000.003720/2015-91</t>
  </si>
  <si>
    <t>Enlist Solo</t>
  </si>
  <si>
    <t>21000.000624/2015-91</t>
  </si>
  <si>
    <t>Propanil Técnico Rainbow</t>
  </si>
  <si>
    <t>21000.046094/2017-90</t>
  </si>
  <si>
    <t>Tebuconazole Técnico Nufarm BR</t>
  </si>
  <si>
    <t>21000.058190/2016-08</t>
  </si>
  <si>
    <t>Clorotalonil Técnico Adama Brasil</t>
  </si>
  <si>
    <t>21000.016562/2017-00</t>
  </si>
  <si>
    <t>Clorotalonil Técnico Fersol</t>
  </si>
  <si>
    <t>21000.008930/2013-12</t>
  </si>
  <si>
    <t>Isoxaflutole Técnico Rainbow</t>
  </si>
  <si>
    <t>21000.051987/2018-38</t>
  </si>
  <si>
    <t>Glufosinato de Amônio Técnico Adama Brasil BR</t>
  </si>
  <si>
    <t>21000.006753/2015-93</t>
  </si>
  <si>
    <t>Glufosinato Técnico Ouro Fino</t>
  </si>
  <si>
    <t>21000.000448/2015-98</t>
  </si>
  <si>
    <t>Glufosinate Técnico Nortox</t>
  </si>
  <si>
    <t>21000.005751/2015-87</t>
  </si>
  <si>
    <t>Mancozeb Nortox 800 WP</t>
  </si>
  <si>
    <t>21000.007523/2013-80</t>
  </si>
  <si>
    <t>Triclopir CCAB 480 EC</t>
  </si>
  <si>
    <t>21000.007631/2012-71</t>
  </si>
  <si>
    <t>Alicerce</t>
  </si>
  <si>
    <t>21000.007606/2013-79</t>
  </si>
  <si>
    <t>Sweep Off</t>
  </si>
  <si>
    <t>21000.006006/2011-21</t>
  </si>
  <si>
    <t>Cricen</t>
  </si>
  <si>
    <t xml:space="preserve">Metalaxil-M; Tiabendazol; Fludioxonil; Tiametoxam </t>
  </si>
  <si>
    <t>21000.007674/2014-19</t>
  </si>
  <si>
    <t>Imidacloprid H Técnico Helm</t>
  </si>
  <si>
    <t>21000.007232/2014-72</t>
  </si>
  <si>
    <t>Fluazinam Nortox 500 SC</t>
  </si>
  <si>
    <t>21000.008841/2012-87</t>
  </si>
  <si>
    <t>Hodor</t>
  </si>
  <si>
    <t>21000.058060/2016-67</t>
  </si>
  <si>
    <t>Clorpirifós Nortox EC</t>
  </si>
  <si>
    <t>21000.003424/2013-29</t>
  </si>
  <si>
    <t>Novum</t>
  </si>
  <si>
    <t>Piraclostrobina; Tiofanato-metílico</t>
  </si>
  <si>
    <t>21000.003306/2009-34</t>
  </si>
  <si>
    <t>Douro 750 WG</t>
  </si>
  <si>
    <t>21000.010499/2013-66</t>
  </si>
  <si>
    <t>Cuantiva</t>
  </si>
  <si>
    <t>21000.050738/2017-44</t>
  </si>
  <si>
    <t>Acrux</t>
  </si>
  <si>
    <t>21000.031797/2018-02</t>
  </si>
  <si>
    <t>Bio Zenon</t>
  </si>
  <si>
    <t>21000.000098/2010-55</t>
  </si>
  <si>
    <t>Arrank</t>
  </si>
  <si>
    <t>Acetamiprido; Fipronil</t>
  </si>
  <si>
    <t>21000.006851/2014-40</t>
  </si>
  <si>
    <t> Isoxaflutole Técnico Adama</t>
  </si>
  <si>
    <t>21000.031730/2018-60</t>
  </si>
  <si>
    <t>Glufosinado de Amônio Técnico Adama Brasil</t>
  </si>
  <si>
    <t>21000.001733/2015-26</t>
  </si>
  <si>
    <t>Picloram Técnico Adama</t>
  </si>
  <si>
    <t>21000.007975/2015-23</t>
  </si>
  <si>
    <t>Freno 240 EC</t>
  </si>
  <si>
    <t>21000.009016/2013-81</t>
  </si>
  <si>
    <t>Diuron JI 500 SC</t>
  </si>
  <si>
    <t>21000.007814/2012-97</t>
  </si>
  <si>
    <t>Salero</t>
  </si>
  <si>
    <t>21000.004591/2013-97</t>
  </si>
  <si>
    <t>Glifosal</t>
  </si>
  <si>
    <t>21000.004308/2014-16</t>
  </si>
  <si>
    <t>21000.009274/2011-03</t>
  </si>
  <si>
    <t>Imidacloprido Técnico JC</t>
  </si>
  <si>
    <t>21000.052831/2017-93</t>
  </si>
  <si>
    <t>Glufosinato Técnico OF I</t>
  </si>
  <si>
    <t>21000.019479/2016-01</t>
  </si>
  <si>
    <t>Glufosinato de Amônio Técnico CCAB II </t>
  </si>
  <si>
    <t>21000.055249/2017-89</t>
  </si>
  <si>
    <t>Ametrina Técnico OF I</t>
  </si>
  <si>
    <t>21000.005000/2012-18</t>
  </si>
  <si>
    <t>Glifosato Técnico Nortox NTG</t>
  </si>
  <si>
    <t>21000.005533/2017-12</t>
  </si>
  <si>
    <t>Glifosato Técnico Alta IV</t>
  </si>
  <si>
    <t>21000.062387/2016-33</t>
  </si>
  <si>
    <t>Glifosato Técnico OF I</t>
  </si>
  <si>
    <t>21000.004127/2013-09</t>
  </si>
  <si>
    <t>Ametrina Técnico Milênia BR</t>
  </si>
  <si>
    <t>21000.007070/2011-20</t>
  </si>
  <si>
    <t>Lambda-Cialotrina Técnico IN</t>
  </si>
  <si>
    <t>21000.021421/2016-10</t>
  </si>
  <si>
    <t>Difenoconazol Técnico Adama BR</t>
  </si>
  <si>
    <t>21000.039804/2017-25</t>
  </si>
  <si>
    <t>Difenoconazole Técnico JS FMC</t>
  </si>
  <si>
    <t>21000.010792/2012-42</t>
  </si>
  <si>
    <t>Carfentrazona-etílica Tradecorp Técnico</t>
  </si>
  <si>
    <t>21000.014274/2016-21</t>
  </si>
  <si>
    <t>Carfentrazone Etil Técnico Nortox</t>
  </si>
  <si>
    <t>21000.006657/2014-64</t>
  </si>
  <si>
    <t>Imidacloprido Técnico Nufarm BR</t>
  </si>
  <si>
    <t>21000.015603/2018-13</t>
  </si>
  <si>
    <t>Clomazone Técnico Adama</t>
  </si>
  <si>
    <t>21000.002798/2012-46</t>
  </si>
  <si>
    <t>Imidaclopride Técnico Tide</t>
  </si>
  <si>
    <t>21000.005249/2013-12</t>
  </si>
  <si>
    <t>Espirodiclofeno Técnico Ouro Fino</t>
  </si>
  <si>
    <t>21000.000612/2013-03</t>
  </si>
  <si>
    <t>Fosetil-Al Tradecorp Técnico</t>
  </si>
  <si>
    <t>21000.010869/2012-84</t>
  </si>
  <si>
    <t>Diafentiurom Técnico Nortox</t>
  </si>
  <si>
    <t>21000.006561/2015-87</t>
  </si>
  <si>
    <t>Tiametoxam Técnico Betachem</t>
  </si>
  <si>
    <t>21000.003131/2013-41</t>
  </si>
  <si>
    <t>Tiofanato Metil Técnico Nortox</t>
  </si>
  <si>
    <t>21000.009133/2017-78</t>
  </si>
  <si>
    <t>Indoxacarbe Técnico Sulphur Mills</t>
  </si>
  <si>
    <t>21000.023386/2017-54</t>
  </si>
  <si>
    <t>Indoxacarbe Técnico Tecnomyl</t>
  </si>
  <si>
    <t>21000.005805/2015-12</t>
  </si>
  <si>
    <t>Fipronil Técnico Sinon</t>
  </si>
  <si>
    <t>21000.005250/2013-39</t>
  </si>
  <si>
    <t>Azoxistrobina Técnico Ouro Fino</t>
  </si>
  <si>
    <t>21000.004503/2011-95</t>
  </si>
  <si>
    <t>Compass</t>
  </si>
  <si>
    <t>21000.007632/2012-16</t>
  </si>
  <si>
    <t>Troia</t>
  </si>
  <si>
    <t>21000.007836/2014-19</t>
  </si>
  <si>
    <t>Clomazone Técnico Nufarm BR</t>
  </si>
  <si>
    <t>21000.009034/2013-62</t>
  </si>
  <si>
    <t>Trinexapac Ethyl Tecnico UPL</t>
  </si>
  <si>
    <t>21000.008579/2014-32</t>
  </si>
  <si>
    <t>Trinexapaque Etil Tecnico Milenia</t>
  </si>
  <si>
    <t>21000.007431/2013-08</t>
  </si>
  <si>
    <t>Fipronil Técnico Coromandel</t>
  </si>
  <si>
    <t>21000.004983/2011-94</t>
  </si>
  <si>
    <t>Sinfone</t>
  </si>
  <si>
    <t>21000.003087/2012-99</t>
  </si>
  <si>
    <t>Difo 250 EC</t>
  </si>
  <si>
    <t>Nelty</t>
  </si>
  <si>
    <t>21000.007615/2014-41</t>
  </si>
  <si>
    <t>Fluazinam 500 SC Proventis</t>
  </si>
  <si>
    <t>21000.037251/2016-95</t>
  </si>
  <si>
    <t>Trinexapaque-Etílico Técnico Max</t>
  </si>
  <si>
    <t>21000.023960/2018-55</t>
  </si>
  <si>
    <t>Azoxistrobin Técnico Tecnomyl II</t>
  </si>
  <si>
    <t>21000.002074/2011-11</t>
  </si>
  <si>
    <t>Clorpirifós Rs Técnico Helm</t>
  </si>
  <si>
    <t>21000.001610/2015-95</t>
  </si>
  <si>
    <t>Glufosinato-Amonium Técnico GHA</t>
  </si>
  <si>
    <t>21000.031752/2016-68</t>
  </si>
  <si>
    <t>Tebuthiuron Técnico Agrogill</t>
  </si>
  <si>
    <t>21000.008584/2014-45</t>
  </si>
  <si>
    <t>Clorpirifós Técnico Adama</t>
  </si>
  <si>
    <t>21000.033595/2018-97</t>
  </si>
  <si>
    <t>Piriproxifem Técnico Tecnomyl </t>
  </si>
  <si>
    <t>21000.001114/2013-70</t>
  </si>
  <si>
    <t>Hexazinone Técnico R II</t>
  </si>
  <si>
    <t>21000.005650/2013-44</t>
  </si>
  <si>
    <t>Larvin Técnico BCS</t>
  </si>
  <si>
    <t>21000.009428/2013-11</t>
  </si>
  <si>
    <t>Hexazinona Técnico Milênia BR</t>
  </si>
  <si>
    <t>21000.038561/2018-99</t>
  </si>
  <si>
    <t>Beauvecontrol Extreme</t>
  </si>
  <si>
    <t>21000.001110/2012-19</t>
  </si>
  <si>
    <t>Azoxystrobin Técnico Nortox</t>
  </si>
  <si>
    <t>21000.004492/2012-24</t>
  </si>
  <si>
    <t>Hexazinona Tradecorp Técnico</t>
  </si>
  <si>
    <t>21000.008599/2012-41</t>
  </si>
  <si>
    <t>Hexazinona Técnico CCAB</t>
  </si>
  <si>
    <t>21000.003979/2014-51</t>
  </si>
  <si>
    <t>Broker Técnico CH</t>
  </si>
  <si>
    <t>21000.008584/2012-83</t>
  </si>
  <si>
    <t>Hexazinona Técnico Tecnomyl</t>
  </si>
  <si>
    <t>21000.004211/2012-33</t>
  </si>
  <si>
    <t>Hexazinona Técnico Nortox BR</t>
  </si>
  <si>
    <t>21000.010199/2013-87</t>
  </si>
  <si>
    <t>Metoxifenozida Técnico Rainbow</t>
  </si>
  <si>
    <t>21000.007266/2015-48</t>
  </si>
  <si>
    <t>Novaluron Técnico CCAB</t>
  </si>
  <si>
    <t>21000.002157/2015-34</t>
  </si>
  <si>
    <t>Novaluron JF Técnico FMC</t>
  </si>
  <si>
    <t>21000.008323/2014-25</t>
  </si>
  <si>
    <t>Novaluron Técnico Nova</t>
  </si>
  <si>
    <t>21000.003360/2014-47</t>
  </si>
  <si>
    <t>Novaluron Técnico Nortox</t>
  </si>
  <si>
    <t>21000.006768/2013-90</t>
  </si>
  <si>
    <t>Novaluron Tradecorp Tecnico</t>
  </si>
  <si>
    <t>21000.009504/2012-15</t>
  </si>
  <si>
    <t>2,4-D Técnico WI-Cropchem</t>
  </si>
  <si>
    <t>21000.031457/2016-10</t>
  </si>
  <si>
    <t>Clorpirifós Técnico Rainbow</t>
  </si>
  <si>
    <t>21000.043650/2016-95</t>
  </si>
  <si>
    <t>Glifosato Técnico Nortox IV</t>
  </si>
  <si>
    <t>21000.043589/2016-86</t>
  </si>
  <si>
    <t>Glifosato Técnico Adama Brasil</t>
  </si>
  <si>
    <t>21000.007435/2015-40</t>
  </si>
  <si>
    <t>Glufosinato de Amônio Técnico Tecnomyl</t>
  </si>
  <si>
    <t>21000.008745/2009-33</t>
  </si>
  <si>
    <t>Cloransulam Metil Técnico</t>
  </si>
  <si>
    <t>Cloransulam-metílico</t>
  </si>
  <si>
    <t>21000.006157/2015-11</t>
  </si>
  <si>
    <t>Helmet</t>
  </si>
  <si>
    <t>Flutolanil</t>
  </si>
  <si>
    <t>21000.036072/2017-11</t>
  </si>
  <si>
    <t>Metarhizium Oligos WP</t>
  </si>
  <si>
    <t>21000.006573/2012-69</t>
  </si>
  <si>
    <t>Farmozine</t>
  </si>
  <si>
    <t>21000.006288/2015-91</t>
  </si>
  <si>
    <t>Kaner 800 WG</t>
  </si>
  <si>
    <t>21000.006577/2012-47</t>
  </si>
  <si>
    <t>Herbzina</t>
  </si>
  <si>
    <t>21000.000004/2012-18</t>
  </si>
  <si>
    <t>Pireo</t>
  </si>
  <si>
    <t>21000.000970/2014-99</t>
  </si>
  <si>
    <t>Conivex 700</t>
  </si>
  <si>
    <t>21000.004095/2015-03</t>
  </si>
  <si>
    <t>Atualist</t>
  </si>
  <si>
    <t>21000.001983/2015-66</t>
  </si>
  <si>
    <t>Azoxystrobin Técnico Oxon</t>
  </si>
  <si>
    <t>21000.061875/2016-23</t>
  </si>
  <si>
    <t>Rinskor Técnico</t>
  </si>
  <si>
    <t>21000.023168/2016-39</t>
  </si>
  <si>
    <t>Mancozeb Nortox</t>
  </si>
  <si>
    <t>21000.063673/2016-16</t>
  </si>
  <si>
    <t>Magneto SC</t>
  </si>
  <si>
    <t>21000.030165/2018-13</t>
  </si>
  <si>
    <t>Stregga EC</t>
  </si>
  <si>
    <t>Vectorcontrol</t>
  </si>
  <si>
    <t>21000.045241/2018-95</t>
  </si>
  <si>
    <t>Cytolin</t>
  </si>
  <si>
    <t>Ácido giberélico; Benziladenina</t>
  </si>
  <si>
    <t>21000.005376/2015-75</t>
  </si>
  <si>
    <t>Horos Supra</t>
  </si>
  <si>
    <t>Picoxistrobina; Tebuconazol; Mancozebe</t>
  </si>
  <si>
    <t>21000.001935/2014-97</t>
  </si>
  <si>
    <t>Aspy 480 SC</t>
  </si>
  <si>
    <t>21000.002445/2011-65</t>
  </si>
  <si>
    <t>Synero</t>
  </si>
  <si>
    <t>21000.011626/2009-68</t>
  </si>
  <si>
    <t>Standak Duo</t>
  </si>
  <si>
    <t>Acetamipriodo; Fipronil</t>
  </si>
  <si>
    <t>21000.048995/2018-05</t>
  </si>
  <si>
    <t>Beauvel</t>
  </si>
  <si>
    <t>21000.049027/2018-16</t>
  </si>
  <si>
    <t>Nat Fungi</t>
  </si>
  <si>
    <t>21000.004982/2013-10</t>
  </si>
  <si>
    <t>Yovel</t>
  </si>
  <si>
    <t>21000.010769/2012-58</t>
  </si>
  <si>
    <t>Mattor</t>
  </si>
  <si>
    <t>Fluroxipir-Meptílico; Picloram</t>
  </si>
  <si>
    <t>21000.002037/2015-37</t>
  </si>
  <si>
    <t>Ralbuzin 480 SC</t>
  </si>
  <si>
    <t>21000.026941/2018-81</t>
  </si>
  <si>
    <t>Biobev</t>
  </si>
  <si>
    <t>Micro-bio</t>
  </si>
  <si>
    <t xml:space="preserve">21000.019690/2017-05 </t>
  </si>
  <si>
    <t>Verter</t>
  </si>
  <si>
    <t>Sulfoxaflor</t>
  </si>
  <si>
    <t>21000.019687/2017-83</t>
  </si>
  <si>
    <t>Exor SC</t>
  </si>
  <si>
    <t>21000.009995/2017-09</t>
  </si>
  <si>
    <t>Closer SC</t>
  </si>
  <si>
    <t>21000.001952/2014-24</t>
  </si>
  <si>
    <t xml:space="preserve">Exor </t>
  </si>
  <si>
    <t>21000.001951/2014-80</t>
  </si>
  <si>
    <t>21000.010206/2012-60</t>
  </si>
  <si>
    <t>Cresoxim Metílico Tradecorp Técnico</t>
  </si>
  <si>
    <t>21000.000422/2015-40</t>
  </si>
  <si>
    <t>Metomil Técnico YC</t>
  </si>
  <si>
    <t>21000.008927/2013-91</t>
  </si>
  <si>
    <t>Azoxystrobin Técnico Biorisk</t>
  </si>
  <si>
    <t>21000.009643/2013-11</t>
  </si>
  <si>
    <t>Cleaner</t>
  </si>
  <si>
    <t>21000.009040/2013-10</t>
  </si>
  <si>
    <t>Closer</t>
  </si>
  <si>
    <t>21000.015082/2018-02</t>
  </si>
  <si>
    <t>Glufosinato de Amônio Técnico NGC</t>
  </si>
  <si>
    <t>21000.011682/2019-74</t>
  </si>
  <si>
    <t>Glufosinato Y Técnico Helm</t>
  </si>
  <si>
    <t>21000.015883/2018-60</t>
  </si>
  <si>
    <t>Glufosinato Técnico Sulphur Mills</t>
  </si>
  <si>
    <t>21000.008387/2014-26</t>
  </si>
  <si>
    <t>PMG Técnico FH</t>
  </si>
  <si>
    <t>21000.006001/2015-22</t>
  </si>
  <si>
    <t>Indoxacarbe Técnico Adama</t>
  </si>
  <si>
    <t>21000.008789/2011-88</t>
  </si>
  <si>
    <t>2,4-D Tecnico Nortox BR</t>
  </si>
  <si>
    <t>21000.052901/2016-22</t>
  </si>
  <si>
    <t>Ciproconazol Técnico Proventis II</t>
  </si>
  <si>
    <t>21000.006840/2015-41</t>
  </si>
  <si>
    <t>Malation Técnico Prentiss</t>
  </si>
  <si>
    <t>21000.005539/2013-58</t>
  </si>
  <si>
    <t>Malationa Tecnica BRA</t>
  </si>
  <si>
    <t>21000.006031/2013-77</t>
  </si>
  <si>
    <t>Malation Tecnico CCAB</t>
  </si>
  <si>
    <t>21000.023890/2018-35</t>
  </si>
  <si>
    <t>Malation Técnico CCAB II</t>
  </si>
  <si>
    <t>21000.036106/2016-97</t>
  </si>
  <si>
    <t xml:space="preserve">Tiofanato-metílico Técnico Adama </t>
  </si>
  <si>
    <t>21000.027081/2017-11</t>
  </si>
  <si>
    <t>Clorotalonil Técnico Cropchem</t>
  </si>
  <si>
    <t>21000.003318/2018-50</t>
  </si>
  <si>
    <t>Chlorothalonil Tecnico FB</t>
  </si>
  <si>
    <t>21000.048468/2017-10</t>
  </si>
  <si>
    <t>Acefato Técnico Tide</t>
  </si>
  <si>
    <t>21000.010518/2012-73</t>
  </si>
  <si>
    <t>Glifosato 72 WG Alamos</t>
  </si>
  <si>
    <t>21000.009517/2017-91</t>
  </si>
  <si>
    <t>Loyant</t>
  </si>
  <si>
    <t>21000.052238/2016-66</t>
  </si>
  <si>
    <t>Nico 750 WG</t>
  </si>
  <si>
    <t>Dez Gold</t>
  </si>
  <si>
    <t>21000.010940/2011-48</t>
  </si>
  <si>
    <t>Vertimec 84 SC</t>
  </si>
  <si>
    <t>21000.003085/2012-08</t>
  </si>
  <si>
    <t>Savivo</t>
  </si>
  <si>
    <t>21000.006627/2012-96</t>
  </si>
  <si>
    <t>Sugarina</t>
  </si>
  <si>
    <t>21000.006628/2012-31</t>
  </si>
  <si>
    <t>Gesamena</t>
  </si>
  <si>
    <t>21000.009730/2013-79</t>
  </si>
  <si>
    <t>Wiper</t>
  </si>
  <si>
    <t>21000.009859/2013-87</t>
  </si>
  <si>
    <t>Atrazina 900 WG Atanor</t>
  </si>
  <si>
    <t>21000.004097/2015-94</t>
  </si>
  <si>
    <t>Walux</t>
  </si>
  <si>
    <t>21000.003376/2015-31</t>
  </si>
  <si>
    <t>Predador</t>
  </si>
  <si>
    <t>21000.008186/2019-33</t>
  </si>
  <si>
    <t>Glufosinato Técnico Albaugh</t>
  </si>
  <si>
    <t>21000.050431/2018-24</t>
  </si>
  <si>
    <t>2,4-D Técnico Albaugh</t>
  </si>
  <si>
    <t>21000.005626/2015-77</t>
  </si>
  <si>
    <t>Imazapir Técnico Nortox</t>
  </si>
  <si>
    <t>21000.000178/2016-04</t>
  </si>
  <si>
    <t>Imazapir Técnico Adama</t>
  </si>
  <si>
    <t>21000.007390/2015-11</t>
  </si>
  <si>
    <t>Imazapir Técnico Cropchem</t>
  </si>
  <si>
    <t>21000.004394/2016-11</t>
  </si>
  <si>
    <t>Imazapyr Técnico Rotam</t>
  </si>
  <si>
    <t>21000.037215/2017-11</t>
  </si>
  <si>
    <t>Pyriproxyfen Técnico Pyri</t>
  </si>
  <si>
    <t>21000.061431/2016-98</t>
  </si>
  <si>
    <t>Chlorfenapyr Técnico Rotam</t>
  </si>
  <si>
    <t>21000.017148/2017-18</t>
  </si>
  <si>
    <t>Indoxacarbe Técnico Ada</t>
  </si>
  <si>
    <t>21000.034343/2019-66</t>
  </si>
  <si>
    <t>Acetamiprid Técnico Tecnomyl II</t>
  </si>
  <si>
    <t>21000.011003/2019-67</t>
  </si>
  <si>
    <t>Acetamiprid Técnico Adama BR</t>
  </si>
  <si>
    <t>21000.025950/2018-54</t>
  </si>
  <si>
    <t>Azoxystrobin Técnico FB II</t>
  </si>
  <si>
    <t>21000.027691/2018-04</t>
  </si>
  <si>
    <t>Dibrometo de Diquate Técnico Adama BR</t>
  </si>
  <si>
    <t>21000.047178/2017-41</t>
  </si>
  <si>
    <t>Piriproxifem Técnico Ouro Fino</t>
  </si>
  <si>
    <t>21000.005592/2013-59</t>
  </si>
  <si>
    <t>Trinexapaque-etílico Técnico Ouro Fino</t>
  </si>
  <si>
    <t>21000.007278/2014-91</t>
  </si>
  <si>
    <t>Clorfenapir Técnico CCAB</t>
  </si>
  <si>
    <t>21000.005224/2014-91</t>
  </si>
  <si>
    <t>Clorfenapir Técnico BRA</t>
  </si>
  <si>
    <t>21000.006042/2014-38</t>
  </si>
  <si>
    <t>Clorfenapir Técnico Nortox</t>
  </si>
  <si>
    <t>21000.054073/2017-48</t>
  </si>
  <si>
    <t>Atrazina Técnico OF I</t>
  </si>
  <si>
    <t>21000.010297/2013-14</t>
  </si>
  <si>
    <t>Expedition</t>
  </si>
  <si>
    <t>Sulfoxaflor; Lambda-cialotrina</t>
  </si>
  <si>
    <t>21000.007433/2013-99</t>
  </si>
  <si>
    <t>Topinam</t>
  </si>
  <si>
    <t>21000.002388/2015-48</t>
  </si>
  <si>
    <t>Fluazinam CCAB 500 SC</t>
  </si>
  <si>
    <t>21000.006924/2014-01</t>
  </si>
  <si>
    <t>Nicosulfuron Nortox 750 WG</t>
  </si>
  <si>
    <t>21000.007176/2015-57</t>
  </si>
  <si>
    <t>CoiceBR</t>
  </si>
  <si>
    <t>21000.001815/2015-71</t>
  </si>
  <si>
    <t>Band 500 SC</t>
  </si>
  <si>
    <t>21000.010868/2012-30</t>
  </si>
  <si>
    <t>Selezione Nortox</t>
  </si>
  <si>
    <t>Atrazina; Nicossulfurom</t>
  </si>
  <si>
    <t>21000.009691/2013-18</t>
  </si>
  <si>
    <t>Mesotriona Nortox 480 SC</t>
  </si>
  <si>
    <t>21000.009060/2009-12</t>
  </si>
  <si>
    <t>Fluopyram Técnico Bayer</t>
  </si>
  <si>
    <t>Fluopiram</t>
  </si>
  <si>
    <t>21000.006650/2010-19</t>
  </si>
  <si>
    <t>Dinno Técnico</t>
  </si>
  <si>
    <t>Dinotefuram</t>
  </si>
  <si>
    <t>21000.004650/2015-99</t>
  </si>
  <si>
    <t>Propanil Técnico Adama</t>
  </si>
  <si>
    <t>21000.010942/2017-22</t>
  </si>
  <si>
    <t>Bifenthrin Técnico RTM</t>
  </si>
  <si>
    <t>21000.003552/2018-87</t>
  </si>
  <si>
    <t>Bifentrin Técnico Mega</t>
  </si>
  <si>
    <t>21000.045580/2018-71</t>
  </si>
  <si>
    <t>Bifentrina Técnico Tecnomyl</t>
  </si>
  <si>
    <t>21000.053603/2018-11</t>
  </si>
  <si>
    <t>Bifentrina Técnico Adama Brasil</t>
  </si>
  <si>
    <t>21000.04544/2016-06</t>
  </si>
  <si>
    <t>Triclopir-Butotílico Técnico Adama</t>
  </si>
  <si>
    <t>21000.044267/2017-35</t>
  </si>
  <si>
    <t>Triclopir Técnico Ouro Fino</t>
  </si>
  <si>
    <t>21000.060388/2016-43</t>
  </si>
  <si>
    <t>Triclopir Técnico Pilarquim</t>
  </si>
  <si>
    <t>21000.006514/2018-86</t>
  </si>
  <si>
    <t>Trichlopyr-Butotyl Técnico Lier</t>
  </si>
  <si>
    <t>21000.010323/2013-12</t>
  </si>
  <si>
    <t>Triclopir Técnico BRA</t>
  </si>
  <si>
    <t>21000.044923/2016-19</t>
  </si>
  <si>
    <t>Triclopir Técnico Tide</t>
  </si>
  <si>
    <t>21000.009392/2012-94</t>
  </si>
  <si>
    <t>Triclopyr Bee Técnico</t>
  </si>
  <si>
    <t>21000.010765/2012-70</t>
  </si>
  <si>
    <t>Ciproconazol Técnico Proventis</t>
  </si>
  <si>
    <t>21000.010053/2013-31</t>
  </si>
  <si>
    <t>Ciproconazol Técnico Agristar</t>
  </si>
  <si>
    <t>21000.009720/2013-33</t>
  </si>
  <si>
    <t>Ciproconazole Técnico Stockton</t>
  </si>
  <si>
    <t>21000.033522/2018-03</t>
  </si>
  <si>
    <t>Fipronil Técnico Ada</t>
  </si>
  <si>
    <t>21000.002097/2012-15</t>
  </si>
  <si>
    <t>Chlorimuron-Ethyl R Técnico Helm</t>
  </si>
  <si>
    <t>Clorimurom-etílico</t>
  </si>
  <si>
    <t>21000.015835/2011-03</t>
  </si>
  <si>
    <t>Clorimuron Técnico Nortox</t>
  </si>
  <si>
    <t>21000.000478/2014-13</t>
  </si>
  <si>
    <t>Novalurom Técnico BRA</t>
  </si>
  <si>
    <t>21000.008863/2013-28</t>
  </si>
  <si>
    <t>Azoxistrobina Técnico HX-Cropchem</t>
  </si>
  <si>
    <t>21000.009450/2013-61</t>
  </si>
  <si>
    <t>Azoxystrobin Técnico Rotam</t>
  </si>
  <si>
    <t>21000.004917/2014-67</t>
  </si>
  <si>
    <t>Azoxistrobina Técnico Agrisor</t>
  </si>
  <si>
    <t>21000.055980/2016-23</t>
  </si>
  <si>
    <t>Azoxistronia Técnico Brasil BR</t>
  </si>
  <si>
    <t>21000.039702/2017-18</t>
  </si>
  <si>
    <t>Azoxystrobin Técnico ZS</t>
  </si>
  <si>
    <t>21000.008206/2019-76</t>
  </si>
  <si>
    <t>Azoxistrobina Técnico Albaugh</t>
  </si>
  <si>
    <t>21000.006792/2013-29</t>
  </si>
  <si>
    <t>Azoxistrobina Técnico SH</t>
  </si>
  <si>
    <t>21000.001173/2015-18</t>
  </si>
  <si>
    <t>Azoxystrobin HV Técnico Helm</t>
  </si>
  <si>
    <t>21000.007294/2013-01</t>
  </si>
  <si>
    <t>Clorpirifós Técnico Sinon</t>
  </si>
  <si>
    <t>Sortic</t>
  </si>
  <si>
    <t>21000.002170/2014-11</t>
  </si>
  <si>
    <t>Haffor</t>
  </si>
  <si>
    <t>21000.000266/2015-17</t>
  </si>
  <si>
    <t>Poquer 240 EC</t>
  </si>
  <si>
    <t>ADAMA</t>
  </si>
  <si>
    <t>21000.058715/2016-05</t>
  </si>
  <si>
    <t>Verango Prime</t>
  </si>
  <si>
    <t>21000.005812/2012-63</t>
  </si>
  <si>
    <t>Meltan</t>
  </si>
  <si>
    <t>21000.002342/2018-71</t>
  </si>
  <si>
    <t>Relicta</t>
  </si>
  <si>
    <t>21000.009213/2011-38</t>
  </si>
  <si>
    <t>Coliseo</t>
  </si>
  <si>
    <t>21000.003262/2011-67</t>
  </si>
  <si>
    <t>Dinno</t>
  </si>
  <si>
    <t>21000.019214/2017-86</t>
  </si>
  <si>
    <t>Ilevo</t>
  </si>
  <si>
    <t>21000.002111/2011-91</t>
  </si>
  <si>
    <t>Starkle</t>
  </si>
  <si>
    <t>21000.004534/2009-21</t>
  </si>
  <si>
    <t>Gamit 800 EC</t>
  </si>
  <si>
    <t>21000.001804/2015-91</t>
  </si>
  <si>
    <t>Zeus</t>
  </si>
  <si>
    <t>Dinotefuram; Lambda-cialotrina</t>
  </si>
  <si>
    <t>21000.007294/2014-84</t>
  </si>
  <si>
    <t>Clorfenapir Técnico Tecnomyl</t>
  </si>
  <si>
    <t>21000.004035/2016-63</t>
  </si>
  <si>
    <t>Chlorfenapyr Técnico Basf</t>
  </si>
  <si>
    <t>21000.003573/2014-79</t>
  </si>
  <si>
    <t>Clorfenapir Técnico Cropchem</t>
  </si>
  <si>
    <t>21000.006208/2014-16</t>
  </si>
  <si>
    <t>Diurom Técnico OF</t>
  </si>
  <si>
    <t>21000.009514/2013-23</t>
  </si>
  <si>
    <t>Methomyl Técnico RTM</t>
  </si>
  <si>
    <t>21000.053479/2016-22</t>
  </si>
  <si>
    <t>Methomyl Técnico RdB</t>
  </si>
  <si>
    <t>21000.008612/2015-13</t>
  </si>
  <si>
    <t>Metomil Técnico Adama</t>
  </si>
  <si>
    <t>21000.032109/2019-02</t>
  </si>
  <si>
    <t>Chlorothalonil Técnico CHDS</t>
  </si>
  <si>
    <t>21000.054327/2018-17</t>
  </si>
  <si>
    <t>Clorpirifós Técnico Adama Brasil</t>
  </si>
  <si>
    <t>21000.006392/2015-85</t>
  </si>
  <si>
    <t>Glufosinato de Amônio Técnico CCAB</t>
  </si>
  <si>
    <t>21000.013448/2011-24</t>
  </si>
  <si>
    <t>Fluroxipir Meptílico Técnico Nortox</t>
  </si>
  <si>
    <t>21000.010252/2012-69</t>
  </si>
  <si>
    <t>Bispiribaque Técnico Crystal</t>
  </si>
  <si>
    <t>Bispiribaque-sódico</t>
  </si>
  <si>
    <t>21000.001928/2013-12</t>
  </si>
  <si>
    <t>Glifosato Técnico SH</t>
  </si>
  <si>
    <t>21000.005328/2013-15</t>
  </si>
  <si>
    <t>Bispiribac Técnico Nortox</t>
  </si>
  <si>
    <t>21000.002853/2012-06</t>
  </si>
  <si>
    <t>Clorimurom Etílico Tradecorp Técnico</t>
  </si>
  <si>
    <t>21000.001231/2013-33</t>
  </si>
  <si>
    <t>S-Metolacloro Técnico Proventis</t>
  </si>
  <si>
    <t>21000.023011/2017-94</t>
  </si>
  <si>
    <t>Cletodim Técnico STK</t>
  </si>
  <si>
    <t>21000.041878/2016-41</t>
  </si>
  <si>
    <t>Cletodim Técnico Adama Brasil</t>
  </si>
  <si>
    <t>21000.002513/2015-10</t>
  </si>
  <si>
    <t>Cletodim Técnico Rotam</t>
  </si>
  <si>
    <t>21000.002409/2014-44</t>
  </si>
  <si>
    <t>Cletodim Técnico Agristar</t>
  </si>
  <si>
    <t>21000.009531/2013-61</t>
  </si>
  <si>
    <t>Cletodim Técnico Proventis</t>
  </si>
  <si>
    <t>21000.045971/2018-96</t>
  </si>
  <si>
    <t>Fipronil Técnico Red Surcos</t>
  </si>
  <si>
    <t>Red Surcos</t>
  </si>
  <si>
    <t>21000.053179/2018-13</t>
  </si>
  <si>
    <t>Twixx</t>
  </si>
  <si>
    <t>21000.044274/2018-18</t>
  </si>
  <si>
    <t>Bio Bacteriophora</t>
  </si>
  <si>
    <t>Bio Controle</t>
  </si>
  <si>
    <t>21000.001805/2015-35</t>
  </si>
  <si>
    <t>Maxsan</t>
  </si>
  <si>
    <t>Dinotefuram; Piriproxifem</t>
  </si>
  <si>
    <t>21000.012354/2019-95</t>
  </si>
  <si>
    <t>BN40.001/19</t>
  </si>
  <si>
    <t>21000.000995/2014-92</t>
  </si>
  <si>
    <t>Sanvex</t>
  </si>
  <si>
    <t>21000.048031/2018-59</t>
  </si>
  <si>
    <t>Surtivo Ultra</t>
  </si>
  <si>
    <t>Vírus AcMNPV; Vírus ChinNPV; Vírus HearNPV; Vírus sfMNPV</t>
  </si>
  <si>
    <t>21000.040370/2018-97</t>
  </si>
  <si>
    <t>Surtivo Plus</t>
  </si>
  <si>
    <t>21000.004684/2014-01</t>
  </si>
  <si>
    <t>Moximate WP</t>
  </si>
  <si>
    <t>Mancozebe; Cimoxanil</t>
  </si>
  <si>
    <t>21000.023182/2018-02</t>
  </si>
  <si>
    <t>Glufosinate-ammonium Técnico RTM</t>
  </si>
  <si>
    <t>21000.043278/2017-06</t>
  </si>
  <si>
    <t>Glufosinato Técnico Alta II</t>
  </si>
  <si>
    <t>21000.020216/2016-37</t>
  </si>
  <si>
    <t>Piriproxifen CCAB 100 EC</t>
  </si>
  <si>
    <t>21000.003660/2014-26</t>
  </si>
  <si>
    <t>Valente Prime</t>
  </si>
  <si>
    <t>21000.006047/2012-07</t>
  </si>
  <si>
    <t>Sirtaki Gold</t>
  </si>
  <si>
    <t>Clomazona; Ametrina</t>
  </si>
  <si>
    <t>21000.001934/2011-08</t>
  </si>
  <si>
    <t>Glifosato Chemtura 480 SL</t>
  </si>
  <si>
    <t>21000.055927/2018-94</t>
  </si>
  <si>
    <t>MNG-08/14</t>
  </si>
  <si>
    <t>21000.051478/2017-24</t>
  </si>
  <si>
    <t>Audaz</t>
  </si>
  <si>
    <t>21000.010368/2013-89</t>
  </si>
  <si>
    <t>ImparBR</t>
  </si>
  <si>
    <t>21000.046683/2018-59</t>
  </si>
  <si>
    <t>TrichoBiogramma</t>
  </si>
  <si>
    <t>Assist Laboratórios Agronômicos</t>
  </si>
  <si>
    <t>21000.006629/2013-66</t>
  </si>
  <si>
    <t>Triclopir Butotílico Técnico Nortox</t>
  </si>
  <si>
    <t>21000.023962/2017-63</t>
  </si>
  <si>
    <t>Chlorfenapyr S Técnico Helm</t>
  </si>
  <si>
    <t>21000.037497/2017-48</t>
  </si>
  <si>
    <t>Glufosinato Técnico OF</t>
  </si>
  <si>
    <t>21000.038227/2018-35</t>
  </si>
  <si>
    <t>Glufosinate Técnico Nortox III</t>
  </si>
  <si>
    <t>21000.006039/2013-33</t>
  </si>
  <si>
    <t>Dolphin</t>
  </si>
  <si>
    <t>21000.004302/2008-92</t>
  </si>
  <si>
    <t>Perkill 250 EC</t>
  </si>
  <si>
    <t>Permetrina</t>
  </si>
  <si>
    <t>21000.031794/2018-61</t>
  </si>
  <si>
    <t>Gaia Bio</t>
  </si>
  <si>
    <t>21000.043874/2019-40</t>
  </si>
  <si>
    <t>Chlorothalonil Técnico CCAB</t>
  </si>
  <si>
    <t>21000.018415/2019-28</t>
  </si>
  <si>
    <t>Bravo</t>
  </si>
  <si>
    <t>21000.044420/2018-13</t>
  </si>
  <si>
    <t>Profix</t>
  </si>
  <si>
    <t>21000.003986/2012-91</t>
  </si>
  <si>
    <t>Montana 480</t>
  </si>
  <si>
    <t xml:space="preserve">Glifosato </t>
  </si>
  <si>
    <t>21000.004632/2015-15</t>
  </si>
  <si>
    <t>Spirit SC</t>
  </si>
  <si>
    <t>Dinotefuram; Flutriafol</t>
  </si>
  <si>
    <t>21000.000132/2017-68</t>
  </si>
  <si>
    <t>Prev-AM</t>
  </si>
  <si>
    <t>Óleo de Casca de Laranja</t>
  </si>
  <si>
    <t>21000.001750/2015-63</t>
  </si>
  <si>
    <t>Gamonium</t>
  </si>
  <si>
    <t>21000.008358/2013-83</t>
  </si>
  <si>
    <t>Tebuconazol Técnico Pilarquim</t>
  </si>
  <si>
    <t>21000.000257/2014-45</t>
  </si>
  <si>
    <t>Fluazinam Técnico Oxon</t>
  </si>
  <si>
    <t>21000.001554/2014-16</t>
  </si>
  <si>
    <t xml:space="preserve">Neozil Técnico </t>
  </si>
  <si>
    <t>Imazalil</t>
  </si>
  <si>
    <t>21000.003353/2014-45</t>
  </si>
  <si>
    <t>Glifosato Técnico Wynca</t>
  </si>
  <si>
    <t>21000.003412/2014-85</t>
  </si>
  <si>
    <t>Tebuconazole Técnico RTM</t>
  </si>
  <si>
    <t>21000.002592/2015-69</t>
  </si>
  <si>
    <t>Azoxistrobina Técnico Rainbow</t>
  </si>
  <si>
    <t>21000.013860/2016-59</t>
  </si>
  <si>
    <t>Takumi Técnico</t>
  </si>
  <si>
    <t>21000.003275/2017-21</t>
  </si>
  <si>
    <t>Triclopyr-Butotyl Técnico Sino-Agri</t>
  </si>
  <si>
    <t>21000.014839/2017-51</t>
  </si>
  <si>
    <t>Glufosinato Técnico MCR</t>
  </si>
  <si>
    <t>21000.000627/2015-25</t>
  </si>
  <si>
    <t>Fluazinam Técnico SNB</t>
  </si>
  <si>
    <t>21000.007279/2014-36</t>
  </si>
  <si>
    <t>Trinexapacque-etílico Técnico Consagro</t>
  </si>
  <si>
    <t>21000.045084/2018-18</t>
  </si>
  <si>
    <t>2,4-D Técnico FRL</t>
  </si>
  <si>
    <t>21000.004597/2012-83</t>
  </si>
  <si>
    <t>Lambda-Cyhalothrin Técnico Sulphur Mills</t>
  </si>
  <si>
    <t>21000.016642/2019-19</t>
  </si>
  <si>
    <t> TrichoBio-G  </t>
  </si>
  <si>
    <t>Trichogramma galloi​</t>
  </si>
  <si>
    <t>Farmbio</t>
  </si>
  <si>
    <t>21000.034727/2019-89</t>
  </si>
  <si>
    <t>Metarhizonat</t>
  </si>
  <si>
    <t>21000.054159/2018-51</t>
  </si>
  <si>
    <t>Bometil</t>
  </si>
  <si>
    <t>Beauveria bassiana; Metarhizium anisoplae</t>
  </si>
  <si>
    <t>21000.004624/2013-07</t>
  </si>
  <si>
    <t>Acefato Técnico FI</t>
  </si>
  <si>
    <t>21000.052959/2019-19</t>
  </si>
  <si>
    <t>Clorotalonil Técnico Denong</t>
  </si>
  <si>
    <t>21000.003093/2017-51</t>
  </si>
  <si>
    <t>Balance Prime</t>
  </si>
  <si>
    <t>21000.009525/2019-07</t>
  </si>
  <si>
    <t>Nemacontrol Super</t>
  </si>
  <si>
    <t xml:space="preserve">Bacillus amyloliquefaciens </t>
  </si>
  <si>
    <t>21000.034780/2018-07</t>
  </si>
  <si>
    <t>MNG-02/14</t>
  </si>
  <si>
    <t>21000.034781/2018-43</t>
  </si>
  <si>
    <t>MNG-06/14</t>
  </si>
  <si>
    <t>Paecilomyces fumosoroseus</t>
  </si>
  <si>
    <t>21000.001161/2013-13</t>
  </si>
  <si>
    <t>Deltametrina Tradecorp Técnico</t>
  </si>
  <si>
    <t>21000.001512/2013-96</t>
  </si>
  <si>
    <t>S-metolacloro Técnico UPL</t>
  </si>
  <si>
    <t>21000.005402/2013-01</t>
  </si>
  <si>
    <t>Tiametoxam Tradecorp Técnico</t>
  </si>
  <si>
    <t>21000.006718/2013-11</t>
  </si>
  <si>
    <t>Tiametoxam Técnico Rainbow</t>
  </si>
  <si>
    <t>21000.009171/2013-05</t>
  </si>
  <si>
    <t>Imidacloprido Sapec Técnico II</t>
  </si>
  <si>
    <t>21000.008548/2013-09</t>
  </si>
  <si>
    <t>Profenofós Técnico Nortox</t>
  </si>
  <si>
    <t>Profenofós</t>
  </si>
  <si>
    <t>21000.002054/2014-93</t>
  </si>
  <si>
    <t>Imidacloprido Técnico Agristar</t>
  </si>
  <si>
    <t>21000.002696/2014-92</t>
  </si>
  <si>
    <t>Fluazinam Técnico Bailly</t>
  </si>
  <si>
    <t>21000.004704/2014-35</t>
  </si>
  <si>
    <t>Profenofós Sapec Técnico</t>
  </si>
  <si>
    <t>21000.003599/2014-17</t>
  </si>
  <si>
    <t>Tiametoxam Sapec Técnico II</t>
  </si>
  <si>
    <t>21000.003328/2015-42</t>
  </si>
  <si>
    <t>Fomesafen Técnico SD</t>
  </si>
  <si>
    <t>21000.010623/2016-36</t>
  </si>
  <si>
    <t>Indoxacarbe Técnico Adama BR</t>
  </si>
  <si>
    <t>21000.039120/2016-42</t>
  </si>
  <si>
    <t>Lambda-cialotrina Técnico BRA</t>
  </si>
  <si>
    <t>21000.025682/2019-51</t>
  </si>
  <si>
    <t>Tebuconazole Técnico TT</t>
  </si>
  <si>
    <t>21000.041334/2019-21</t>
  </si>
  <si>
    <t>Diafentiurom Técnico HY-Green</t>
  </si>
  <si>
    <t>HY-Green</t>
  </si>
  <si>
    <t>21000.028899/2018-32</t>
  </si>
  <si>
    <t>Glufosinato de Amônio Técnico BRA</t>
  </si>
  <si>
    <t>21000.020251/2018-18</t>
  </si>
  <si>
    <t>Glufosinato Técnico Nufarm</t>
  </si>
  <si>
    <t>21000.024499/2018-58</t>
  </si>
  <si>
    <t>Glufosinate-Ammonium Técnico Lier</t>
  </si>
  <si>
    <t>21000.054126/2016-40</t>
  </si>
  <si>
    <t>Glufosinato de Amônio Técnico Adama BR</t>
  </si>
  <si>
    <t>21000.006441/2014-07</t>
  </si>
  <si>
    <t>Captive</t>
  </si>
  <si>
    <t>21000.031843/2017-84</t>
  </si>
  <si>
    <t>Diafentiuron 500 SC OF</t>
  </si>
  <si>
    <t>21000.004385/2013-87</t>
  </si>
  <si>
    <t>Seletrina</t>
  </si>
  <si>
    <t>Agro Import</t>
  </si>
  <si>
    <t>21000.055829/2018-57</t>
  </si>
  <si>
    <t>Vinemco</t>
  </si>
  <si>
    <t>21000.030580/2019-58</t>
  </si>
  <si>
    <t>Mycontrol ES </t>
  </si>
  <si>
    <t xml:space="preserve">Mitsui &amp; Co. </t>
  </si>
  <si>
    <t>21000.002914/2012-27</t>
  </si>
  <si>
    <t>Clorpirifós 48 EC Gharda</t>
  </si>
  <si>
    <t>21000.003080/2014-39</t>
  </si>
  <si>
    <t>Profenofós Técnico EL-Cropchem</t>
  </si>
  <si>
    <t>21000.018525/2019-90</t>
  </si>
  <si>
    <t>Bovenat</t>
  </si>
  <si>
    <t>21000.001477/2016-58</t>
  </si>
  <si>
    <t>Flutriafol Técnico Rotam</t>
  </si>
  <si>
    <t>21000.048944/2016-11</t>
  </si>
  <si>
    <t>Acetamiprid Nortox</t>
  </si>
  <si>
    <t>21000.007193/2019-18</t>
  </si>
  <si>
    <t>BI2003/16</t>
  </si>
  <si>
    <t>21000.053180/2018-30</t>
  </si>
  <si>
    <t>Sulis CE</t>
  </si>
  <si>
    <t>MFB Agrícola</t>
  </si>
  <si>
    <t>21000.005764/2019-80</t>
  </si>
  <si>
    <t>Podisibug</t>
  </si>
  <si>
    <t>Telenomus podisi​</t>
  </si>
  <si>
    <t>CP 2</t>
  </si>
  <si>
    <t>21000.002190/2011-31</t>
  </si>
  <si>
    <t>Major</t>
  </si>
  <si>
    <t>21000.010609/2011-28</t>
  </si>
  <si>
    <t>Fipronil Técnico AT</t>
  </si>
  <si>
    <t>21000.003925/2013-13</t>
  </si>
  <si>
    <t>Ciproconazole Técnico CCAB</t>
  </si>
  <si>
    <t>21000.000941/2013-46</t>
  </si>
  <si>
    <t>Ciproconazol Técnico ME2</t>
  </si>
  <si>
    <t>21000.007381/2013-51</t>
  </si>
  <si>
    <t>Clorotalonil Técnico Sinon</t>
  </si>
  <si>
    <t>21000.008512/2014-06</t>
  </si>
  <si>
    <t>Azoxystrobin Technical UPL BR</t>
  </si>
  <si>
    <t>21000.061967/2016-11</t>
  </si>
  <si>
    <t>Trinexapac JH Técnico Helm</t>
  </si>
  <si>
    <t>21000.016470/2017-11</t>
  </si>
  <si>
    <t>Trinexapaque-etílico Técnico Adama</t>
  </si>
  <si>
    <t>21000.051436/2017-93</t>
  </si>
  <si>
    <t>Trinexapaque Técnico Tecnomyl</t>
  </si>
  <si>
    <t>21000.021593/2018-55</t>
  </si>
  <si>
    <t>Difenoconazol Técnico Stockton</t>
  </si>
  <si>
    <t>21000.005705/2013-16</t>
  </si>
  <si>
    <t>Propiconazole Técnico Nortox BR</t>
  </si>
  <si>
    <t>Propiconazole</t>
  </si>
  <si>
    <t>21000.055913/2018-71</t>
  </si>
  <si>
    <t>Vestix</t>
  </si>
  <si>
    <t>21000.054224/2017-68</t>
  </si>
  <si>
    <t xml:space="preserve"> Sulfentrazone 500 SC Ouro Fino</t>
  </si>
  <si>
    <t>21000.018419/2019-14</t>
  </si>
  <si>
    <t>Optimun</t>
  </si>
  <si>
    <t>21000.015790/2011-69</t>
  </si>
  <si>
    <t>Clorpiri 480 EC</t>
  </si>
  <si>
    <t>21000.045256/2016-91</t>
  </si>
  <si>
    <t>Irado 800 WG</t>
  </si>
  <si>
    <t>21000.022331/2016-46</t>
  </si>
  <si>
    <t>Entoar</t>
  </si>
  <si>
    <t>21000.005466/2011-32</t>
  </si>
  <si>
    <t>Pilardifen</t>
  </si>
  <si>
    <t>21000.002186/2014-15</t>
  </si>
  <si>
    <t>Fomesafen Técnico LNH</t>
  </si>
  <si>
    <t>21000.043279/2017-42</t>
  </si>
  <si>
    <t>Fluroxipir-Meptílico Técnico Alta</t>
  </si>
  <si>
    <t>21000.009642/2013-77</t>
  </si>
  <si>
    <t>Sulfentrazone Técnico Rainbow</t>
  </si>
  <si>
    <t>21000.006396/2014-82</t>
  </si>
  <si>
    <t>Sulfentrazona Técnico Adama</t>
  </si>
  <si>
    <t>21000.002419/2018-11</t>
  </si>
  <si>
    <t>Flutriafol Técnico Nortox IV</t>
  </si>
  <si>
    <t>21000.040564/2017-10</t>
  </si>
  <si>
    <t>Indoxacarbe Técnico Nortox IV</t>
  </si>
  <si>
    <t>21000.004380/2013-54</t>
  </si>
  <si>
    <t>Duozina</t>
  </si>
  <si>
    <t>21000.006384/2015-39</t>
  </si>
  <si>
    <t xml:space="preserve"> Gliali</t>
  </si>
  <si>
    <t>21000.016637/2019-14</t>
  </si>
  <si>
    <t> Trichobio-P</t>
  </si>
  <si>
    <t>21000.026707/2019-34</t>
  </si>
  <si>
    <t>Harvista 1,3 SC  </t>
  </si>
  <si>
    <t>AgroFresh</t>
  </si>
  <si>
    <t>21000.055353/2019-35</t>
  </si>
  <si>
    <t>JB Tri-G</t>
  </si>
  <si>
    <t>21000.004586/2011-12</t>
  </si>
  <si>
    <t>Lambda-cialotrina Técnico Alta</t>
  </si>
  <si>
    <t>21000.002158/2013-17</t>
  </si>
  <si>
    <t>Imidacloprido Técnico ME2</t>
  </si>
  <si>
    <t>Legisnovo</t>
  </si>
  <si>
    <t>21000.007552/2014-22</t>
  </si>
  <si>
    <t>Ácido Indol Butírico Técnico</t>
  </si>
  <si>
    <t>Ácido 4-Indol-3-Ilbutírico </t>
  </si>
  <si>
    <t>21000.008398/2015-97</t>
  </si>
  <si>
    <t>Clorpirifós Técnico NGC</t>
  </si>
  <si>
    <t>21000.049709/2017-30</t>
  </si>
  <si>
    <t>Indoxacarbe Técnico Cropchem II</t>
  </si>
  <si>
    <t>21000.009827/2018-96</t>
  </si>
  <si>
    <t>Indoxacarb Técnico RTM</t>
  </si>
  <si>
    <t>21000.005084/2013-71</t>
  </si>
  <si>
    <t>Ankara Técnico</t>
  </si>
  <si>
    <t>Data de Aprovaçcão</t>
  </si>
  <si>
    <t>21000.008695/2014-51</t>
  </si>
  <si>
    <t>Iprodiona Sapec 500 SC</t>
  </si>
  <si>
    <t>Ano de 2018</t>
  </si>
  <si>
    <t>21000.061394/2016-18</t>
  </si>
  <si>
    <t>Magic</t>
  </si>
  <si>
    <t>21000.000306/2010-16</t>
  </si>
  <si>
    <t>Glifosato Alta 480 SL</t>
  </si>
  <si>
    <t>Alta América Latina</t>
  </si>
  <si>
    <t>21000.007471/2012-61</t>
  </si>
  <si>
    <t>Glifosato Técnico Dinagro</t>
  </si>
  <si>
    <t>21000.010452/2012-11</t>
  </si>
  <si>
    <t>Dinamic Técnico RL</t>
  </si>
  <si>
    <t>Arysta Lifescience do Brasil</t>
  </si>
  <si>
    <t>21000.005700/2015-55</t>
  </si>
  <si>
    <t>NotávelBR</t>
  </si>
  <si>
    <t>21000.003755/2014-40</t>
  </si>
  <si>
    <t>Tebuconazole Técnico Stockton</t>
  </si>
  <si>
    <t>21000.004078/2009-10</t>
  </si>
  <si>
    <t>Rifle</t>
  </si>
  <si>
    <t>FMC Química do Brasil</t>
  </si>
  <si>
    <t>21000.002858/2009-25</t>
  </si>
  <si>
    <t>Castor</t>
  </si>
  <si>
    <t>21000.004983/2015-18</t>
  </si>
  <si>
    <t>Tebuconazol Técnico Adama</t>
  </si>
  <si>
    <t>Adama Brasil</t>
  </si>
  <si>
    <t>21000.003201/2012-81</t>
  </si>
  <si>
    <t>Topsin 875 WG</t>
  </si>
  <si>
    <t>21000.005628/2015-66</t>
  </si>
  <si>
    <t>Acetamiprido Nortox 200 SP</t>
  </si>
  <si>
    <t>21000.005598/2012-45</t>
  </si>
  <si>
    <t>Tebutiuron Técnico Nortox</t>
  </si>
  <si>
    <t>21000.004887/2015-70</t>
  </si>
  <si>
    <t>Acefato Técnico Adama BR</t>
  </si>
  <si>
    <t>21000.000566/2013-34</t>
  </si>
  <si>
    <t>Azoxistrobina Técnico Oxon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</si>
  <si>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</si>
  <si>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Azoxystrobin Técnico Bailly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</si>
  <si>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</si>
  <si>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21000.008876/2014-88</t>
  </si>
  <si>
    <t>Azoxistrobina Técnico SNB</t>
  </si>
  <si>
    <t>Sipcam UPL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</si>
  <si>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</si>
  <si>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21000.007992/2015-61</t>
  </si>
  <si>
    <t>Acefato Técnico UPL BR</t>
  </si>
  <si>
    <t>UPL do Brasil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</si>
  <si>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</si>
  <si>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21000.009091/2010-07</t>
  </si>
  <si>
    <t>Acefato Técnico CN</t>
  </si>
  <si>
    <t>Albaugh Agro Brasil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</si>
  <si>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</si>
  <si>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21000.002939/2011-40</t>
  </si>
  <si>
    <t>Glifosato Tradecorp Técnico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</si>
  <si>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</si>
  <si>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21000.010673/2012-90</t>
  </si>
  <si>
    <t>Tiametoxam Técnico Ouro Fino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</si>
  <si>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</si>
  <si>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21000.001816/2015-15</t>
  </si>
  <si>
    <t>Aceta</t>
  </si>
  <si>
    <t>BRA Defensivos Agrícolas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</si>
  <si>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</t>
    </r>
    <r>
      <rPr>
        <rFont val="Arial"/>
        <b/>
        <color rgb="FF000066"/>
        <sz val="10.0"/>
      </rPr>
      <t>;</t>
    </r>
    <r>
      <rPr>
        <rFont val="Arial"/>
        <b val="0"/>
        <color rgb="FF000066"/>
        <sz val="10.0"/>
      </rPr>
      <t xml:space="preserve"> de Baixo Risco</t>
    </r>
  </si>
  <si>
    <t>21000.001226/2014-10</t>
  </si>
  <si>
    <t>Krost 970 WG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</si>
  <si>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</si>
  <si>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21000.000397/2013-32</t>
  </si>
  <si>
    <t>Natu</t>
  </si>
  <si>
    <t>21000.010776/2009-54</t>
  </si>
  <si>
    <t>Tebas</t>
  </si>
  <si>
    <t>21000.011132/2009-83</t>
  </si>
  <si>
    <t>Orbis</t>
  </si>
  <si>
    <t>21000.003716/2011-08</t>
  </si>
  <si>
    <t>Missil</t>
  </si>
  <si>
    <t>21000.002859/2013-56</t>
  </si>
  <si>
    <t>Helmoquate</t>
  </si>
  <si>
    <t>21000.005860/2010-90</t>
  </si>
  <si>
    <t>Gliforedy</t>
  </si>
  <si>
    <t>21000.005861/2010-34</t>
  </si>
  <si>
    <t>Gliforedy Nufarm</t>
  </si>
  <si>
    <t>21000.004920/2010-57</t>
  </si>
  <si>
    <t>Glifosato High Load</t>
  </si>
  <si>
    <t>21000.005936/2012-49</t>
  </si>
  <si>
    <t>Tebutiurom Nufarm 500 SC</t>
  </si>
  <si>
    <t>21000.005748/2015-63</t>
  </si>
  <si>
    <t>Acetamiprid Nortox SP</t>
  </si>
  <si>
    <t>21000.008043/2013-36</t>
  </si>
  <si>
    <t>Verdict Max</t>
  </si>
  <si>
    <t>21000.010839/2012-78</t>
  </si>
  <si>
    <t>Verdict Mays</t>
  </si>
  <si>
    <t>21000.008042/2013-91</t>
  </si>
  <si>
    <t>Gallant HL</t>
  </si>
  <si>
    <t>21000.008041/2013-47</t>
  </si>
  <si>
    <t>Verdict HL</t>
  </si>
  <si>
    <t>21000.010841/2012-47</t>
  </si>
  <si>
    <t>Gallant Mays</t>
  </si>
  <si>
    <t>21000.010840/2012-01</t>
  </si>
  <si>
    <t>Gallant Milho</t>
  </si>
  <si>
    <t>21000.010838/2012-23</t>
  </si>
  <si>
    <t>Verdict Milho</t>
  </si>
  <si>
    <t>21000.008130/2015-55</t>
  </si>
  <si>
    <t>Tebuconazol Técnico Nufarm</t>
  </si>
  <si>
    <t>21000.004234/2015-91</t>
  </si>
  <si>
    <t>Lufenuron Técnico SN</t>
  </si>
  <si>
    <t>21000.007870/2014-93</t>
  </si>
  <si>
    <t>Lufenurom Técnico SN-Cropchem</t>
  </si>
  <si>
    <t>21000.010301/2011-82</t>
  </si>
  <si>
    <t>Lufenuron Técnico Oxon</t>
  </si>
  <si>
    <t>21000.008040/2013-01</t>
  </si>
  <si>
    <t>Gallant Max</t>
  </si>
  <si>
    <t>21000.008014/2012-93</t>
  </si>
  <si>
    <t>Isoxaflutol Técnico Milenia</t>
  </si>
  <si>
    <t>21000.004097/2010-80</t>
  </si>
  <si>
    <t>Verdict NF</t>
  </si>
  <si>
    <t>Gallant NF</t>
  </si>
  <si>
    <t>21000.052275/2016-74</t>
  </si>
  <si>
    <t>Cotésia Biorganic</t>
  </si>
  <si>
    <t>Bioorganic</t>
  </si>
  <si>
    <t>Não determinada devido à natureza do produto (inimigos naturais)</t>
  </si>
  <si>
    <t>21000.026549/2016-70</t>
  </si>
  <si>
    <t>Piriproxifem Técnico Alta</t>
  </si>
  <si>
    <t>Piriproxifeno</t>
  </si>
  <si>
    <t>21000.055029/2016-74</t>
  </si>
  <si>
    <t>Piriproxifem Técnico BRA</t>
  </si>
  <si>
    <t>21000.030163/2016-62</t>
  </si>
  <si>
    <t>Piriproxifeno Técnico Cropchem</t>
  </si>
  <si>
    <t>21000.002075/2011-66</t>
  </si>
  <si>
    <t>Azoxystrobin TB Técnico Helm</t>
  </si>
  <si>
    <t>21000.008488/2014-05</t>
  </si>
  <si>
    <t>Diflubenzurom Técnico Ouro Fino</t>
  </si>
  <si>
    <t>21000.004475/2012-97</t>
  </si>
  <si>
    <t>Tebuconazole Técnico Nortox CH</t>
  </si>
  <si>
    <t>21000.004392/2009-01</t>
  </si>
  <si>
    <t>Bolero</t>
  </si>
  <si>
    <t>21000.000650/2009-71</t>
  </si>
  <si>
    <t>Swing Gold</t>
  </si>
  <si>
    <t>Dimoxistrobina; Epoxiconazol</t>
  </si>
  <si>
    <t>21000.002137/2011-30</t>
  </si>
  <si>
    <t>Glifosato Alta 757 SG</t>
  </si>
  <si>
    <t>21000.024540/2017-13</t>
  </si>
  <si>
    <t>Insidiomip</t>
  </si>
  <si>
    <t>21000.006889/2015-01</t>
  </si>
  <si>
    <t>Lambda-cyhalothrin JF Técnico Helm</t>
  </si>
  <si>
    <t>21000.002106/2011-89</t>
  </si>
  <si>
    <t>Lambda-cialotrina Tradecorp Técnico</t>
  </si>
  <si>
    <t>21000.005292/2015-31</t>
  </si>
  <si>
    <t>2,4-D Técnico STK</t>
  </si>
  <si>
    <t>21000.062885/2016-86</t>
  </si>
  <si>
    <t>Exterminador Bio</t>
  </si>
  <si>
    <t>Simbiose Indústria e Comércio</t>
  </si>
  <si>
    <t>21000.002104/2015-13</t>
  </si>
  <si>
    <t>Yang</t>
  </si>
  <si>
    <t>21000.020312/2016-85</t>
  </si>
  <si>
    <t>Winner Max EC</t>
  </si>
  <si>
    <t>21000.063173/2016-84</t>
  </si>
  <si>
    <t>Fitoneem</t>
  </si>
  <si>
    <r>
      <rPr>
        <rFont val="Arial"/>
        <color rgb="FF000066"/>
        <sz val="11.0"/>
      </rPr>
      <t>Óleo de Nim (</t>
    </r>
    <r>
      <rPr>
        <rFont val="Arial"/>
        <i/>
        <color rgb="FF000066"/>
        <sz val="10.0"/>
      </rPr>
      <t>Azadirachta indica</t>
    </r>
    <r>
      <rPr>
        <rFont val="Arial"/>
        <color rgb="FF000066"/>
        <sz val="10.0"/>
      </rPr>
      <t>)</t>
    </r>
  </si>
  <si>
    <t>Dalneem</t>
  </si>
  <si>
    <t>21000.009305/2017-11</t>
  </si>
  <si>
    <t>Piriproxifem Técnico UPL</t>
  </si>
  <si>
    <t>21000.000269/2015-51</t>
  </si>
  <si>
    <t>Piriproxifen Técnico Adama</t>
  </si>
  <si>
    <t>21000.000437/2016-99</t>
  </si>
  <si>
    <t>Fluazinam Técnico Rotam</t>
  </si>
  <si>
    <t>21000.008618/2015-82</t>
  </si>
  <si>
    <t>Paclobutrazol Técnico Proplan</t>
  </si>
  <si>
    <t>21000.002711/2014-01</t>
  </si>
  <si>
    <t>Piriproxifen Técnico Nortox</t>
  </si>
  <si>
    <t>21000.007494/2014-37</t>
  </si>
  <si>
    <t>Piriproxifen Técnico CCAB</t>
  </si>
  <si>
    <t>21000.003579/2015-27</t>
  </si>
  <si>
    <t>Cletodim Técnico Alta</t>
  </si>
  <si>
    <t>21000.040524/2016-89</t>
  </si>
  <si>
    <t>Kraken 240 EC</t>
  </si>
  <si>
    <t>21000.004961/2012-13</t>
  </si>
  <si>
    <t>Azox 250 SC</t>
  </si>
  <si>
    <t>21000.002048/2015-17</t>
  </si>
  <si>
    <t>Tebuco Nortox SC</t>
  </si>
  <si>
    <t>21000.007432/2013-44</t>
  </si>
  <si>
    <t>Clean Spray</t>
  </si>
  <si>
    <t>21000.004756/2013-21</t>
  </si>
  <si>
    <t>Ponto Final</t>
  </si>
  <si>
    <t>Bthek Biotecnologia</t>
  </si>
  <si>
    <t>21000.010391/2013-73</t>
  </si>
  <si>
    <t>Fluensulfone Técnico</t>
  </si>
  <si>
    <t>Fluensulfona</t>
  </si>
  <si>
    <t>21000.000826/2013-71</t>
  </si>
  <si>
    <t>Acetamipride Técnico Genbra</t>
  </si>
  <si>
    <t>21000.000037/2016-83</t>
  </si>
  <si>
    <t>Nimitz EC</t>
  </si>
  <si>
    <t>21000.009683/2017-97</t>
  </si>
  <si>
    <t>PFC-Control</t>
  </si>
  <si>
    <t>21000.001767/2015-11</t>
  </si>
  <si>
    <t>Tebuco Nortox 430 SC</t>
  </si>
  <si>
    <t>21000.010393/2013-62</t>
  </si>
  <si>
    <t>Nimitz</t>
  </si>
  <si>
    <t>21000.010352/2013-76</t>
  </si>
  <si>
    <t>Acetamiprid SHCC Técnico</t>
  </si>
  <si>
    <t xml:space="preserve"> Cross Link Consultoria e Comércio</t>
  </si>
  <si>
    <t>21000.008498/2009-75</t>
  </si>
  <si>
    <t>Hexazinona 750 Volcano</t>
  </si>
  <si>
    <t>Volcano Agrociência</t>
  </si>
  <si>
    <t>21000.000851/2015-17</t>
  </si>
  <si>
    <t>Atrazina Max Nortox</t>
  </si>
  <si>
    <t>21000.003465/2011-53</t>
  </si>
  <si>
    <t>Maestro 800 WG</t>
  </si>
  <si>
    <t>21000.062852/2016-36</t>
  </si>
  <si>
    <t>Nimitz BR</t>
  </si>
  <si>
    <t>21000.063862/2016-99</t>
  </si>
  <si>
    <t>Nimitz TS</t>
  </si>
  <si>
    <t>21000.003803/2012-38</t>
  </si>
  <si>
    <t>Simazin Técnico CCAB</t>
  </si>
  <si>
    <t>21000.010541/2013-49</t>
  </si>
  <si>
    <t>Cercobin 875 WG</t>
  </si>
  <si>
    <t>21000.004189/2014-93</t>
  </si>
  <si>
    <t>Lufenurom Técnico RI-Cropchem</t>
  </si>
  <si>
    <t>21000.003435/2011-47</t>
  </si>
  <si>
    <t>Simazina Técnico Alta</t>
  </si>
  <si>
    <t>21000.002243/2013-85</t>
  </si>
  <si>
    <t>Amulet Top</t>
  </si>
  <si>
    <t>21000.007273/2014-69</t>
  </si>
  <si>
    <t>Revolux</t>
  </si>
  <si>
    <t>Metoxifenozida; Espinetoram</t>
  </si>
  <si>
    <t>21000.008231/2014-45</t>
  </si>
  <si>
    <t>Fidele</t>
  </si>
  <si>
    <t>21000.008237/2014-12</t>
  </si>
  <si>
    <t>Intrepid Edge</t>
  </si>
  <si>
    <t>21000.008629/2011-39</t>
  </si>
  <si>
    <t>Atrazina 500 SC Rainbow</t>
  </si>
  <si>
    <t>21000.008628/2011-94</t>
  </si>
  <si>
    <t>Metomil Técnico Sinon</t>
  </si>
  <si>
    <t>21000.004931/2015-41</t>
  </si>
  <si>
    <t>Metomil Técnico Nortox CH</t>
  </si>
  <si>
    <t>21000.012506/2010-11</t>
  </si>
  <si>
    <t>Simazina Técnico Rainbow</t>
  </si>
  <si>
    <t>21000.004982/2015-73</t>
  </si>
  <si>
    <t>Simazina Técnico Adama</t>
  </si>
  <si>
    <t>21000.006488/2015-43</t>
  </si>
  <si>
    <t>Metomil Técnico Adama BR</t>
  </si>
  <si>
    <t>21000.001510/2013-05</t>
  </si>
  <si>
    <t>2,4-D Tecnico Agroimport</t>
  </si>
  <si>
    <t>Agro Import do Brasil</t>
  </si>
  <si>
    <t>21000.006550/2012-54</t>
  </si>
  <si>
    <t>Fludioxonil Tecnico Milenia</t>
  </si>
  <si>
    <t>21000.001075/2014-91</t>
  </si>
  <si>
    <t>Delfos Max 430 SC</t>
  </si>
  <si>
    <t>21000.007645/2011-12</t>
  </si>
  <si>
    <t>Tibet</t>
  </si>
  <si>
    <t>Fluroxipir-meptílico; Picloram</t>
  </si>
  <si>
    <t>21000.002803/2015-63</t>
  </si>
  <si>
    <t>Linus 200 SP</t>
  </si>
  <si>
    <t>21000.008878/2008-29</t>
  </si>
  <si>
    <t>Airone</t>
  </si>
  <si>
    <t>Hidróxido de Cobre; Oxicloreto de Cobre</t>
  </si>
  <si>
    <t>Isagro Brasil</t>
  </si>
  <si>
    <t>21000.008195/2013-39</t>
  </si>
  <si>
    <t>Dominum XT</t>
  </si>
  <si>
    <t>Aminopiralide; Picloram; Triclopir-butotílico</t>
  </si>
  <si>
    <t>21000.008655/2013-29</t>
  </si>
  <si>
    <t>Planador XT</t>
  </si>
  <si>
    <t>21000.008656/2013-73</t>
  </si>
  <si>
    <t>Trueno XT</t>
  </si>
  <si>
    <t>21000.010394/2009-21</t>
  </si>
  <si>
    <t>Cartap Técnico Volcano</t>
  </si>
  <si>
    <t>Cartape</t>
  </si>
  <si>
    <t>21000.003926/2011-98</t>
  </si>
  <si>
    <t>Picloram Nortox 240 SL</t>
  </si>
  <si>
    <t>21000.003091/2012-57</t>
  </si>
  <si>
    <t>Dominum EZ Forestry</t>
  </si>
  <si>
    <t>Aminopiralide; Fluroxipir-Meptílico</t>
  </si>
  <si>
    <t>21000.004159/2013-04</t>
  </si>
  <si>
    <t>Atuantt Técnico</t>
  </si>
  <si>
    <t>21000.003538/2013-79</t>
  </si>
  <si>
    <t>Triclopyr Tecnico CCAB</t>
  </si>
  <si>
    <t>21000.003555/2013-14</t>
  </si>
  <si>
    <t>Triclopir Tecnico Genbra</t>
  </si>
  <si>
    <t>21000.007268/2014-56</t>
  </si>
  <si>
    <t>Rizos</t>
  </si>
  <si>
    <t>Laboratório de Bio Controle Farroupilha</t>
  </si>
  <si>
    <t>21000.005813/2012-16</t>
  </si>
  <si>
    <t>Metry</t>
  </si>
  <si>
    <t>21000.008927/2009-12</t>
  </si>
  <si>
    <t>Fipronil Técnico Consagro</t>
  </si>
  <si>
    <t>21000.002994/2012-11</t>
  </si>
  <si>
    <t>Mancozeb CCAB 800 WP</t>
  </si>
  <si>
    <t>21000.004383/2012-15</t>
  </si>
  <si>
    <t>Sniper</t>
  </si>
  <si>
    <t>21000.003983/2015-09</t>
  </si>
  <si>
    <t>Tibet Prime</t>
  </si>
  <si>
    <t>21000.007903/2015-86</t>
  </si>
  <si>
    <t>Kroll</t>
  </si>
  <si>
    <t>Cletodim; Quizalofop-P-Etílico</t>
  </si>
  <si>
    <t>21000.001268/2011-08</t>
  </si>
  <si>
    <t>Triclopir-butotilico Tecnico Nufarm</t>
  </si>
  <si>
    <t>21000.050434/2016-04</t>
  </si>
  <si>
    <t>Cronnos OD</t>
  </si>
  <si>
    <t>21000.007267/2014-10</t>
  </si>
  <si>
    <t>Onix</t>
  </si>
  <si>
    <t>Bacillus methylotrophicus</t>
  </si>
  <si>
    <t>21000.010989/2012-81</t>
  </si>
  <si>
    <t>Banjo</t>
  </si>
  <si>
    <t>21000.004960/2012-61</t>
  </si>
  <si>
    <t xml:space="preserve">Ciproconazol Tradecorp Técnico </t>
  </si>
  <si>
    <t>21000.009066/2010-15</t>
  </si>
  <si>
    <t>Trop SL</t>
  </si>
  <si>
    <t>21000.008005/2010-31</t>
  </si>
  <si>
    <t>Revogar 800 WG</t>
  </si>
  <si>
    <t>21000.009065/2010-71</t>
  </si>
  <si>
    <t>Trop 480 SL</t>
  </si>
  <si>
    <t>21000.004125/2013-10</t>
  </si>
  <si>
    <t>Ciproconazol Técnico Genbra</t>
  </si>
  <si>
    <t>21000.010108/2011-41</t>
  </si>
  <si>
    <t>Convicto</t>
  </si>
  <si>
    <t>Azoxistrobina; Epoxiconazol</t>
  </si>
  <si>
    <t>21000.010106/2011-52</t>
  </si>
  <si>
    <t>Convicto SC</t>
  </si>
  <si>
    <t>21000.005438/2011-15</t>
  </si>
  <si>
    <t>Sparviero 50</t>
  </si>
  <si>
    <t>21000.003466/2011-06</t>
  </si>
  <si>
    <t>Maestro 250 FS</t>
  </si>
  <si>
    <t>21000.002116/2017-18</t>
  </si>
  <si>
    <t>Thiodiplus 350 FS</t>
  </si>
  <si>
    <t>21000.002112/2017-21</t>
  </si>
  <si>
    <t>Thiobio 350 SC</t>
  </si>
  <si>
    <t>21000.004922/2012-16</t>
  </si>
  <si>
    <t>Zino 750 WG</t>
  </si>
  <si>
    <t>21000.007812/2014-60</t>
  </si>
  <si>
    <t>Clariva PN BR</t>
  </si>
  <si>
    <t>Pasteuria nishizawae</t>
  </si>
  <si>
    <t>21000.010413/2013-03</t>
  </si>
  <si>
    <t>Soyclean Xtra</t>
  </si>
  <si>
    <t>21000.010890/2010-18</t>
  </si>
  <si>
    <t>Greener</t>
  </si>
  <si>
    <t>21000.007215/2012-73</t>
  </si>
  <si>
    <t>Station 240 SL</t>
  </si>
  <si>
    <t>21000.005764/2012-11</t>
  </si>
  <si>
    <t>Campestre 240 SL</t>
  </si>
  <si>
    <t>21000.012846/2010-42</t>
  </si>
  <si>
    <t>Glifosato DVA Agro Técnico</t>
  </si>
  <si>
    <t>21000.007984/2010-18</t>
  </si>
  <si>
    <t>Zonic</t>
  </si>
  <si>
    <t>Amicarbazona; Diurom; Hexazinona</t>
  </si>
  <si>
    <t>21000.008082/2010-91 </t>
  </si>
  <si>
    <t>Guerrero</t>
  </si>
  <si>
    <t>21000.010863/2012-15 </t>
  </si>
  <si>
    <t>Glifomega Técnico</t>
  </si>
  <si>
    <t>21000.010010/2011-94</t>
  </si>
  <si>
    <t>Luger</t>
  </si>
  <si>
    <t>21000.042531/2017-04</t>
  </si>
  <si>
    <t>Chrysogen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</si>
  <si>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Chrysodeixis includens</t>
    </r>
    <r>
      <rPr>
        <rFont val="Arial"/>
        <color rgb="FF000066"/>
        <sz val="10.0"/>
      </rPr>
      <t xml:space="preserve"> nucleopolyhedrovirus (ChinNPV)</t>
    </r>
  </si>
  <si>
    <t>21000.044104/2017-52</t>
  </si>
  <si>
    <t>Chrysogen CCAB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</si>
  <si>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 xml:space="preserve">Chrysodeixis includens </t>
    </r>
    <r>
      <rPr>
        <rFont val="Arial"/>
        <color rgb="FF000066"/>
        <sz val="10.0"/>
      </rPr>
      <t>nucleopolyhedrovirus (ChinNPV)</t>
    </r>
  </si>
  <si>
    <t>21000.004460/2013-18</t>
  </si>
  <si>
    <t>Acefato Técnico SUP</t>
  </si>
  <si>
    <t>21000.005153/2013-46</t>
  </si>
  <si>
    <t>Acefato Técnico Rainbow</t>
  </si>
  <si>
    <t>21000.009301/2013-00</t>
  </si>
  <si>
    <t>Acefato Técnico Biorisk</t>
  </si>
  <si>
    <t>21000.036239/2017-44 </t>
  </si>
  <si>
    <t>Cartugen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</si>
  <si>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Spodoptera frugiperda</t>
    </r>
    <r>
      <rPr>
        <rFont val="Arial"/>
        <color rgb="FF000066"/>
        <sz val="10.0"/>
      </rPr>
      <t xml:space="preserve"> multiplenucleopolyhedrovirus (SfMNPV)</t>
    </r>
  </si>
  <si>
    <t>21000.038361/2017-55</t>
  </si>
  <si>
    <t>Cartugen CCAB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</si>
  <si>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Spodoptera frugiperda</t>
    </r>
    <r>
      <rPr>
        <rFont val="Arial"/>
        <color rgb="FF000066"/>
        <sz val="10.0"/>
      </rPr>
      <t xml:space="preserve"> multiplenucleopolyhedrovirus (SfMNPV)</t>
    </r>
  </si>
  <si>
    <t>21000.001009/2013-21</t>
  </si>
  <si>
    <t>Acefato Técnico AgroImport</t>
  </si>
  <si>
    <t>21000.003637/2014-31</t>
  </si>
  <si>
    <t>Acephate Technical</t>
  </si>
  <si>
    <t>21000.008115/2011-83 </t>
  </si>
  <si>
    <t>Ametrina 500 SC Rainbow</t>
  </si>
  <si>
    <t>21000.008203/2012-66</t>
  </si>
  <si>
    <t>Glifosato Atanor IV</t>
  </si>
  <si>
    <t>21000.015830/2011-72</t>
  </si>
  <si>
    <t xml:space="preserve">Flutriafol Tradecorp Técnico </t>
  </si>
  <si>
    <t>21000.010333/2012-69</t>
  </si>
  <si>
    <t>Cipermetrina Técnico Red Surcos</t>
  </si>
  <si>
    <t>21000.000812/2013-58</t>
  </si>
  <si>
    <t>Lavra</t>
  </si>
  <si>
    <t>2,4-D; Picloram</t>
  </si>
  <si>
    <t>21000.011211/2018-85</t>
  </si>
  <si>
    <t>Tiofanato Metil Técnico Nortox III</t>
  </si>
  <si>
    <t>21000.004048/2014-71</t>
  </si>
  <si>
    <t>Lufenuron Técnico Nortox CH</t>
  </si>
  <si>
    <t>21000.007052/2015-71</t>
  </si>
  <si>
    <t>Nicossulfuron Técnico RDB </t>
  </si>
  <si>
    <t>Nicosulfurom</t>
  </si>
  <si>
    <t>21000.040601/2016-09</t>
  </si>
  <si>
    <t>Nicossulfuron Técnico Sino-Agri</t>
  </si>
  <si>
    <t>21000.007556/2012-49</t>
  </si>
  <si>
    <t>Metomil Técnico</t>
  </si>
  <si>
    <t>21000.009798/2013-58</t>
  </si>
  <si>
    <t>Metomil Técnico Mil</t>
  </si>
  <si>
    <t>21000.018139/2017-36 </t>
  </si>
  <si>
    <t>Atrazina Técnica Adama</t>
  </si>
  <si>
    <t>21000.003108/2013-57</t>
  </si>
  <si>
    <t>Diflubenzurom Técnico ME2</t>
  </si>
  <si>
    <t>21000.008579/2015-13 </t>
  </si>
  <si>
    <t>Kraton</t>
  </si>
  <si>
    <t xml:space="preserve">21000.011793/2011-23 </t>
  </si>
  <si>
    <t>T-Hex</t>
  </si>
  <si>
    <t>Tiodicarbe; Hexazinona</t>
  </si>
  <si>
    <t xml:space="preserve">21000.002563/2011-73 </t>
  </si>
  <si>
    <t>Thiodicarb 350 FS</t>
  </si>
  <si>
    <t xml:space="preserve">21000.009276/2012-75 </t>
  </si>
  <si>
    <t>Atrazina 500 Sc Alamos</t>
  </si>
  <si>
    <t>Alamos do Brasil</t>
  </si>
  <si>
    <t>21000.003651/2014-35</t>
  </si>
  <si>
    <t>Flutriafol Técnico Nortox CH</t>
  </si>
  <si>
    <t>21000.015791/2011-11 </t>
  </si>
  <si>
    <t>Diquat Nufarm 200 SL</t>
  </si>
  <si>
    <t>21000.000606/2013-48</t>
  </si>
  <si>
    <t>Azoxistrobina Técnico Alta II</t>
  </si>
  <si>
    <t>21000.003113/2013-60</t>
  </si>
  <si>
    <t>Grandus WG</t>
  </si>
  <si>
    <t>Nicosulfurom; Atrazina</t>
  </si>
  <si>
    <t>21000.051444/2017-30</t>
  </si>
  <si>
    <t>Tiofanato-Metílico Técnico Mega</t>
  </si>
  <si>
    <t>21000.024269/2017-16</t>
  </si>
  <si>
    <t>Mancozebe Técnico BRA</t>
  </si>
  <si>
    <t>21000.009574/2012-65</t>
  </si>
  <si>
    <t>Wild</t>
  </si>
  <si>
    <t>21000.003559/2013-94</t>
  </si>
  <si>
    <t>Paicer</t>
  </si>
  <si>
    <t>21000.003405/2017-26 </t>
  </si>
  <si>
    <t>Faith</t>
  </si>
  <si>
    <t>21000.003407/2017-15 </t>
  </si>
  <si>
    <t>Faith SP</t>
  </si>
  <si>
    <t>21000.008070/2015-71 </t>
  </si>
  <si>
    <t>Cartago</t>
  </si>
  <si>
    <t>21000.010999/2011-36 </t>
  </si>
  <si>
    <t>Lufenurom Nufarm 50 EC</t>
  </si>
  <si>
    <t>21000.003864/2016-29</t>
  </si>
  <si>
    <t>Azoxistrobina Técnico Tide</t>
  </si>
  <si>
    <t>Tide do Brasil</t>
  </si>
  <si>
    <t>21000.025506/2017-58</t>
  </si>
  <si>
    <t>Daytona</t>
  </si>
  <si>
    <t>Koppert do Brasil Sistemas Biologicos</t>
  </si>
  <si>
    <t>21000.008037/2012-06</t>
  </si>
  <si>
    <t>Hexitiazoxi Tradecorp Técnico</t>
  </si>
  <si>
    <t>Hexitiazoxi</t>
  </si>
  <si>
    <t>21000.006943/2015-19</t>
  </si>
  <si>
    <t>Cletodim Técnico Nufarm</t>
  </si>
  <si>
    <t>21000.006627/2015-39</t>
  </si>
  <si>
    <t>Clethodim Técnico BCS</t>
  </si>
  <si>
    <t>Bayer S.A.</t>
  </si>
  <si>
    <t>21000.008647/2015-44 </t>
  </si>
  <si>
    <t>Cletodim Técnico Adama</t>
  </si>
  <si>
    <t>21000.003899/2015-87</t>
  </si>
  <si>
    <t>Cletodim Técnico Cropchem</t>
  </si>
  <si>
    <t>21000.007381/2015-12</t>
  </si>
  <si>
    <t>Clethodim Técnico RTM</t>
  </si>
  <si>
    <t>21000.002693/2015-30</t>
  </si>
  <si>
    <t>Imazethapyr Técnico Biesterfeld</t>
  </si>
  <si>
    <t>Biesterfeld do Brasil</t>
  </si>
  <si>
    <t>21000.046918/2016-41 </t>
  </si>
  <si>
    <t xml:space="preserve">Imazetapir Técnico Adama BR </t>
  </si>
  <si>
    <t>21000.053343/2016-12 </t>
  </si>
  <si>
    <t>Imazetapir CTécnico Helm</t>
  </si>
  <si>
    <t>21000.007318/2012-33 </t>
  </si>
  <si>
    <t>Clomazone JB Técnico FMC</t>
  </si>
  <si>
    <t>21000.003874/2014-01</t>
  </si>
  <si>
    <t>2,4-D Técnico Agrisor</t>
  </si>
  <si>
    <t>21000.022661/2017-12 </t>
  </si>
  <si>
    <t>Diamond</t>
  </si>
  <si>
    <t>Trichoderma koningiopsis</t>
  </si>
  <si>
    <t>21000.006719/2013-57</t>
  </si>
  <si>
    <t>Captan Técnico Rainbow</t>
  </si>
  <si>
    <t>Captan</t>
  </si>
  <si>
    <t>21000.007270/2014-25</t>
  </si>
  <si>
    <t>Azoxistrobina Pré-Mistura Milenia</t>
  </si>
  <si>
    <t>21000.063767/2016-95</t>
  </si>
  <si>
    <t>Staff</t>
  </si>
  <si>
    <t>21000.006966/2013-53</t>
  </si>
  <si>
    <t>Spirodiclofeno Técnico Helm</t>
  </si>
  <si>
    <t>21000.021080/2017-63</t>
  </si>
  <si>
    <t>Espirodiclofeno Técnico Alta</t>
  </si>
  <si>
    <t>21000.031970/2017-83</t>
  </si>
  <si>
    <t>Spirodiclofeno Técnico Sulphur Mills</t>
  </si>
  <si>
    <t>21000.000272/2014-93</t>
  </si>
  <si>
    <t>Hexazinone Técnico RTM</t>
  </si>
  <si>
    <t>21000.009702/2012-71</t>
  </si>
  <si>
    <t>Hexazinona Técnica Proventis</t>
  </si>
  <si>
    <t>21000.004597/2018-79</t>
  </si>
  <si>
    <t>Imazetapir Técnico Alta</t>
  </si>
  <si>
    <t>21000.002181/2015-73 </t>
  </si>
  <si>
    <t>Imazetapyr Técnico SCY-Cropchem</t>
  </si>
  <si>
    <t>21000.053725/2016-46</t>
  </si>
  <si>
    <t>Hexazinone Técnico Sino-Agri</t>
  </si>
  <si>
    <t>21000.010451/2012-77 </t>
  </si>
  <si>
    <t>Dinamic Técnico DC</t>
  </si>
  <si>
    <t>21000.004412/2013-11</t>
  </si>
  <si>
    <t>Fluazinan Técnico SH</t>
  </si>
  <si>
    <t>21000.009679/2017-29 </t>
  </si>
  <si>
    <t>Super BT</t>
  </si>
  <si>
    <t xml:space="preserve"> Bacillus thuringiensis</t>
  </si>
  <si>
    <t>21000.009675/2017-41</t>
  </si>
  <si>
    <t>Eficaz Nema</t>
  </si>
  <si>
    <t>21000.021705/2017-97 </t>
  </si>
  <si>
    <t>Nematec</t>
  </si>
  <si>
    <t>Deladenus siricidicola</t>
  </si>
  <si>
    <t>Embrapa Florestas</t>
  </si>
  <si>
    <t>21000.004343/2017-70 </t>
  </si>
  <si>
    <t>Faith SD 750 SP</t>
  </si>
  <si>
    <t xml:space="preserve">21000.025508/2017-47 </t>
  </si>
  <si>
    <t>Octane</t>
  </si>
  <si>
    <t>21000.059152/2016-64</t>
  </si>
  <si>
    <t>Daniato</t>
  </si>
  <si>
    <t>21000.003761/2012-35 </t>
  </si>
  <si>
    <t>Batalha</t>
  </si>
  <si>
    <t>21000.010401/2010-28</t>
  </si>
  <si>
    <t>Chloromo</t>
  </si>
  <si>
    <t>Sabero Organics</t>
  </si>
  <si>
    <t>21000.036974/2017-58</t>
  </si>
  <si>
    <t>Serifel</t>
  </si>
  <si>
    <t>21000.003412/2013-02 </t>
  </si>
  <si>
    <t>Clomazona Tradecorp Técnico</t>
  </si>
  <si>
    <t>21000.008390/2014-40</t>
  </si>
  <si>
    <t>Metribuzin Pré-Mistura</t>
  </si>
  <si>
    <t>21000.006970/2014-01</t>
  </si>
  <si>
    <t>Pherodis HÁ</t>
  </si>
  <si>
    <t>(z)-11 hexadecenal; (z)-9- hexadecenal; (z)-7- hexadecenal</t>
  </si>
  <si>
    <t>21000.008630/2011-63</t>
  </si>
  <si>
    <t>Simatop Rainbow</t>
  </si>
  <si>
    <t>21000.049204/2017-75</t>
  </si>
  <si>
    <t>Surtivo Soja</t>
  </si>
  <si>
    <r>
      <rPr>
        <rFont val="Arial"/>
        <i/>
        <color rgb="FF000066"/>
        <sz val="10.0"/>
      </rPr>
      <t>Chrysodeixis includens</t>
    </r>
    <r>
      <rPr>
        <rFont val="Arial"/>
        <color rgb="FF000066"/>
        <sz val="10.0"/>
      </rPr>
      <t xml:space="preserve"> nucleopolihedrovirus (ChinNPV); </t>
    </r>
    <r>
      <rPr>
        <rFont val="Arial"/>
        <i/>
        <color rgb="FF000066"/>
        <sz val="10.0"/>
      </rPr>
      <t>Helicoverpa armíger</t>
    </r>
    <r>
      <rPr>
        <rFont val="Arial"/>
        <color rgb="FF000066"/>
        <sz val="10.0"/>
      </rPr>
      <t>a nucleopolihedrovirus (HaNPV = HearNPV)</t>
    </r>
  </si>
  <si>
    <t>21000.008326/2014-69</t>
  </si>
  <si>
    <t>Fontop</t>
  </si>
  <si>
    <t>Fluasifope-P-butílico</t>
  </si>
  <si>
    <t>21000.006062/2015-90</t>
  </si>
  <si>
    <t>Cuprital 700</t>
  </si>
  <si>
    <t>Oxicloreto de cobre</t>
  </si>
  <si>
    <t>21000.053922/2016-65</t>
  </si>
  <si>
    <t>Bequebr</t>
  </si>
  <si>
    <t>21000.001691/2012-81 </t>
  </si>
  <si>
    <t>Shambda 50 EC</t>
  </si>
  <si>
    <t>21000.010777/2009-07</t>
  </si>
  <si>
    <t>ATAK</t>
  </si>
  <si>
    <t>21000.005840/2014-42</t>
  </si>
  <si>
    <t>Lufenuron Nortox 100 EC</t>
  </si>
  <si>
    <t>21000.002028/2018-99</t>
  </si>
  <si>
    <t>Surtivo Soja CCAB</t>
  </si>
  <si>
    <r>
      <rPr>
        <rFont val="Arial"/>
        <i/>
        <color rgb="FF000066"/>
        <sz val="11.0"/>
      </rPr>
      <t>Chrysodeixis includens</t>
    </r>
    <r>
      <rPr>
        <rFont val="Arial"/>
        <color rgb="FF000066"/>
        <sz val="11.0"/>
      </rPr>
      <t xml:space="preserve"> nucleopolihedrovirus (ChinNPV); </t>
    </r>
    <r>
      <rPr>
        <rFont val="Arial"/>
        <i/>
        <color rgb="FF000066"/>
        <sz val="11.0"/>
      </rPr>
      <t>Helicoverpa armígera</t>
    </r>
    <r>
      <rPr>
        <rFont val="Arial"/>
        <color rgb="FF000066"/>
        <sz val="11.0"/>
      </rPr>
      <t xml:space="preserve"> nucleopolihedrovirus (HaNPV = HearNPV)</t>
    </r>
  </si>
  <si>
    <t>Source Top</t>
  </si>
  <si>
    <t>21000.002244/2013-20</t>
  </si>
  <si>
    <t>Belure Top</t>
  </si>
  <si>
    <t>21000.001311/2013-99 </t>
  </si>
  <si>
    <t>Troller</t>
  </si>
  <si>
    <t>21000.052348/2017-17</t>
  </si>
  <si>
    <t>Majestic</t>
  </si>
  <si>
    <t>21000.015927/2011-85</t>
  </si>
  <si>
    <t>Alvo 750 WG</t>
  </si>
  <si>
    <t>21000.058672/2016-50</t>
  </si>
  <si>
    <t>Kennox</t>
  </si>
  <si>
    <t>Cletodim; Haloxifop-P-Metílico</t>
  </si>
  <si>
    <t>21000.046482/2017-71</t>
  </si>
  <si>
    <t>Aptur-PF</t>
  </si>
  <si>
    <t>21000.049202/2017-86</t>
  </si>
  <si>
    <t>Lepigen</t>
  </si>
  <si>
    <r>
      <rPr>
        <rFont val="Arial"/>
        <i/>
        <color rgb="FF000066"/>
        <sz val="11.0"/>
      </rPr>
      <t>Autographa californica</t>
    </r>
    <r>
      <rPr>
        <rFont val="Arial"/>
        <color rgb="FF000066"/>
        <sz val="11.0"/>
      </rPr>
      <t> Multiple Nucleopolyhedrovirus</t>
    </r>
  </si>
  <si>
    <t>21000.002029/2018-33</t>
  </si>
  <si>
    <t>Lepigen CCAB</t>
  </si>
  <si>
    <r>
      <rPr>
        <rFont val="Arial"/>
        <i/>
        <color rgb="FF000066"/>
        <sz val="11.0"/>
      </rPr>
      <t>Autographa californica</t>
    </r>
    <r>
      <rPr>
        <rFont val="Arial"/>
        <color rgb="FF000066"/>
        <sz val="11.0"/>
      </rPr>
      <t> Multiple Nucleopolyhedrovirus</t>
    </r>
  </si>
  <si>
    <t>21000.010794/2012-31</t>
  </si>
  <si>
    <t>Boreal</t>
  </si>
  <si>
    <t>21000.009131/2012-74 </t>
  </si>
  <si>
    <t>Capote</t>
  </si>
  <si>
    <t>21000.003557/2018-18</t>
  </si>
  <si>
    <t>Agroneem</t>
  </si>
  <si>
    <r>
      <rPr>
        <rFont val="Arial"/>
        <color rgb="FF000066"/>
        <sz val="11.0"/>
      </rPr>
      <t>Óleo de Nim (</t>
    </r>
    <r>
      <rPr>
        <rFont val="Arial"/>
        <i/>
        <color rgb="FF000066"/>
        <sz val="10.0"/>
      </rPr>
      <t>Azadirachta indica</t>
    </r>
    <r>
      <rPr>
        <rFont val="Arial"/>
        <color rgb="FF000066"/>
        <sz val="10.0"/>
      </rPr>
      <t>)</t>
    </r>
  </si>
  <si>
    <t>Prophyto Comércio e Serviços</t>
  </si>
  <si>
    <t>21000.026214/2017-32</t>
  </si>
  <si>
    <t>Clorotalonil 500 SC OF</t>
  </si>
  <si>
    <t>21000.063818/2016-89 </t>
  </si>
  <si>
    <t>Zipper</t>
  </si>
  <si>
    <t>Mancozebe; Oxicloreto de Cobre</t>
  </si>
  <si>
    <t>21000.005071/2010-59</t>
  </si>
  <si>
    <t>Fluroxipir Técnico Tecnomyl</t>
  </si>
  <si>
    <t>21000.004140/2015-11</t>
  </si>
  <si>
    <t>Fluazinam Técnico Nortox BR</t>
  </si>
  <si>
    <t>21000.005375/2014-40 </t>
  </si>
  <si>
    <t>Fluazinam Técnico Nortox</t>
  </si>
  <si>
    <t>21000.005622/2012-46</t>
  </si>
  <si>
    <t>Captain 800 WG</t>
  </si>
  <si>
    <t>21000.046020/2017-53</t>
  </si>
  <si>
    <t>Nemakill</t>
  </si>
  <si>
    <t>21000.004396/2016-18 </t>
  </si>
  <si>
    <t>Origan 500 SC</t>
  </si>
  <si>
    <t>21000.052347/2017-64 </t>
  </si>
  <si>
    <t>Unique</t>
  </si>
  <si>
    <t>21000.004164/2013-17</t>
  </si>
  <si>
    <t>Diquat Técnico YN</t>
  </si>
  <si>
    <t>21000.007228/2014-12</t>
  </si>
  <si>
    <t>Diquat Técnico Nortox</t>
  </si>
  <si>
    <t>21000.005270/2015-71</t>
  </si>
  <si>
    <t>Diquat Técnico Cropchem</t>
  </si>
  <si>
    <t>21000.036496/2016-03</t>
  </si>
  <si>
    <t>Diquat Sapec Técnico</t>
  </si>
  <si>
    <t>21000.001591/2013-35</t>
  </si>
  <si>
    <t>Tiodicarbe Nufarm 350 SC</t>
  </si>
  <si>
    <t>21000.000621/2010-43 </t>
  </si>
  <si>
    <t>Uzat</t>
  </si>
  <si>
    <t>Cheminova</t>
  </si>
  <si>
    <t>21000.002573/2014-51</t>
  </si>
  <si>
    <t>Acetamiprid STK 200 SP</t>
  </si>
  <si>
    <t>21000.062383/2016-55</t>
  </si>
  <si>
    <t>Bitelo</t>
  </si>
  <si>
    <t>21000.008986/2018-73 </t>
  </si>
  <si>
    <t>Auin CE</t>
  </si>
  <si>
    <t>21000.052341/2017-97</t>
  </si>
  <si>
    <t>Vantaje</t>
  </si>
  <si>
    <t>21000.003513/2012-94</t>
  </si>
  <si>
    <t>Fluroxipir Técnico Rainbow</t>
  </si>
  <si>
    <t>21000.042847/2016-15</t>
  </si>
  <si>
    <t>Curbix 200 SC A</t>
  </si>
  <si>
    <t>Fenilpirazol</t>
  </si>
  <si>
    <t>21000.006599/2018-01</t>
  </si>
  <si>
    <t>Isomate-Ofm TT</t>
  </si>
  <si>
    <t>Acetato de (Z)-8-dodecenila; Acetato de (E)-8-dodecenila; (Z)-8-dodecenol</t>
  </si>
  <si>
    <t>Biocontrole</t>
  </si>
  <si>
    <t>21000.007483/2008-17</t>
  </si>
  <si>
    <t>Trovati</t>
  </si>
  <si>
    <t>21000.004916/2011-70</t>
  </si>
  <si>
    <t>Fipronil 250 FS Agria</t>
  </si>
  <si>
    <t>21000.053538/2017-43</t>
  </si>
  <si>
    <t>Trichodermil DS</t>
  </si>
  <si>
    <t>21000.053531/2017-21</t>
  </si>
  <si>
    <t>Cougar</t>
  </si>
  <si>
    <t>21000.049907/2017-01</t>
  </si>
  <si>
    <t>Boveryd FR 25</t>
  </si>
  <si>
    <t>21000.002341/2016-65</t>
  </si>
  <si>
    <t>Ávido BR</t>
  </si>
  <si>
    <t>21000.019734/2018-70</t>
  </si>
  <si>
    <t>Dobbel</t>
  </si>
  <si>
    <t>21000.005809/2012-40</t>
  </si>
  <si>
    <t>Glifosato XW Técnico</t>
  </si>
  <si>
    <t>21000.005367/2010-70</t>
  </si>
  <si>
    <t>Fluroxipir Técnico CCAB</t>
  </si>
  <si>
    <t>21000.001401/2012-07</t>
  </si>
  <si>
    <t>Fluroxypyr L Técnico Helm</t>
  </si>
  <si>
    <t>21000.006465/2012-96</t>
  </si>
  <si>
    <t>Fluroxypyr Técnico Volcano</t>
  </si>
  <si>
    <t>21000.010276/2012-18</t>
  </si>
  <si>
    <t>Fluroxypyr Meptil Técnico UPL</t>
  </si>
  <si>
    <t>21000.000872/2014-51</t>
  </si>
  <si>
    <t>Fluroxypyr-Meptyl Técnico Agrogill</t>
  </si>
  <si>
    <t>21000.000179/2016-41</t>
  </si>
  <si>
    <t>Fluroxipir Meptílico Técnico Adama</t>
  </si>
  <si>
    <t>21000.001520/2011-71</t>
  </si>
  <si>
    <t>Tecnup</t>
  </si>
  <si>
    <t>21000.053853/2017-71</t>
  </si>
  <si>
    <t>Hover</t>
  </si>
  <si>
    <t>21000.010932/2018-78</t>
  </si>
  <si>
    <t>JB Tri-P</t>
  </si>
  <si>
    <t>21000.023429/2016-11</t>
  </si>
  <si>
    <t>Glyphosate Técnico Fuhua</t>
  </si>
  <si>
    <t>21000.013417/2018-40</t>
  </si>
  <si>
    <t>Ametrina Técnica Nortox II</t>
  </si>
  <si>
    <t>21000.014173/2018-12</t>
  </si>
  <si>
    <t>Trilag</t>
  </si>
  <si>
    <t>21000.009225/2011-62</t>
  </si>
  <si>
    <t>Shelter FS</t>
  </si>
  <si>
    <t>21000.015650/2018-67</t>
  </si>
  <si>
    <t>Azoxystrobin Técnico Nortox IV</t>
  </si>
  <si>
    <t>21000.032655/2017-73</t>
  </si>
  <si>
    <t>Cletodim Técnico Alta II</t>
  </si>
  <si>
    <t>21000.006398/2013-91</t>
  </si>
  <si>
    <t>Sulfentrazone Técnico Proventis</t>
  </si>
  <si>
    <t>21000.007215/2013-54</t>
  </si>
  <si>
    <t>Sulfentrazone Técnico CCAB</t>
  </si>
  <si>
    <t>21000.010397/2010-06</t>
  </si>
  <si>
    <t>Lambda-Cialotrina Técnico Mil</t>
  </si>
  <si>
    <t>21000.008309/2014-21</t>
  </si>
  <si>
    <t>Indoxacarb Técnico CCAB</t>
  </si>
  <si>
    <t>21000.006442/2014-43</t>
  </si>
  <si>
    <t>Indoxacarb Técnico Gharda</t>
  </si>
  <si>
    <t>21000.015764/2011-31</t>
  </si>
  <si>
    <t>Azoxistrobina CCAB 250 SC</t>
  </si>
  <si>
    <t>21000.002571/2015-43</t>
  </si>
  <si>
    <t>Hollic</t>
  </si>
  <si>
    <t>Metiram; Piraclostrobina</t>
  </si>
  <si>
    <t>21000.008034/2015-15</t>
  </si>
  <si>
    <t>Bac Control Max EC</t>
  </si>
  <si>
    <t>21000.010931/2018-23</t>
  </si>
  <si>
    <t>Excellence Rugger</t>
  </si>
  <si>
    <t>Excellence - Produtos Biológicos</t>
  </si>
  <si>
    <t>21000.036457/2017-89</t>
  </si>
  <si>
    <t>Procimidona 500 SC OF</t>
  </si>
  <si>
    <t>21000.006957/2014-43</t>
  </si>
  <si>
    <t>Glifosato Técnico HT Helm</t>
  </si>
  <si>
    <t>21000.035424/2017-11</t>
  </si>
  <si>
    <t>Quartz SC</t>
  </si>
  <si>
    <t>21000.008677/2013-99</t>
  </si>
  <si>
    <t>Jaran 500 SC</t>
  </si>
  <si>
    <t>21000.004323/2014-56</t>
  </si>
  <si>
    <t>Glifosato Técnico CSG</t>
  </si>
  <si>
    <t>21000.011192/2018-97</t>
  </si>
  <si>
    <t>Maxunil Técnico</t>
  </si>
  <si>
    <t>21000.006848/2013-45</t>
  </si>
  <si>
    <t>Fipronil Técnico Pilarquim</t>
  </si>
  <si>
    <t>21000.010549/2012-24</t>
  </si>
  <si>
    <t>Fipronil Técico Hailir</t>
  </si>
  <si>
    <t>21000.001181/2013-94 </t>
  </si>
  <si>
    <t>Verlon</t>
  </si>
  <si>
    <t xml:space="preserve">21000.015765/2011-85 </t>
  </si>
  <si>
    <t>Assaris</t>
  </si>
  <si>
    <t>21000.008186/2015-18</t>
  </si>
  <si>
    <t>Adifac</t>
  </si>
  <si>
    <t>Bentazona; Imazamoxi</t>
  </si>
  <si>
    <t>21000.010847/2011-33</t>
  </si>
  <si>
    <t>ATRAZINA SD 500 SC</t>
  </si>
  <si>
    <t>21000.003297/2011-04 </t>
  </si>
  <si>
    <t>2,4-D (240) + Picloram(64) SL</t>
  </si>
  <si>
    <t>21000.005763/2010-05 </t>
  </si>
  <si>
    <t>Fabian WG</t>
  </si>
  <si>
    <t>Imazetapir; Chlorimurom</t>
  </si>
  <si>
    <t>21000.007420/2010-77</t>
  </si>
  <si>
    <t>Metagan</t>
  </si>
  <si>
    <t>21000.009170/2010-18</t>
  </si>
  <si>
    <t>AUG 126</t>
  </si>
  <si>
    <t>Quizalofop-P-Etílico</t>
  </si>
  <si>
    <t>21000.032876/2017-41</t>
  </si>
  <si>
    <t>21000.010826/2012-07</t>
  </si>
  <si>
    <t>Glifocopa</t>
  </si>
  <si>
    <t>Copalliance</t>
  </si>
  <si>
    <t>21000.040626/2016-02</t>
  </si>
  <si>
    <t>Trivor</t>
  </si>
  <si>
    <t>Acetamiprido; Piriproxifen</t>
  </si>
  <si>
    <t>21000.042230/2017-72</t>
  </si>
  <si>
    <t>Clorotalonil Técnico Alta</t>
  </si>
  <si>
    <t>21000.004900/2011-67</t>
  </si>
  <si>
    <t>Diflubenzurom Técnico CropChem</t>
  </si>
  <si>
    <t>21000.013334/2016-99</t>
  </si>
  <si>
    <t>Diflubenzuron Técnico Sulphur Mills</t>
  </si>
  <si>
    <t>21000.010793/2012-97</t>
  </si>
  <si>
    <t>Amicarbazona Tradecorp Técnico</t>
  </si>
  <si>
    <t>21000.007642/2014-13</t>
  </si>
  <si>
    <t>Fludioxonil Técnico Nufarm</t>
  </si>
  <si>
    <t>21000.006252/2012-64</t>
  </si>
  <si>
    <t>Fludioxonil Técnico Proventis</t>
  </si>
  <si>
    <t>21000.019274/2016-18</t>
  </si>
  <si>
    <t>Diafenthiuron Técnico RTM</t>
  </si>
  <si>
    <t>21000.002327/2014-08</t>
  </si>
  <si>
    <t>Diafentiurom Sapec Técnico</t>
  </si>
  <si>
    <t>21000.005978/2014-41 </t>
  </si>
  <si>
    <t>Diafentiurom Técnico CSG</t>
  </si>
  <si>
    <t>21000.003154/2011-94 </t>
  </si>
  <si>
    <t>Glifosato Técnico FT</t>
  </si>
  <si>
    <t>21000.002206/2014-58 </t>
  </si>
  <si>
    <t>Lamper 480 SC</t>
  </si>
  <si>
    <t>21000.008777/2013-15 </t>
  </si>
  <si>
    <t>Troya</t>
  </si>
  <si>
    <t>21000.010898/2017-51</t>
  </si>
  <si>
    <t>Noctovi GL</t>
  </si>
  <si>
    <t>Z-11 Hexadecenal; Z-9 Hexadecenal</t>
  </si>
  <si>
    <t>Isca Tecnologias</t>
  </si>
  <si>
    <t>21000.012242/2018-53</t>
  </si>
  <si>
    <t>Native</t>
  </si>
  <si>
    <t>Bacillus amyloliquefaciens; Trichoderma harzianum</t>
  </si>
  <si>
    <t>21000.009409/2018-07</t>
  </si>
  <si>
    <t xml:space="preserve">Tricho </t>
  </si>
  <si>
    <t>21000.034932/2017-82</t>
  </si>
  <si>
    <t>Templo</t>
  </si>
  <si>
    <t>21000.005291/2010-82</t>
  </si>
  <si>
    <t>Miura EC</t>
  </si>
  <si>
    <t>Quizalofop-p-etílico</t>
  </si>
  <si>
    <t>21000.036111/2016-08</t>
  </si>
  <si>
    <t>Absolut</t>
  </si>
  <si>
    <t>21000.027184/2018-62</t>
  </si>
  <si>
    <t>Califorce</t>
  </si>
  <si>
    <t>Neoseiulus californicus</t>
  </si>
  <si>
    <t>21000.024476/2018-43</t>
  </si>
  <si>
    <t>No-nema</t>
  </si>
  <si>
    <t xml:space="preserve">21000.003500/2011-34 </t>
  </si>
  <si>
    <t>Acucor</t>
  </si>
  <si>
    <t>Lambda-cialotrina; Clorantraniliprole</t>
  </si>
  <si>
    <t>21000.003502/2011-23</t>
  </si>
  <si>
    <t>Masumo</t>
  </si>
  <si>
    <t>21000.009419/2010-87</t>
  </si>
  <si>
    <t>AUG 103</t>
  </si>
  <si>
    <t>21000.008688/2009-92 </t>
  </si>
  <si>
    <t>Rivamax</t>
  </si>
  <si>
    <t>Carbendazim; Tebuconazol</t>
  </si>
  <si>
    <t>21000.002293/2012-81</t>
  </si>
  <si>
    <t>Zethapyr</t>
  </si>
  <si>
    <t>21000.002337/2014-35</t>
  </si>
  <si>
    <t>Muneo</t>
  </si>
  <si>
    <t>Alfas-cipermetrina; Fipronil; Piraclostrobina</t>
  </si>
  <si>
    <t>21000.003859/2011-10</t>
  </si>
  <si>
    <t>Diflubenzuron Técnico Prentiss</t>
  </si>
  <si>
    <t>21000.023227/2018-31</t>
  </si>
  <si>
    <t>Fipronil Técnico Hy-Green</t>
  </si>
  <si>
    <t>21000.008673/2015-72</t>
  </si>
  <si>
    <t>Diafentiurom Técnico Adama</t>
  </si>
  <si>
    <t>21000.018658/2018-85</t>
  </si>
  <si>
    <t>Azoxystrobin Técnico Nortox V</t>
  </si>
  <si>
    <t>21000.004049/2014-15</t>
  </si>
  <si>
    <t>Imazetapir Técnico Nortox BR</t>
  </si>
  <si>
    <t>21000.000670/2013-29</t>
  </si>
  <si>
    <t>Simazina Técnico Agroimport</t>
  </si>
  <si>
    <t>21000.004836/2010-33</t>
  </si>
  <si>
    <t>Clorpiri Técnico </t>
  </si>
  <si>
    <t>21000.046888/2017-53</t>
  </si>
  <si>
    <t>Amicarbazona Técnico Adama</t>
  </si>
  <si>
    <t>21000.008146/2012-15</t>
  </si>
  <si>
    <t>Dexa WG</t>
  </si>
  <si>
    <t>21000.017173/2018-74</t>
  </si>
  <si>
    <t>Biobaci</t>
  </si>
  <si>
    <t>21000.006252/2015-15</t>
  </si>
  <si>
    <t>Fluazinam Coonagro 500 SC</t>
  </si>
  <si>
    <t>21000.003137/2010-76</t>
  </si>
  <si>
    <t>Nongrass</t>
  </si>
  <si>
    <t>21000.038830/2017-36</t>
  </si>
  <si>
    <t>Ogiva</t>
  </si>
  <si>
    <t>21000.004388/2013-11</t>
  </si>
  <si>
    <t>Maxizato</t>
  </si>
  <si>
    <t>21000.006177/2012-31</t>
  </si>
  <si>
    <t>Glifossato K Atanor</t>
  </si>
  <si>
    <t>21000.002450/2013-30</t>
  </si>
  <si>
    <t>Novaluron Técnico UPL</t>
  </si>
  <si>
    <t>21000.005754/2011-97</t>
  </si>
  <si>
    <t>Glifosato Técnico Crystal</t>
  </si>
  <si>
    <t>Crystal Agro</t>
  </si>
  <si>
    <t>21000.010093/2012-01</t>
  </si>
  <si>
    <t>Glifosato Técnico Jt-Bra</t>
  </si>
  <si>
    <t>21000.004509/2011-62</t>
  </si>
  <si>
    <t>Glifosato Técnico Jt-Cropchem</t>
  </si>
  <si>
    <t>21000.008417/2014-02</t>
  </si>
  <si>
    <t>Dicamba Técnico GHA</t>
  </si>
  <si>
    <t>21000.004018/2015-45</t>
  </si>
  <si>
    <t>Sulfentrazona Técnico Of</t>
  </si>
  <si>
    <t>21000.061276/2016-18</t>
  </si>
  <si>
    <t>Tebuconazol Técnico Adama Brasil</t>
  </si>
  <si>
    <t>21000.001704/2014-83</t>
  </si>
  <si>
    <t>Fluazinam Técnico Ccab</t>
  </si>
  <si>
    <t>21000.003652/2014-80</t>
  </si>
  <si>
    <t>Amicarbazona Técnico Nortox</t>
  </si>
  <si>
    <t>21000.004651/2015-33</t>
  </si>
  <si>
    <t>Fluazinam Técnico Adama</t>
  </si>
  <si>
    <t>21000.014783/2011-40</t>
  </si>
  <si>
    <t>Metomil Técnico Nortox</t>
  </si>
  <si>
    <t>21000.006235/2015-70</t>
  </si>
  <si>
    <t>Snt Técnico</t>
  </si>
  <si>
    <t>21000.033250/2017-52</t>
  </si>
  <si>
    <t>Imazethapyr Técnico Imazet</t>
  </si>
  <si>
    <t>21000.008903/2014-12</t>
  </si>
  <si>
    <t>Fludioxonil Técnico Adama</t>
  </si>
  <si>
    <t>21000.008164/2010-35</t>
  </si>
  <si>
    <t>Nuzoxy 250 SC</t>
  </si>
  <si>
    <t>21000.002431/2013-11</t>
  </si>
  <si>
    <t>Avura</t>
  </si>
  <si>
    <t>21000.005185/2012-61</t>
  </si>
  <si>
    <t>Epimec</t>
  </si>
  <si>
    <t>21000.063814/2016-09</t>
  </si>
  <si>
    <t>Scooter Top</t>
  </si>
  <si>
    <t xml:space="preserve">Oxiquímica </t>
  </si>
  <si>
    <t>21000.063817/2016-34</t>
  </si>
  <si>
    <t>Reference</t>
  </si>
  <si>
    <t>21000.002021/2012-81</t>
  </si>
  <si>
    <t>Acefato CCAB 750 SP</t>
  </si>
  <si>
    <t>21000.048050/2016-13</t>
  </si>
  <si>
    <t>Sphere Max A</t>
  </si>
  <si>
    <t>Trifloxistrobina; Ciproconazol</t>
  </si>
  <si>
    <t>21000.007130/2010-23</t>
  </si>
  <si>
    <t>Bleran</t>
  </si>
  <si>
    <t>21000.007419/2010-42</t>
  </si>
  <si>
    <t>Gopan</t>
  </si>
  <si>
    <t>21000.048052/2016-11</t>
  </si>
  <si>
    <t>Sphere Max B</t>
  </si>
  <si>
    <t>Trifloxistrobina; ciproconazol</t>
  </si>
  <si>
    <t>21000.010543/2013-38</t>
  </si>
  <si>
    <t>Magneto Técnico</t>
  </si>
  <si>
    <t>21000.006903/2017-21</t>
  </si>
  <si>
    <t>Clomazone Técnico Oxon II</t>
  </si>
  <si>
    <t>21000.008204/2013-91</t>
  </si>
  <si>
    <t>Clomazone Técnico CT</t>
  </si>
  <si>
    <t>21000.003359/2015-01</t>
  </si>
  <si>
    <t>Clomazone Técnico Rotam</t>
  </si>
  <si>
    <t>21000.002408/2014-08</t>
  </si>
  <si>
    <t>Clomazone Técnico Nortox BR</t>
  </si>
  <si>
    <t>21000.008395/2014-72</t>
  </si>
  <si>
    <t>Clomazone Técnico Cq-Cropchem</t>
  </si>
  <si>
    <t>21000.000160/2015-13</t>
  </si>
  <si>
    <t>Picoxistrobina Técnico Adama</t>
  </si>
  <si>
    <t>21000.007233/2011-74</t>
  </si>
  <si>
    <t>Tiametoxam Técnico IN</t>
  </si>
  <si>
    <t>21000.008577/2014-43</t>
  </si>
  <si>
    <t>Sulfentrazona Técnico Adama Brasil</t>
  </si>
  <si>
    <t>21000.003378/2015-20</t>
  </si>
  <si>
    <t>Sulfentrazone Técnico CCAB II</t>
  </si>
  <si>
    <t>21000.035416/2016-94</t>
  </si>
  <si>
    <t>Sulfentrazone T Técnico Helm</t>
  </si>
  <si>
    <t>21000.005419/2014-31</t>
  </si>
  <si>
    <t>Sulfentrazone Técnico Tagros</t>
  </si>
  <si>
    <t>21000.001667/2010-80</t>
  </si>
  <si>
    <t>Imidacloprido Técnico Hailir</t>
  </si>
  <si>
    <t>21000.006572/2010-52</t>
  </si>
  <si>
    <t>Difenoconazole Tecnico Pilarquim</t>
  </si>
  <si>
    <t>21000.002055/2012-76</t>
  </si>
  <si>
    <t>Difo Técnico</t>
  </si>
  <si>
    <t>Nellty</t>
  </si>
  <si>
    <t>21000.008697/2013-60</t>
  </si>
  <si>
    <t>Cyproconazole Técnico Agria BR</t>
  </si>
  <si>
    <t>21000.003407/2014-72</t>
  </si>
  <si>
    <t>Keltor</t>
  </si>
  <si>
    <t>Saflufenacil</t>
  </si>
  <si>
    <t>21000.008032/2015-18</t>
  </si>
  <si>
    <t>Glufosinate-Ammonium 200 SL Yonon</t>
  </si>
  <si>
    <t>Glufosinato de amônio</t>
  </si>
  <si>
    <t>21000.002094/2011-92</t>
  </si>
  <si>
    <t>Pastor</t>
  </si>
  <si>
    <t>21000.004473/2014-60</t>
  </si>
  <si>
    <t>Álibi</t>
  </si>
  <si>
    <t>21000.008305/2013-62</t>
  </si>
  <si>
    <t>Fleris</t>
  </si>
  <si>
    <t>21000.007633/2012-61</t>
  </si>
  <si>
    <t>Mancozeb Indofil 800 WP</t>
  </si>
  <si>
    <t>21000.003805/2013-16</t>
  </si>
  <si>
    <t>Atrazina + Nicosulfuron Nortox WG</t>
  </si>
  <si>
    <t>Atrazina; Nicosulfuron</t>
  </si>
  <si>
    <t>21000.004379/2013-20</t>
  </si>
  <si>
    <t>Strong</t>
  </si>
  <si>
    <t>21000.000107/2014-31</t>
  </si>
  <si>
    <t>Soyatop Xtra</t>
  </si>
  <si>
    <t>21000.008307/2013-51</t>
  </si>
  <si>
    <t>Truzon</t>
  </si>
  <si>
    <t>21000.007282/2012-98</t>
  </si>
  <si>
    <t>Tejo</t>
  </si>
  <si>
    <t>21000.037777/2016-75</t>
  </si>
  <si>
    <t>Glufosinato 280 SL UPL</t>
  </si>
  <si>
    <t>21000.006445/2013-04</t>
  </si>
  <si>
    <t>Glint</t>
  </si>
  <si>
    <t>21000.001519/2011-46</t>
  </si>
  <si>
    <t>Glifosato Soma</t>
  </si>
  <si>
    <t>21000.009729/2013-44</t>
  </si>
  <si>
    <t>Wiper Xtra</t>
  </si>
  <si>
    <t>21000.009731/2013-13</t>
  </si>
  <si>
    <t>Clenil Xtra</t>
  </si>
  <si>
    <t>21000.007605/2013-24</t>
  </si>
  <si>
    <t>2,4-D Super Amine SG</t>
  </si>
  <si>
    <t>21000.046019/2017-29</t>
  </si>
  <si>
    <t>Acetamiprido Técnico Sulphur Mills</t>
  </si>
  <si>
    <t>21000.007570/2013-23</t>
  </si>
  <si>
    <t>Azoxistrobina Técnico Ft-Cropchem</t>
  </si>
  <si>
    <t>21000.003816/2015-50</t>
  </si>
  <si>
    <t>Cloreto De Mepiquate Técnico CCAB</t>
  </si>
  <si>
    <t>21000.001508/2014-17</t>
  </si>
  <si>
    <t>Nicosulfuron Sapec Técnico II</t>
  </si>
  <si>
    <t>21000.010993/2012-40</t>
  </si>
  <si>
    <t>Nicosulfuron Técnico Stockton</t>
  </si>
  <si>
    <t>21000.009105/2013-27</t>
  </si>
  <si>
    <t>Nicosulfuron Técnico R Helm</t>
  </si>
  <si>
    <t>21000.006770/2013-69</t>
  </si>
  <si>
    <t>Imazetapir Sapec Técnico</t>
  </si>
  <si>
    <t>21000.003082/2014-28</t>
  </si>
  <si>
    <t>Imazetapir Técnico Mil</t>
  </si>
  <si>
    <t>21000.037373/2017-62</t>
  </si>
  <si>
    <t>Imazetapir N Técnico Helm</t>
  </si>
  <si>
    <t>21000.003676/2014-39</t>
  </si>
  <si>
    <t>Imazetapir Técnico Proventis</t>
  </si>
  <si>
    <t>21000.024473/2018-18</t>
  </si>
  <si>
    <t>Bio-Imune</t>
  </si>
  <si>
    <t>21000.007729/2014-91</t>
  </si>
  <si>
    <t>Torero</t>
  </si>
  <si>
    <t>21000.038827/2017-12</t>
  </si>
  <si>
    <t>Mojjave</t>
  </si>
  <si>
    <t>21000.006111/2013-22</t>
  </si>
  <si>
    <t>Flutriafol Nortox</t>
  </si>
  <si>
    <t>21000.007521/2015-52</t>
  </si>
  <si>
    <t>Diafentiruon 500 SC Proventis</t>
  </si>
  <si>
    <t>21000.007438/2013-11</t>
  </si>
  <si>
    <t>Paclobutrazol 250 SC UPL</t>
  </si>
  <si>
    <t>21000.007434/2013-33</t>
  </si>
  <si>
    <t>Fipronil 250 FS Genbra</t>
  </si>
  <si>
    <t>21000.004474/2014-12</t>
  </si>
  <si>
    <t>Damast</t>
  </si>
  <si>
    <t>Agrobio</t>
  </si>
  <si>
    <t>21000.011794/2018-44</t>
  </si>
  <si>
    <t>Excellence MIG-66</t>
  </si>
  <si>
    <t>21000.032814/2017-30</t>
  </si>
  <si>
    <t>Clomazone 500 EC OF</t>
  </si>
  <si>
    <t>21000.011452/2011-58</t>
  </si>
  <si>
    <t>Clorpirifós Técnico Gharda</t>
  </si>
  <si>
    <t>21000.011711/2011-41</t>
  </si>
  <si>
    <t>Metomil Técnico Volcano</t>
  </si>
  <si>
    <t>21000.005811/2012-19</t>
  </si>
  <si>
    <t>Sulfentrazona Tradecorp Técnico</t>
  </si>
  <si>
    <t>21000.001302/2015-60</t>
  </si>
  <si>
    <t>Clorpirifós Técnico Cheminova GH</t>
  </si>
  <si>
    <t>21000.008002/2015-10</t>
  </si>
  <si>
    <t>Clorpirifós Técnico Sulphur Mills</t>
  </si>
  <si>
    <t>21000.011823/2016-14</t>
  </si>
  <si>
    <t>Sulfentrazone Técnico Nortox</t>
  </si>
  <si>
    <t>21000.019271/2016-84</t>
  </si>
  <si>
    <t>Sulfentrazone Técnico Rotam</t>
  </si>
  <si>
    <t>21000.005568/2013-10</t>
  </si>
  <si>
    <t>Sulfoxaflor Técnico</t>
  </si>
  <si>
    <t>21000.000235/2011-32</t>
  </si>
  <si>
    <t>Thiophanate Methyl Técnico DVA</t>
  </si>
  <si>
    <t>Ano de 2017</t>
  </si>
  <si>
    <t>21000.006287/2012-01</t>
  </si>
  <si>
    <t>Fipronil Nortox</t>
  </si>
  <si>
    <t>21000.013303/2016-38</t>
  </si>
  <si>
    <t>Quartzo</t>
  </si>
  <si>
    <t>Bacillus licheniformis; Bacillus subtilis</t>
  </si>
  <si>
    <t>21000.000622/2010-98</t>
  </si>
  <si>
    <t>Decision 750 SP</t>
  </si>
  <si>
    <t>21000.010865/2011-15</t>
  </si>
  <si>
    <t>Atrazina Técnica Fersol</t>
  </si>
  <si>
    <t>Ameribras</t>
  </si>
  <si>
    <t>21000.005170/2011-11</t>
  </si>
  <si>
    <t>Captan Técnico SD</t>
  </si>
  <si>
    <t>21000.001193/2012-38</t>
  </si>
  <si>
    <t>Paraquat Técnico Nortox</t>
  </si>
  <si>
    <t>Dicloreto de Paraquate</t>
  </si>
  <si>
    <t>21000.008821/2012-14</t>
  </si>
  <si>
    <t>Flutriafol Técnico CCAB</t>
  </si>
  <si>
    <t>21000.002874/2014-85</t>
  </si>
  <si>
    <t>Flutriafol Técnico Nortox BR</t>
  </si>
  <si>
    <t>21000.003946/2014-10</t>
  </si>
  <si>
    <t>Flutriafol Técnico Proventis</t>
  </si>
  <si>
    <t>21000.005797/2011-72</t>
  </si>
  <si>
    <t>Flutriafol Técnico Nortox</t>
  </si>
  <si>
    <t>21000.005721/2013-17</t>
  </si>
  <si>
    <t>Flutriafol Técnico SUP</t>
  </si>
  <si>
    <t>21000.005838/2013-92</t>
  </si>
  <si>
    <t>Flutriafol Técnico SV BRA</t>
  </si>
  <si>
    <t>21000.006011/2013-04</t>
  </si>
  <si>
    <t>Flutriafol Técnico SV-Cropchem</t>
  </si>
  <si>
    <t>21000.007458/2013-92</t>
  </si>
  <si>
    <t>Flutriafol Técnico Cheminova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</si>
  <si>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</si>
  <si>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21000.015733/2016-94</t>
  </si>
  <si>
    <t>Flutriafol Técnico STK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</si>
  <si>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</si>
  <si>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21000.034819/2016-16</t>
  </si>
  <si>
    <t>Flutriafol Técnico Adama BR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</si>
  <si>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</si>
  <si>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21000.041148/2016-40</t>
  </si>
  <si>
    <t>Presence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</si>
  <si>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</si>
  <si>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21000.003697/2015-35</t>
  </si>
  <si>
    <t>Bac Control Max WP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</si>
  <si>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</si>
  <si>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21000.003996/2012-27</t>
  </si>
  <si>
    <t>Mesotriona Técnica Proventis</t>
  </si>
  <si>
    <t>S3 Consultoria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</si>
  <si>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</si>
  <si>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21000.004455/2015-69</t>
  </si>
  <si>
    <t>Acetamiprido Técnico Dinagro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</si>
  <si>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</si>
  <si>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21000.010419/2013-72</t>
  </si>
  <si>
    <t>PonteiroBR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</si>
  <si>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</si>
  <si>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21000.002089/2015-11</t>
  </si>
  <si>
    <t>Oleaje</t>
  </si>
  <si>
    <t>Bacillus firmus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</si>
  <si>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</si>
  <si>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21000.002090/2015-38</t>
  </si>
  <si>
    <t>Andril</t>
  </si>
  <si>
    <t>21000.002591/2015-14</t>
  </si>
  <si>
    <t>Tarik WP</t>
  </si>
  <si>
    <t>21000.003695/2015-46</t>
  </si>
  <si>
    <t>Helymax</t>
  </si>
  <si>
    <t>21000.002749/2010-41</t>
  </si>
  <si>
    <t>Paraquat Técnico Biesterfeld</t>
  </si>
  <si>
    <t>21000.003438/2014-23</t>
  </si>
  <si>
    <t>Acetamiprido Técnico HY-Cropchem</t>
  </si>
  <si>
    <t>21000.009832/2013-30</t>
  </si>
  <si>
    <t>Glufosinate- Ammonium Técnico UPL</t>
  </si>
  <si>
    <t>21000.010517/2012-29</t>
  </si>
  <si>
    <t>Acetamiprid Técnico CCAB II</t>
  </si>
  <si>
    <t>21000.010486/2010-44</t>
  </si>
  <si>
    <t>Glifosato Técnico Genbra III</t>
  </si>
  <si>
    <t>21000.008047/2014-03</t>
  </si>
  <si>
    <t>Ryzup 400</t>
  </si>
  <si>
    <t>21000.010647/2010-08</t>
  </si>
  <si>
    <t>Glifosato Técnico CCAB IV</t>
  </si>
  <si>
    <t>21000.008050/2011-76</t>
  </si>
  <si>
    <t>Acetamiprid Técnico Nortox</t>
  </si>
  <si>
    <t>21000.008487/2014-52</t>
  </si>
  <si>
    <t>Acetamiprido Técnico Ouro Fino</t>
  </si>
  <si>
    <t>21000.003008/2013-21</t>
  </si>
  <si>
    <t>Acetamiprido Técnico Nufarm</t>
  </si>
  <si>
    <t>21000.010515/2012-30</t>
  </si>
  <si>
    <t>Acetamiprido Técnico Proventis</t>
  </si>
  <si>
    <t>21000.002136/2011-95</t>
  </si>
  <si>
    <t>Nicossulfurom Técnico Nufarm</t>
  </si>
  <si>
    <t>21000.000510/2013-80</t>
  </si>
  <si>
    <t>Acetamiprido Técnico OF</t>
  </si>
  <si>
    <t>21000.002027/2015-00</t>
  </si>
  <si>
    <t>Diflubenzuron Técnico Proventis</t>
  </si>
  <si>
    <t>21000.009681/2012-93</t>
  </si>
  <si>
    <t>Diflubenzurom Técnico Nufarm NCS</t>
  </si>
  <si>
    <t>21000.007905/2013-11</t>
  </si>
  <si>
    <t>Flutriafol Técnico Stockton</t>
  </si>
  <si>
    <t>21000.023653/2016-11</t>
  </si>
  <si>
    <t>Flutri Técnico SD</t>
  </si>
  <si>
    <t>Sharda do Brasil</t>
  </si>
  <si>
    <t>21000.007868/2014-14</t>
  </si>
  <si>
    <t>Acetamiprido Técnico SN-Cropchem</t>
  </si>
  <si>
    <t>21000.012011/2011-73</t>
  </si>
  <si>
    <t>Acetamiprido Técnico Macroseeds</t>
  </si>
  <si>
    <t>Macroseeds</t>
  </si>
  <si>
    <t>21000.004603/2015-45</t>
  </si>
  <si>
    <t>Acetamiprido Técnico Agristar</t>
  </si>
  <si>
    <t>Atanor</t>
  </si>
  <si>
    <t>21000.011407/2009-89</t>
  </si>
  <si>
    <t>ProntoBR</t>
  </si>
  <si>
    <t>21000.006409/2014-13</t>
  </si>
  <si>
    <t>Acetamiprido Técnico BRA</t>
  </si>
  <si>
    <t>21000.001488/2015-57</t>
  </si>
  <si>
    <t>Acetamiprido Técnico SD</t>
  </si>
  <si>
    <t>21000.006767/2011-83</t>
  </si>
  <si>
    <t>Atrazina 900 WG Rainbow</t>
  </si>
  <si>
    <t>ATRAZINA</t>
  </si>
  <si>
    <t>21000.005729/2012-94</t>
  </si>
  <si>
    <t>Farmozine Plus</t>
  </si>
  <si>
    <t>21000.005728/2012-40</t>
  </si>
  <si>
    <t>Herbizina Plus</t>
  </si>
  <si>
    <t>21000.006061/2009-05</t>
  </si>
  <si>
    <t>Fipronil 25% FS (CDEX 119A FP)</t>
  </si>
  <si>
    <t>21000.002738/2010-61</t>
  </si>
  <si>
    <t>Gifosato IPA 480 Rainbow</t>
  </si>
  <si>
    <t>21000.002786/2011-31</t>
  </si>
  <si>
    <t>Glifosato Alta 720 WG</t>
  </si>
  <si>
    <t>21000.007996/2010-34</t>
  </si>
  <si>
    <t>Sugoy Técnico</t>
  </si>
  <si>
    <t>Metominostrobina</t>
  </si>
  <si>
    <t>21000.010405/2010-14</t>
  </si>
  <si>
    <t>Fusão</t>
  </si>
  <si>
    <t>Metominostrobina; Tebuconazol</t>
  </si>
  <si>
    <t>21000.002175/2011-92</t>
  </si>
  <si>
    <t>Glufosinate-Ammonium DVA 200 SL</t>
  </si>
  <si>
    <t>21000.006838/2014-91</t>
  </si>
  <si>
    <t>Dipel ES NT</t>
  </si>
  <si>
    <t>21000.000223/2013-70</t>
  </si>
  <si>
    <t>Copa</t>
  </si>
  <si>
    <t>21000.008430/2012-91</t>
  </si>
  <si>
    <t>Glifosato 720 WG Nortox</t>
  </si>
  <si>
    <t>21000.007437/2011-13</t>
  </si>
  <si>
    <t>Comboio 80 WG</t>
  </si>
  <si>
    <t>21000.007369/2010-01</t>
  </si>
  <si>
    <t>Glifosato Técnico Genbra II</t>
  </si>
  <si>
    <t>21000.007559/2010-11</t>
  </si>
  <si>
    <t>Glifosato Técnico CCAB III</t>
  </si>
  <si>
    <t>21000.010367/2013-34</t>
  </si>
  <si>
    <t>Flutriafol Técnico OF</t>
  </si>
  <si>
    <t>21000.042852/2016-10</t>
  </si>
  <si>
    <t>Flutriafol Técnico OF I</t>
  </si>
  <si>
    <t>21000.010657/2011-16</t>
  </si>
  <si>
    <t>Ametrina Técnico Oxon</t>
  </si>
  <si>
    <t>21000.006473/2013-13</t>
  </si>
  <si>
    <t>Ametrina Técnico ZS-Cropchem</t>
  </si>
  <si>
    <t>21000.001187/2014-42</t>
  </si>
  <si>
    <t>Ametrina Técnico BRA</t>
  </si>
  <si>
    <t>21000.008775/2013-26</t>
  </si>
  <si>
    <t>Ametrina Técnico ZS</t>
  </si>
  <si>
    <t>21000.012852/2016-95</t>
  </si>
  <si>
    <t>Ametrina Técnico SD</t>
  </si>
  <si>
    <t>21000.002326/2014-55</t>
  </si>
  <si>
    <t>Mesotriona Sapec Técnico</t>
  </si>
  <si>
    <t>21000.002380/2012-39</t>
  </si>
  <si>
    <t>Tebuconazol Técnico CN</t>
  </si>
  <si>
    <t>21000.000809/2010-91</t>
  </si>
  <si>
    <t>Mepiquat Chloride Técnico DVA</t>
  </si>
  <si>
    <t>21000.007604/2013-80</t>
  </si>
  <si>
    <t>Diafentiuron Genbra 500 SC</t>
  </si>
  <si>
    <t>21000.007660/2013-14</t>
  </si>
  <si>
    <t>Diafentiuron CCAB 500 SC</t>
  </si>
  <si>
    <t>21000.004354/2015-98</t>
  </si>
  <si>
    <t>Acetamiprido Técnico CH</t>
  </si>
  <si>
    <t>21000.009170/2013-52</t>
  </si>
  <si>
    <t>Azoxistrobin Técnico Stockton</t>
  </si>
  <si>
    <t>21000.007093/2010-53</t>
  </si>
  <si>
    <t>Atrazina Técnico SD</t>
  </si>
  <si>
    <t>21000.001807/2015-24</t>
  </si>
  <si>
    <t>Bold</t>
  </si>
  <si>
    <t>Acetamiprido; Fempropatrina</t>
  </si>
  <si>
    <t>21000.009694/2011-81</t>
  </si>
  <si>
    <t>Fipronil Técnico Agroimport</t>
  </si>
  <si>
    <t>Fipronil Técnico Rainbow</t>
  </si>
  <si>
    <t>21000.001594/2014-50</t>
  </si>
  <si>
    <t>Provence Total</t>
  </si>
  <si>
    <t>Indaziflam; Isoxaflutole</t>
  </si>
  <si>
    <t>21000.003845/2015-11</t>
  </si>
  <si>
    <t>Tebuconazole Técnico Sino-Agri</t>
  </si>
  <si>
    <t>Lemma Consultoria</t>
  </si>
  <si>
    <t>21000.001632/2011-21</t>
  </si>
  <si>
    <t xml:space="preserve">Carbendazim STK 500 SC </t>
  </si>
  <si>
    <t>Crosslink</t>
  </si>
  <si>
    <t>21000.001910/2011-41</t>
  </si>
  <si>
    <t>Carbendazim STK 500 SC - A</t>
  </si>
  <si>
    <t>21000.001909/2011-16</t>
  </si>
  <si>
    <t>Carbendazim STK 500 SC -B</t>
  </si>
  <si>
    <t>21000.005559/2011-67</t>
  </si>
  <si>
    <t>Fipronil Nortox TS</t>
  </si>
  <si>
    <t>21000.004207/2009-70</t>
  </si>
  <si>
    <t>Cruiser 600 FS</t>
  </si>
  <si>
    <t>21000.046517/2016-91</t>
  </si>
  <si>
    <t>Metarhizium JCO WP</t>
  </si>
  <si>
    <t xml:space="preserve"> JCO Indústria e Comércio</t>
  </si>
  <si>
    <t>21000.008840/2011-51</t>
  </si>
  <si>
    <t>Tebuconazol Técnico FG</t>
  </si>
  <si>
    <t>21000.007567/2014-91</t>
  </si>
  <si>
    <t>Clorotalonil Técnico Adama</t>
  </si>
  <si>
    <t>21000.001112/2013-81</t>
  </si>
  <si>
    <t>Clorotalonil Técnico Rainbow</t>
  </si>
  <si>
    <t>21000.009067/2014-93</t>
  </si>
  <si>
    <t>Eleitto</t>
  </si>
  <si>
    <t>Acetamiprido; Etofemproxi</t>
  </si>
  <si>
    <t>21000.010542/2013-93</t>
  </si>
  <si>
    <t>Fusão EC</t>
  </si>
  <si>
    <t>21000.003112/2009-39</t>
  </si>
  <si>
    <t>Credit 480</t>
  </si>
  <si>
    <t>21000.010790/2012-53</t>
  </si>
  <si>
    <t>Dermacor BR</t>
  </si>
  <si>
    <t>DuPont</t>
  </si>
  <si>
    <t>21000.011542/2010-68</t>
  </si>
  <si>
    <t>Diurom Técnico Nufarm</t>
  </si>
  <si>
    <t>21000.005196/2011-60</t>
  </si>
  <si>
    <t>Prisma Plus</t>
  </si>
  <si>
    <t>21000.005081/2013-37</t>
  </si>
  <si>
    <t>Token</t>
  </si>
  <si>
    <t>21000.001237/2011-49</t>
  </si>
  <si>
    <t>Lactofen Técnico BRA</t>
  </si>
  <si>
    <t>21000.005545/2013-13</t>
  </si>
  <si>
    <t>Pilartime</t>
  </si>
  <si>
    <t>21000.002391/2015-61</t>
  </si>
  <si>
    <t>Xeque Mate</t>
  </si>
  <si>
    <t>21000.001648/2012-15</t>
  </si>
  <si>
    <t>Imazetapir Técnico Rainbow</t>
  </si>
  <si>
    <t>21000.002004/2015-97</t>
  </si>
  <si>
    <t>Imazetapir Técnico Adama</t>
  </si>
  <si>
    <t>21000.009583/2011-75</t>
  </si>
  <si>
    <t>Diurom Tradecorp Técnico</t>
  </si>
  <si>
    <t>21000.005627/2015-11</t>
  </si>
  <si>
    <t>Clorotalonil Técnico Nortox II</t>
  </si>
  <si>
    <t>21000.005617/2014-03</t>
  </si>
  <si>
    <t>Clorotalonil Técnico Nortox</t>
  </si>
  <si>
    <t>21000.009824/2013-48</t>
  </si>
  <si>
    <t>Acetamiprid Sapec Técnico</t>
  </si>
  <si>
    <t>21000.002997/2014-16</t>
  </si>
  <si>
    <t>Kicker SUP</t>
  </si>
  <si>
    <t>21000.009049/2013-21</t>
  </si>
  <si>
    <t>Cletodim CCAB 240 EC</t>
  </si>
  <si>
    <t>21000.005909/2014-38</t>
  </si>
  <si>
    <t xml:space="preserve">Kicker  </t>
  </si>
  <si>
    <t>21000.006171/2014-26</t>
  </si>
  <si>
    <t>Creox</t>
  </si>
  <si>
    <t>21000.010951/2011-28</t>
  </si>
  <si>
    <t>Fipronil 80 WG Gharda</t>
  </si>
  <si>
    <t>21000.006845/2014-92</t>
  </si>
  <si>
    <t>Mospilan WG</t>
  </si>
  <si>
    <t>21000.005639/2015-46</t>
  </si>
  <si>
    <t>Gran Protect</t>
  </si>
  <si>
    <t>Dioxido de Silicio</t>
  </si>
  <si>
    <t>Mineração Pesquisa Brasileira</t>
  </si>
  <si>
    <t>21000.001810/2015-48</t>
  </si>
  <si>
    <t>Totalit</t>
  </si>
  <si>
    <t>Bentiavalicarbe Isopropílico; Clorothalonil</t>
  </si>
  <si>
    <t>21000.004355/2009-94</t>
  </si>
  <si>
    <t>Dividend Supreme</t>
  </si>
  <si>
    <t>Tiametoxam; Difenoconazol; Metalaxil-M</t>
  </si>
  <si>
    <t>21000.002234/2014-75</t>
  </si>
  <si>
    <t>Sanmite EW</t>
  </si>
  <si>
    <t>Piridabem</t>
  </si>
  <si>
    <t>21000.006553/2015-31</t>
  </si>
  <si>
    <t>Targa Max</t>
  </si>
  <si>
    <t>Quizalofope-p-Etílico</t>
  </si>
  <si>
    <t>21000.008407/2015-40</t>
  </si>
  <si>
    <t>Cletodim Nortox</t>
  </si>
  <si>
    <t>21000.010844/2011-08</t>
  </si>
  <si>
    <t>Ace 750 SP</t>
  </si>
  <si>
    <t>21000.003648/2014-11</t>
  </si>
  <si>
    <t>Tebutiuron Técnico Nortox BR</t>
  </si>
  <si>
    <t>21000.001090/2015-11</t>
  </si>
  <si>
    <t>Ciproconazol Técnico Sapec II</t>
  </si>
  <si>
    <t>21000.002175/2012-73</t>
  </si>
  <si>
    <t>Tebutiurom Tradecorp Técnico</t>
  </si>
  <si>
    <t>21000.001942/2015-70</t>
  </si>
  <si>
    <t>Tebutiurom Técnico Proventis</t>
  </si>
  <si>
    <t>21000.032286/2016-38</t>
  </si>
  <si>
    <t>Tebutiurom Técnico Proventis II</t>
  </si>
  <si>
    <t>21000.005669/2015-52</t>
  </si>
  <si>
    <t>Sulfentrazone UPL 500 SC</t>
  </si>
  <si>
    <t>21000.011192/2011-11</t>
  </si>
  <si>
    <t>Arreio Milenia</t>
  </si>
  <si>
    <t>Fluroxipir-metílico; Picloram</t>
  </si>
  <si>
    <t>21000.001038/2013-01</t>
  </si>
  <si>
    <t>Clorotalonil Técnico Biorisk</t>
  </si>
  <si>
    <t>21000.011675/2009­09</t>
  </si>
  <si>
    <t>Duo</t>
  </si>
  <si>
    <t>21000.010564/2009-77</t>
  </si>
  <si>
    <t>Seculo</t>
  </si>
  <si>
    <t>21000.003773/2015-11</t>
  </si>
  <si>
    <t>Horos Ultra</t>
  </si>
  <si>
    <t>Picoxistrobina; Tebuconazole; Mancozebe</t>
  </si>
  <si>
    <t>21000.007281/2012-43</t>
  </si>
  <si>
    <t>Cloridrato de Propamocarbe Tradecorp Técnico</t>
  </si>
  <si>
    <t>Cloridrato de Propamocarbe</t>
  </si>
  <si>
    <t>21000.009172/2013-41</t>
  </si>
  <si>
    <t>Metomil Sapec Técnico</t>
  </si>
  <si>
    <t>21000.006984/2014-16</t>
  </si>
  <si>
    <t>Porcel 100 EC</t>
  </si>
  <si>
    <t>21000.008154/2015-12</t>
  </si>
  <si>
    <t>Bio Lobésia</t>
  </si>
  <si>
    <t>Feromônio Sintético</t>
  </si>
  <si>
    <t>21000.003277/2009-19</t>
  </si>
  <si>
    <t>Glifosato NUF BR</t>
  </si>
  <si>
    <t>21000.005567/2013-75</t>
  </si>
  <si>
    <t>Cletodim Pré-Mistura Milenia</t>
  </si>
  <si>
    <t>21000.004852/2010-26</t>
  </si>
  <si>
    <t>Deltametrina Técnico Tagros</t>
  </si>
  <si>
    <t>21000.004392/2012-06</t>
  </si>
  <si>
    <t>Fluazinam Técnico Milenia</t>
  </si>
  <si>
    <t>21000.004895/2012-73</t>
  </si>
  <si>
    <t>Paraquate Técnico Milenia</t>
  </si>
  <si>
    <t>Paraquate</t>
  </si>
  <si>
    <t>21000.006891/2011-49</t>
  </si>
  <si>
    <t>Metaflumizone Técnico</t>
  </si>
  <si>
    <t>Metaflumizone </t>
  </si>
  <si>
    <t>21000.008308/2016-49</t>
  </si>
  <si>
    <t>Gr-Inn</t>
  </si>
  <si>
    <t>MFB</t>
  </si>
  <si>
    <t>21000.007458/2015-54</t>
  </si>
  <si>
    <t>UPL 138 FP BR</t>
  </si>
  <si>
    <t>21000.048361/2016-82</t>
  </si>
  <si>
    <t>Paraquate Técnico Vanon</t>
  </si>
  <si>
    <t>21000.005837/2013-48</t>
  </si>
  <si>
    <t>Lactofen Técnico SUP</t>
  </si>
  <si>
    <t>21000.007413/2012-37</t>
  </si>
  <si>
    <t>Flupyradifurone Técnico</t>
  </si>
  <si>
    <t>Flupiradifurona</t>
  </si>
  <si>
    <t>21000.035489/2016-86</t>
  </si>
  <si>
    <t>Defend WDG</t>
  </si>
  <si>
    <t>Quimetal</t>
  </si>
  <si>
    <t>21000.006527/2009-64</t>
  </si>
  <si>
    <t>Spindle</t>
  </si>
  <si>
    <t>Espinosade</t>
  </si>
  <si>
    <t>21000.006806/2012-23</t>
  </si>
  <si>
    <t>Fipronil Técnico CCAB II</t>
  </si>
  <si>
    <t>21000.000964/2013-51</t>
  </si>
  <si>
    <t>Fipronil Técnico ME2</t>
  </si>
  <si>
    <t>21000.005070/2009-71</t>
  </si>
  <si>
    <t>Fezan</t>
  </si>
  <si>
    <t>tebuconazol</t>
  </si>
  <si>
    <t>21000.008594/2014-81</t>
  </si>
  <si>
    <t>Fipronil Técnico Proventis II</t>
  </si>
  <si>
    <t>21000.007207/2012-27</t>
  </si>
  <si>
    <t>Fipronil Técnico Genbra</t>
  </si>
  <si>
    <t>21000.006576/2012-01</t>
  </si>
  <si>
    <t>Clearup</t>
  </si>
  <si>
    <t>21000.008543/2015-30</t>
  </si>
  <si>
    <t>Volpe</t>
  </si>
  <si>
    <t>21000.006056/2013-71</t>
  </si>
  <si>
    <t>Tiodicarbe 800 WG Genbra</t>
  </si>
  <si>
    <t>21000.007129/2008-84</t>
  </si>
  <si>
    <t>Hexazinone 250 SL Base</t>
  </si>
  <si>
    <t>Agrialliance</t>
  </si>
  <si>
    <t>21000.005943/2014-11</t>
  </si>
  <si>
    <t>Clorotalonil 500 SC</t>
  </si>
  <si>
    <t>21000.006969/2014-78</t>
  </si>
  <si>
    <t>Veraneio</t>
  </si>
  <si>
    <t>Baculovirus HaNPV</t>
  </si>
  <si>
    <t>Tiodicarbe CCAB 800 WG</t>
  </si>
  <si>
    <t>21000.004765/2011-50</t>
  </si>
  <si>
    <t>Propiconazol 250 EC Agria</t>
  </si>
  <si>
    <t>21000.005469/2015-08</t>
  </si>
  <si>
    <t>Trichoibi P</t>
  </si>
  <si>
    <t>IBI Agentes Biológicos</t>
  </si>
  <si>
    <t>21000.007622/2014-42</t>
  </si>
  <si>
    <t>EnlistDuo</t>
  </si>
  <si>
    <t>2,4-D; Glifosato</t>
  </si>
  <si>
    <t>21000.006606/2009-75</t>
  </si>
  <si>
    <t>Clorpirifós Poland 480 EC</t>
  </si>
  <si>
    <t>21000.006634/2011-15</t>
  </si>
  <si>
    <t>Cortador 806 SL</t>
  </si>
  <si>
    <t>21000.007813/2014-12</t>
  </si>
  <si>
    <t>Clariva PN</t>
  </si>
  <si>
    <t>Pasteuria nishizawae</t>
  </si>
  <si>
    <t>21000.006575/2012-58</t>
  </si>
  <si>
    <t>Weedspray</t>
  </si>
  <si>
    <t>21000.003407/2010-49</t>
  </si>
  <si>
    <t>Shambda Técnico</t>
  </si>
  <si>
    <t>21000.001340/2014-31</t>
  </si>
  <si>
    <t>2,4-D Técnico SD BRA</t>
  </si>
  <si>
    <t>21000.001004/2014-99</t>
  </si>
  <si>
    <t>2,4-D Técnico UPL BR</t>
  </si>
  <si>
    <t>21000.002899/2014-89</t>
  </si>
  <si>
    <t>2,4-D Técnico Milenia</t>
  </si>
  <si>
    <t>21000.009438/2013-56</t>
  </si>
  <si>
    <t>Mesotriona Nortox</t>
  </si>
  <si>
    <t>21000.010031/2010-29</t>
  </si>
  <si>
    <t>Procymidone Técnico Rotam</t>
  </si>
  <si>
    <t>21000.001139/2014-54</t>
  </si>
  <si>
    <t>Procimidone Técnico Proventis</t>
  </si>
  <si>
    <t>21000.003005/2011-25</t>
  </si>
  <si>
    <t>Produtivo</t>
  </si>
  <si>
    <t>21000.000652/2013-47</t>
  </si>
  <si>
    <t>Procimidona Técnico Ouro Fino</t>
  </si>
  <si>
    <t>21000.000885/2014-21</t>
  </si>
  <si>
    <t>Lambda-Cialotrina Sapec Técnico II</t>
  </si>
  <si>
    <t>21000.006740/2014-33</t>
  </si>
  <si>
    <t>Lambda-Cyhalothrim Técnico RTM</t>
  </si>
  <si>
    <t>21000.003896/2012-09</t>
  </si>
  <si>
    <t>Fipronil Técnico Proventis</t>
  </si>
  <si>
    <t>21000.001801/2009-17</t>
  </si>
  <si>
    <t>Jambtrim 120 EC</t>
  </si>
  <si>
    <t>21000.009315/2011-53</t>
  </si>
  <si>
    <t>Tebuconazole Técnico Proventis</t>
  </si>
  <si>
    <t>21000.000409/2014-18</t>
  </si>
  <si>
    <t>Diafentiurom Técnico Ouro Fino</t>
  </si>
  <si>
    <t>21000.006843/2015-84</t>
  </si>
  <si>
    <t>UPL 138 FP</t>
  </si>
  <si>
    <t>Acetamiprido; Bifentrin</t>
  </si>
  <si>
    <t>21000.007522/2012-54</t>
  </si>
  <si>
    <t>Tebuconazole Tecnico Suphur Mills</t>
  </si>
  <si>
    <t>21000.004807/2015-86</t>
  </si>
  <si>
    <t>Verismo</t>
  </si>
  <si>
    <t>21000.003444/2012-19</t>
  </si>
  <si>
    <t>Kaiso Sorbie</t>
  </si>
  <si>
    <t>21000.008965/2014-24</t>
  </si>
  <si>
    <t>Taffeta 200 SP</t>
  </si>
  <si>
    <t>21000.007490/2012-97</t>
  </si>
  <si>
    <t>Cimoxanil Tradecorp Técnico</t>
  </si>
  <si>
    <t>21000.011712/2011-95</t>
  </si>
  <si>
    <t>Diquat 200 SL Rainbow</t>
  </si>
  <si>
    <t>21000.006048/2012-43</t>
  </si>
  <si>
    <t>Spraykill</t>
  </si>
  <si>
    <t>21000.006049/2012-98</t>
  </si>
  <si>
    <t>Blowout</t>
  </si>
  <si>
    <t>21000.009658/2013-80</t>
  </si>
  <si>
    <t>Kyron 750 WG</t>
  </si>
  <si>
    <t>21000.008495/2012-37</t>
  </si>
  <si>
    <t>Fluazinam Nufarm 500 SC</t>
  </si>
  <si>
    <t>21000.013515/2016-15</t>
  </si>
  <si>
    <t>Lambdacialotrin Pré-mistura 250 CS</t>
  </si>
  <si>
    <t>21000.008662/2011-69</t>
  </si>
  <si>
    <t>Thiodi 350 SC</t>
  </si>
  <si>
    <t>21000.008656/2014-54</t>
  </si>
  <si>
    <t>Abadin 72 EC</t>
  </si>
  <si>
    <t>21000.010581/2008-23</t>
  </si>
  <si>
    <t>Rayo</t>
  </si>
  <si>
    <t>21000.006786/2014-52</t>
  </si>
  <si>
    <t>Azoxistrobina Técnico SUP</t>
  </si>
  <si>
    <t>21000.007278/2015-72</t>
  </si>
  <si>
    <t>Azoxistrobina Sapec Técnico III</t>
  </si>
  <si>
    <t>21000.007353/2015-03</t>
  </si>
  <si>
    <t>Azoxystrobin Técnico Sino-Agri</t>
  </si>
  <si>
    <t>21000.034822/2016-30</t>
  </si>
  <si>
    <t>Azoxistrobina Técnico Adama Brasil</t>
  </si>
  <si>
    <t>21000.041918/2016-54</t>
  </si>
  <si>
    <t>Azoxistrobina TB Técnico Oxon</t>
  </si>
  <si>
    <t>21000.005377/2015-10</t>
  </si>
  <si>
    <t>Azimut Supra</t>
  </si>
  <si>
    <t>Azoxistrobina; Tebuconazole; Mancozebe</t>
  </si>
  <si>
    <t>21000.008818/2014-54</t>
  </si>
  <si>
    <t>Take 750 SP</t>
  </si>
  <si>
    <t>21000.008860/2014-75</t>
  </si>
  <si>
    <t>Ttrishul 750 SP</t>
  </si>
  <si>
    <t>21000.008722/2014-96</t>
  </si>
  <si>
    <t>Fate 750 SP</t>
  </si>
  <si>
    <t>21000.004726/2009-38</t>
  </si>
  <si>
    <t>Marte WG</t>
  </si>
  <si>
    <t>21000.002351/2013-58</t>
  </si>
  <si>
    <t>Alverde</t>
  </si>
  <si>
    <t>21000.010786/2012-95</t>
  </si>
  <si>
    <t>Imazapique Técnico Milenia</t>
  </si>
  <si>
    <t>21000.008160/2012-19</t>
  </si>
  <si>
    <t>Paclobutrazol Tradecorp Técnico</t>
  </si>
  <si>
    <t>21000.010900/2010-15</t>
  </si>
  <si>
    <t>Glifosato Técnico Chemtura III</t>
  </si>
  <si>
    <t>Chemtura</t>
  </si>
  <si>
    <t>21000.011792/2009-64</t>
  </si>
  <si>
    <t>Cinelli 250 FS</t>
  </si>
  <si>
    <t>21000.014922/2011-35</t>
  </si>
  <si>
    <t>Fomesafen 250 SL DVA</t>
  </si>
  <si>
    <t>21000.010420/2013-05</t>
  </si>
  <si>
    <t>AutênticoBR</t>
  </si>
  <si>
    <t>21000.007414/2012-81</t>
  </si>
  <si>
    <t>Sivanto Prime 200 SL</t>
  </si>
  <si>
    <t>21000.002176/2012-18</t>
  </si>
  <si>
    <t>Mancozebe Tradecorp Técnico</t>
  </si>
  <si>
    <t>21000.041052/2016-81</t>
  </si>
  <si>
    <t>Mancozeb Técnico Nortox II</t>
  </si>
  <si>
    <t>21000.008927/2014-71</t>
  </si>
  <si>
    <t>Mantis 400 WG</t>
  </si>
  <si>
    <t>21000.009907/2010-94</t>
  </si>
  <si>
    <t>Pledge SC</t>
  </si>
  <si>
    <t>21000.009910/2010-16</t>
  </si>
  <si>
    <t>Sumisoya 500 SC</t>
  </si>
  <si>
    <t>21000.009906/2010-40</t>
  </si>
  <si>
    <t>Sumyzin 500 SC</t>
  </si>
  <si>
    <t>Toucan 250 FS</t>
  </si>
  <si>
    <t>21000.009384/2010-86</t>
  </si>
  <si>
    <t>Flumyzim 500 SC</t>
  </si>
  <si>
    <t>21000.007599/2012-24</t>
  </si>
  <si>
    <t xml:space="preserve">Thiodi   </t>
  </si>
  <si>
    <t>21000.005571/2009-57</t>
  </si>
  <si>
    <t>Flutriafol; Carbendazim</t>
  </si>
  <si>
    <t>21000.005572/2009-00</t>
  </si>
  <si>
    <t>Sperto</t>
  </si>
  <si>
    <t>21000.001410/2015-32</t>
  </si>
  <si>
    <t>Javelin WG</t>
  </si>
  <si>
    <t>21000.004800/2012-11</t>
  </si>
  <si>
    <t>Imidacloprido Técnico DVA</t>
  </si>
  <si>
    <t>21000.002810/2010-51</t>
  </si>
  <si>
    <t>Picloram Técnico Nufarm</t>
  </si>
  <si>
    <t>21000.002721/2012-76</t>
  </si>
  <si>
    <t>Diquat NH Técnico Helm</t>
  </si>
  <si>
    <t>21000.063790/2016-80</t>
  </si>
  <si>
    <t>Diquat Técnico Nortox III</t>
  </si>
  <si>
    <t>21000.005713/2015-24</t>
  </si>
  <si>
    <t>UPL 216 FP</t>
  </si>
  <si>
    <t>Azoxistrobina; Mancozebe; Ciproconazol</t>
  </si>
  <si>
    <t>21000.014297/2011-21</t>
  </si>
  <si>
    <t>Bixafen Técnico</t>
  </si>
  <si>
    <t>Bixafem</t>
  </si>
  <si>
    <t>Imidacloprid Técnico HS</t>
  </si>
  <si>
    <t>21000.005470/2015-24</t>
  </si>
  <si>
    <t>Trichoibi G</t>
  </si>
  <si>
    <t>21000.008869/2014-86</t>
  </si>
  <si>
    <t>Mesotriona CCAB 400 SC</t>
  </si>
  <si>
    <t>21000.005573/2009-46</t>
  </si>
  <si>
    <t>Soberano</t>
  </si>
  <si>
    <t>21000.005302/2013-77</t>
  </si>
  <si>
    <t>Fox Xpro</t>
  </si>
  <si>
    <t>Bixafem; Protioconazol; Trifloxistrobina</t>
  </si>
  <si>
    <t>21000.003274/2010-19</t>
  </si>
  <si>
    <t>Imidacloprid Técnico AgroImport</t>
  </si>
  <si>
    <t>AgroImport</t>
  </si>
  <si>
    <t>21000.006755/2010-78</t>
  </si>
  <si>
    <t>Imidacloprido Técnico Nufarm</t>
  </si>
  <si>
    <t>21000.000341/2014-69</t>
  </si>
  <si>
    <t>Acetamiprido Nufarm 200 SC</t>
  </si>
  <si>
    <t>21000.007141/2009-70</t>
  </si>
  <si>
    <t>Albatross 800 WG</t>
  </si>
  <si>
    <t>21000.006209/2009-01</t>
  </si>
  <si>
    <t>Imidacloprido Técnico D'Verde</t>
  </si>
  <si>
    <t>21000.010958/2009-25</t>
  </si>
  <si>
    <t>Imidaclorpido Técnico Agria</t>
  </si>
  <si>
    <t>21000.006652/2009-74</t>
  </si>
  <si>
    <t>Imidacloprido Técnico SIB</t>
  </si>
  <si>
    <t>21000.009202/2013-10</t>
  </si>
  <si>
    <t>Carbendazim Técnico NW Biesterfeld</t>
  </si>
  <si>
    <t>Carbendazim Técnico Wynca</t>
  </si>
  <si>
    <t>21000.001910/2015-74</t>
  </si>
  <si>
    <t>Carbendazim Técnico RdB</t>
  </si>
  <si>
    <t>21000.016882/2016-71</t>
  </si>
  <si>
    <t>Carbendazim Técnico Adama</t>
  </si>
  <si>
    <t>21000.055578/2016-49</t>
  </si>
  <si>
    <t>Tebuconazole Técnico Nortox IV</t>
  </si>
  <si>
    <t>21000.008891/2014-26</t>
  </si>
  <si>
    <t>Nillus</t>
  </si>
  <si>
    <t>21000.011343/2011-31</t>
  </si>
  <si>
    <t>Carbendazim Técnico CN</t>
  </si>
  <si>
    <t>21000.009525/2012-22</t>
  </si>
  <si>
    <t>Diflubenzuron Técnico CCAB</t>
  </si>
  <si>
    <t>21000.002574/2011-53</t>
  </si>
  <si>
    <t>Glifosato Técnico NAG</t>
  </si>
  <si>
    <t>21000.009090/2012-16</t>
  </si>
  <si>
    <t>Glifosato Técnico AK</t>
  </si>
  <si>
    <t>21000.009543/2012-12</t>
  </si>
  <si>
    <t>Diflubenzuron Técnico Genbra</t>
  </si>
  <si>
    <t>21000.003437/2014-89</t>
  </si>
  <si>
    <t>Mesotrione 480 SC Proventis</t>
  </si>
  <si>
    <t>21000.003618/2011-62</t>
  </si>
  <si>
    <t>Mancozeb Sabero 800 WP</t>
  </si>
  <si>
    <t>21000.010633/2010-86</t>
  </si>
  <si>
    <t>Rotaxil 500 SC</t>
  </si>
  <si>
    <t>21000.003694/2014-11</t>
  </si>
  <si>
    <t>AfincoBR</t>
  </si>
  <si>
    <t>21000.005701/2015-08</t>
  </si>
  <si>
    <t>ParrudoBR</t>
  </si>
  <si>
    <t>21000.011333/2011-03</t>
  </si>
  <si>
    <t>Keyzol EC</t>
  </si>
  <si>
    <t>21000.022946/2016-72</t>
  </si>
  <si>
    <t>UPL 216 FP BR</t>
  </si>
  <si>
    <t>21000.004975/2012-29</t>
  </si>
  <si>
    <t xml:space="preserve">Rotaxil </t>
  </si>
  <si>
    <t>21000.008446/2014-66</t>
  </si>
  <si>
    <t>Mesotrione 480 SC PLS CL1</t>
  </si>
  <si>
    <t>21000.003617/2011-18</t>
  </si>
  <si>
    <t>Sabizeb 800 WP</t>
  </si>
  <si>
    <t>21000.010935/2011-35</t>
  </si>
  <si>
    <t>Elatus 150 EC</t>
  </si>
  <si>
    <t>21000.010982/2012-60</t>
  </si>
  <si>
    <t>Paclobutrazol Técnico UPL</t>
  </si>
  <si>
    <t>21000.004344/2010-48</t>
  </si>
  <si>
    <t>Raksha 800 WP</t>
  </si>
  <si>
    <t>21000.004345/2010-92</t>
  </si>
  <si>
    <t>UTHANE 800 WP</t>
  </si>
  <si>
    <t>21000.007683/2009-42</t>
  </si>
  <si>
    <t>Carbendazim 500 Volcano</t>
  </si>
  <si>
    <t>21000.004253/2011-93</t>
  </si>
  <si>
    <t>Hexazuron</t>
  </si>
  <si>
    <t>21000.003230/2010-81</t>
  </si>
  <si>
    <t>Mepiquat Chloride DVA 250 SL</t>
  </si>
  <si>
    <t>21000.002482/2013-35</t>
  </si>
  <si>
    <t>Marathon 800 WG</t>
  </si>
  <si>
    <t>21000.008596/2015-51</t>
  </si>
  <si>
    <t>TAFFETA</t>
  </si>
  <si>
    <t>21000.003780/2015-12</t>
  </si>
  <si>
    <t>TAFFETA HS</t>
  </si>
  <si>
    <t>21000.003707/2015-32</t>
  </si>
  <si>
    <t>TAFFETA HS 200 SP</t>
  </si>
  <si>
    <t>21000.002844/2015-50</t>
  </si>
  <si>
    <t>TAFFETA SP</t>
  </si>
  <si>
    <t>21000.009314/2017-02</t>
  </si>
  <si>
    <t>Interceptor</t>
  </si>
  <si>
    <t>21000.004379/2012-49</t>
  </si>
  <si>
    <t>Cymoxanil Técnico Indofil</t>
  </si>
  <si>
    <t>21000.052730/2016-31</t>
  </si>
  <si>
    <t>Carbendazim Técnico Sino-Agri</t>
  </si>
  <si>
    <t>21000.031608/2016-21</t>
  </si>
  <si>
    <t>Absoluto SC</t>
  </si>
  <si>
    <t>21000.037948/2016-66</t>
  </si>
  <si>
    <t>Challenger</t>
  </si>
  <si>
    <t xml:space="preserve"> Paecilomyces lilacinus</t>
  </si>
  <si>
    <t>21000.001039/2015-17</t>
  </si>
  <si>
    <t>Acetamiprid 200 SP UPL BR</t>
  </si>
  <si>
    <t>21000.012621/2010-96</t>
  </si>
  <si>
    <t>Adante Xtra</t>
  </si>
  <si>
    <t>Azoxistrobina; Ciproconazol; Tiametoxam</t>
  </si>
  <si>
    <t>21000.009068/2013-57</t>
  </si>
  <si>
    <t>Cletodim 240 EC Genbra</t>
  </si>
  <si>
    <t>21000.003109/2013-00</t>
  </si>
  <si>
    <t>Boiadeiro 800 WG</t>
  </si>
  <si>
    <t>21000.007274/2013-22</t>
  </si>
  <si>
    <t>Benzoato de Emamectina Técnico</t>
  </si>
  <si>
    <t>Benzoato de Emamectina</t>
  </si>
  <si>
    <t>21000.012448/2010-26</t>
  </si>
  <si>
    <t>Haloxifop CCAB 124,7 EC</t>
  </si>
  <si>
    <t>Haloxifop metílico</t>
  </si>
  <si>
    <t>21000.009371/2009-73</t>
  </si>
  <si>
    <t>Permethrin 384 EC</t>
  </si>
  <si>
    <t>Vigna</t>
  </si>
  <si>
    <t>21000.012238/2010-38</t>
  </si>
  <si>
    <t>Haloxifop-metílico 124,7 EC Genbra</t>
  </si>
  <si>
    <t>21000.005583/2013-68</t>
  </si>
  <si>
    <t>Lambda-cyhalothrin Pré-mistura</t>
  </si>
  <si>
    <t>lambda-cialotrina</t>
  </si>
  <si>
    <t>21000.006321/2014-00</t>
  </si>
  <si>
    <t>Abamectin 72 EC Nortox</t>
  </si>
  <si>
    <t>21000.013627/2011-61</t>
  </si>
  <si>
    <t>Permetrina 384 EC DVA</t>
  </si>
  <si>
    <t>21000.007281/2013-24</t>
  </si>
  <si>
    <t>Proclaim 50</t>
  </si>
  <si>
    <t>21000.010400/2010-83</t>
  </si>
  <si>
    <t>CHLORSAB 480 EC</t>
  </si>
  <si>
    <t>21000.005197/2009-90</t>
  </si>
  <si>
    <t>Shelter 250 FS</t>
  </si>
  <si>
    <t>21000.007163/2010-73</t>
  </si>
  <si>
    <t>Diflumax 240 SC</t>
  </si>
  <si>
    <t>21000.010149/2009-13</t>
  </si>
  <si>
    <t>Permetrina CCAB EC</t>
  </si>
  <si>
    <t>21000.010578/2010-24</t>
  </si>
  <si>
    <t>Hexazinona Nortox SL</t>
  </si>
  <si>
    <t>21000.000298/2013-51</t>
  </si>
  <si>
    <t>Krost 806 SL</t>
  </si>
  <si>
    <t>21000.007712/2012-71</t>
  </si>
  <si>
    <t>Chiva WP</t>
  </si>
  <si>
    <t>Absoluto WG</t>
  </si>
  <si>
    <t>21000.002232/2014-86</t>
  </si>
  <si>
    <t>Approve WG</t>
  </si>
  <si>
    <t>Tiofanato-Metílico; Fluazinam</t>
  </si>
  <si>
    <t>21000.003782/2015-01</t>
  </si>
  <si>
    <t>Viviful SC</t>
  </si>
  <si>
    <t>Proexadiona Cálcica</t>
  </si>
  <si>
    <t>21000.006971/2014-47</t>
  </si>
  <si>
    <t>Puma</t>
  </si>
  <si>
    <t>21000.005712/2015-80</t>
  </si>
  <si>
    <t>Tridium</t>
  </si>
  <si>
    <t>Azoxistrobina; Mancozebe; Tebuconazol</t>
  </si>
  <si>
    <t>21000.010480/2011-58</t>
  </si>
  <si>
    <t>Protone</t>
  </si>
  <si>
    <t>21000.001078/2016-97</t>
  </si>
  <si>
    <t>Helymax EC</t>
  </si>
  <si>
    <t>21000.008236/2014-78</t>
  </si>
  <si>
    <t>Neolist</t>
  </si>
  <si>
    <t>Arrange</t>
  </si>
  <si>
    <t>21000.008235/2014-23</t>
  </si>
  <si>
    <t>Lifter</t>
  </si>
  <si>
    <t>21000.006847/2014-81</t>
  </si>
  <si>
    <t>Cerconil</t>
  </si>
  <si>
    <t>Tiofanato-Metílico; Clorotalonil</t>
  </si>
  <si>
    <t>21000.003975/2012-10</t>
  </si>
  <si>
    <t>Diflucrop</t>
  </si>
  <si>
    <t>21000.002737/2013-60</t>
  </si>
  <si>
    <t>Instal 800 WG</t>
  </si>
  <si>
    <t>21000.009317/2017-38</t>
  </si>
  <si>
    <t>No Hop</t>
  </si>
  <si>
    <t>21000.009310/2017-16</t>
  </si>
  <si>
    <t>Insect</t>
  </si>
  <si>
    <t>21000.002856/2017-46</t>
  </si>
  <si>
    <t>Trianum WG</t>
  </si>
  <si>
    <t>21000.009306/2017-58</t>
  </si>
  <si>
    <t>Albatroz</t>
  </si>
  <si>
    <t>21000.062472/2016-00</t>
  </si>
  <si>
    <t>Avenger</t>
  </si>
  <si>
    <t>21000.062470/2016-11</t>
  </si>
  <si>
    <t>Entomite</t>
  </si>
  <si>
    <t>Stratiolaelaps scimitus</t>
  </si>
  <si>
    <t>21000.062468/2016-33</t>
  </si>
  <si>
    <t>Celta</t>
  </si>
  <si>
    <t>Phytoseiulus macropilis</t>
  </si>
  <si>
    <t>21000.010693/2017-75</t>
  </si>
  <si>
    <t>Arcar</t>
  </si>
  <si>
    <t>21000.061964/2016-70</t>
  </si>
  <si>
    <t>Votivo Prime</t>
  </si>
  <si>
    <t>21000.004691/2017-47</t>
  </si>
  <si>
    <t>Oleaje Prime</t>
  </si>
  <si>
    <t>21000.004686/2017-34</t>
  </si>
  <si>
    <t>Andril Prime</t>
  </si>
  <si>
    <t>21000.008957/2014-88</t>
  </si>
  <si>
    <t>Cymoxanil Técnico ISK</t>
  </si>
  <si>
    <t>ISK Biosciences do Brasil</t>
  </si>
  <si>
    <t>21000.011206/2011-04</t>
  </si>
  <si>
    <t>Tebuconazole Técnico Sinon</t>
  </si>
  <si>
    <t>Sinon do Brasil</t>
  </si>
  <si>
    <t>21000.003898/2015-32</t>
  </si>
  <si>
    <t>Panga 900 WG</t>
  </si>
  <si>
    <t>21000.003775/2015-00</t>
  </si>
  <si>
    <t>Dicamba Técnico Adama</t>
  </si>
  <si>
    <t>21000.008328/2011-13</t>
  </si>
  <si>
    <t>Dicamba Técnico Rainbow</t>
  </si>
  <si>
    <t>21000.010825/2012-54</t>
  </si>
  <si>
    <t>Dicamba Técnico Nufarm BR</t>
  </si>
  <si>
    <t>21000.007384/2016-37</t>
  </si>
  <si>
    <t>Flutriafol Técnico Sulphur Mills</t>
  </si>
  <si>
    <t>21000.005439/2011-60</t>
  </si>
  <si>
    <t>Flutriafol Técnico AL Prentiss</t>
  </si>
  <si>
    <t>21000.003437/2011-36</t>
  </si>
  <si>
    <t>Flutriafol Técnico AS BRA</t>
  </si>
  <si>
    <t>21000.010005/2013-43</t>
  </si>
  <si>
    <t>Fluazinam Técnico Proventis</t>
  </si>
  <si>
    <t>21000.002596/2014-66</t>
  </si>
  <si>
    <t>Fluazinam Técnico ME2</t>
  </si>
  <si>
    <t>21000.003558/2013-40</t>
  </si>
  <si>
    <t>Dicamba Tecnico Atanor</t>
  </si>
  <si>
    <t>21000.000841/2016-62</t>
  </si>
  <si>
    <t>Fipronil Técnico Sulphur Mills</t>
  </si>
  <si>
    <t>21000.007022/2011-31</t>
  </si>
  <si>
    <t>Fipronil Técnico Tagros</t>
  </si>
  <si>
    <t>21000.000972/2010-54</t>
  </si>
  <si>
    <t>Chlorimuron -Ethyl Técnico August</t>
  </si>
  <si>
    <t>21000.001519/2015-70</t>
  </si>
  <si>
    <t>2,4-D Técnico Uniphos</t>
  </si>
  <si>
    <t>21000.002347/2012-17</t>
  </si>
  <si>
    <t>Tiametoxam GSP Técnico Helm</t>
  </si>
  <si>
    <t>21000.000891/2013-05</t>
  </si>
  <si>
    <t>Tiametoxan Técnico Nortox</t>
  </si>
  <si>
    <t>21000.003943/2011-25</t>
  </si>
  <si>
    <t>Tiametoxam Técnico Nufarm</t>
  </si>
  <si>
    <t>21000.011477/2009-37</t>
  </si>
  <si>
    <t>Thiametoxam Técnico Agria</t>
  </si>
  <si>
    <t>21000.005378/2013-01</t>
  </si>
  <si>
    <t>Thiametoxam Técnico Rotam</t>
  </si>
  <si>
    <t>21000.002159/2013-61</t>
  </si>
  <si>
    <t>Tiametoxam Técnico ME2</t>
  </si>
  <si>
    <t>21000.008952/2009-98</t>
  </si>
  <si>
    <t>Thiametoxam Técnico DVA</t>
  </si>
  <si>
    <t>21000.010516/2012-84</t>
  </si>
  <si>
    <t>Tiametoxam Técnico Proventis</t>
  </si>
  <si>
    <t>21000.003179/2012-79</t>
  </si>
  <si>
    <t>Tiametoxam Técnico Nufarm BR</t>
  </si>
  <si>
    <t>21000.008749/2011-36</t>
  </si>
  <si>
    <t>Tiametoxam Técnico Genbra</t>
  </si>
  <si>
    <t>21000.010976/2012-11</t>
  </si>
  <si>
    <t>Hexazinone Técnico Rainbow</t>
  </si>
  <si>
    <t>21000.008777/2011-53</t>
  </si>
  <si>
    <t>Thiametoxan Técnico CCAB</t>
  </si>
  <si>
    <t>21000.007111/2011-88</t>
  </si>
  <si>
    <t>Tiametoxam Técnico Alta</t>
  </si>
  <si>
    <t>21000.001020/2015-62</t>
  </si>
  <si>
    <t>Glifosato Técnico Dipil</t>
  </si>
  <si>
    <t>Dipil</t>
  </si>
  <si>
    <t>21000.007042/2014-55</t>
  </si>
  <si>
    <t>Hexazinona Técnico Adama</t>
  </si>
  <si>
    <t>21000.001379/2015-30</t>
  </si>
  <si>
    <t>Cletodim Pré-mistura Nortox (PM)</t>
  </si>
  <si>
    <t>21000.004019/2014-17</t>
  </si>
  <si>
    <t xml:space="preserve">Hexazinone Técnichal </t>
  </si>
  <si>
    <t>21000.001934/2014-42</t>
  </si>
  <si>
    <t>hexazinone Técnico RDB</t>
  </si>
  <si>
    <t>21000.056092/2016-28</t>
  </si>
  <si>
    <t>Tebuconazole Técnico RHK</t>
  </si>
  <si>
    <t>21000.008963/2012-73</t>
  </si>
  <si>
    <t>Tebuconazole Técnico MKW</t>
  </si>
  <si>
    <t>21000.005656/2014-01</t>
  </si>
  <si>
    <t>Tebuconazole S Técnico Helm</t>
  </si>
  <si>
    <t>21000.004314/2011-12</t>
  </si>
  <si>
    <t>Flufenoxuron Técnico Basf</t>
  </si>
  <si>
    <t>21000.009644/2013-66</t>
  </si>
  <si>
    <t>Cleaner Xtra</t>
  </si>
  <si>
    <t>21000.000668/2013-50</t>
  </si>
  <si>
    <t>Ametrina Técnico SWR Agroimport</t>
  </si>
  <si>
    <t>21000.008486/2015-99</t>
  </si>
  <si>
    <t>2,4-D Técnico Ouro Fino</t>
  </si>
  <si>
    <t>21000.010281/2013-10</t>
  </si>
  <si>
    <t>Tiametoxam Técnico HG</t>
  </si>
  <si>
    <t>21000.002704/2012-39</t>
  </si>
  <si>
    <t>Enduro</t>
  </si>
  <si>
    <t>21000.004968/2012-27</t>
  </si>
  <si>
    <t>Trueno EZ</t>
  </si>
  <si>
    <t>21000.002164/2012-93</t>
  </si>
  <si>
    <t>Dominum EZ</t>
  </si>
  <si>
    <t>21000.004412/2009-35</t>
  </si>
  <si>
    <t>Simbio Mix</t>
  </si>
  <si>
    <t>21000.004393/2009-47</t>
  </si>
  <si>
    <t>Cuprosate Gold 720 WP</t>
  </si>
  <si>
    <t>21000.006929/2010-01</t>
  </si>
  <si>
    <t>Unimark 480 SC</t>
  </si>
  <si>
    <t>21000.003516/2010-66</t>
  </si>
  <si>
    <t>Mepiquat Chloride 25% SL (CDX 402A FP)</t>
  </si>
  <si>
    <t>21000.007043/2017-42</t>
  </si>
  <si>
    <t>Tebuconazole Técnico OF</t>
  </si>
  <si>
    <t>21000.007849/2011-45</t>
  </si>
  <si>
    <t>Tebuconazol Tradecorp Técnico</t>
  </si>
  <si>
    <t>21000.008598/2013-88</t>
  </si>
  <si>
    <t>Piriproxifem Sapec 100 EC</t>
  </si>
  <si>
    <t>21000.010173/2017-62</t>
  </si>
  <si>
    <t>Tebuconazole Técnico UPL BR</t>
  </si>
  <si>
    <t>21000.010825/2011-73</t>
  </si>
  <si>
    <t>Glifosato Técnico CHN</t>
  </si>
  <si>
    <t>21000.008583/2012-39</t>
  </si>
  <si>
    <t>Glifo Técnico Dinagro</t>
  </si>
  <si>
    <t>21000.007894/2017-95</t>
  </si>
  <si>
    <t>Acetamiprido Técnico Gilmore</t>
  </si>
  <si>
    <t>21000.008314/2012-72</t>
  </si>
  <si>
    <t>EnlistD SL</t>
  </si>
  <si>
    <t>21000.008238/2014-67</t>
  </si>
  <si>
    <t>Duolist</t>
  </si>
  <si>
    <t>21000.004627/2012-51</t>
  </si>
  <si>
    <t>Tebuconazole Tech Oxon</t>
  </si>
  <si>
    <t>21000.001423/2014-21</t>
  </si>
  <si>
    <t>Meson 480 SC</t>
  </si>
  <si>
    <t>21000.001418/2015-07</t>
  </si>
  <si>
    <t>Thuricide SC</t>
  </si>
  <si>
    <r>
      <rPr>
        <rFont val="Arial"/>
        <i/>
        <color rgb="FF000066"/>
        <sz val="11.0"/>
      </rPr>
      <t>Bacillus thuringiensis</t>
    </r>
    <r>
      <rPr>
        <rFont val="Arial"/>
        <color rgb="FF000066"/>
        <sz val="11.0"/>
      </rPr>
      <t xml:space="preserve"> var. kurstaki</t>
    </r>
  </si>
  <si>
    <t>21000.010354/2013-65</t>
  </si>
  <si>
    <t>Esplanade Optima</t>
  </si>
  <si>
    <t>Indaziflam; Iodossulfurom-metílico-sódico</t>
  </si>
  <si>
    <t>21000.013910/2011-93</t>
  </si>
  <si>
    <t>Aug 136</t>
  </si>
  <si>
    <t>21000.013047/2011-74</t>
  </si>
  <si>
    <t>Curygen EC</t>
  </si>
  <si>
    <t>21000.011439/2016-11</t>
  </si>
  <si>
    <t>Iscalure Armigera</t>
  </si>
  <si>
    <t>(Z)-9-Hexadecenal (Z9-16:Ald); (Z)-11-Hexadecenal (Z11-16:Ald)</t>
  </si>
  <si>
    <t>21000.006581/2017-10</t>
  </si>
  <si>
    <t>Tarik EC</t>
  </si>
  <si>
    <r>
      <rPr>
        <rFont val="Arial"/>
        <i/>
        <color rgb="FF000066"/>
        <sz val="11.0"/>
      </rPr>
      <t>Bacillus thuringiensis</t>
    </r>
    <r>
      <rPr>
        <rFont val="Arial"/>
        <color rgb="FF000066"/>
        <sz val="11.0"/>
      </rPr>
      <t xml:space="preserve"> var. </t>
    </r>
    <r>
      <rPr>
        <rFont val="Arial"/>
        <i/>
        <color rgb="FF000066"/>
        <sz val="11.0"/>
      </rPr>
      <t>kurstaki</t>
    </r>
  </si>
  <si>
    <t>21000.016005/2011-95</t>
  </si>
  <si>
    <t>Shyper 250 EC</t>
  </si>
  <si>
    <t>21000.007289/2012-18</t>
  </si>
  <si>
    <t>Glifosato 480 SL Alamos</t>
  </si>
  <si>
    <t>21000.057149/2016-14</t>
  </si>
  <si>
    <t>VirControl S.F</t>
  </si>
  <si>
    <r>
      <rPr>
        <rFont val="Arial"/>
        <color rgb="FF000066"/>
        <sz val="11.0"/>
      </rPr>
      <t xml:space="preserve">Baculovírus </t>
    </r>
    <r>
      <rPr>
        <rFont val="Arial"/>
        <i/>
        <color rgb="FF000066"/>
        <sz val="11.0"/>
      </rPr>
      <t>Spodoptera frugiperda</t>
    </r>
  </si>
  <si>
    <t>21000.006585/2017-06</t>
  </si>
  <si>
    <t>BioBVB</t>
  </si>
  <si>
    <t>Vital Brasil Chemical</t>
  </si>
  <si>
    <t>21000.011494/2011-99</t>
  </si>
  <si>
    <t>Aug 137</t>
  </si>
  <si>
    <t>21000.004049/2010-91</t>
  </si>
  <si>
    <t>Seven</t>
  </si>
  <si>
    <t>21000.002040/2010-46</t>
  </si>
  <si>
    <t>Lost</t>
  </si>
  <si>
    <t>21000.045429/2017-52</t>
  </si>
  <si>
    <t>Reacher</t>
  </si>
  <si>
    <t>Trissolcus basalis</t>
  </si>
  <si>
    <t>21000.061341/2016-05</t>
  </si>
  <si>
    <t>OriusIBI</t>
  </si>
  <si>
    <t>21000.019999/2017-97</t>
  </si>
  <si>
    <t>Trichogramma pretiosum AMIPA</t>
  </si>
  <si>
    <t>21000.012744/2010-27</t>
  </si>
  <si>
    <t>Vindra 425 SC</t>
  </si>
  <si>
    <t>Clorotalonil; Cimoxanil</t>
  </si>
  <si>
    <t>Ano de 2016</t>
  </si>
  <si>
    <t>21000.010269/2010-54</t>
  </si>
  <si>
    <t>Diuron Técnico CH</t>
  </si>
  <si>
    <t>21000.012844/2010-53</t>
  </si>
  <si>
    <t>Nicosulfuron Técnico DVA BR</t>
  </si>
  <si>
    <t>21000.001313/2013-88</t>
  </si>
  <si>
    <t>Diuron Técnico Biesterfeld</t>
  </si>
  <si>
    <t>21000.010272/2010-78</t>
  </si>
  <si>
    <t>Spot SC</t>
  </si>
  <si>
    <t>Boscalida; Dimoxistrobina</t>
  </si>
  <si>
    <t>21000.002512/2013-11</t>
  </si>
  <si>
    <t>Diuron Técnico Nortox</t>
  </si>
  <si>
    <t>Diuron</t>
  </si>
  <si>
    <t>21000.009535/2013-49</t>
  </si>
  <si>
    <t>Diuron Técnico CHN</t>
  </si>
  <si>
    <t>21000.007820/2009-49</t>
  </si>
  <si>
    <t>FatorBR</t>
  </si>
  <si>
    <t>21000.008485/2014-63</t>
  </si>
  <si>
    <t>Helicovex</t>
  </si>
  <si>
    <t>Baculovírus</t>
  </si>
  <si>
    <t>21000.008484/2014-19</t>
  </si>
  <si>
    <t>Verparex</t>
  </si>
  <si>
    <t>21000.004867/2012-56</t>
  </si>
  <si>
    <t>Boral Duo</t>
  </si>
  <si>
    <t>Diurom; Sulfentrazona</t>
  </si>
  <si>
    <t>21000.006048/2011-62</t>
  </si>
  <si>
    <t>Paraquate Nufarm 200 SL</t>
  </si>
  <si>
    <t>21000.009788/2013-12</t>
  </si>
  <si>
    <t>Biorhizium WP</t>
  </si>
  <si>
    <t>Bioenergia</t>
  </si>
  <si>
    <t>21000.009789/2013-67</t>
  </si>
  <si>
    <t>Biorhizium GR</t>
  </si>
  <si>
    <t>21000.006504/2014-17</t>
  </si>
  <si>
    <t>Bio Defense</t>
  </si>
  <si>
    <t>Biodefensive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</si>
  <si>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</si>
  <si>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21000.007143/2009-69</t>
  </si>
  <si>
    <t>Indaziflam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</si>
  <si>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</si>
  <si>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21000.010797/2010-11</t>
  </si>
  <si>
    <t>Acetamiprido Técnico HS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</si>
  <si>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</si>
  <si>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21000.008577/2009-86</t>
  </si>
  <si>
    <t>Clomazone Técnico Sinon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</si>
  <si>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</si>
  <si>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21000.008894/2014-60</t>
  </si>
  <si>
    <t>Atrazina Técnico OF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</si>
  <si>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</si>
  <si>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21000.001467/2013-70</t>
  </si>
  <si>
    <t>Diquat Técnico CCAB</t>
  </si>
  <si>
    <t>Diquat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</si>
  <si>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</si>
  <si>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21000.007895/2014-97</t>
  </si>
  <si>
    <t>Dibrometo de Diquat Técnico Adama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</si>
  <si>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</si>
  <si>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21000.000262/2015-39</t>
  </si>
  <si>
    <t>2,4-D Técnico GHA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</si>
  <si>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</si>
  <si>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21000.000667/2015-77</t>
  </si>
  <si>
    <t>2,4-D Técnico GH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</si>
  <si>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</si>
  <si>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21000.000695/2015-94</t>
  </si>
  <si>
    <t>2,4-D Técnico CA</t>
  </si>
  <si>
    <t>21000.006922/2014-12</t>
  </si>
  <si>
    <t>Atrazina Técnico FW</t>
  </si>
  <si>
    <t>21000.010588/2010-60</t>
  </si>
  <si>
    <t>Diflubenzuron Técnico August</t>
  </si>
  <si>
    <t>21000.004625/2010-09</t>
  </si>
  <si>
    <t>Profenofós Técnico Coromandel</t>
  </si>
  <si>
    <t>21000.010864/2009-56</t>
  </si>
  <si>
    <t>Profenofós Técnico DVA</t>
  </si>
  <si>
    <t>21000.005423/2010-76</t>
  </si>
  <si>
    <t>Atrazina Técnico CH</t>
  </si>
  <si>
    <t>21000.000195/2010-48</t>
  </si>
  <si>
    <t>Nicosulfuron Técnico August</t>
  </si>
  <si>
    <t>21000.003961/2010-26</t>
  </si>
  <si>
    <t>Alion</t>
  </si>
  <si>
    <t>21000.000726/2015-15</t>
  </si>
  <si>
    <t>2,4-D Técnico ND</t>
  </si>
  <si>
    <t>21000.000746/2015-88</t>
  </si>
  <si>
    <t>2,4-D Técnico MCR</t>
  </si>
  <si>
    <t>21000.008465/2010-69</t>
  </si>
  <si>
    <t>Glyphon</t>
  </si>
  <si>
    <t>21000.004249/2011-25</t>
  </si>
  <si>
    <t>Diquash 200 SH</t>
  </si>
  <si>
    <t>21000.003275/2012-17</t>
  </si>
  <si>
    <t>Effort</t>
  </si>
  <si>
    <t>21000.006628/2015-83</t>
  </si>
  <si>
    <t>Methacontrol</t>
  </si>
  <si>
    <t>21000.001829/2015-94</t>
  </si>
  <si>
    <t>Beauvecontrol</t>
  </si>
  <si>
    <t>21000.010914/2010-39</t>
  </si>
  <si>
    <t>Copros</t>
  </si>
  <si>
    <t>Abamectina; Clorantraniliprole</t>
  </si>
  <si>
    <t>21000.006629/2010-13</t>
  </si>
  <si>
    <t>Astral</t>
  </si>
  <si>
    <t>21000.010577/2010-80</t>
  </si>
  <si>
    <t>Nicosulfurom Nortox</t>
  </si>
  <si>
    <t>21000.006892/2007-15</t>
  </si>
  <si>
    <t>Cultifix</t>
  </si>
  <si>
    <t>21000.008313/2011-47</t>
  </si>
  <si>
    <t>Pride</t>
  </si>
  <si>
    <t>21000.003506/2011-10</t>
  </si>
  <si>
    <t>Esplanade</t>
  </si>
  <si>
    <t>21000.012431/2010-79</t>
  </si>
  <si>
    <t>Êxito 215 SL</t>
  </si>
  <si>
    <t>21000.005552/2009-21</t>
  </si>
  <si>
    <t>Carbendazim Técnico Volcano</t>
  </si>
  <si>
    <t>21000.007881/2014-73</t>
  </si>
  <si>
    <t>Beauveria Oligos WP</t>
  </si>
  <si>
    <t>Oligos Biotec</t>
  </si>
  <si>
    <t>21000.008480/2014-31</t>
  </si>
  <si>
    <t>Bt Control</t>
  </si>
  <si>
    <t>21000.015754/2011-03</t>
  </si>
  <si>
    <t>Atectra soy</t>
  </si>
  <si>
    <t>21000.015854/2011-21</t>
  </si>
  <si>
    <t>Sector</t>
  </si>
  <si>
    <t>21000.000587/2012-79</t>
  </si>
  <si>
    <t>Outliner</t>
  </si>
  <si>
    <t>Triclopir-Butotílico; Fluroxipir-Meptílico</t>
  </si>
  <si>
    <t>21000.004269/2009-81</t>
  </si>
  <si>
    <t>Cipermetrina Téc. Action</t>
  </si>
  <si>
    <t>Action</t>
  </si>
  <si>
    <t>21000.008712/2011-16</t>
  </si>
  <si>
    <t>Verimark</t>
  </si>
  <si>
    <t>21000.007207/2009-21</t>
  </si>
  <si>
    <t>Segurobr</t>
  </si>
  <si>
    <t>21000.012441/2010-12</t>
  </si>
  <si>
    <t>Mancozeb Técnico Cropchem</t>
  </si>
  <si>
    <t>21000.009008/2013-34</t>
  </si>
  <si>
    <t>Paraquate Alta 200 SL</t>
  </si>
  <si>
    <t>21000.001565/2014-98</t>
  </si>
  <si>
    <t>Mancozebe Técnico UPL BR</t>
  </si>
  <si>
    <t>21000.001605/2014-00</t>
  </si>
  <si>
    <t>Rizotec</t>
  </si>
  <si>
    <t>Rizoflora</t>
  </si>
  <si>
    <t>21000.002767/2010-23</t>
  </si>
  <si>
    <t>Opera XE</t>
  </si>
  <si>
    <t>Epoxiconazol; Fluxapiroxade; Piraclostrobina</t>
  </si>
  <si>
    <t>21000.010005/2010-09</t>
  </si>
  <si>
    <t>Lufenurom Técnico Alta</t>
  </si>
  <si>
    <t>21000.010168/2010-83</t>
  </si>
  <si>
    <t>Lufenurom Técnico Nufarm</t>
  </si>
  <si>
    <t>21000.010033/2012-80</t>
  </si>
  <si>
    <t>Lufenurom Técnico CCAB II</t>
  </si>
  <si>
    <t>21000.003293/2012-07</t>
  </si>
  <si>
    <t>Lufenurom Técnico Proventis</t>
  </si>
  <si>
    <t>21000.009905/2012-67</t>
  </si>
  <si>
    <t>Lufenurom Técnico MG2</t>
  </si>
  <si>
    <t>MG2</t>
  </si>
  <si>
    <t>21000.004210/2012-99</t>
  </si>
  <si>
    <t>Lufenurom Técnico Nortox BR</t>
  </si>
  <si>
    <t>21000.008432/2013-61</t>
  </si>
  <si>
    <t>Lufenurom Técnico Stockton</t>
  </si>
  <si>
    <t>21000.000655/2010-38</t>
  </si>
  <si>
    <t>Picloram Téc. Genbra</t>
  </si>
  <si>
    <t>21000.003768/2012-57</t>
  </si>
  <si>
    <t>Fluazinam Téc. Nufarm</t>
  </si>
  <si>
    <t>21000.006633/2011-62</t>
  </si>
  <si>
    <t>Paraquat Téc. CCAB II</t>
  </si>
  <si>
    <t>Paraquat</t>
  </si>
  <si>
    <t>21000.012136/2010-12</t>
  </si>
  <si>
    <t>Thidiazuron Técnico DVA</t>
  </si>
  <si>
    <t>Tidiazurom</t>
  </si>
  <si>
    <t>DVA</t>
  </si>
  <si>
    <t>21000.010937/2011-24</t>
  </si>
  <si>
    <t>Axane</t>
  </si>
  <si>
    <t>21000.006214/2014-73</t>
  </si>
  <si>
    <t>Atrazina Tpecnica Nortox BR</t>
  </si>
  <si>
    <t>21000.008957/2010-54</t>
  </si>
  <si>
    <t>Glifosato Nortox SL</t>
  </si>
  <si>
    <t>21000.004430/2014-84</t>
  </si>
  <si>
    <t>Glifosato Técnico FW</t>
  </si>
  <si>
    <t>21000.008486/2014-16</t>
  </si>
  <si>
    <t>Gemstar LC</t>
  </si>
  <si>
    <t>21000.000573/2015-06</t>
  </si>
  <si>
    <t>Mancozeb Técnico Nortox</t>
  </si>
  <si>
    <t>21000.007882/2014-18</t>
  </si>
  <si>
    <t>Metarhizium oligos</t>
  </si>
  <si>
    <t>21000.006302/2014-75</t>
  </si>
  <si>
    <t>Bioveria WP</t>
  </si>
  <si>
    <t>21000.010229/2013-55</t>
  </si>
  <si>
    <t>Metapremium</t>
  </si>
  <si>
    <t>Biopremium</t>
  </si>
  <si>
    <t>21000.002874/2015-66</t>
  </si>
  <si>
    <t>Cartucho VIT</t>
  </si>
  <si>
    <t>Grupo Vitae</t>
  </si>
  <si>
    <t>21000.000653/2010-49</t>
  </si>
  <si>
    <t>Picloram Técnico CCAB</t>
  </si>
  <si>
    <t>21000.005117/2011-11</t>
  </si>
  <si>
    <t>Tebuconazol 200 EC Agria</t>
  </si>
  <si>
    <t>Agria</t>
  </si>
  <si>
    <t>21000.015816/2011-79</t>
  </si>
  <si>
    <t>Glifosato CCAB BR</t>
  </si>
  <si>
    <t>21000.001628/2013-25</t>
  </si>
  <si>
    <t>Metarhizium Probio</t>
  </si>
  <si>
    <t>Probio</t>
  </si>
  <si>
    <t>21000.004453/2015-70</t>
  </si>
  <si>
    <t>Cotesia Marilia</t>
  </si>
  <si>
    <t>IM Criação</t>
  </si>
  <si>
    <t>21000.000651/2013-01</t>
  </si>
  <si>
    <t>Sulfentrazona Téc. Ouro Fino</t>
  </si>
  <si>
    <t>21000.005384/2014-31</t>
  </si>
  <si>
    <t>Bifentrin Técnico UPL</t>
  </si>
  <si>
    <t>21000.010981/2012-15</t>
  </si>
  <si>
    <t>Sulfentrazona Téc. UPL</t>
  </si>
  <si>
    <t>21000.003886/2013-46</t>
  </si>
  <si>
    <t>Sulfentrazona Téc. SUP</t>
  </si>
  <si>
    <t>21000.004383/2011-26</t>
  </si>
  <si>
    <t>Diflubenzuron Técnico BRA</t>
  </si>
  <si>
    <t>21000.002421/2015-30</t>
  </si>
  <si>
    <t>Bifentrin Técnico Proventis</t>
  </si>
  <si>
    <t>21000.011548/2011-16</t>
  </si>
  <si>
    <t>Bifentrin Técnico Rotam</t>
  </si>
  <si>
    <t>21000.006377/2012-94</t>
  </si>
  <si>
    <t>Fomesafem Técnico CCAB</t>
  </si>
  <si>
    <t>21000.011295/2010-08</t>
  </si>
  <si>
    <t>Fomesafem Técnico DVA</t>
  </si>
  <si>
    <t>21000.001828/2014-69</t>
  </si>
  <si>
    <t>Fomesafem Técnico Agristar</t>
  </si>
  <si>
    <t>21000.004846/2013-11</t>
  </si>
  <si>
    <t>Fomesafem Técnico Rotam</t>
  </si>
  <si>
    <t>21000.006253/2012-17</t>
  </si>
  <si>
    <t>Fomesafem Técnico Proventis</t>
  </si>
  <si>
    <t>S3 Serviços</t>
  </si>
  <si>
    <t>21000.007503/2012-28</t>
  </si>
  <si>
    <t>Fomesafem Técnico Nufarm</t>
  </si>
  <si>
    <t>21000.008506/2012-89</t>
  </si>
  <si>
    <t>Paraquate 200 SL Alamos</t>
  </si>
  <si>
    <t>21000.000421/2015-03</t>
  </si>
  <si>
    <t>Metomil Técnico YM</t>
  </si>
  <si>
    <t>21000.003824/2010-91</t>
  </si>
  <si>
    <t>2,4-D Ácido Técnico</t>
  </si>
  <si>
    <t>21000.006702/2009-13</t>
  </si>
  <si>
    <t>Glifosato Técnico CCAB II</t>
  </si>
  <si>
    <t>21000.006703/2009-68</t>
  </si>
  <si>
    <t>Glifosato Téncico Genbra</t>
  </si>
  <si>
    <t>21000.007390/2014-22</t>
  </si>
  <si>
    <t>Zethamaxx</t>
  </si>
  <si>
    <t>Imazapir; Flumioxazina</t>
  </si>
  <si>
    <t>21000.000129/2010-78</t>
  </si>
  <si>
    <t>Glifosato Técnico Alta</t>
  </si>
  <si>
    <t>21000.010111/2013-27</t>
  </si>
  <si>
    <t>Kaiso Sorbie BR</t>
  </si>
  <si>
    <t>21000.010421/2013-41</t>
  </si>
  <si>
    <t>GrandeBR</t>
  </si>
  <si>
    <t>21000.002215/2014-49</t>
  </si>
  <si>
    <t>Fipronil Nuf 250 FS</t>
  </si>
  <si>
    <t>21000.003942/2013-42</t>
  </si>
  <si>
    <t>Diafentiurom Técnico Genbra</t>
  </si>
  <si>
    <t>21000.009074/2013-12</t>
  </si>
  <si>
    <t>Diafentiurom Técnico Milênia</t>
  </si>
  <si>
    <t>21000.012501/2010-99</t>
  </si>
  <si>
    <t>Bispyribac Técnico DVA</t>
  </si>
  <si>
    <t>Bispyribac</t>
  </si>
  <si>
    <t>21000.015809/2011-77</t>
  </si>
  <si>
    <t>Versatilis XE</t>
  </si>
  <si>
    <t>21000.010648/2010-44</t>
  </si>
  <si>
    <t>Tiodicarbe Técnico Nufarm</t>
  </si>
  <si>
    <t>21000.006514/2011-18</t>
  </si>
  <si>
    <t>Tiodicarbe Técnico Nufarm BR</t>
  </si>
  <si>
    <t>21000.004786/2012-56</t>
  </si>
  <si>
    <t>Approve</t>
  </si>
  <si>
    <t>21000.006410/2012-86</t>
  </si>
  <si>
    <t>Tiodicarbe Técnico Proventis</t>
  </si>
  <si>
    <t>21000.007449/2013-00</t>
  </si>
  <si>
    <t>Tiodicarbe Técnico ME2</t>
  </si>
  <si>
    <t>21000.006144/2014-53</t>
  </si>
  <si>
    <t>Bifentrina Sapec Técnico II</t>
  </si>
  <si>
    <t>21000.010532/2013-58</t>
  </si>
  <si>
    <t>Sesitra</t>
  </si>
  <si>
    <t>21000.005852/2014-77</t>
  </si>
  <si>
    <t>Nemacontrol</t>
  </si>
  <si>
    <t>21000.000405/2014-21</t>
  </si>
  <si>
    <t>Tiodicarbe Técnico Sinochem</t>
  </si>
  <si>
    <t>21000.003038/2014-18</t>
  </si>
  <si>
    <t>Opala</t>
  </si>
  <si>
    <t>Laborartório Farropilha</t>
  </si>
  <si>
    <t>21000.004854/2015-20</t>
  </si>
  <si>
    <t>Cryptomip</t>
  </si>
  <si>
    <t>21000.007266/2014-67</t>
  </si>
  <si>
    <t>Metarhyd</t>
  </si>
  <si>
    <t>Tz Biotech</t>
  </si>
  <si>
    <t>21000.008537/2015-82</t>
  </si>
  <si>
    <t>Boveria-turbo</t>
  </si>
  <si>
    <t>21000.003716/2015-23</t>
  </si>
  <si>
    <t>Organic WP</t>
  </si>
  <si>
    <t>21000.014280/2011-74</t>
  </si>
  <si>
    <t>Firmeza</t>
  </si>
  <si>
    <t>21000.008538/2015-27</t>
  </si>
  <si>
    <t>Meta-turbo</t>
  </si>
  <si>
    <t>21000.005550/2014-07</t>
  </si>
  <si>
    <t>Borall Full</t>
  </si>
  <si>
    <t>21000.000593/2010-64</t>
  </si>
  <si>
    <t>Glifosato Técnico GH Helm</t>
  </si>
  <si>
    <t>21000.008624/2010-25</t>
  </si>
  <si>
    <t>Glifosato Técnico São Vicente</t>
  </si>
  <si>
    <t>São Vicente</t>
  </si>
  <si>
    <t>21000.001533/2011-40</t>
  </si>
  <si>
    <t>Glifosato Técnico GVC</t>
  </si>
  <si>
    <t>GVC</t>
  </si>
  <si>
    <t>21000.004393/2012-42</t>
  </si>
  <si>
    <t>Glifosato GH Técnico Prentis</t>
  </si>
  <si>
    <t>21000.009288/2010-38</t>
  </si>
  <si>
    <t>Imazapic Técnico DVA</t>
  </si>
  <si>
    <t>Imazapic</t>
  </si>
  <si>
    <t>21000.002547/2010-08</t>
  </si>
  <si>
    <t>XerifeBR</t>
  </si>
  <si>
    <t>Clomazone; Hezazinona</t>
  </si>
  <si>
    <t>21000.003334/2009-51</t>
  </si>
  <si>
    <t>Spot</t>
  </si>
  <si>
    <t>Dimoxistrobina; Boscalida</t>
  </si>
  <si>
    <t>21000.001437/2011-00</t>
  </si>
  <si>
    <t>Chiave 215 SL</t>
  </si>
  <si>
    <t>21000.010964/2012-88</t>
  </si>
  <si>
    <t>Glifosato Técnico Dow Agroscience III</t>
  </si>
  <si>
    <t>21000.002451/2013-84</t>
  </si>
  <si>
    <t>Tiodicarbe Técnico CCAB</t>
  </si>
  <si>
    <t>21000.002458/2013-04</t>
  </si>
  <si>
    <t>Tiodicarbe Técnico Genbra</t>
  </si>
  <si>
    <t>21000.003803/2013-19</t>
  </si>
  <si>
    <t>Trinexapac Técnico CCAB</t>
  </si>
  <si>
    <t>21000.008743/2013-21</t>
  </si>
  <si>
    <t>Trinexapaque-etílico Técnico ME2</t>
  </si>
  <si>
    <t>21000.001111/2013-36</t>
  </si>
  <si>
    <t>Trinexapac Técnico Proventis</t>
  </si>
  <si>
    <t>21000.008817/2014-18</t>
  </si>
  <si>
    <t>Diafentiurm Técnico Nufarm</t>
  </si>
  <si>
    <t>21000.006666/2014-55</t>
  </si>
  <si>
    <t>Glifosato Técnico GH BRA</t>
  </si>
  <si>
    <t>21000.006345/2014-04</t>
  </si>
  <si>
    <t>Glifosato Técnico GHA</t>
  </si>
  <si>
    <t>21000.008417/2015-85</t>
  </si>
  <si>
    <t>Pyriproxyfen Técnico Sino-agri</t>
  </si>
  <si>
    <t>21000.008440/2014-99</t>
  </si>
  <si>
    <t>Chiave Sup</t>
  </si>
  <si>
    <t>21000.009034/2008-03</t>
  </si>
  <si>
    <t>Banzai</t>
  </si>
  <si>
    <t>21000.007871/2011-95</t>
  </si>
  <si>
    <t>Herold SC</t>
  </si>
  <si>
    <t>21000.008741/2015-01</t>
  </si>
  <si>
    <t>21000.008742/2015-48</t>
  </si>
  <si>
    <t>21000.001266/2011-19</t>
  </si>
  <si>
    <t>Nicossulfuron Tradecorp 40 OD</t>
  </si>
  <si>
    <t>21000.000790/2013-26</t>
  </si>
  <si>
    <t>Glifosato Técnico Alta II</t>
  </si>
  <si>
    <t>21000.007720/2010-56</t>
  </si>
  <si>
    <t>Predom 800 WG</t>
  </si>
  <si>
    <t>21000.007761/2008-28</t>
  </si>
  <si>
    <t>Mirador 250 SC</t>
  </si>
  <si>
    <t>21000.005764/2010-41</t>
  </si>
  <si>
    <t>Difcor 250 EC</t>
  </si>
  <si>
    <t>Cross Link</t>
  </si>
  <si>
    <t>21000.008970/2010-11</t>
  </si>
  <si>
    <t>AUG 122</t>
  </si>
  <si>
    <t>21000.006546/2012-96</t>
  </si>
  <si>
    <t>Lambda-cyhalothrin Técnico Syn</t>
  </si>
  <si>
    <t>21000.001723/2011-67</t>
  </si>
  <si>
    <t>Azoxistrobin Técnico Sinon</t>
  </si>
  <si>
    <t>21000.003926/2013-50</t>
  </si>
  <si>
    <t>Diafentiurom Técnico CCAB</t>
  </si>
  <si>
    <t>21000.007035/2013-72</t>
  </si>
  <si>
    <t>Atrazina Técnico ZS - Cropchem</t>
  </si>
  <si>
    <t>21000.008772/2013-92</t>
  </si>
  <si>
    <t>Atrazina Técnico ZS</t>
  </si>
  <si>
    <t>21000.010501/2013-05</t>
  </si>
  <si>
    <t>Versatilis</t>
  </si>
  <si>
    <t>21000.005142/2010-13</t>
  </si>
  <si>
    <t>Dublon SC</t>
  </si>
  <si>
    <t>21000.007186/2012-40</t>
  </si>
  <si>
    <t>Mesotrione Técnico Nortox</t>
  </si>
  <si>
    <t>21000.006563/2013-12</t>
  </si>
  <si>
    <t>Lambda-Cialotrina Técnico GAT</t>
  </si>
  <si>
    <t>Vitalis</t>
  </si>
  <si>
    <t>21000.010055/2013-21</t>
  </si>
  <si>
    <t>Lambda-Cialotrina Técnica Nufarm BR</t>
  </si>
  <si>
    <t>21000.006999/2015-65</t>
  </si>
  <si>
    <t>Ecometa Power</t>
  </si>
  <si>
    <t>21000.007696/2015-60</t>
  </si>
  <si>
    <t>Cotésia Flavipes Bioflora</t>
  </si>
  <si>
    <t>Bioflora</t>
  </si>
  <si>
    <t>21000.004150/2014-76</t>
  </si>
  <si>
    <t>Pyriproxyfen Técnico Rotam</t>
  </si>
  <si>
    <t>21000.001404/2014-02</t>
  </si>
  <si>
    <t>Lambda Cialotrina Técnico BR</t>
  </si>
  <si>
    <t>21000.001170/2014-95</t>
  </si>
  <si>
    <t>Atrazina Técnio BRA</t>
  </si>
  <si>
    <t>21000.007218/2013-98</t>
  </si>
  <si>
    <t>Mesotrione Técnico Rotam</t>
  </si>
  <si>
    <t>21000.007671/2013-02</t>
  </si>
  <si>
    <t>Mesotriona Técnico FT-Cropchem</t>
  </si>
  <si>
    <t>21000.010032/2012-35</t>
  </si>
  <si>
    <t>Mesotriona Técnico CCAB</t>
  </si>
  <si>
    <t>21000.004637/2014-59</t>
  </si>
  <si>
    <t>Mesotriona Técnico Milênia</t>
  </si>
  <si>
    <t>21000.001556/2011-94</t>
  </si>
  <si>
    <t>Dicamax</t>
  </si>
  <si>
    <t>21000.006450/2014-90</t>
  </si>
  <si>
    <t>Diafentiurom Técnico Proventis</t>
  </si>
  <si>
    <t>21000.006004/2011-32</t>
  </si>
  <si>
    <t>Metribuzim Tradecorp Técnico</t>
  </si>
  <si>
    <t>21000.003562/2012-27</t>
  </si>
  <si>
    <t>Azoxistrobina Tradecorp Técnico</t>
  </si>
  <si>
    <t>21000.009378/2012-91</t>
  </si>
  <si>
    <t>Piriproxifem Tradecorp Técnico</t>
  </si>
  <si>
    <t>21000.007000/2015-03</t>
  </si>
  <si>
    <t>Ecobass</t>
  </si>
  <si>
    <t>21000.006117/2014-81</t>
  </si>
  <si>
    <t>Azoxistrobina 50 + Mancozebe 700 WG UPL BR</t>
  </si>
  <si>
    <t>Azoxistrobina; Mancozebe</t>
  </si>
  <si>
    <t>21000.001162/2013-68</t>
  </si>
  <si>
    <t>Iprodiona Tradecorp Técnico</t>
  </si>
  <si>
    <t>21000.008466/2014-37</t>
  </si>
  <si>
    <t>Fomesafen Técnico Cheminova</t>
  </si>
  <si>
    <t>21000.005620/2009-51</t>
  </si>
  <si>
    <t>Trinexapac Técnico Cheminova</t>
  </si>
  <si>
    <t>21000.001113/2013-25</t>
  </si>
  <si>
    <t>Glifosato G Técnico Agroimport</t>
  </si>
  <si>
    <t>21000.003090/2012-11</t>
  </si>
  <si>
    <t>2,4-D Pré Mistura Dow Agrosciences</t>
  </si>
  <si>
    <t>21000.005707/2015-77</t>
  </si>
  <si>
    <t>Patrol SL</t>
  </si>
  <si>
    <t>Gliufosinato</t>
  </si>
  <si>
    <t>21000.004229/1996-08</t>
  </si>
  <si>
    <t>Diclosulam Técnico</t>
  </si>
  <si>
    <t>Diclosulam</t>
  </si>
  <si>
    <t>21000.010533/2013-01</t>
  </si>
  <si>
    <t>Picoxistrobina Técnico Milênia</t>
  </si>
  <si>
    <t>21000.008703/2009-01</t>
  </si>
  <si>
    <t>Glifosato Técnico Mey</t>
  </si>
  <si>
    <t>21000.001729/2010-53</t>
  </si>
  <si>
    <t>Quizalofop-P-Ethyl Técnico August</t>
  </si>
  <si>
    <t>Quizalofop-p-etil</t>
  </si>
  <si>
    <t>21000.006708/2009-91</t>
  </si>
  <si>
    <t>Glifosato Técnico Chemtura</t>
  </si>
  <si>
    <t>21000.007368/2010-59</t>
  </si>
  <si>
    <t>Glifosato Técnico Chemtura II</t>
  </si>
  <si>
    <t>21000.006974/2014-81</t>
  </si>
  <si>
    <t>Diplomata K</t>
  </si>
  <si>
    <t>Difenoconazole Técnico August</t>
  </si>
  <si>
    <t>21000.001819/2015-59</t>
  </si>
  <si>
    <t>Vessarya</t>
  </si>
  <si>
    <t>Picoxistrobina; Benzovindiflupir</t>
  </si>
  <si>
    <t>21000.003918/2010-61</t>
  </si>
  <si>
    <t>Clorpirifós Técnico Nortox</t>
  </si>
  <si>
    <t>21000.005650/2010-00</t>
  </si>
  <si>
    <t>Paraquate Técnico Agroimport</t>
  </si>
  <si>
    <t>21000.011415/2010-69</t>
  </si>
  <si>
    <t>Paraquat LR Técnico Helm</t>
  </si>
  <si>
    <t>21000.009053/2012-16</t>
  </si>
  <si>
    <t>Paraquate Técnico Red Surcos</t>
  </si>
  <si>
    <t>21000.004205/2013-67</t>
  </si>
  <si>
    <t>Docloreto de Paraquate Técnico Alta II</t>
  </si>
  <si>
    <t>21000.001228/2014-09</t>
  </si>
  <si>
    <t>Clorpirifós Técnico EL - Cropchem</t>
  </si>
  <si>
    <t>21000.000140/2013-81</t>
  </si>
  <si>
    <t>Paraquate Técnico JL BRA</t>
  </si>
  <si>
    <t>21000.005733/2011-71</t>
  </si>
  <si>
    <t>Clorpirifós Tradecorp 480 EC</t>
  </si>
  <si>
    <t>21000.010609/2010-47</t>
  </si>
  <si>
    <t>Zura 806 SL</t>
  </si>
  <si>
    <t>21000.008893/2014-15</t>
  </si>
  <si>
    <t>BrutoBR</t>
  </si>
  <si>
    <t>21000.004216/2011-85</t>
  </si>
  <si>
    <t>Indaziflam &amp; Metribuzim</t>
  </si>
  <si>
    <t>Indaziflam; Metribuzim</t>
  </si>
  <si>
    <t>21000.007939/2013-06</t>
  </si>
  <si>
    <t>Gamation</t>
  </si>
  <si>
    <t>Malationa; Gama-Cialotrina</t>
  </si>
  <si>
    <t>21000.005659/2011-93</t>
  </si>
  <si>
    <t>Hercules 806 SL</t>
  </si>
  <si>
    <t>21000.005839/2011-75</t>
  </si>
  <si>
    <t>Gladiador 806 SL</t>
  </si>
  <si>
    <t>21000.008306/2013-15</t>
  </si>
  <si>
    <t>Gravun</t>
  </si>
  <si>
    <t>21000.006791/2013-84</t>
  </si>
  <si>
    <t>Paraquat Técnico LA</t>
  </si>
  <si>
    <t>21000.009676/2010-19</t>
  </si>
  <si>
    <t>AUG 117</t>
  </si>
  <si>
    <t>Tebuconazol; Propiconazol</t>
  </si>
  <si>
    <t>21000.005887/2010-82</t>
  </si>
  <si>
    <t>Robigon EC</t>
  </si>
  <si>
    <t>21000.001118/2011-96</t>
  </si>
  <si>
    <t>Haloxifop Alta 1089 EC</t>
  </si>
  <si>
    <t>Haloxifop-p-Metílico</t>
  </si>
  <si>
    <t>21000.002797/2011-11</t>
  </si>
  <si>
    <t>Pilarico</t>
  </si>
  <si>
    <t>21000.008122/2011-85</t>
  </si>
  <si>
    <t>Amaiz</t>
  </si>
  <si>
    <t>21000.005098/2012-11</t>
  </si>
  <si>
    <t>Timorex Gold</t>
  </si>
  <si>
    <r>
      <rPr>
        <rFont val="Arial"/>
        <color rgb="FF000066"/>
        <sz val="11.0"/>
      </rPr>
      <t xml:space="preserve">Extrato de </t>
    </r>
    <r>
      <rPr>
        <rFont val="Arial"/>
        <i/>
        <color rgb="FF000066"/>
        <sz val="10.0"/>
      </rPr>
      <t>Mameluca alternifolia</t>
    </r>
  </si>
  <si>
    <t>21000.008481/2014-85</t>
  </si>
  <si>
    <t>Best</t>
  </si>
  <si>
    <t>21000.008471/2014-40</t>
  </si>
  <si>
    <t>Costar</t>
  </si>
  <si>
    <t>21000.007265/2014-12</t>
  </si>
  <si>
    <t>Boveryd</t>
  </si>
  <si>
    <t>21000.008795/2014-88</t>
  </si>
  <si>
    <t>Stimucontrol</t>
  </si>
  <si>
    <t>21000.008831/2011-61</t>
  </si>
  <si>
    <t>AUG 131</t>
  </si>
  <si>
    <t>21000.008864/2014-53</t>
  </si>
  <si>
    <t>Paraquat Técnico Stockton</t>
  </si>
  <si>
    <t>21000.008300/2014-11</t>
  </si>
  <si>
    <t>Votivo</t>
  </si>
  <si>
    <t>21000.007596/2013-71</t>
  </si>
  <si>
    <t>Cletodim Técnico CCAB</t>
  </si>
  <si>
    <t>21000.002291/2014-54</t>
  </si>
  <si>
    <t>Atrazina RW 500 SC</t>
  </si>
  <si>
    <t>21000.007607/2013-13</t>
  </si>
  <si>
    <t>Cletodim Técnico Genbra</t>
  </si>
  <si>
    <t>21000.008696/2013-15</t>
  </si>
  <si>
    <t>Cletodim Técnico UPL</t>
  </si>
  <si>
    <t>21000.007187/2013-75</t>
  </si>
  <si>
    <t>Tiofanato-metílico Técnico ME2</t>
  </si>
  <si>
    <t>21000.009056/2011-61</t>
  </si>
  <si>
    <t>Azoxistrobin Técnico Proventis</t>
  </si>
  <si>
    <t>21000.011841/2009-69</t>
  </si>
  <si>
    <t>Picloram Técnico Ouro Fino</t>
  </si>
  <si>
    <t>21000.009899/2012-48</t>
  </si>
  <si>
    <t>Glifosato Técnico Biorisk</t>
  </si>
  <si>
    <t>21000.003458/2013-13</t>
  </si>
  <si>
    <t>Clorotalonil Técnico Ouro Fino</t>
  </si>
  <si>
    <t>21000.003461/2013-37</t>
  </si>
  <si>
    <t>Cletodim Técnico Nortox</t>
  </si>
  <si>
    <t>21000.004705/2014-80</t>
  </si>
  <si>
    <t>Tiofanato-metílico Sapec Técnico</t>
  </si>
  <si>
    <t>21000.008640/2014-41</t>
  </si>
  <si>
    <t>Clorotalonil Técnico OF</t>
  </si>
  <si>
    <t>21000.007753/2014-20</t>
  </si>
  <si>
    <t>Clorotalonil Técnico Agrisor</t>
  </si>
  <si>
    <t>21000.011674/2009-56</t>
  </si>
  <si>
    <t>Glyphosh Técnico</t>
  </si>
  <si>
    <t>21000.002358/2015-31</t>
  </si>
  <si>
    <t>Chlorothalonil Técnico Sino-agri</t>
  </si>
  <si>
    <t>21000.004606/2015-89</t>
  </si>
  <si>
    <t>Chlorothalonil Técnico Oxon</t>
  </si>
  <si>
    <t>21000.008305/2015-24</t>
  </si>
  <si>
    <t>Clorotalonil Técnico Adama BR</t>
  </si>
  <si>
    <t>21000.008567/2015-99</t>
  </si>
  <si>
    <t>Chlorotalonil Técnico RTM</t>
  </si>
  <si>
    <t>21000.024318/2016-21</t>
  </si>
  <si>
    <t>Clorotalonil Técnico ALS</t>
  </si>
  <si>
    <t>21000.030849/2016-53</t>
  </si>
  <si>
    <t>Paraquate Técnico Adama BR</t>
  </si>
  <si>
    <t>21000.029835/2016-97</t>
  </si>
  <si>
    <t>Glifosato Técnico Adama BR</t>
  </si>
  <si>
    <t>21000.001808/2015-79</t>
  </si>
  <si>
    <t>Privilege</t>
  </si>
  <si>
    <t>Acetamiprido; Piriproxifem</t>
  </si>
  <si>
    <t>21000.001654/2008-96</t>
  </si>
  <si>
    <t>Clothianidin Técnico SCB</t>
  </si>
  <si>
    <t>21000.012859/2010-11</t>
  </si>
  <si>
    <t>Dessicash 200 SL</t>
  </si>
  <si>
    <t>21000.007846/2011-10</t>
  </si>
  <si>
    <t>Azoxistrobin Técnico CCAB</t>
  </si>
  <si>
    <t>21000.010052/2013-97</t>
  </si>
  <si>
    <t>Azoxistrobina Técna Agristar</t>
  </si>
  <si>
    <t>21000.015569/2011-19</t>
  </si>
  <si>
    <t>Clorotalonil Técnico CN</t>
  </si>
  <si>
    <t>21000.003885/2013-00</t>
  </si>
  <si>
    <t>Tiofanato Técnico CCAB</t>
  </si>
  <si>
    <t>21000.003273/2012-28</t>
  </si>
  <si>
    <t>Desali</t>
  </si>
  <si>
    <t>Azoxistrbina; Benzovindiflupir</t>
  </si>
  <si>
    <t>21000.003638/2014-86</t>
  </si>
  <si>
    <t>Fipronil Técnico CSG</t>
  </si>
  <si>
    <t>21000.005990/2014-56</t>
  </si>
  <si>
    <t>Fipronil Técnico Adama BR</t>
  </si>
  <si>
    <t>21000.003146/2014-91</t>
  </si>
  <si>
    <t>Fipronil Técnico Adama</t>
  </si>
  <si>
    <t>21000.001412/2015-21</t>
  </si>
  <si>
    <t>Dicloreto de Paraquate Técnico NRS-Cropchem</t>
  </si>
  <si>
    <t>21000.006904/2015-11</t>
  </si>
  <si>
    <t>Clethodim Técnico Oxon</t>
  </si>
  <si>
    <t>21000.009227/2012-32</t>
  </si>
  <si>
    <t>Azoxistrobina Técnica ME2</t>
  </si>
  <si>
    <t>21000.006208/2013-35</t>
  </si>
  <si>
    <t>Fipronil Técnico YNG</t>
  </si>
  <si>
    <t>21000.002406/2015-91</t>
  </si>
  <si>
    <t>Clorotalonil Técnico UPL BR</t>
  </si>
  <si>
    <t>21000.009068/2014-38</t>
  </si>
  <si>
    <t>Ecoshot</t>
  </si>
  <si>
    <t>21000.006676/2014-91</t>
  </si>
  <si>
    <t>SeveroBR</t>
  </si>
  <si>
    <t>21000.007968/2015-21</t>
  </si>
  <si>
    <t>Biobac</t>
  </si>
  <si>
    <t>21000.010245/2013-48</t>
  </si>
  <si>
    <t>Tiofanato-metílico Técnico Stockton</t>
  </si>
  <si>
    <t>21000.006388/2010-11</t>
  </si>
  <si>
    <t>Paraquate Técnico De Sangosse</t>
  </si>
  <si>
    <t>21000.004188/2014-49</t>
  </si>
  <si>
    <t>Tiofanato-metílico Técnico Proventis</t>
  </si>
  <si>
    <t>21000.001180/2013-40</t>
  </si>
  <si>
    <t>Tiofanato-metílico Técnico Cropchem</t>
  </si>
  <si>
    <t>21000.010051/2013-42</t>
  </si>
  <si>
    <t>Tiofanato-metílico Técnico Agristar</t>
  </si>
  <si>
    <t>21000.008200/2013-11</t>
  </si>
  <si>
    <t>Cyproconazole Técnico UPL</t>
  </si>
  <si>
    <t>Ciproconazole</t>
  </si>
  <si>
    <t>21000.002589/2015-45</t>
  </si>
  <si>
    <t>Paraquat Técnico JL Prentiss</t>
  </si>
  <si>
    <t>21000.027341/2016-78</t>
  </si>
  <si>
    <t>Iprodione Técnico Nortox</t>
  </si>
  <si>
    <t>21000.008309/2016-93</t>
  </si>
  <si>
    <t>Auin</t>
  </si>
  <si>
    <t>21000.002751/2010-11</t>
  </si>
  <si>
    <t>2,4-D DMA 806 Rainbow</t>
  </si>
  <si>
    <t>Ano de 2015</t>
  </si>
  <si>
    <t>21000.006050/2012-12</t>
  </si>
  <si>
    <t>Dinaxine</t>
  </si>
  <si>
    <t>21000.006051/2012-67</t>
  </si>
  <si>
    <t>Herbina</t>
  </si>
  <si>
    <t>21000.011672/2008-86</t>
  </si>
  <si>
    <t>Fluazifop Sinon</t>
  </si>
  <si>
    <t>Fluazifop-p-butilico</t>
  </si>
  <si>
    <t>21000.008258/2007-17</t>
  </si>
  <si>
    <t>Graolin 500 EC</t>
  </si>
  <si>
    <t>Pirimifós-Metílico</t>
  </si>
  <si>
    <t>21000.002147/2012-56</t>
  </si>
  <si>
    <t>Glider 720 SC</t>
  </si>
  <si>
    <t>21000.004364/2009-85</t>
  </si>
  <si>
    <t>Nadran</t>
  </si>
  <si>
    <t>21000.007283/2013-13</t>
  </si>
  <si>
    <t>Metabio</t>
  </si>
  <si>
    <t>Biofungi</t>
  </si>
  <si>
    <t>21000.002917/2014-22</t>
  </si>
  <si>
    <t>Metarplan</t>
  </si>
  <si>
    <t>Asplan</t>
  </si>
  <si>
    <t>21000.002918/2014-77</t>
  </si>
  <si>
    <t>Cotesiaasplan</t>
  </si>
  <si>
    <t>21000.007662/2012-22</t>
  </si>
  <si>
    <t>Haloxyfop-P-Methyl Técnico Volcano</t>
  </si>
  <si>
    <t>Haloxyfop-P-Methyl</t>
  </si>
  <si>
    <t>21000.003565/2010-07</t>
  </si>
  <si>
    <t>2,4-D DMA 806 RN</t>
  </si>
  <si>
    <t>21000.008456/2011-59</t>
  </si>
  <si>
    <t>Carbendazim Técnico Aga</t>
  </si>
  <si>
    <t>21000.014986/2006-79</t>
  </si>
  <si>
    <t>Avatar</t>
  </si>
  <si>
    <t>21000.002414/2010-23</t>
  </si>
  <si>
    <t>Tebutiurom Técnico CCAB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</si>
  <si>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</si>
  <si>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21000.009868/2010-25</t>
  </si>
  <si>
    <t>Tebutiurom Técnico Nufarm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</si>
  <si>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</si>
  <si>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21000.002744/2012-81</t>
  </si>
  <si>
    <t>Tebutiurom Técnico Nufarm GR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</si>
  <si>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</si>
  <si>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21000.002413/2010-89</t>
  </si>
  <si>
    <t>Tebutiurom Técnico Genbra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</si>
  <si>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</si>
  <si>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21000.005127/2009-31</t>
  </si>
  <si>
    <t>Glifosato Técnico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</si>
  <si>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</si>
  <si>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21000.002681/2009-67</t>
  </si>
  <si>
    <t>Prestige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</si>
  <si>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</si>
  <si>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21000.006989/2010-15</t>
  </si>
  <si>
    <t>Imidacloprido Técnico Alta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</si>
  <si>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</si>
  <si>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21000.008006/2013-28</t>
  </si>
  <si>
    <t>Tricho-Galloi Bug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</si>
  <si>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</si>
  <si>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21000.008007/2013-72</t>
  </si>
  <si>
    <t>Tricho-Pre Bug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</si>
  <si>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</si>
  <si>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21000.008987/2010-61</t>
  </si>
  <si>
    <t>Rancona 450 FS</t>
  </si>
  <si>
    <t>Ipconazole</t>
  </si>
  <si>
    <t>21000.011807/2009-94</t>
  </si>
  <si>
    <t>Arboro</t>
  </si>
  <si>
    <t>21000.001999/2013-15</t>
  </si>
  <si>
    <t>Contrap</t>
  </si>
  <si>
    <t>Serricornim</t>
  </si>
  <si>
    <t>Ioto</t>
  </si>
  <si>
    <t>21000.006070/2007-26</t>
  </si>
  <si>
    <t>Chemtura Ipconazole Thiram 10/350 FS</t>
  </si>
  <si>
    <t>Ipconazole; Tiram</t>
  </si>
  <si>
    <t>21000.001290/2010-69</t>
  </si>
  <si>
    <t>Fulfill</t>
  </si>
  <si>
    <t>21000.010082/2012-12</t>
  </si>
  <si>
    <t>Thiodicarb 800 WG UPL</t>
  </si>
  <si>
    <t>21000.010715/2009-97</t>
  </si>
  <si>
    <t>Tebuconazole Técnico Agroimport</t>
  </si>
  <si>
    <t>21000.008367/2010-21</t>
  </si>
  <si>
    <t>Permetrina Técnico DVA BR</t>
  </si>
  <si>
    <t>21000.010917/2009-39</t>
  </si>
  <si>
    <t>Imidacloprid Técnico August</t>
  </si>
  <si>
    <t>21000.005722/2014-34</t>
  </si>
  <si>
    <t>Azoxistrobina 50 + Mancozebe 700 WG UPL</t>
  </si>
  <si>
    <t>21000.010130/2008-96</t>
  </si>
  <si>
    <t>Triclopir Bee Técnico Milenia</t>
  </si>
  <si>
    <t>21000.004630/2011-94</t>
  </si>
  <si>
    <t>Dessicash</t>
  </si>
  <si>
    <t>21000.007978/2010-52</t>
  </si>
  <si>
    <t>Fluroxipir-Meptílico Técnico Nufarm</t>
  </si>
  <si>
    <t>21000.007681/2009-53</t>
  </si>
  <si>
    <t>Cipermetrina Tagros 250 EC</t>
  </si>
  <si>
    <t>21000.011019/2010-31</t>
  </si>
  <si>
    <t>Arreio Pasto</t>
  </si>
  <si>
    <t>21000.008107/2010-56</t>
  </si>
  <si>
    <t>Cyper Copa 250 EC</t>
  </si>
  <si>
    <t>21000.013399/2011-20</t>
  </si>
  <si>
    <t>Cipermetrina 250 EC DVA</t>
  </si>
  <si>
    <t>21000.000720/2009-91</t>
  </si>
  <si>
    <t>Sombrero</t>
  </si>
  <si>
    <t>21000.012235/2010-02</t>
  </si>
  <si>
    <t>2,4-D Técnico Biorisk</t>
  </si>
  <si>
    <t>21000.004287/2012-69</t>
  </si>
  <si>
    <t>2,4-D DM Técnico Helm</t>
  </si>
  <si>
    <t>21000.000519/2009-12</t>
  </si>
  <si>
    <t>Pingbr</t>
  </si>
  <si>
    <t>21000.007985/2010-54</t>
  </si>
  <si>
    <t>Poderoso</t>
  </si>
  <si>
    <t>Amicarbazone; Tebutiurom</t>
  </si>
  <si>
    <t>21000.008081/2010-46</t>
  </si>
  <si>
    <t>Predileto</t>
  </si>
  <si>
    <t>21000.008578/2009-21</t>
  </si>
  <si>
    <t>Cipermetrina 250 EC CCAB</t>
  </si>
  <si>
    <t>21000.000889/2008-61</t>
  </si>
  <si>
    <t>Wish 500 SC</t>
  </si>
  <si>
    <t>21000.000265/2015-75</t>
  </si>
  <si>
    <t>Cotezem</t>
  </si>
  <si>
    <t>Raizen</t>
  </si>
  <si>
    <t>21000.004973/2012-30</t>
  </si>
  <si>
    <t>Predatox</t>
  </si>
  <si>
    <t>21000.009603/2012-99</t>
  </si>
  <si>
    <t>Metarriz GR Biocontrol</t>
  </si>
  <si>
    <t>21000.009858/2010-90</t>
  </si>
  <si>
    <t>Genit GAT</t>
  </si>
  <si>
    <t>21000.010072/2010-15</t>
  </si>
  <si>
    <t>Census GAT</t>
  </si>
  <si>
    <t>21000.001689/2014-73</t>
  </si>
  <si>
    <t>Cotesia Biocana GO</t>
  </si>
  <si>
    <t>Braz e Costa</t>
  </si>
  <si>
    <t>21000.010080/2010-61</t>
  </si>
  <si>
    <t>Arreio</t>
  </si>
  <si>
    <t>21000.008353/2010-16</t>
  </si>
  <si>
    <t>Previnil 720 SC</t>
  </si>
  <si>
    <t>21000.007649/2011-92</t>
  </si>
  <si>
    <t>Prestige Plus</t>
  </si>
  <si>
    <t>21000.006055/2012-45</t>
  </si>
  <si>
    <t>Quatdown</t>
  </si>
  <si>
    <t>21000.006052/2012-10</t>
  </si>
  <si>
    <t>Sprayquat</t>
  </si>
  <si>
    <t>21000.001722/2015-46</t>
  </si>
  <si>
    <t>Hopper</t>
  </si>
  <si>
    <t>21000.004510/2011-97</t>
  </si>
  <si>
    <t>Paraquat 200 SL Rainbow</t>
  </si>
  <si>
    <t>21000.011694/2008-46</t>
  </si>
  <si>
    <t>Crosser</t>
  </si>
  <si>
    <t>21000.002136/2013-57</t>
  </si>
  <si>
    <t>Gli-Up 720 WG</t>
  </si>
  <si>
    <t>21000.001547/2009-49</t>
  </si>
  <si>
    <t>Dorado</t>
  </si>
  <si>
    <t>21000.012239/2010-82</t>
  </si>
  <si>
    <t>2,4-D Amina SL Genbra</t>
  </si>
  <si>
    <t>21000.012445/2010-92</t>
  </si>
  <si>
    <t>2,4-D Amina CCAB 806 SL</t>
  </si>
  <si>
    <t>21000.008383/2012-86</t>
  </si>
  <si>
    <t>2,4-D 806 SL Alamos</t>
  </si>
  <si>
    <t>21000.006226/2008-50</t>
  </si>
  <si>
    <t>Dimetomorfe Técnico Milenia</t>
  </si>
  <si>
    <t>21000.000476/2010-09</t>
  </si>
  <si>
    <t>Propiconazole Técnico August</t>
  </si>
  <si>
    <t>21000.001308/2011-11</t>
  </si>
  <si>
    <t>Metomil Téc. SIB</t>
  </si>
  <si>
    <t>21000.008443/2014-22</t>
  </si>
  <si>
    <t>Gemstar Max</t>
  </si>
  <si>
    <t>Hz-NPV</t>
  </si>
  <si>
    <t>Mtsui</t>
  </si>
  <si>
    <t>21000.009717/2009-33</t>
  </si>
  <si>
    <t>Metomil Técnico CCAB</t>
  </si>
  <si>
    <t>21000.008456/2014-00</t>
  </si>
  <si>
    <t>Hz-NPV CCAB</t>
  </si>
  <si>
    <t>21000.008491/2014-11</t>
  </si>
  <si>
    <t>Bio Helicoverpa</t>
  </si>
  <si>
    <t>21000.005180/2009-32</t>
  </si>
  <si>
    <t>Carbendazim SC Cheminova</t>
  </si>
  <si>
    <t>21000.009604/2012-33</t>
  </si>
  <si>
    <t>Bouveriz WP Biocontrol</t>
  </si>
  <si>
    <t>21000.002497/2011-31</t>
  </si>
  <si>
    <t>Metomil Técnico CCAB II</t>
  </si>
  <si>
    <t>21000.008472/2014-94</t>
  </si>
  <si>
    <t>Armigen</t>
  </si>
  <si>
    <t>Macena</t>
  </si>
  <si>
    <t>21000.009816/2007-53</t>
  </si>
  <si>
    <t>Quadris</t>
  </si>
  <si>
    <t>21000.007650/2012-06</t>
  </si>
  <si>
    <t xml:space="preserve">Azact CE </t>
  </si>
  <si>
    <t>Azadiractina</t>
  </si>
  <si>
    <t>Luiz Arthur</t>
  </si>
  <si>
    <t>21000.010479/2009-17</t>
  </si>
  <si>
    <t>Metomil Técnico China</t>
  </si>
  <si>
    <t>21000.000003/2012-65</t>
  </si>
  <si>
    <t>Fezan Gold</t>
  </si>
  <si>
    <t>21000.010182/2011-68</t>
  </si>
  <si>
    <t>Trifloxissulfurom Sódico Técnico Genbra</t>
  </si>
  <si>
    <t>Trifloxissulfurom</t>
  </si>
  <si>
    <t>21000.005407/2012-45</t>
  </si>
  <si>
    <t>Glyphosate Technical Gly</t>
  </si>
  <si>
    <t>21000.010281/2008-44</t>
  </si>
  <si>
    <t>Axor</t>
  </si>
  <si>
    <t>Lufenurom; Profenofós</t>
  </si>
  <si>
    <t>21000.002859/2009-70</t>
  </si>
  <si>
    <t>Fipronova</t>
  </si>
  <si>
    <t>21000.001253/2015-65</t>
  </si>
  <si>
    <t>Trichomip-G</t>
  </si>
  <si>
    <t>21000.000685/2015-59</t>
  </si>
  <si>
    <t>Trichomip-P</t>
  </si>
  <si>
    <t>21000.010337/2011-66</t>
  </si>
  <si>
    <t>Triflorssulfuron Sódico Técnico CCAB</t>
  </si>
  <si>
    <t>21000.001905/2009-13</t>
  </si>
  <si>
    <t>Dalneem EC</t>
  </si>
  <si>
    <t>Dalquim</t>
  </si>
  <si>
    <t>21000.007719/2014-44</t>
  </si>
  <si>
    <t>Metarhizium JCO</t>
  </si>
  <si>
    <t>21000.004079/2009-64</t>
  </si>
  <si>
    <t>Script</t>
  </si>
  <si>
    <t>21000.002976/2013-10</t>
  </si>
  <si>
    <t>Tupan 720 WG</t>
  </si>
  <si>
    <t>21000.009693/2011-37</t>
  </si>
  <si>
    <t>Cheval 480 SC</t>
  </si>
  <si>
    <t>De sangosse</t>
  </si>
  <si>
    <t>21000.010596/2011-97</t>
  </si>
  <si>
    <t>Dermacor</t>
  </si>
  <si>
    <t>21000.007720/2014-80</t>
  </si>
  <si>
    <t>Beauveria JCO</t>
  </si>
  <si>
    <t>21000.006883/2013-64</t>
  </si>
  <si>
    <t>Arizium</t>
  </si>
  <si>
    <t>Tecnicontrol</t>
  </si>
  <si>
    <t>21000.000355/2014-82</t>
  </si>
  <si>
    <t>Granada</t>
  </si>
  <si>
    <t>Farroupilha</t>
  </si>
  <si>
    <t>21000.007304/2010-58</t>
  </si>
  <si>
    <t>Metarhizen WP</t>
  </si>
  <si>
    <t>Raízen</t>
  </si>
  <si>
    <t>21000.002251/2011-60</t>
  </si>
  <si>
    <t>Metarhizen</t>
  </si>
  <si>
    <t>21000.008483/2013-93</t>
  </si>
  <si>
    <t>Tricho-Strip P</t>
  </si>
  <si>
    <t>21000.009365/2013-01</t>
  </si>
  <si>
    <t>Diuron Técnico Proventis</t>
  </si>
  <si>
    <t>21000.005609/2013-78</t>
  </si>
  <si>
    <t>Diuron Técnico Nufarm NG</t>
  </si>
  <si>
    <t>21000.007758/2014-52</t>
  </si>
  <si>
    <t>Captor</t>
  </si>
  <si>
    <t>21000.001013/2015-61</t>
  </si>
  <si>
    <t>Stratiomip</t>
  </si>
  <si>
    <t>21000.016010/2011-06</t>
  </si>
  <si>
    <t>Dorado EC</t>
  </si>
  <si>
    <t>21000.004698/2013-35</t>
  </si>
  <si>
    <t>Glyphotal WG</t>
  </si>
  <si>
    <t>United Phosphorus</t>
  </si>
  <si>
    <t>21000.009041/2010-11</t>
  </si>
  <si>
    <t>Voliam Targo</t>
  </si>
  <si>
    <t>Clorantraniliprole; Abamectina</t>
  </si>
  <si>
    <t>21000.000008/2013-79</t>
  </si>
  <si>
    <t>Voraz</t>
  </si>
  <si>
    <t>21000.011551/2009-15</t>
  </si>
  <si>
    <t>Epoxiconazole 125 Sinon</t>
  </si>
  <si>
    <t>Epoxiconazole</t>
  </si>
  <si>
    <t>21000.002901/2010-96</t>
  </si>
  <si>
    <t>Glufosinate-Ammonium Técnico DVA</t>
  </si>
  <si>
    <t>21000.000669/2013-02</t>
  </si>
  <si>
    <t>Atrazina Técnico Agroimport</t>
  </si>
  <si>
    <t>21000.009977/2013-95</t>
  </si>
  <si>
    <t>Diuron Técnico UPL</t>
  </si>
  <si>
    <t>21000.007678/2014-05</t>
  </si>
  <si>
    <t>Flak 200 SL</t>
  </si>
  <si>
    <t>21000.008585/2014-90</t>
  </si>
  <si>
    <t>Glufosinate-Ammonium Téc. Milenia</t>
  </si>
  <si>
    <t>21000.009242/2013-61</t>
  </si>
  <si>
    <t>Diuron Técnico Wynca</t>
  </si>
  <si>
    <t>21000.011710/2011-04</t>
  </si>
  <si>
    <t>Diuron Técnico Nufarm</t>
  </si>
  <si>
    <t>21000.001504/2014-21</t>
  </si>
  <si>
    <t>Glufosinate-Ammonium Téc. GT</t>
  </si>
  <si>
    <t>21000.009209/2010-99</t>
  </si>
  <si>
    <t>Diuron Técnico CN</t>
  </si>
  <si>
    <t>21000.012868/2010-11</t>
  </si>
  <si>
    <t>Diquat Técnico Rainbow</t>
  </si>
  <si>
    <t>21000.000740/2010-04</t>
  </si>
  <si>
    <t>Diuron Técnico Genbra</t>
  </si>
  <si>
    <t>21000.000656/2010-82</t>
  </si>
  <si>
    <t>Diuron Técnico CCAB</t>
  </si>
  <si>
    <t>21000.006611/2012-83</t>
  </si>
  <si>
    <t>Glifosato Técnico Ouro Fino BR</t>
  </si>
  <si>
    <t>21000.007392/2012-50</t>
  </si>
  <si>
    <t>Glifosato Técnico Red Surcos II</t>
  </si>
  <si>
    <t>21000.001117/2013-11</t>
  </si>
  <si>
    <t>Glifosato Técnico SWR Agroimport</t>
  </si>
  <si>
    <t>21000.007680/2009-17</t>
  </si>
  <si>
    <t>Acefato Técnico DVA BR</t>
  </si>
  <si>
    <t>21000.008461/2011-61</t>
  </si>
  <si>
    <t>Cyantraniliprole Técnico</t>
  </si>
  <si>
    <t>21000.000649/2009-47</t>
  </si>
  <si>
    <t>Dimoxystrobin Técnico</t>
  </si>
  <si>
    <t>Dimoxistrobim</t>
  </si>
  <si>
    <t>21000.008123/2012-19</t>
  </si>
  <si>
    <t>Diuron Técnico SUP</t>
  </si>
  <si>
    <t>21000.001900/2009-91</t>
  </si>
  <si>
    <t>Diuron Técnico Pilarquim</t>
  </si>
  <si>
    <t>21000.006419/2010-25</t>
  </si>
  <si>
    <t>Glifosato Técnico CH</t>
  </si>
  <si>
    <t>21000.006299/2012-28</t>
  </si>
  <si>
    <t>Abamectina Tradecorp Técnico</t>
  </si>
  <si>
    <t>21000.009512/2009-58</t>
  </si>
  <si>
    <t>Paraquat Técnico CCAB</t>
  </si>
  <si>
    <t>21000.011580/2010-11</t>
  </si>
  <si>
    <t>Instivo</t>
  </si>
  <si>
    <t>21000.009554/2013-75</t>
  </si>
  <si>
    <t>Metarriz Plus WP Biocontrol</t>
  </si>
  <si>
    <t>21000.007827/2009-61</t>
  </si>
  <si>
    <t>Glifosato 480 SL</t>
  </si>
  <si>
    <t>21000.003315/2015-73</t>
  </si>
  <si>
    <t>Cotésia Tecnobil</t>
  </si>
  <si>
    <t>William Lab.</t>
  </si>
  <si>
    <t>21000.003314/2015-29</t>
  </si>
  <si>
    <t>Cotésia Controbil</t>
  </si>
  <si>
    <t>Wilson Barbosa</t>
  </si>
  <si>
    <t>21000.008711/2011-63</t>
  </si>
  <si>
    <t>Benevia</t>
  </si>
  <si>
    <t>21000.000619/2010-74</t>
  </si>
  <si>
    <t>21000.010674/2012-34</t>
  </si>
  <si>
    <t>2,4 D Técnico Ouro Fino</t>
  </si>
  <si>
    <t>Ano de 2014</t>
  </si>
  <si>
    <t>21000.001039/2013-47</t>
  </si>
  <si>
    <t>2,4 D Técnico SUP</t>
  </si>
  <si>
    <t>21000.001116/2013-69</t>
  </si>
  <si>
    <t>2,4 D Técnico SWR Agroimport</t>
  </si>
  <si>
    <t>21000.009979/2008-17</t>
  </si>
  <si>
    <t>Cipermetrina Técnica Ouro Fino</t>
  </si>
  <si>
    <t>21000.010975/2012-68</t>
  </si>
  <si>
    <t>2,4-D Técnico SWT</t>
  </si>
  <si>
    <t>21000.004626/2012-15</t>
  </si>
  <si>
    <t>Clomazone Técnico Oxon</t>
  </si>
  <si>
    <t>21000.005504/2010-76</t>
  </si>
  <si>
    <t>Nicosulfuron Técnico Nortox BR</t>
  </si>
  <si>
    <t>21000.002618/2008-40</t>
  </si>
  <si>
    <t>Okay Técnico</t>
  </si>
  <si>
    <t>Ciflumetofem</t>
  </si>
  <si>
    <t>21000.011519/2008-59</t>
  </si>
  <si>
    <t>Permetrina Técnico Ouro Fino</t>
  </si>
  <si>
    <t>21000.009041/2009-88</t>
  </si>
  <si>
    <t>Glifosato Técnico Copalliance</t>
  </si>
  <si>
    <t>21000.002620/2008-19</t>
  </si>
  <si>
    <t>Okay</t>
  </si>
  <si>
    <t>21000.003652/2009-12</t>
  </si>
  <si>
    <t>Cipermethrin Técnico Helm</t>
  </si>
  <si>
    <t>21000.000458/2013-61</t>
  </si>
  <si>
    <t>2,4 - D Técnico Red Surcos</t>
  </si>
  <si>
    <t>21000.005072/2010-01</t>
  </si>
  <si>
    <t>Clomazone Técnico CCAB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</si>
  <si>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</si>
  <si>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21000.011747/2008-29</t>
  </si>
  <si>
    <t>Trunker</t>
  </si>
  <si>
    <t>Triclopir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</si>
  <si>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</si>
  <si>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21000.008808/2008-71</t>
  </si>
  <si>
    <t>Leale SC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</si>
  <si>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</si>
  <si>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21000.005167/2007-11</t>
  </si>
  <si>
    <t>Fore NT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</si>
  <si>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</si>
  <si>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21000.005186/2007-48</t>
  </si>
  <si>
    <t>Fore NT WP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</si>
  <si>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</si>
  <si>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21000.002619/2008-94</t>
  </si>
  <si>
    <t>Obny Técnico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</si>
  <si>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</si>
  <si>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21000.009427/2009-90</t>
  </si>
  <si>
    <t>Permetrina Técnico CCAB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</si>
  <si>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</si>
  <si>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21000.002621/2008-63</t>
  </si>
  <si>
    <t>Obny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</si>
  <si>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</si>
  <si>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21000.002098/2012-51</t>
  </si>
  <si>
    <t>Benzovindiflupir Técnico</t>
  </si>
  <si>
    <t>Benzovindiflupir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</si>
  <si>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</si>
  <si>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21000.010934/2011-91</t>
  </si>
  <si>
    <t>Elatus</t>
  </si>
  <si>
    <t>21000.006796/2009-21</t>
  </si>
  <si>
    <t>Permethrin Técnico Tagros</t>
  </si>
  <si>
    <t>21000.010940/2010-76</t>
  </si>
  <si>
    <t>Cymoxanil Técnico Rotam</t>
  </si>
  <si>
    <t>21000.000149/2009-13</t>
  </si>
  <si>
    <t>Lambda Cialotrina Técnica Milênia</t>
  </si>
  <si>
    <t>Milenia</t>
  </si>
  <si>
    <t>21000.000470/2010-23</t>
  </si>
  <si>
    <t>Clomazone Técnico GAT</t>
  </si>
  <si>
    <t>21000.010402/2008-58</t>
  </si>
  <si>
    <t>Cloreto de Mepiquat Técnico</t>
  </si>
  <si>
    <t>Cloredo de Mepiquate</t>
  </si>
  <si>
    <t>21000.007975/2010-19</t>
  </si>
  <si>
    <t>Tiodicarbe Técnico Consagro</t>
  </si>
  <si>
    <t>21000.009716/2012-94</t>
  </si>
  <si>
    <t>Metarfito</t>
  </si>
  <si>
    <t>FitoAgro</t>
  </si>
  <si>
    <t>21000.007566/2011-01</t>
  </si>
  <si>
    <t>Fipronil Alta 250 FS</t>
  </si>
  <si>
    <t>21000.005593/2009-17</t>
  </si>
  <si>
    <t>Cruiser Advanced</t>
  </si>
  <si>
    <t>Metalaxil-M; Tiabendazol; Fludioxonil; Tiametoxam</t>
  </si>
  <si>
    <t>21000.008723/2011-98</t>
  </si>
  <si>
    <t>Granary</t>
  </si>
  <si>
    <t>21000.011794/2009-53</t>
  </si>
  <si>
    <t>Rephon 800 WG</t>
  </si>
  <si>
    <t>21000.003420/2009-08</t>
  </si>
  <si>
    <t>Clomazone Técnico Ouro Fino</t>
  </si>
  <si>
    <t>21000.000495/2010-27</t>
  </si>
  <si>
    <t>Mazotam 800 WG</t>
  </si>
  <si>
    <t>21000.002313/2012-14</t>
  </si>
  <si>
    <t>Eminent XL</t>
  </si>
  <si>
    <t>Azoxistrobina; Tetraconazol</t>
  </si>
  <si>
    <t>21000.005004/2009-09</t>
  </si>
  <si>
    <t>Glizmax NF</t>
  </si>
  <si>
    <t>21000.004202/2009-47</t>
  </si>
  <si>
    <t>Ace Técnico</t>
  </si>
  <si>
    <t>21000.007378/2011-75</t>
  </si>
  <si>
    <t>Metiz</t>
  </si>
  <si>
    <t>21000.001024/2009-01</t>
  </si>
  <si>
    <t>Clorimuron Sinon</t>
  </si>
  <si>
    <t>Clorimurom</t>
  </si>
  <si>
    <t>21000.002565/2009-48</t>
  </si>
  <si>
    <t>Pyroxsulam Técnico</t>
  </si>
  <si>
    <t>Piroxsulam</t>
  </si>
  <si>
    <t>21000.012463/2010-74</t>
  </si>
  <si>
    <t>Tricea</t>
  </si>
  <si>
    <t>21000.007223/2009-14</t>
  </si>
  <si>
    <t>Erradicur</t>
  </si>
  <si>
    <t>21000.010582/2008-78</t>
  </si>
  <si>
    <t>Rusther WH</t>
  </si>
  <si>
    <t>21000.010583/2008-12</t>
  </si>
  <si>
    <t>Stinger WG</t>
  </si>
  <si>
    <t>21000.010584/2008-67</t>
  </si>
  <si>
    <t>Fusta WG</t>
  </si>
  <si>
    <t>21000.006172/2009-11</t>
  </si>
  <si>
    <t>Epoxiconazole Técnico Sinon</t>
  </si>
  <si>
    <t>21000.004732/2010-29</t>
  </si>
  <si>
    <t>Clomazone Técnico Genbra</t>
  </si>
  <si>
    <t>21000.004973/2010-78</t>
  </si>
  <si>
    <t>Difcor Técnico</t>
  </si>
  <si>
    <t>Difeconazole</t>
  </si>
  <si>
    <t>21000.008516/2010-52</t>
  </si>
  <si>
    <t>Diuron Técnico Hailir</t>
  </si>
  <si>
    <t>Diurom; Tidiazurom</t>
  </si>
  <si>
    <t>21000.006538/2008-63</t>
  </si>
  <si>
    <t>Ametista</t>
  </si>
  <si>
    <t>Bifentrina; Cipermetrina</t>
  </si>
  <si>
    <t>21000.004245/2010-66</t>
  </si>
  <si>
    <t>Azoxystrobina Técnico Nufarm</t>
  </si>
  <si>
    <t>21000.004050/2010-16</t>
  </si>
  <si>
    <t>Tebutiurom Alta 500 SC</t>
  </si>
  <si>
    <t>21000.005629/2010-04</t>
  </si>
  <si>
    <t>2,4 - D Alta 806 SL</t>
  </si>
  <si>
    <t>21000.007219/2011-71</t>
  </si>
  <si>
    <t>Azoxistrobina + Flutriafol Alta 500 SC</t>
  </si>
  <si>
    <t>Azoxistrobina; Flutriafol</t>
  </si>
  <si>
    <t>21000.005415/2010-20</t>
  </si>
  <si>
    <t>Monaris</t>
  </si>
  <si>
    <t>21000.011046/2008-90</t>
  </si>
  <si>
    <t>Galop M</t>
  </si>
  <si>
    <t>21000.010253/2008-27</t>
  </si>
  <si>
    <t>Shyper Técnico</t>
  </si>
  <si>
    <t>21000.001328/2009-60</t>
  </si>
  <si>
    <t>Fera Ultra</t>
  </si>
  <si>
    <t>Glifosato; Carfentrazona-etílica</t>
  </si>
  <si>
    <t>21000.010626/2010-84</t>
  </si>
  <si>
    <t>Imazacure 500 EC</t>
  </si>
  <si>
    <t>Defensive</t>
  </si>
  <si>
    <t>21000.009928/2009-76</t>
  </si>
  <si>
    <t>Tebuconazole Técnico August</t>
  </si>
  <si>
    <t>21000.011789/2009-41</t>
  </si>
  <si>
    <t>Azoxystrobin Técnico DVA</t>
  </si>
  <si>
    <t>21000.008790/2011-11</t>
  </si>
  <si>
    <t>Clomazone Técnico Nortox</t>
  </si>
  <si>
    <t>21000.002986/2009-79</t>
  </si>
  <si>
    <t>Rigol</t>
  </si>
  <si>
    <t>Bifentrina; Imidacloprido</t>
  </si>
  <si>
    <t>21000.002987/2009-13</t>
  </si>
  <si>
    <t>Cyborg</t>
  </si>
  <si>
    <t>21000.003229/2010-56</t>
  </si>
  <si>
    <t>Methomyl DVA 215 SL</t>
  </si>
  <si>
    <t>21000.003653/2009-67</t>
  </si>
  <si>
    <t>Methomyl 21,5% SL (CDX 130 FP)</t>
  </si>
  <si>
    <t>21000.010506/2007-81</t>
  </si>
  <si>
    <t>Lancelot</t>
  </si>
  <si>
    <t>21000.000217/2013-12</t>
  </si>
  <si>
    <t>Cotesia Auca</t>
  </si>
  <si>
    <t>Auca Controle</t>
  </si>
  <si>
    <t>21000.008233/2013-53</t>
  </si>
  <si>
    <t>Cotesia Bioamil</t>
  </si>
  <si>
    <t>Anésia Mendes</t>
  </si>
  <si>
    <t>21000.001281/2010-78</t>
  </si>
  <si>
    <t>2,4-D Técnico AL</t>
  </si>
  <si>
    <t>21000.007308/2013-89</t>
  </si>
  <si>
    <t>Wheater</t>
  </si>
  <si>
    <t>21000.008120/2010-13</t>
  </si>
  <si>
    <t>UP-Stage 500 EC</t>
  </si>
  <si>
    <t>21000.001678/2008-45</t>
  </si>
  <si>
    <t>Ipconazole Técnico</t>
  </si>
  <si>
    <t>21000.004087/2009-19</t>
  </si>
  <si>
    <t>Soberano BR</t>
  </si>
  <si>
    <t>21000.011101/2007-61</t>
  </si>
  <si>
    <t>21000.008270/2008-72</t>
  </si>
  <si>
    <t>Jornada</t>
  </si>
  <si>
    <t>21000.008343/2008-58</t>
  </si>
  <si>
    <t>Panoramic</t>
  </si>
  <si>
    <t>21000.005322/2008-81</t>
  </si>
  <si>
    <t>Spinetoram Técnico</t>
  </si>
  <si>
    <t>Espinetoram</t>
  </si>
  <si>
    <t>21000.011518/2008-12</t>
  </si>
  <si>
    <t>Brit BR</t>
  </si>
  <si>
    <t>21000.006039/2010-91</t>
  </si>
  <si>
    <t>Paraquat Técnico Alamos</t>
  </si>
  <si>
    <t>21000.000399/2010-89</t>
  </si>
  <si>
    <t>Lambda-cyhalothrin Técnico August</t>
  </si>
  <si>
    <t>21000.010827/2012-43</t>
  </si>
  <si>
    <t>Gliforte</t>
  </si>
  <si>
    <t>21000.006249/2009-45</t>
  </si>
  <si>
    <t>Clorimuron Etil Técnico De Sangosse</t>
  </si>
  <si>
    <t>21000.003951/2010-91</t>
  </si>
  <si>
    <t>Deltametrina Técnico Isagro</t>
  </si>
  <si>
    <t>21000.006573/2010-05</t>
  </si>
  <si>
    <t>Nicosulfuron Técnico Pilarquim</t>
  </si>
  <si>
    <t>21000.008897/2010-70</t>
  </si>
  <si>
    <t>Paraquat Técnico Nufarm</t>
  </si>
  <si>
    <t>21000.005779/2011-91</t>
  </si>
  <si>
    <t>Clorpirifós Técnico Consagro</t>
  </si>
  <si>
    <t>21000.013991/2011-21</t>
  </si>
  <si>
    <t>Abamectin Técnico Syn</t>
  </si>
  <si>
    <t>21000.002061/2012-23</t>
  </si>
  <si>
    <t>Paraquat Técnico Atanor</t>
  </si>
  <si>
    <t>21000.009912/2011-88</t>
  </si>
  <si>
    <t>Dicloreto de Paraquate Técnico SR</t>
  </si>
  <si>
    <t>21000.009978/2007-91</t>
  </si>
  <si>
    <t>Actigard</t>
  </si>
  <si>
    <t>Acibenzolar-s-metílico</t>
  </si>
  <si>
    <t>21000.009849/2012-61</t>
  </si>
  <si>
    <t>Abamectin Técnico CCAB II</t>
  </si>
  <si>
    <t>21000.003170/2013-49</t>
  </si>
  <si>
    <t>Abamectin Técnico Ouro Fino</t>
  </si>
  <si>
    <t>21000.004493/2012-79</t>
  </si>
  <si>
    <t>Clorimurom Etílico Tradecorp Técnico 980</t>
  </si>
  <si>
    <t>Clorimurom-Etil</t>
  </si>
  <si>
    <t>21000.004935/2012-87</t>
  </si>
  <si>
    <t>DCP Técnico Ouro Fino</t>
  </si>
  <si>
    <t>21000.003103/2014-13</t>
  </si>
  <si>
    <t>Abamectina Técnico Cropchem</t>
  </si>
  <si>
    <t>21000.003236/2014-81</t>
  </si>
  <si>
    <t>Abamectin Técnico CCAB III</t>
  </si>
  <si>
    <t>21000.003248/2014-14</t>
  </si>
  <si>
    <t>Abamectin Técnico Volcano II</t>
  </si>
  <si>
    <t>21000.003366/2014-14</t>
  </si>
  <si>
    <t>Abamectin Técnico Syngenta HV</t>
  </si>
  <si>
    <t>21000.003555/2014-97</t>
  </si>
  <si>
    <t>Abamectin Técnico OF</t>
  </si>
  <si>
    <t>21000.004915/2011-25</t>
  </si>
  <si>
    <t>Fipronil 800 WG Agria</t>
  </si>
  <si>
    <t>21000.003102/2014-61</t>
  </si>
  <si>
    <t>Abamectin Técnico Nortox BR</t>
  </si>
  <si>
    <t>21000.011283/2010-75</t>
  </si>
  <si>
    <t>Fipronil Técnico Charda</t>
  </si>
  <si>
    <t>21000.006241/2009-89</t>
  </si>
  <si>
    <t>Megasato Técnico</t>
  </si>
  <si>
    <t>21000.007284/2013-68</t>
  </si>
  <si>
    <t>Bovebio</t>
  </si>
  <si>
    <t>21000.008858/2013-15</t>
  </si>
  <si>
    <t>Biovespa</t>
  </si>
  <si>
    <t>21000.008482/2013-49</t>
  </si>
  <si>
    <t>Bioeco Cotésia</t>
  </si>
  <si>
    <t>Bio Eco Cana</t>
  </si>
  <si>
    <t>21000.006248/2009-09</t>
  </si>
  <si>
    <t>Clorimurom Etil Técnico Agroimport</t>
  </si>
  <si>
    <t>21000.001629/2013-70</t>
  </si>
  <si>
    <t>Cotésia Probio</t>
  </si>
  <si>
    <t>21000.003247/2014-61</t>
  </si>
  <si>
    <t>Abamectin Técnico Genbra</t>
  </si>
  <si>
    <t>21000.001115/2013-14</t>
  </si>
  <si>
    <t>Clorimuron Etil Técnico Rainbow</t>
  </si>
  <si>
    <t>21000.000308/2010-13</t>
  </si>
  <si>
    <t>Ametrina Alta 500 SC</t>
  </si>
  <si>
    <t>21000.003224/2014-57</t>
  </si>
  <si>
    <t>Abamectina Técnico Nufarm BR</t>
  </si>
  <si>
    <t>21000.003643/2014-99</t>
  </si>
  <si>
    <t>Abamectin Técnico Agria</t>
  </si>
  <si>
    <t>21000.000652/2010-02</t>
  </si>
  <si>
    <t>Haloxifop Metílico Técnico CCAB</t>
  </si>
  <si>
    <t>Haloxifope</t>
  </si>
  <si>
    <t>21000.000654/2010-93</t>
  </si>
  <si>
    <t>Haloxifop Metílico Técnico Genbra</t>
  </si>
  <si>
    <t>21000.002274/2010-11</t>
  </si>
  <si>
    <t>Abone</t>
  </si>
  <si>
    <t>21000.009147/2010-15</t>
  </si>
  <si>
    <t>Aug 120</t>
  </si>
  <si>
    <t>21000.002821/2010-31</t>
  </si>
  <si>
    <t>Haloxyfop P Methyl Técnico</t>
  </si>
  <si>
    <t>21000.012505/2010-77</t>
  </si>
  <si>
    <t>Haloxyfop P Methyl Técnico Rainbow</t>
  </si>
  <si>
    <t>21000.007567/2011-48</t>
  </si>
  <si>
    <t>Dicloreto de Paraquate Técnico Alta</t>
  </si>
  <si>
    <t>21000.009293/2011-21</t>
  </si>
  <si>
    <t>Haloxyfop P Metílico Técnico Nufarm</t>
  </si>
  <si>
    <t>21000.010423/2010-98</t>
  </si>
  <si>
    <t>Haloxyfop P Metílico Técnico Alta</t>
  </si>
  <si>
    <t>21000.004422/2014-38</t>
  </si>
  <si>
    <t>Abamectin Técnico DVA</t>
  </si>
  <si>
    <t>21000.003401/2012-33</t>
  </si>
  <si>
    <t>Chlorimuron-Etílico Técnico Helm</t>
  </si>
  <si>
    <t>21000.002478/2010-24</t>
  </si>
  <si>
    <t>Bedane</t>
  </si>
  <si>
    <t>Interprod</t>
  </si>
  <si>
    <t>21000.005009/2010-67</t>
  </si>
  <si>
    <t>Cipermetrina Técnico Atanor</t>
  </si>
  <si>
    <t>21000.006541/2011-82</t>
  </si>
  <si>
    <t>Glifosato 720 WG Rainbow</t>
  </si>
  <si>
    <t>21000.011377/2009-19</t>
  </si>
  <si>
    <t>2,4-D Ácido Técnico Genbra</t>
  </si>
  <si>
    <t>21000.011475/2009-48</t>
  </si>
  <si>
    <t>Acefato Técnico CCAB</t>
  </si>
  <si>
    <t>21000.009652/2009-26</t>
  </si>
  <si>
    <t>Tebutiurom Técnico Consagro</t>
  </si>
  <si>
    <t>21000.004529/2012-14</t>
  </si>
  <si>
    <t>Regalia Maxx</t>
  </si>
  <si>
    <r>
      <rPr>
        <rFont val="Arial"/>
        <color rgb="FF000066"/>
        <sz val="11.0"/>
      </rPr>
      <t xml:space="preserve">Extrato de </t>
    </r>
    <r>
      <rPr>
        <rFont val="Arial"/>
        <i/>
        <color rgb="FF000066"/>
        <sz val="11.0"/>
      </rPr>
      <t>Reynoutria sachalinensis</t>
    </r>
  </si>
  <si>
    <t>21000.005730/2012-19</t>
  </si>
  <si>
    <t>Knock Out</t>
  </si>
  <si>
    <t>21000.005731/2012-63</t>
  </si>
  <si>
    <t>Wipe Out</t>
  </si>
  <si>
    <t>21000.009584/2008-14</t>
  </si>
  <si>
    <t>Carbendazim Nortox 500 SC</t>
  </si>
  <si>
    <t>21000.011375/2009-11</t>
  </si>
  <si>
    <t>2,4-D Ácido Técnico CCAB</t>
  </si>
  <si>
    <t>21000.006960/2011-14</t>
  </si>
  <si>
    <t>2,4-D Técnico SR Cropchem</t>
  </si>
  <si>
    <t>21000.003897/2010-83</t>
  </si>
  <si>
    <t>Tebuconazole Técnico Alta</t>
  </si>
  <si>
    <t>21000.002638/2011-16</t>
  </si>
  <si>
    <t>Carbendazim Técnico Ag</t>
  </si>
  <si>
    <t>21000.005641/2008-96</t>
  </si>
  <si>
    <t>Exalt</t>
  </si>
  <si>
    <t>21000.005642/2008-31</t>
  </si>
  <si>
    <t>Delegate</t>
  </si>
  <si>
    <t>21000.005227/2010-00</t>
  </si>
  <si>
    <t>Avguron Extra SC</t>
  </si>
  <si>
    <t>21000.000472/2010-12</t>
  </si>
  <si>
    <t>Acefato Técnico Nufarm</t>
  </si>
  <si>
    <t>21000.000641/2011-03</t>
  </si>
  <si>
    <t>Carbendazim Aga Técnico</t>
  </si>
  <si>
    <t>21000.001571/2012-83</t>
  </si>
  <si>
    <t>Azoxystrobin 250 SC DVA</t>
  </si>
  <si>
    <t>21000.003234/2011-40</t>
  </si>
  <si>
    <t>Fipronil Técnico Nufarm Br</t>
  </si>
  <si>
    <t>21000.000150/2009-30</t>
  </si>
  <si>
    <t>Glifosato Técnico PM Milênia</t>
  </si>
  <si>
    <t>Milênia</t>
  </si>
  <si>
    <t>Ano de 2013</t>
  </si>
  <si>
    <t>21000.009605/2011-05</t>
  </si>
  <si>
    <t>Ametrin Técnico CCAB</t>
  </si>
  <si>
    <t>21000.010851/2009-87</t>
  </si>
  <si>
    <t>Ametrina Técnico ALTA</t>
  </si>
  <si>
    <t>21000.007947/2010-00</t>
  </si>
  <si>
    <t>Excolha</t>
  </si>
  <si>
    <t>21000.007688/2008-04</t>
  </si>
  <si>
    <t>Fusta BR</t>
  </si>
  <si>
    <t>21000.005312/2012-21</t>
  </si>
  <si>
    <t>Metarriz WP Biocontrol</t>
  </si>
  <si>
    <t>21000.009589/2012-23</t>
  </si>
  <si>
    <t>Cotesia Fioagro</t>
  </si>
  <si>
    <t>Fitoagro</t>
  </si>
  <si>
    <t>21000.000722/2009-81</t>
  </si>
  <si>
    <t>Metribuzim Técnico Milenia</t>
  </si>
  <si>
    <t>21000.001264/2011-11</t>
  </si>
  <si>
    <t>Nicosulfuron Tradecorp Técnico</t>
  </si>
  <si>
    <t>21000.010094/2008-61</t>
  </si>
  <si>
    <t>Heat</t>
  </si>
  <si>
    <t>21000.011781/2011-07</t>
  </si>
  <si>
    <t>Cotesia Agrobio</t>
  </si>
  <si>
    <t>Tonon</t>
  </si>
  <si>
    <t>21000.000136/2010-70</t>
  </si>
  <si>
    <t>Glifosato G Técnico Rainbow</t>
  </si>
  <si>
    <t>21000.009224/2011-18</t>
  </si>
  <si>
    <t>Shelter</t>
  </si>
  <si>
    <t>21000.004552/2010-47</t>
  </si>
  <si>
    <t>Ametryn Technical</t>
  </si>
  <si>
    <t>21000.002549/2010-99</t>
  </si>
  <si>
    <t>Lucens</t>
  </si>
  <si>
    <t>Metolacloro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</si>
  <si>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</si>
  <si>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21000.006675/2010-12</t>
  </si>
  <si>
    <t>Game</t>
  </si>
  <si>
    <t>DVA UPL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</si>
  <si>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</si>
  <si>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21000.008996/2011-31</t>
  </si>
  <si>
    <t>Atrazin Técnico CCAB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</si>
  <si>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</si>
  <si>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21000.006040/2010-15</t>
  </si>
  <si>
    <t>Atrazina Técnica Alamos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</si>
  <si>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</si>
  <si>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21000.005008/2010-12</t>
  </si>
  <si>
    <t>Atrazina Técnica Atanor II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</si>
  <si>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</si>
  <si>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21000.011302/2008-49</t>
  </si>
  <si>
    <t>Narval 40 SC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</si>
  <si>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</si>
  <si>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21000.002237/2009-40</t>
  </si>
  <si>
    <t>Ponto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</si>
  <si>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</si>
  <si>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21000.006963/2007-71</t>
  </si>
  <si>
    <t>Finex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</si>
  <si>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</si>
  <si>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21000.003511/2007-38</t>
  </si>
  <si>
    <t>Adsec AB</t>
  </si>
  <si>
    <t>Amina graxa polimerizada</t>
  </si>
  <si>
    <t>Akzo Nobel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</si>
  <si>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</si>
  <si>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21000.009205/2008-96</t>
  </si>
  <si>
    <t>Voliam Flexi</t>
  </si>
  <si>
    <t>Clorantraniliprole; Tiametoxam</t>
  </si>
  <si>
    <t>21000.011949/2009-51</t>
  </si>
  <si>
    <t>Paraquat Técnico Rainbow</t>
  </si>
  <si>
    <t>21000.001829/2007-84</t>
  </si>
  <si>
    <t>Moncut Técnico</t>
  </si>
  <si>
    <t>21000.008682/2008-34</t>
  </si>
  <si>
    <t>Lambda Cyhalothrin Técnico Biesterfeld</t>
  </si>
  <si>
    <t>21000.004551/2010-01</t>
  </si>
  <si>
    <t>Atrazine Technical</t>
  </si>
  <si>
    <t>21000.015926/2011-31</t>
  </si>
  <si>
    <t>Preciso</t>
  </si>
  <si>
    <t>21000.007003/2010-24</t>
  </si>
  <si>
    <t>Coragen</t>
  </si>
  <si>
    <t>21000.004184/2007-31</t>
  </si>
  <si>
    <t>Ritmo 280</t>
  </si>
  <si>
    <t>Piritiobaque-sódico</t>
  </si>
  <si>
    <t>21000.010073/2010-60</t>
  </si>
  <si>
    <t>Espada</t>
  </si>
  <si>
    <t>21000.002278/2010-71</t>
  </si>
  <si>
    <t>Thidiazuron Tecnico August</t>
  </si>
  <si>
    <t>21000.004709/2007-39</t>
  </si>
  <si>
    <t>Moncut</t>
  </si>
  <si>
    <t>21000.007488/2009-12</t>
  </si>
  <si>
    <t>Pottente</t>
  </si>
  <si>
    <t>Benfuracarbe</t>
  </si>
  <si>
    <t>21000.002202/2010-46</t>
  </si>
  <si>
    <t>Pratico</t>
  </si>
  <si>
    <t>Flutriafol; Imidaclopride</t>
  </si>
  <si>
    <t>21000.007505/2010-55</t>
  </si>
  <si>
    <t>Hexazinone Tecnico De Sangosse</t>
  </si>
  <si>
    <t>21000.003156/2010-01</t>
  </si>
  <si>
    <t>Gardomil</t>
  </si>
  <si>
    <t>21000.005443/2009-11</t>
  </si>
  <si>
    <t>Glifosato Tecnico UPL</t>
  </si>
  <si>
    <t>21000.003898/2010-28</t>
  </si>
  <si>
    <t>Tebutiurom Tecnico Alta</t>
  </si>
  <si>
    <t>21000.005511/2010-78</t>
  </si>
  <si>
    <t>Tiodicarb Tecnico Alta</t>
  </si>
  <si>
    <t>21000.011540/2011-50</t>
  </si>
  <si>
    <t>Ecotrich WP</t>
  </si>
  <si>
    <t>Balagro</t>
  </si>
  <si>
    <t>21000.000769/2007-82</t>
  </si>
  <si>
    <t>Priori Top</t>
  </si>
  <si>
    <t>21000.005930/2010-18</t>
  </si>
  <si>
    <t>Dinamic Técnico Arysta</t>
  </si>
  <si>
    <t>Amircabazone</t>
  </si>
  <si>
    <t>21000.008677/2009-11</t>
  </si>
  <si>
    <t>Fipronil Técnico Roral</t>
  </si>
  <si>
    <t>21000.004121/2009-47</t>
  </si>
  <si>
    <t>Base 480 SL</t>
  </si>
  <si>
    <t>21000.000719/2008-86</t>
  </si>
  <si>
    <t>Imazetapir CCAB 106 SL</t>
  </si>
  <si>
    <t>21000.008226/2010-17</t>
  </si>
  <si>
    <t>Satir-GAT</t>
  </si>
  <si>
    <t>21000.008661/2010-33</t>
  </si>
  <si>
    <t>Samor-GAT</t>
  </si>
  <si>
    <t>21000.006513/2010-84</t>
  </si>
  <si>
    <t>Hexazionane Técnico Agroimport</t>
  </si>
  <si>
    <t>21000.004799/2010-63</t>
  </si>
  <si>
    <t>Glifosato Técnico YN</t>
  </si>
  <si>
    <t>21000.008659/2010-64</t>
  </si>
  <si>
    <t>Lambda Cyhalothrin Técnico</t>
  </si>
  <si>
    <t>21000.007668/2008-13</t>
  </si>
  <si>
    <t>Actara 750 SG</t>
  </si>
  <si>
    <t>21000.010613/2007-18</t>
  </si>
  <si>
    <t>Permetrina Técnico UPL</t>
  </si>
  <si>
    <t>21000.002298/2009-17</t>
  </si>
  <si>
    <t>Cipermetrina Técnico CCAB</t>
  </si>
  <si>
    <t>21000.010649/2010-99</t>
  </si>
  <si>
    <t>Imazetapir Técnico</t>
  </si>
  <si>
    <t>21000.004812/2011-65</t>
  </si>
  <si>
    <t>Nemat</t>
  </si>
  <si>
    <t>Paecilomyces lilanus</t>
  </si>
  <si>
    <t>21000.009794/2011-16</t>
  </si>
  <si>
    <t>Helmstar Plus</t>
  </si>
  <si>
    <t>21000.012390/2010-11</t>
  </si>
  <si>
    <t>Chlorothalonil Técnico</t>
  </si>
  <si>
    <t>21000.009456/2010-95</t>
  </si>
  <si>
    <t>Hexazinona Ténica Nufarm</t>
  </si>
  <si>
    <t>21000.007238/2010-16</t>
  </si>
  <si>
    <t>Hexazinona Ténica Alta</t>
  </si>
  <si>
    <t>21000.005455/2009-38</t>
  </si>
  <si>
    <t>Opera SE</t>
  </si>
  <si>
    <t>Epoxiconazol; Piraclostrobina</t>
  </si>
  <si>
    <t>21000.005788/2009-67</t>
  </si>
  <si>
    <t>Manfil 800 WP</t>
  </si>
  <si>
    <t>21000.007762/2008-72</t>
  </si>
  <si>
    <t>Canion</t>
  </si>
  <si>
    <t>21000.005917/2007-55</t>
  </si>
  <si>
    <t>Spitz</t>
  </si>
  <si>
    <t>21000.010911/2008-81</t>
  </si>
  <si>
    <t>Imazatapir 106 BR</t>
  </si>
  <si>
    <t>21000.011512/2008-37</t>
  </si>
  <si>
    <t>Centric</t>
  </si>
  <si>
    <t>21000.005743/2012-98</t>
  </si>
  <si>
    <t>Baculovirus Soja WP</t>
  </si>
  <si>
    <t>Bosquirolli</t>
  </si>
  <si>
    <t>21000.005744/2012-32</t>
  </si>
  <si>
    <t>Baculovirus Alamo</t>
  </si>
  <si>
    <t>21000.003303/2009-09</t>
  </si>
  <si>
    <t>Aliado 480 SL</t>
  </si>
  <si>
    <t>21000.009050/2009-79</t>
  </si>
  <si>
    <t>Diuron Técnico De Sangosse</t>
  </si>
  <si>
    <t>21000.002737/2010-17</t>
  </si>
  <si>
    <t>Diuron Técnico Agroimport</t>
  </si>
  <si>
    <t>21000.006298/2009-71</t>
  </si>
  <si>
    <t>Metribuzim Técnico Rallis</t>
  </si>
  <si>
    <t>21000.010055/2008-63</t>
  </si>
  <si>
    <t>Pantani 750 WG</t>
  </si>
  <si>
    <t>21000.005441/2009-14</t>
  </si>
  <si>
    <t>Imazapic Técnico UPL</t>
  </si>
  <si>
    <t>21000.014769/2006-89</t>
  </si>
  <si>
    <t>Indoxacarbe Técnico 900</t>
  </si>
  <si>
    <t>21000.002424/2009-25</t>
  </si>
  <si>
    <t>Memory</t>
  </si>
  <si>
    <t>21000.010937/2010-43</t>
  </si>
  <si>
    <t>Hexazinona Técnico Hailir</t>
  </si>
  <si>
    <t>21000.002547/2009-66</t>
  </si>
  <si>
    <t>Coronel BR</t>
  </si>
  <si>
    <t>21000.005846/2012-58</t>
  </si>
  <si>
    <t>Ecotesia</t>
  </si>
  <si>
    <t>21000.000549/2010-54</t>
  </si>
  <si>
    <t>Natera</t>
  </si>
  <si>
    <t>Ciproconazol; Tiametoxam</t>
  </si>
  <si>
    <t>21000.003778/2010-21</t>
  </si>
  <si>
    <t>Ishipron</t>
  </si>
  <si>
    <t>Corfluazurom</t>
  </si>
  <si>
    <t>21000.007236/2010-27</t>
  </si>
  <si>
    <t>Diuron Técnico Alta</t>
  </si>
  <si>
    <t>21000.000891/2011-35</t>
  </si>
  <si>
    <t>Metamax Líquido</t>
  </si>
  <si>
    <t>Bio Soja</t>
  </si>
  <si>
    <t>21000.004144/2011-76</t>
  </si>
  <si>
    <t>Ares 250 CS</t>
  </si>
  <si>
    <t>21000.006203/2010-60</t>
  </si>
  <si>
    <t>Kingbo</t>
  </si>
  <si>
    <r>
      <rPr>
        <rFont val="Arial"/>
        <color rgb="FF000066"/>
        <sz val="11.0"/>
      </rPr>
      <t xml:space="preserve">Oximatrine (Extrato etanólico de </t>
    </r>
    <r>
      <rPr>
        <rFont val="Arial"/>
        <i/>
        <color rgb="FF000066"/>
        <sz val="11.0"/>
      </rPr>
      <t>Sophora flavescens</t>
    </r>
    <r>
      <rPr>
        <rFont val="Arial"/>
        <color rgb="FF000066"/>
        <sz val="11.0"/>
      </rPr>
      <t>)</t>
    </r>
  </si>
  <si>
    <t>21000.002513/2010-13</t>
  </si>
  <si>
    <t>Fluxapyroxad Técnico</t>
  </si>
  <si>
    <t>21000.009898/2010-31</t>
  </si>
  <si>
    <t>Orkestra SC</t>
  </si>
  <si>
    <t>Fluxapiroxade; Piraclostrobina</t>
  </si>
  <si>
    <t>21000.011303/2008-93</t>
  </si>
  <si>
    <t>Tyson 750 WG</t>
  </si>
  <si>
    <t>21000.007719/2011-11</t>
  </si>
  <si>
    <t>Carbendazim Técnico China II</t>
  </si>
  <si>
    <t>21000.007206/2009-87</t>
  </si>
  <si>
    <t>Acefato Técnico</t>
  </si>
  <si>
    <t>21000.010370/2010-13</t>
  </si>
  <si>
    <t>Carbendazim Técnico China</t>
  </si>
  <si>
    <t>21000.007776/2009-77</t>
  </si>
  <si>
    <t>Diflubenzuron Técnico Agroimport</t>
  </si>
  <si>
    <t>21000.009564/2008-43</t>
  </si>
  <si>
    <t>Imazapir Técnico Milenia</t>
  </si>
  <si>
    <t>21000.004707/2007-40</t>
  </si>
  <si>
    <t>Grap Baculovirus</t>
  </si>
  <si>
    <t>Baculovirus</t>
  </si>
  <si>
    <t>Agrocete</t>
  </si>
  <si>
    <t>21000.002974/2009-44</t>
  </si>
  <si>
    <t>Cruiser Opti</t>
  </si>
  <si>
    <t>Lambda-Cialotrina; Tiametoxam</t>
  </si>
  <si>
    <t>21000.009621/2008-94</t>
  </si>
  <si>
    <t>Durivo</t>
  </si>
  <si>
    <t>21000.008486/2009-41</t>
  </si>
  <si>
    <t>Cimoxanil Técnico Cropchem</t>
  </si>
  <si>
    <t>21000.002018/2010-04</t>
  </si>
  <si>
    <t>Mancozeb Técnico CCAB</t>
  </si>
  <si>
    <t>21000.009695/2011-26</t>
  </si>
  <si>
    <t>Kyron 40 SC</t>
  </si>
  <si>
    <t>21000.010655/2011-27</t>
  </si>
  <si>
    <t>Lotus 40 SC</t>
  </si>
  <si>
    <t>21000.002513/2009-71</t>
  </si>
  <si>
    <t>Picloram 103 + 2,4 - D 406 SL DVA</t>
  </si>
  <si>
    <t>21000.005485/2010-88</t>
  </si>
  <si>
    <t>Metribuzim 480 SC DVA</t>
  </si>
  <si>
    <t>21000.009953/2012-55</t>
  </si>
  <si>
    <t>Tiofanato metílico Técnico Pilarquim</t>
  </si>
  <si>
    <t>21000.002795/2012-11</t>
  </si>
  <si>
    <t>Thiophanate-methyl G Técnico Helm</t>
  </si>
  <si>
    <t>21000.003831/2010-93</t>
  </si>
  <si>
    <t>Record</t>
  </si>
  <si>
    <t>21000.002738/2009-28</t>
  </si>
  <si>
    <t>Acetamiprid Técnico Milenia</t>
  </si>
  <si>
    <t>21000.009445/2010-13</t>
  </si>
  <si>
    <t>Incrível</t>
  </si>
  <si>
    <t>Acetamiprido; Alfa-Cipermetrina</t>
  </si>
  <si>
    <t>21000.012387/2010-05</t>
  </si>
  <si>
    <t>Fastac Duo</t>
  </si>
  <si>
    <t>21000.003276/2009-66</t>
  </si>
  <si>
    <t>Glifosato Nuf</t>
  </si>
  <si>
    <t>21000.007878/2008-10</t>
  </si>
  <si>
    <t>Rajer 250 WG</t>
  </si>
  <si>
    <t>Ano de 2012</t>
  </si>
  <si>
    <t>21000.007746/1999-09</t>
  </si>
  <si>
    <t>Magnific</t>
  </si>
  <si>
    <t>21000.004665/2008-28</t>
  </si>
  <si>
    <t>Glifosato Atar</t>
  </si>
  <si>
    <t>Atar</t>
  </si>
  <si>
    <t>21000.000310/2009-41</t>
  </si>
  <si>
    <t>Imidacloprid Técnico Milenia</t>
  </si>
  <si>
    <t>21000.008310/2007-27</t>
  </si>
  <si>
    <t>Kelpak</t>
  </si>
  <si>
    <r>
      <rPr>
        <rFont val="Arial"/>
        <color rgb="FF000066"/>
        <sz val="11.0"/>
      </rPr>
      <t>Extarto de</t>
    </r>
    <r>
      <rPr>
        <rFont val="Arial"/>
        <i/>
        <color rgb="FF000066"/>
        <sz val="11.0"/>
      </rPr>
      <t xml:space="preserve"> Ecklonia maxima</t>
    </r>
  </si>
  <si>
    <t>Reccol</t>
  </si>
  <si>
    <t>21000.003956/2008-07</t>
  </si>
  <si>
    <t>Pilarich</t>
  </si>
  <si>
    <t>21000.002548/2009-19</t>
  </si>
  <si>
    <t>AclamadoBR</t>
  </si>
  <si>
    <t>21000.009479/2009-66</t>
  </si>
  <si>
    <t>BeloBR</t>
  </si>
  <si>
    <t>21000.008599/2008-65</t>
  </si>
  <si>
    <t>Sequence</t>
  </si>
  <si>
    <t>S-metolacloro; Glifosato</t>
  </si>
  <si>
    <t>21000.009439/2008-33</t>
  </si>
  <si>
    <t>Impressive 250 WP</t>
  </si>
  <si>
    <t>21000.003022/2009-48</t>
  </si>
  <si>
    <t>Fipronil Técnico Milenia</t>
  </si>
  <si>
    <t>21000.006507/2008-11</t>
  </si>
  <si>
    <t>Tebuconazole Técnico Oxon</t>
  </si>
  <si>
    <t>21000.007506/2010-08</t>
  </si>
  <si>
    <t xml:space="preserve">Tricovab </t>
  </si>
  <si>
    <t>Trichoderma stromaticum</t>
  </si>
  <si>
    <t>Ceplac</t>
  </si>
  <si>
    <t>21000.011417/2010-58</t>
  </si>
  <si>
    <t>Fipronil Técnico Mil</t>
  </si>
  <si>
    <t>21000.001366/2009-12</t>
  </si>
  <si>
    <t>CapatazBR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</si>
  <si>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</si>
  <si>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21000.004034/2008-17</t>
  </si>
  <si>
    <t>Ichiban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</si>
  <si>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</si>
  <si>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21000.000309/2009-16</t>
  </si>
  <si>
    <t>Epoxiconazol Técnico Milenia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</si>
  <si>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</si>
  <si>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21000.011132/2007-11</t>
  </si>
  <si>
    <t>Glyweed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</si>
  <si>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</si>
  <si>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21000.001359/2009-11</t>
  </si>
  <si>
    <t>Savana</t>
  </si>
  <si>
    <t>Clomazona; Carfentrazona-Etílica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</si>
  <si>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</si>
  <si>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21000.009296/2008-60</t>
  </si>
  <si>
    <t>Glifosato Técnico Biesterfeld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</si>
  <si>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</si>
  <si>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21000.009265/2009-90</t>
  </si>
  <si>
    <t>Atrazina Técnico Rainbow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</si>
  <si>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</si>
  <si>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21000.013268/2011-42</t>
  </si>
  <si>
    <t>Cotésia Flavipes Bioeffect</t>
  </si>
  <si>
    <t>Bioeffect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</si>
  <si>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</si>
  <si>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21000.009773/2005-44</t>
  </si>
  <si>
    <t>Centauro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</si>
  <si>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</si>
  <si>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21000.011301/2008-02</t>
  </si>
  <si>
    <t>Lobster 50 EC</t>
  </si>
  <si>
    <t>21000.007948/2009-11</t>
  </si>
  <si>
    <t>Pampa</t>
  </si>
  <si>
    <t xml:space="preserve">Picloram; 2,4-D </t>
  </si>
  <si>
    <t>21000.008094/2009-81</t>
  </si>
  <si>
    <t>Facca</t>
  </si>
  <si>
    <t>21000.004302/2011-98</t>
  </si>
  <si>
    <t>Fipronil Técnico Alta</t>
  </si>
  <si>
    <t>21000.000254/2007-82</t>
  </si>
  <si>
    <t>Teor 800 WG</t>
  </si>
  <si>
    <t>21000.004014/2007-57</t>
  </si>
  <si>
    <t>Salasat 800</t>
  </si>
  <si>
    <t>21000.000253/2007-38</t>
  </si>
  <si>
    <t xml:space="preserve">Salasat </t>
  </si>
  <si>
    <t>21000.000255/2007-27</t>
  </si>
  <si>
    <t>Teor</t>
  </si>
  <si>
    <t>21000.009294/2008-71</t>
  </si>
  <si>
    <t>Stoy 40 SC</t>
  </si>
  <si>
    <t>21000.002020/2010-75</t>
  </si>
  <si>
    <t>Caparol</t>
  </si>
  <si>
    <t>Prometrina</t>
  </si>
  <si>
    <t>21000.002019/2010-41</t>
  </si>
  <si>
    <t>Arbaten</t>
  </si>
  <si>
    <t>21000.004015/2007-00</t>
  </si>
  <si>
    <t>Teor WG</t>
  </si>
  <si>
    <t>21000.005812/2009-68</t>
  </si>
  <si>
    <t>Glifosate ZLG Técnico</t>
  </si>
  <si>
    <t>21000.001818/2010-08</t>
  </si>
  <si>
    <t>Nicossulfuron Técnico R- BRA</t>
  </si>
  <si>
    <t>21000.007006/2010-68</t>
  </si>
  <si>
    <t>Grassato</t>
  </si>
  <si>
    <t>21000.000592/2010-10</t>
  </si>
  <si>
    <t>Azoxystrobin Técnico Helm</t>
  </si>
  <si>
    <t>21000.006578/2010-20</t>
  </si>
  <si>
    <t>Grassato SL</t>
  </si>
  <si>
    <t>21000.011735/2009-85</t>
  </si>
  <si>
    <t>Riper</t>
  </si>
  <si>
    <t>21000.004982/2010-69</t>
  </si>
  <si>
    <t>Metie</t>
  </si>
  <si>
    <t>21000.010736/2008-21</t>
  </si>
  <si>
    <t>Metribuzin Técnico Ouro Fino</t>
  </si>
  <si>
    <t>21000.007645/2007-28</t>
  </si>
  <si>
    <t>Thunder</t>
  </si>
  <si>
    <t>21000.006591/2009-45</t>
  </si>
  <si>
    <t>Metribuzin Técnico De Sangosse</t>
  </si>
  <si>
    <t>21000.005362/2009-11</t>
  </si>
  <si>
    <t>Metribuzin Técnico Agroimport</t>
  </si>
  <si>
    <t>21000.009957/2011-52</t>
  </si>
  <si>
    <t>Bioisca</t>
  </si>
  <si>
    <t>Flavonas saponínicas</t>
  </si>
  <si>
    <t>Cocapeer</t>
  </si>
  <si>
    <t>21000.001557/2008-01</t>
  </si>
  <si>
    <t>Apice</t>
  </si>
  <si>
    <t>Epoxiconazol; Tiofanato-Metílico</t>
  </si>
  <si>
    <t>21000.000613/2008-82</t>
  </si>
  <si>
    <t>Treasure</t>
  </si>
  <si>
    <t>21000.002378/2009-64</t>
  </si>
  <si>
    <t>Ametrina Técnico Ouro Fino</t>
  </si>
  <si>
    <t>Ametrina Tecnico Rainbow</t>
  </si>
  <si>
    <t>21000.001275/2009-87</t>
  </si>
  <si>
    <t>Diamantebr</t>
  </si>
  <si>
    <t>21000.000158/2009-04</t>
  </si>
  <si>
    <t>Apollo 500 SC</t>
  </si>
  <si>
    <t>21000.001931/2009-41</t>
  </si>
  <si>
    <t>Diuron Técnico Cropchem</t>
  </si>
  <si>
    <t>21000.002330/2009-56</t>
  </si>
  <si>
    <t>Diuron Técnico BRA</t>
  </si>
  <si>
    <t>21000.005528/2009-91</t>
  </si>
  <si>
    <t xml:space="preserve">Diuron Técnico Prentiss </t>
  </si>
  <si>
    <t>21000.001181/2010-41</t>
  </si>
  <si>
    <t>Glifosato Nortox 480 SL</t>
  </si>
  <si>
    <t>21000.003003/2009-11</t>
  </si>
  <si>
    <t>Fipronil Técnico YN</t>
  </si>
  <si>
    <t>21000.004223/2009-62</t>
  </si>
  <si>
    <t>Fipronil Técnico BB</t>
  </si>
  <si>
    <t>21000.004186/2009-92</t>
  </si>
  <si>
    <t>Fipronil Técnico ZJ</t>
  </si>
  <si>
    <t>21000.002509/2010-47</t>
  </si>
  <si>
    <t>Sucession</t>
  </si>
  <si>
    <t>Metolacloro; Glifosato</t>
  </si>
  <si>
    <t>21000.009504/2009-10</t>
  </si>
  <si>
    <t>Acetamiprido Tecnico Consagro</t>
  </si>
  <si>
    <t>21000.003265/2008-03</t>
  </si>
  <si>
    <t>Lancer 750 SP</t>
  </si>
  <si>
    <t>21000.004411/2009-91</t>
  </si>
  <si>
    <t>Grassato 480 SL</t>
  </si>
  <si>
    <t>21000.011716/2009-59</t>
  </si>
  <si>
    <t>Imidacloprid Tecnico Cheminova</t>
  </si>
  <si>
    <t>21000.010850/2009-32</t>
  </si>
  <si>
    <t>Atrazina Tecnico Alta</t>
  </si>
  <si>
    <t>21000.011776/2010-13</t>
  </si>
  <si>
    <t>Imidacloprid Técnico Cristal</t>
  </si>
  <si>
    <t>21000.001124/2012-24</t>
  </si>
  <si>
    <t>Tricho-Strip G</t>
  </si>
  <si>
    <t>Biothec</t>
  </si>
  <si>
    <t>21000.015711/2011-10</t>
  </si>
  <si>
    <t>SingularBr</t>
  </si>
  <si>
    <t>21000.002937/2009-36</t>
  </si>
  <si>
    <t>Domark XL</t>
  </si>
  <si>
    <t>21000.005512/2010-12</t>
  </si>
  <si>
    <t>Azoxistrobina Técnico Alta</t>
  </si>
  <si>
    <t>21000.013945/2011-22</t>
  </si>
  <si>
    <t>Cotesia Flavips MCP</t>
  </si>
  <si>
    <t>MCP</t>
  </si>
  <si>
    <t>21000.002546/2011-36</t>
  </si>
  <si>
    <t>Ballvéria</t>
  </si>
  <si>
    <t>Beauvéria Bassiana</t>
  </si>
  <si>
    <t>21000.009563/2008-07</t>
  </si>
  <si>
    <t>Fluroxipir Meptílico Técnico Milenia</t>
  </si>
  <si>
    <t>Premier Técnico BCS</t>
  </si>
  <si>
    <t>21000.008956/2009-76</t>
  </si>
  <si>
    <t>Galgociper</t>
  </si>
  <si>
    <t>Chemotécnica</t>
  </si>
  <si>
    <t>21000.011963/2009-55</t>
  </si>
  <si>
    <t>Metribuzin Técnico DVA</t>
  </si>
  <si>
    <t>DVA Agro</t>
  </si>
  <si>
    <t>21000.010733/2008-98</t>
  </si>
  <si>
    <t>Agroben 500</t>
  </si>
  <si>
    <t>21000.010614/2007-54</t>
  </si>
  <si>
    <t>Lancer 970</t>
  </si>
  <si>
    <t>21000.008342/2008-11</t>
  </si>
  <si>
    <t>Planador</t>
  </si>
  <si>
    <t>Fluroxipir-Metílico; Picloram</t>
  </si>
  <si>
    <t>21000.006323/2010-67</t>
  </si>
  <si>
    <t>Horos</t>
  </si>
  <si>
    <t>21000.011925/2009-01</t>
  </si>
  <si>
    <t>Authority</t>
  </si>
  <si>
    <t>21000.006655/2007-46</t>
  </si>
  <si>
    <t>Flanker</t>
  </si>
  <si>
    <t>21000.006361/2008-03</t>
  </si>
  <si>
    <t>Flutriafol Técnico FMC</t>
  </si>
  <si>
    <t>21000.002140/2009-39</t>
  </si>
  <si>
    <t>Methomyl Técnico DVA</t>
  </si>
  <si>
    <t>21000.001977/2010-02</t>
  </si>
  <si>
    <t>2,4-D Técnico TW-BRA</t>
  </si>
  <si>
    <t>21000.002556/2010-91</t>
  </si>
  <si>
    <t>Cipermetrina Técnica DVA BR</t>
  </si>
  <si>
    <t>21000.000243/2009-65</t>
  </si>
  <si>
    <t>Cipermetrina Targos Técnico</t>
  </si>
  <si>
    <t>21000.008896/2010-25</t>
  </si>
  <si>
    <t>Crucial</t>
  </si>
  <si>
    <t>21000.005994/2008-96</t>
  </si>
  <si>
    <t>Galgoperme</t>
  </si>
  <si>
    <t>21000.007269/2008-52</t>
  </si>
  <si>
    <t>Galgoperme 1</t>
  </si>
  <si>
    <t>21000.004563/2009-93</t>
  </si>
  <si>
    <t>Fipronil 800 WG DVA</t>
  </si>
  <si>
    <t>21000.006988/2010-71</t>
  </si>
  <si>
    <t>Strada 50 WG</t>
  </si>
  <si>
    <t>Ortosulfamurom</t>
  </si>
  <si>
    <t>21000.002033/2009-19</t>
  </si>
  <si>
    <t>Tebuconazol 200 CCAB</t>
  </si>
  <si>
    <t>21000.003765/2009-18</t>
  </si>
  <si>
    <t>Metribuzim Técnico</t>
  </si>
  <si>
    <t>21000.010362/2009-25</t>
  </si>
  <si>
    <t>Metribuzim Técnico Consagro</t>
  </si>
  <si>
    <t>21000.005610/2010-50</t>
  </si>
  <si>
    <t>Primo</t>
  </si>
  <si>
    <t>21000.005951/2010-25</t>
  </si>
  <si>
    <t xml:space="preserve">Shar-Teb </t>
  </si>
  <si>
    <t>Shar-Conazol</t>
  </si>
  <si>
    <t>Galil SC</t>
  </si>
  <si>
    <t>21000.009293/2008-26</t>
  </si>
  <si>
    <t>Rometsol 600 WG</t>
  </si>
  <si>
    <t>21052.000333/2012-45</t>
  </si>
  <si>
    <t>Cotésia Cetma</t>
  </si>
  <si>
    <t>Cetma</t>
  </si>
  <si>
    <t>21000.003051/2006-67</t>
  </si>
  <si>
    <t>Glifosato 480 SL Sinon</t>
  </si>
  <si>
    <t>21000.005560/2011-91</t>
  </si>
  <si>
    <t>Fipronil Nortox 800 WG</t>
  </si>
  <si>
    <t>21000.001137/2011-12</t>
  </si>
  <si>
    <t>Navus</t>
  </si>
  <si>
    <t>21000.001283/2010-67</t>
  </si>
  <si>
    <t>Shar-Teb 200 EC</t>
  </si>
  <si>
    <t>21000.003978/2009-40</t>
  </si>
  <si>
    <t>Fipronil Técnico CCAB</t>
  </si>
  <si>
    <t>21000.003136/2010-21</t>
  </si>
  <si>
    <t>Acetamiprid CCAB 200 SP</t>
  </si>
  <si>
    <t>21000.002028/2011-12</t>
  </si>
  <si>
    <t>Glyphotal TR</t>
  </si>
  <si>
    <t>21000.011936/2009-82</t>
  </si>
  <si>
    <t>Imidacloprid Nortox</t>
  </si>
  <si>
    <t>21000.008479/2009-49</t>
  </si>
  <si>
    <t>Paraquate Técnico YN</t>
  </si>
  <si>
    <t>21000.008884/2007-67</t>
  </si>
  <si>
    <t>Paraquat Técnico China</t>
  </si>
  <si>
    <t>21000.009349/2011-48</t>
  </si>
  <si>
    <t>Paraquat Técnico CHN</t>
  </si>
  <si>
    <t>21000.004143/2007-45</t>
  </si>
  <si>
    <t>Orfeu</t>
  </si>
  <si>
    <t>21000.004144/2007-90</t>
  </si>
  <si>
    <t>Eject</t>
  </si>
  <si>
    <t>21000.010098/2009-20</t>
  </si>
  <si>
    <t>Hexin 500 SC</t>
  </si>
  <si>
    <t>21000.009637/2009-88</t>
  </si>
  <si>
    <t>Paraquate Técnico ZY</t>
  </si>
  <si>
    <t>21000.011965/2009-44</t>
  </si>
  <si>
    <t>Battus</t>
  </si>
  <si>
    <t>21000.006352/2008-12</t>
  </si>
  <si>
    <t>Progibb 400</t>
  </si>
  <si>
    <t>21000.005993/2008-41</t>
  </si>
  <si>
    <t>Galgoperme 2</t>
  </si>
  <si>
    <t>21000.005992/2008-05</t>
  </si>
  <si>
    <t>Galgoperme 3</t>
  </si>
  <si>
    <t>21000.013946/2011-77</t>
  </si>
  <si>
    <t>Cotesia Flavips Paraguaçu</t>
  </si>
  <si>
    <t>Laboratório de Entomologia Paraguaçu</t>
  </si>
  <si>
    <t>Feican</t>
  </si>
  <si>
    <t>Feican Criação de Animais</t>
  </si>
  <si>
    <t>21000.004764/2012-96</t>
  </si>
  <si>
    <t>Cotesia Flavips Bioresult</t>
  </si>
  <si>
    <t>Bioresult</t>
  </si>
  <si>
    <t>21000.001451/2009-81</t>
  </si>
  <si>
    <t>Lumica</t>
  </si>
  <si>
    <t>21000.010000/2010-78</t>
  </si>
  <si>
    <t xml:space="preserve">Nico </t>
  </si>
  <si>
    <t>21000.010237/2010-59</t>
  </si>
  <si>
    <t>Fason</t>
  </si>
  <si>
    <t>21000.000501/2008-21</t>
  </si>
  <si>
    <t>Inside FS</t>
  </si>
  <si>
    <t>21000.003500/2008-39</t>
  </si>
  <si>
    <t>Pocco 480 SL</t>
  </si>
  <si>
    <t>Meristo</t>
  </si>
  <si>
    <t>21000.009212/2011-93</t>
  </si>
  <si>
    <t>Eventra</t>
  </si>
  <si>
    <t>21000.002209/2012-20</t>
  </si>
  <si>
    <t>Spical</t>
  </si>
  <si>
    <t>21000.008309/2010-06</t>
  </si>
  <si>
    <t>Rotashock</t>
  </si>
  <si>
    <t>21000.016007/2011-84</t>
  </si>
  <si>
    <t>Neomip Max</t>
  </si>
  <si>
    <t>21000.012518/2011-27</t>
  </si>
  <si>
    <t>Albatross</t>
  </si>
  <si>
    <t>21000.004774/2010-60</t>
  </si>
  <si>
    <t>Azimut</t>
  </si>
  <si>
    <t>21000.011268/2008-11</t>
  </si>
  <si>
    <t>Tebuconazol Técnico Cropchem</t>
  </si>
  <si>
    <t>21000.005693/2009-43</t>
  </si>
  <si>
    <t>Thiodicarb Técnico DVA</t>
  </si>
  <si>
    <t>Tiobencarbe</t>
  </si>
  <si>
    <t>21000.012929/2011-12</t>
  </si>
  <si>
    <t>Cotésia TF</t>
  </si>
  <si>
    <t>E. Takashi Fudo</t>
  </si>
  <si>
    <t>21000.003919/2010-13</t>
  </si>
  <si>
    <t>2,4-D TC Técnico Prentiss</t>
  </si>
  <si>
    <t>21000.010721/2009-44</t>
  </si>
  <si>
    <t>Imazethapyr Técnico August</t>
  </si>
  <si>
    <t>21000.011072/2009-07</t>
  </si>
  <si>
    <t>Diuron Técnico August</t>
  </si>
  <si>
    <t>21000.011266/2008-13</t>
  </si>
  <si>
    <t>Tebuconazole Técnico BRA</t>
  </si>
  <si>
    <t>21000.010095/2008-13</t>
  </si>
  <si>
    <t xml:space="preserve">Saflunacil Técnico </t>
  </si>
  <si>
    <t>21000.003394/2009-74</t>
  </si>
  <si>
    <t>Tebuconazole Técnico Prentiss</t>
  </si>
  <si>
    <t>Nimox</t>
  </si>
  <si>
    <t>21000.004118/2009-23</t>
  </si>
  <si>
    <t>Chlorotalonil Técnico Helm</t>
  </si>
  <si>
    <t xml:space="preserve">Clorotalonil </t>
  </si>
  <si>
    <t>21000.010236/2010-12</t>
  </si>
  <si>
    <t>Diuron Técnico Rainbow</t>
  </si>
  <si>
    <t>21000.009686/2009-11</t>
  </si>
  <si>
    <t>Zemaster Técnico</t>
  </si>
  <si>
    <t>21000.002041/2010-91</t>
  </si>
  <si>
    <t>Grifo</t>
  </si>
  <si>
    <t>21000.008581/2009-44</t>
  </si>
  <si>
    <t>Galileu XL</t>
  </si>
  <si>
    <t>Tetraconazole; Azoxistrobina</t>
  </si>
  <si>
    <t>21000.006768/2011-28</t>
  </si>
  <si>
    <t>2,4-D Técnico RB-BRA</t>
  </si>
  <si>
    <t>21000.006606/2010-17</t>
  </si>
  <si>
    <t>2,4-D Technical</t>
  </si>
  <si>
    <t>21000.010424/2010-32</t>
  </si>
  <si>
    <t>Flutriafol Técnico Alta</t>
  </si>
  <si>
    <t>21000.005510/2010-23</t>
  </si>
  <si>
    <t>2,4 - D Técnico Alta</t>
  </si>
  <si>
    <t>21000.005007/2010-78</t>
  </si>
  <si>
    <t>2,4-D Técnico Atanor II</t>
  </si>
  <si>
    <t>21000.002940/2011-74</t>
  </si>
  <si>
    <t>Imidacloprid Tradecorp Técnico</t>
  </si>
  <si>
    <t>21000.010694/2010-43</t>
  </si>
  <si>
    <t>Clorpirifós Tradecorp Técnico</t>
  </si>
  <si>
    <t>21000.008586/2009-77</t>
  </si>
  <si>
    <t>2,4-D Técnico Rainbow</t>
  </si>
  <si>
    <t>21000.010398/2010-42</t>
  </si>
  <si>
    <t>2,4-D Ácido Técnico Milenia</t>
  </si>
  <si>
    <t>21000.005029/2012-08</t>
  </si>
  <si>
    <t>Macromip Max</t>
  </si>
  <si>
    <t>21000.001107/2010-25</t>
  </si>
  <si>
    <t>Fipronil Técnico Helm</t>
  </si>
  <si>
    <t>21000.006038/2010-46</t>
  </si>
  <si>
    <t>2,4-D Técnico Alamos</t>
  </si>
  <si>
    <t>21000.002238/2009-96</t>
  </si>
  <si>
    <t>Oregon</t>
  </si>
  <si>
    <t>21000.003015/2009-46</t>
  </si>
  <si>
    <t>Glifosato Técnico Fersol 950</t>
  </si>
  <si>
    <t>21000.006265/2008-57</t>
  </si>
  <si>
    <t>Glifosato CCAB 480 SL</t>
  </si>
  <si>
    <t>21000.001145/2009-44</t>
  </si>
  <si>
    <t>Glifosato 480 BR</t>
  </si>
  <si>
    <t>21000.005836/2008-36</t>
  </si>
  <si>
    <t>Hero</t>
  </si>
  <si>
    <t>Zeta-Cipermetrina; Bifentrina</t>
  </si>
  <si>
    <t>21000.001620/2009-82</t>
  </si>
  <si>
    <t>Hexazinone Técnico II</t>
  </si>
  <si>
    <t>Ano de 2011</t>
  </si>
  <si>
    <t>21000.007830/2007-12</t>
  </si>
  <si>
    <t>Benforce</t>
  </si>
  <si>
    <t>21000.005791/2008-08</t>
  </si>
  <si>
    <t>Picloram Técnico DVA</t>
  </si>
  <si>
    <t>21000.006275/2008-92</t>
  </si>
  <si>
    <t>Propiconazole Técnico Base</t>
  </si>
  <si>
    <t>21000.000247/2009-42</t>
  </si>
  <si>
    <t>Clorimuron 250 BR</t>
  </si>
  <si>
    <t>21000.012001/2006-71</t>
  </si>
  <si>
    <t>Lantic</t>
  </si>
  <si>
    <t>21000.013892/2004-11</t>
  </si>
  <si>
    <t>Cuprodil WG</t>
  </si>
  <si>
    <t>Clorotalonil; Oxicloreto de cobre</t>
  </si>
  <si>
    <t>21000.009531/2005-51</t>
  </si>
  <si>
    <t>Zetaram WG</t>
  </si>
  <si>
    <t>21000.002875/2009-62</t>
  </si>
  <si>
    <t>Login</t>
  </si>
  <si>
    <t>21000.002549/2009-55</t>
  </si>
  <si>
    <t>Fortalezabr</t>
  </si>
  <si>
    <t>21000.005775/2009-98</t>
  </si>
  <si>
    <t>ImperadorBR</t>
  </si>
  <si>
    <t>21000.012887/2006-52</t>
  </si>
  <si>
    <t>Dursban Técnico II</t>
  </si>
  <si>
    <t>21000.006362/2008-40</t>
  </si>
  <si>
    <t>Novaluron Técnico FMC</t>
  </si>
  <si>
    <t>21000.000718/2008-31</t>
  </si>
  <si>
    <t>Clorimuron CCAB 250 WG</t>
  </si>
  <si>
    <t>21000.001153/2009-91</t>
  </si>
  <si>
    <t>Nicosulfuron Técnico Cropchem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</si>
  <si>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</si>
  <si>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21000.003898/2008-11</t>
  </si>
  <si>
    <t>Pilarich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</si>
  <si>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</si>
  <si>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21000.011244/2008-53</t>
  </si>
  <si>
    <t>Lufenuron Técnico DVA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</si>
  <si>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</si>
  <si>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21000.001498/2008-63</t>
  </si>
  <si>
    <t>Formicida Cocapec</t>
  </si>
  <si>
    <t>Tephrosia candida</t>
  </si>
  <si>
    <t>Cocapec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</si>
  <si>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</si>
  <si>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21000.007224/2009-69</t>
  </si>
  <si>
    <t>Lambda-Cialotrina 50 BC Genbra</t>
  </si>
  <si>
    <t>Gembra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</si>
  <si>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</si>
  <si>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21000.011739/2005-30</t>
  </si>
  <si>
    <t>Evict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</si>
  <si>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</si>
  <si>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21000.010800/2006-11</t>
  </si>
  <si>
    <t>Orthosulfomuron Técnico Isagro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</si>
  <si>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</si>
  <si>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21000.001078/2006-15</t>
  </si>
  <si>
    <t>Abamectim 18 EC Sinon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</si>
  <si>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</si>
  <si>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21000.007589/2008-11</t>
  </si>
  <si>
    <t>Acefato Técnico Consagro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</si>
  <si>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</si>
  <si>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21000.010468/2008-48</t>
  </si>
  <si>
    <t>Virtuoso</t>
  </si>
  <si>
    <t>21000.011681/2006-13</t>
  </si>
  <si>
    <t>Kelion 50 Wg</t>
  </si>
  <si>
    <t>21000.004012/2009-20</t>
  </si>
  <si>
    <t>Picloram Técnico YN</t>
  </si>
  <si>
    <t>Allier Brasil</t>
  </si>
  <si>
    <t>21000.011304/2008-38</t>
  </si>
  <si>
    <t>Tebuzim 250 SC</t>
  </si>
  <si>
    <t>21000.002121/2008-21</t>
  </si>
  <si>
    <t>Flutriafol Nufarm 250 SC</t>
  </si>
  <si>
    <t>21000.010718/2004-16</t>
  </si>
  <si>
    <t>Orthene Técnico Hokko</t>
  </si>
  <si>
    <t>21000.008202/2008-35</t>
  </si>
  <si>
    <t>Carbendazim Técnico Agroimport</t>
  </si>
  <si>
    <t>21000.008686/2008-12</t>
  </si>
  <si>
    <t>Carbendazim Técnico de Sangosse</t>
  </si>
  <si>
    <t>21000.001504/2008-82</t>
  </si>
  <si>
    <t>Shadow Técnico Consagro</t>
  </si>
  <si>
    <t>21000.008137/2009-29</t>
  </si>
  <si>
    <t>Glifosato Técnico Chemtec</t>
  </si>
  <si>
    <t>21000.006487/2009-51</t>
  </si>
  <si>
    <t>Gliphosate Técnico DVA</t>
  </si>
  <si>
    <t>21000.002617/2009-86</t>
  </si>
  <si>
    <t>Hexazinon Técnico</t>
  </si>
  <si>
    <t>21000.001048/2009-51</t>
  </si>
  <si>
    <t>Thiodi Técnico</t>
  </si>
  <si>
    <t>21000.007566/2008-06</t>
  </si>
  <si>
    <t>Clorpirifós Técnico Ouro Fino</t>
  </si>
  <si>
    <t>21000.002871/2010-18</t>
  </si>
  <si>
    <t>Cetro</t>
  </si>
  <si>
    <t>Acetato de Dodecenila</t>
  </si>
  <si>
    <t>21000.002022/2008-40</t>
  </si>
  <si>
    <t>Serenade</t>
  </si>
  <si>
    <t>21000.009499/2009-37</t>
  </si>
  <si>
    <t>Afla-Guard</t>
  </si>
  <si>
    <t>Aspergilus flavus</t>
  </si>
  <si>
    <t>Biosphere</t>
  </si>
  <si>
    <t>21000.003680/2007-78</t>
  </si>
  <si>
    <t>Acronis</t>
  </si>
  <si>
    <t>Jackpot 50 EC</t>
  </si>
  <si>
    <t>21000.002719/2008-11</t>
  </si>
  <si>
    <t>Sonata</t>
  </si>
  <si>
    <t>Bacillus pumulis</t>
  </si>
  <si>
    <t>21000.006819/2009-05</t>
  </si>
  <si>
    <t>Labrador</t>
  </si>
  <si>
    <t>21000.005874/2005-46</t>
  </si>
  <si>
    <t>Alteza 30</t>
  </si>
  <si>
    <t>21000.001289/2010-34</t>
  </si>
  <si>
    <t>CDX154FP</t>
  </si>
  <si>
    <t>21000.011122/2009-48</t>
  </si>
  <si>
    <t>Inseto Estéril Moscamed</t>
  </si>
  <si>
    <r>
      <rPr>
        <rFont val="Arial"/>
        <i/>
        <color rgb="FF000066"/>
        <sz val="10.0"/>
      </rPr>
      <t>Ceratitis capitata</t>
    </r>
    <r>
      <rPr>
        <rFont val="Arial"/>
        <color rgb="FF000066"/>
        <sz val="10.0"/>
      </rPr>
      <t xml:space="preserve"> (Macho estéril)</t>
    </r>
  </si>
  <si>
    <t>Biofábrica</t>
  </si>
  <si>
    <t>21000.010604/2008-08</t>
  </si>
  <si>
    <t>Glifosato Técnico nortox BR</t>
  </si>
  <si>
    <t>21000.001850/2009-41</t>
  </si>
  <si>
    <t>Deoro</t>
  </si>
  <si>
    <t>21000.007451/2008-11</t>
  </si>
  <si>
    <t>Splat ME</t>
  </si>
  <si>
    <t>Metil eugenol</t>
  </si>
  <si>
    <t>Isca Tecnologia</t>
  </si>
  <si>
    <t>21000.002727/2009-48</t>
  </si>
  <si>
    <t>Carial Opti</t>
  </si>
  <si>
    <t>Mandipropamida</t>
  </si>
  <si>
    <t>21000.011705/2007-15</t>
  </si>
  <si>
    <t>Revus Opti</t>
  </si>
  <si>
    <t>21000.001132/2005-41</t>
  </si>
  <si>
    <t>Siber</t>
  </si>
  <si>
    <t>21000.009526/2001-14</t>
  </si>
  <si>
    <t>Dual Gold</t>
  </si>
  <si>
    <t>21000.010252/2008-82</t>
  </si>
  <si>
    <t>Glifosato Técnico JM</t>
  </si>
  <si>
    <t>21000.007454/2008-47</t>
  </si>
  <si>
    <t>Impessive Técnico Consagro</t>
  </si>
  <si>
    <t>21000.001515/2009-43</t>
  </si>
  <si>
    <t>Glifosato Técnico Nufarm FC</t>
  </si>
  <si>
    <t>21000.000021/2008-61</t>
  </si>
  <si>
    <t>Profenofós Técnico QGD</t>
  </si>
  <si>
    <t>21000.008854/2009-51</t>
  </si>
  <si>
    <t>Legacy</t>
  </si>
  <si>
    <t>21000.008852/2009-61</t>
  </si>
  <si>
    <t>Altima</t>
  </si>
  <si>
    <t>21000.008853/2009-14</t>
  </si>
  <si>
    <t>Ágata</t>
  </si>
  <si>
    <t>21000.001612/2009-36</t>
  </si>
  <si>
    <t>Adage 350 FS</t>
  </si>
  <si>
    <t>21000.000705/2010-87</t>
  </si>
  <si>
    <t>Bio Pseudoplusia</t>
  </si>
  <si>
    <t>(Z)-7-dodecenila</t>
  </si>
  <si>
    <t>21000.001716/2009-41</t>
  </si>
  <si>
    <t>Adage 700 WS</t>
  </si>
  <si>
    <t>21000.004299/2010-21</t>
  </si>
  <si>
    <t>Cyazofamid 400 SC</t>
  </si>
  <si>
    <t>Ciazofamida</t>
  </si>
  <si>
    <t>21000.011609/2008-40</t>
  </si>
  <si>
    <t>Goal Técnico II</t>
  </si>
  <si>
    <t>21000.007886/2008-58</t>
  </si>
  <si>
    <t>Lucky Técnico Consagro</t>
  </si>
  <si>
    <t>Cresoxim-Metílico</t>
  </si>
  <si>
    <t>21000.010133/2008-20</t>
  </si>
  <si>
    <t>Imidacloprid Técnico SQ</t>
  </si>
  <si>
    <t>21000.004356/2008-58</t>
  </si>
  <si>
    <t>Sauvage</t>
  </si>
  <si>
    <t>21000.004357/2008-01</t>
  </si>
  <si>
    <t>Ferrax</t>
  </si>
  <si>
    <t>21000.005514/2010-10</t>
  </si>
  <si>
    <t>Flama</t>
  </si>
  <si>
    <t>21000.009567/2008-87</t>
  </si>
  <si>
    <t>Carbendazin Técnico Nortox BR</t>
  </si>
  <si>
    <t>21000.005564/2009-55</t>
  </si>
  <si>
    <t>Glifosato Técnico RB</t>
  </si>
  <si>
    <t>21000.002145/2011-86</t>
  </si>
  <si>
    <t>Glifosato Técnico Cheminova</t>
  </si>
  <si>
    <t>21000.003655/2009-56</t>
  </si>
  <si>
    <t>Fipronil Técnico DVA</t>
  </si>
  <si>
    <t>21000.004061/2011-87</t>
  </si>
  <si>
    <t>Glifosato Técnico SR</t>
  </si>
  <si>
    <t>21000.011631/2008-90</t>
  </si>
  <si>
    <t>Cymoxanil Técnico ZN</t>
  </si>
  <si>
    <t>21000.002616/2009-31</t>
  </si>
  <si>
    <t>Lufen Técnico</t>
  </si>
  <si>
    <t>21000.006046/2008-78</t>
  </si>
  <si>
    <t>Metsulfuron-Methyl-Tec Rotam</t>
  </si>
  <si>
    <t>21000.003651/2009-78</t>
  </si>
  <si>
    <t>Clorpirifós Técnico Helm</t>
  </si>
  <si>
    <t>21000.000788/2009-71</t>
  </si>
  <si>
    <t>Silverado</t>
  </si>
  <si>
    <t>21000.001707/2005-26</t>
  </si>
  <si>
    <t>Timon</t>
  </si>
  <si>
    <t>21000.010564/2007-13</t>
  </si>
  <si>
    <t>Acehero</t>
  </si>
  <si>
    <t>21000.001912/2009-15</t>
  </si>
  <si>
    <t>Atrazina Técnico Ouro Fino</t>
  </si>
  <si>
    <t>21000.008437/2007-46</t>
  </si>
  <si>
    <t>Royal</t>
  </si>
  <si>
    <t>Cresoxim-Metílico; Tebuconazol</t>
  </si>
  <si>
    <t>21000.011988/2009-59</t>
  </si>
  <si>
    <t>Quality</t>
  </si>
  <si>
    <t>21000.012910/2006-17</t>
  </si>
  <si>
    <t>Topsin 700</t>
  </si>
  <si>
    <t>21000.011615/2008-05</t>
  </si>
  <si>
    <t>Tino</t>
  </si>
  <si>
    <t>21000.000730/2009-27</t>
  </si>
  <si>
    <t>Glifosato Técnco Nufarm BR</t>
  </si>
  <si>
    <t>21000.011656/2009-74</t>
  </si>
  <si>
    <t>Jupi</t>
  </si>
  <si>
    <t>21000.003981/2008-82</t>
  </si>
  <si>
    <t>Maxim TB</t>
  </si>
  <si>
    <t>Metalaxil-M; Tiabendazol; Fludioxonil</t>
  </si>
  <si>
    <t>21000.008283/2011-79</t>
  </si>
  <si>
    <t>Biotésia</t>
  </si>
  <si>
    <t>Biotech</t>
  </si>
  <si>
    <t>21000.008851/2009-17</t>
  </si>
  <si>
    <t>Cignus</t>
  </si>
  <si>
    <t>21000.009622/2008-39</t>
  </si>
  <si>
    <t>Rocks</t>
  </si>
  <si>
    <t>21000.006047/2008-12</t>
  </si>
  <si>
    <t>Nicosulfuron Técnico Rotam</t>
  </si>
  <si>
    <t>21000.012054/2010-78</t>
  </si>
  <si>
    <t>Neomip</t>
  </si>
  <si>
    <t>Neoseiulus califonicus</t>
  </si>
  <si>
    <t>21000.007999/2008-53</t>
  </si>
  <si>
    <t>Unimark 700 WG</t>
  </si>
  <si>
    <t>21000.010863/2009-10</t>
  </si>
  <si>
    <t>Acetamiprid Técnico CCAB</t>
  </si>
  <si>
    <t>21000.011695/2008-91</t>
  </si>
  <si>
    <t>Trueno</t>
  </si>
  <si>
    <t>21000.002729/2009-37</t>
  </si>
  <si>
    <t>Lecar</t>
  </si>
  <si>
    <t>21000.010258/2008-50</t>
  </si>
  <si>
    <t>Fluazifop Técnico Sinon</t>
  </si>
  <si>
    <t>Fluazifop-P-Butílico</t>
  </si>
  <si>
    <t>21000.004564/2009-38</t>
  </si>
  <si>
    <t>Acetamiprid Técnico DVA</t>
  </si>
  <si>
    <t>21000.010957/2009-81</t>
  </si>
  <si>
    <t>Fipronil Técnico Agria</t>
  </si>
  <si>
    <t>21000.011050/2009-39</t>
  </si>
  <si>
    <t>Kleios</t>
  </si>
  <si>
    <t>Trifloxissulfurom-Sódico</t>
  </si>
  <si>
    <t>21000.008093/2009-37</t>
  </si>
  <si>
    <t>Camp-D</t>
  </si>
  <si>
    <t>21000.008587/2009-11</t>
  </si>
  <si>
    <t>Raio</t>
  </si>
  <si>
    <t>21000.006625/2010-35</t>
  </si>
  <si>
    <t>Methamax</t>
  </si>
  <si>
    <t>Turfal</t>
  </si>
  <si>
    <t>21000.005863/2010-23</t>
  </si>
  <si>
    <t>Clorpirifós Técnico Fersol</t>
  </si>
  <si>
    <t>21000.011049/2009-12</t>
  </si>
  <si>
    <t>Actend</t>
  </si>
  <si>
    <t>21000.002737/2009-83</t>
  </si>
  <si>
    <t>Mancozeb Técnico</t>
  </si>
  <si>
    <t>21000.004357/2009-83</t>
  </si>
  <si>
    <t>Fipronil Técnico Ouro Fino</t>
  </si>
  <si>
    <t>21000.004550/2010-58</t>
  </si>
  <si>
    <t>Glyphosate Technical</t>
  </si>
  <si>
    <t>21000.006037/2010-00</t>
  </si>
  <si>
    <t>Glifosato Técnico Alamos</t>
  </si>
  <si>
    <t>21000.008366/2009-43</t>
  </si>
  <si>
    <t>Glifosato Técnico Rainbow</t>
  </si>
  <si>
    <t>21000.005006/2010-23</t>
  </si>
  <si>
    <t>Glifosato Técnico Atanor III</t>
  </si>
  <si>
    <t>21000.011411/2008-66</t>
  </si>
  <si>
    <t>Urge 750 SP</t>
  </si>
  <si>
    <t>21000.014827/2006-74</t>
  </si>
  <si>
    <t>Grão Verde AG</t>
  </si>
  <si>
    <t>Sulfluramida</t>
  </si>
  <si>
    <t>21000.010164/2009-61</t>
  </si>
  <si>
    <t>Carbendazim Nortox BR</t>
  </si>
  <si>
    <t>21000.006644/2010-61</t>
  </si>
  <si>
    <t>Altacor BR</t>
  </si>
  <si>
    <t>21000.007712/2009-76</t>
  </si>
  <si>
    <t>Azoxistrobin Técnico Cheminova</t>
  </si>
  <si>
    <t>21000.002774/2010-25</t>
  </si>
  <si>
    <t>Fipronil Técnico Nortox</t>
  </si>
  <si>
    <t>21000.014253/2006-34</t>
  </si>
  <si>
    <t>2,4-D Ácido Seco Técnico III</t>
  </si>
  <si>
    <t>21000.001034/2008-65</t>
  </si>
  <si>
    <t>Imidacloprid Técnico Nortox</t>
  </si>
  <si>
    <t>21000.011804/2009-51</t>
  </si>
  <si>
    <t>Regent Duo</t>
  </si>
  <si>
    <t>Fipronil; Alfacipermetrina</t>
  </si>
  <si>
    <t>21000.000834/2009-31</t>
  </si>
  <si>
    <t>Trichodermax EC</t>
  </si>
  <si>
    <t>21000.005442/2009-69</t>
  </si>
  <si>
    <t>Clomazone Técnico UPL</t>
  </si>
  <si>
    <t>21000.004391/2009-58</t>
  </si>
  <si>
    <t>Diurom Técnico SD</t>
  </si>
  <si>
    <t>21000.001049/2009-04</t>
  </si>
  <si>
    <t>Diurom Técnico Consagro</t>
  </si>
  <si>
    <t>21000.007685/2009-31</t>
  </si>
  <si>
    <t>Carbendazim Nortox</t>
  </si>
  <si>
    <t>21000.009480/2008-18</t>
  </si>
  <si>
    <t>Much 600 FS</t>
  </si>
  <si>
    <t>21000.010223/2008-31</t>
  </si>
  <si>
    <t>Imidacloprid Técnico Ouro Fino</t>
  </si>
  <si>
    <t>21000.000704/2009-07</t>
  </si>
  <si>
    <t>Bovemax EC</t>
  </si>
  <si>
    <t>21000.005452/2009-02</t>
  </si>
  <si>
    <t>Prospect</t>
  </si>
  <si>
    <t>21000.005454/2009-93</t>
  </si>
  <si>
    <t>Pladox</t>
  </si>
  <si>
    <t>21000.011613/2008-16</t>
  </si>
  <si>
    <t>Picloram 240 SL DVA</t>
  </si>
  <si>
    <t>21000.007877/2008-67</t>
  </si>
  <si>
    <t>Carbendazim Cropchem 500 SC</t>
  </si>
  <si>
    <t>21000.004196/2009-28</t>
  </si>
  <si>
    <t>Lambda-Cialotrina Nufarm 250 CS</t>
  </si>
  <si>
    <t>21000.011003/2011-18</t>
  </si>
  <si>
    <t>Cotesia Biocana</t>
  </si>
  <si>
    <t>Biocana</t>
  </si>
  <si>
    <t>21000.007704/2007-68</t>
  </si>
  <si>
    <t>Rivax</t>
  </si>
  <si>
    <t>21000.006982/2007-06</t>
  </si>
  <si>
    <t>Azoxistrobin Técnico Milenia</t>
  </si>
  <si>
    <t>21000.008340/2010-39</t>
  </si>
  <si>
    <t>Locker</t>
  </si>
  <si>
    <t>Carbendazim; Tebuconazol; Cresoxim-Metílico</t>
  </si>
  <si>
    <t>21000.002656/2009-83</t>
  </si>
  <si>
    <t>Fipronil Técnico Cheminova</t>
  </si>
  <si>
    <t>21000.008738/2011-56</t>
  </si>
  <si>
    <t>Cotesia Biocontrol</t>
  </si>
  <si>
    <t>21000.004722/2008-79</t>
  </si>
  <si>
    <t>Rimon Supra</t>
  </si>
  <si>
    <t>21000.006331/2009-70</t>
  </si>
  <si>
    <t>ProdutorBR</t>
  </si>
  <si>
    <t>21000.008256/2008-09</t>
  </si>
  <si>
    <t>Metsuram 600 WG</t>
  </si>
  <si>
    <t>21000.003501/2008-83</t>
  </si>
  <si>
    <t xml:space="preserve">Picloram Técnico Milenia </t>
  </si>
  <si>
    <t xml:space="preserve">Picloram </t>
  </si>
  <si>
    <t xml:space="preserve">Milenia </t>
  </si>
  <si>
    <t>Ano de 2010</t>
  </si>
  <si>
    <t>21000.011747/2007-48</t>
  </si>
  <si>
    <t xml:space="preserve">Metomil Técnico Rotam </t>
  </si>
  <si>
    <t>Metamil</t>
  </si>
  <si>
    <t>21000.006331/2008-99</t>
  </si>
  <si>
    <t>Fortuna 800 WP</t>
  </si>
  <si>
    <t>21000.013171/2004-29</t>
  </si>
  <si>
    <t>Pyraclostrobin Pré Mistura 40%</t>
  </si>
  <si>
    <t>21000.003533/2008-89</t>
  </si>
  <si>
    <t xml:space="preserve">Protectin </t>
  </si>
  <si>
    <t>21000.009234/2008-28</t>
  </si>
  <si>
    <t xml:space="preserve">Ampligo </t>
  </si>
  <si>
    <t>Lambda-Cialotrina; Clorantraniliprole</t>
  </si>
  <si>
    <t>21000.003156/1994-40</t>
  </si>
  <si>
    <t>Degesch-Magphos</t>
  </si>
  <si>
    <t>Fosfeto de Magnesio</t>
  </si>
  <si>
    <t>Degesch</t>
  </si>
  <si>
    <t>21000.005272/2006-70</t>
  </si>
  <si>
    <t>Derosal 500 BCS</t>
  </si>
  <si>
    <t xml:space="preserve">Carbendazim </t>
  </si>
  <si>
    <t xml:space="preserve">Bayer </t>
  </si>
  <si>
    <t>21000.009558/2007-13</t>
  </si>
  <si>
    <t>Flutriafol Técnico Nufarm</t>
  </si>
  <si>
    <t xml:space="preserve">Flutriafol </t>
  </si>
  <si>
    <t>21000.008578/2008-40</t>
  </si>
  <si>
    <t xml:space="preserve">Cimox WP Helm </t>
  </si>
  <si>
    <t>Cimoxanil; Mancozebe</t>
  </si>
  <si>
    <t>21000.013943/2006-76</t>
  </si>
  <si>
    <t>Starky</t>
  </si>
  <si>
    <t>Sulfato de Cobre</t>
  </si>
  <si>
    <t xml:space="preserve">Laboratotios Pfizer </t>
  </si>
  <si>
    <t>21000.000307/2007-65</t>
  </si>
  <si>
    <t>Mepiquat Técnico BCS</t>
  </si>
  <si>
    <t>21000.002954/1999-31</t>
  </si>
  <si>
    <t>Imazet 70 WG</t>
  </si>
  <si>
    <t>21000.005866/2006-81</t>
  </si>
  <si>
    <t>Emerald 230 ME</t>
  </si>
  <si>
    <t>Tetraconazol</t>
  </si>
  <si>
    <t>21000.002791/2008-48</t>
  </si>
  <si>
    <t xml:space="preserve">Imidacloprid 700 WG helm </t>
  </si>
  <si>
    <t xml:space="preserve">Helm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</si>
  <si>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</si>
  <si>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21000.006584/2006-09</t>
  </si>
  <si>
    <t>Triller EC</t>
  </si>
  <si>
    <t xml:space="preserve">Bifentrina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</si>
  <si>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</si>
  <si>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21000.011614/2008-52</t>
  </si>
  <si>
    <t>Tebuconazole 200 EC DVA</t>
  </si>
  <si>
    <t xml:space="preserve">Tebuconazole 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</si>
  <si>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</si>
  <si>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21000.003534/2008-23</t>
  </si>
  <si>
    <t xml:space="preserve">Galeão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</si>
  <si>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</si>
  <si>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21000.005928/2008-16</t>
  </si>
  <si>
    <t xml:space="preserve">Tebuconazol Técnico Genbra 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</si>
  <si>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</si>
  <si>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21000.000899/2006-34</t>
  </si>
  <si>
    <t xml:space="preserve">Paraquat 200 SL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</si>
  <si>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</si>
  <si>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21000.000531/2001-61</t>
  </si>
  <si>
    <t>MCPA Nufarm</t>
  </si>
  <si>
    <t>MCPA</t>
  </si>
  <si>
    <t xml:space="preserve">Nufarm 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</si>
  <si>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</si>
  <si>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21000.014932/2006-11</t>
  </si>
  <si>
    <t>Ellect</t>
  </si>
  <si>
    <t xml:space="preserve">Hidroxi de Cobre </t>
  </si>
  <si>
    <t>Oxiquimica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</si>
  <si>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</si>
  <si>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21000.008607/2000-16</t>
  </si>
  <si>
    <t>Disparo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</si>
  <si>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</si>
  <si>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21000.002862/2009-93</t>
  </si>
  <si>
    <t xml:space="preserve">Cotésia Bug </t>
  </si>
  <si>
    <t xml:space="preserve">Bug Agentes Biologicos </t>
  </si>
  <si>
    <t>21000.002014/2008-01</t>
  </si>
  <si>
    <t xml:space="preserve">Triflumuron Técnico Rotam </t>
  </si>
  <si>
    <t>Triflumurom</t>
  </si>
  <si>
    <t>21000.010261/2006-10</t>
  </si>
  <si>
    <t xml:space="preserve">Tema </t>
  </si>
  <si>
    <t>21000.000424/2007-29</t>
  </si>
  <si>
    <t xml:space="preserve">Cigaral </t>
  </si>
  <si>
    <t>21000.007943/2008-07</t>
  </si>
  <si>
    <t>Trichobug</t>
  </si>
  <si>
    <t>21000.006596/1999-44</t>
  </si>
  <si>
    <t>Centurion</t>
  </si>
  <si>
    <t xml:space="preserve">Arysta </t>
  </si>
  <si>
    <t>21000.000890/2008-95</t>
  </si>
  <si>
    <t>Bazuka 216 SL</t>
  </si>
  <si>
    <t>21000.006168/2008-64</t>
  </si>
  <si>
    <t xml:space="preserve">Midash Técnico </t>
  </si>
  <si>
    <t xml:space="preserve">Allier </t>
  </si>
  <si>
    <t>21000.008276/2007-91</t>
  </si>
  <si>
    <t xml:space="preserve">Glifosato Técnico Sabero </t>
  </si>
  <si>
    <t xml:space="preserve">Sabero </t>
  </si>
  <si>
    <t>21000.014731/2006-14</t>
  </si>
  <si>
    <t xml:space="preserve">Picus </t>
  </si>
  <si>
    <t>21000.001213/2009-75</t>
  </si>
  <si>
    <t xml:space="preserve">Diuron Técnico Ouro Fino </t>
  </si>
  <si>
    <t>21000.010552/2007-81</t>
  </si>
  <si>
    <t xml:space="preserve">Propiconazole Técnico DVA </t>
  </si>
  <si>
    <t xml:space="preserve">Propiconazole </t>
  </si>
  <si>
    <t>21000.010849/2009-16</t>
  </si>
  <si>
    <t xml:space="preserve">MagnusBR </t>
  </si>
  <si>
    <t>21000.001645/2008-03</t>
  </si>
  <si>
    <t xml:space="preserve">Flumetralin Técnico Luxenburg </t>
  </si>
  <si>
    <t xml:space="preserve">Flumetralim </t>
  </si>
  <si>
    <t xml:space="preserve">Luxembutg </t>
  </si>
  <si>
    <t>21000.009833/2007-91</t>
  </si>
  <si>
    <t xml:space="preserve">Loop </t>
  </si>
  <si>
    <t xml:space="preserve">Cheminova </t>
  </si>
  <si>
    <t>21000.011617/2008-96</t>
  </si>
  <si>
    <t>Tebuconazole Técnico Biorisk</t>
  </si>
  <si>
    <t xml:space="preserve">Biorisk </t>
  </si>
  <si>
    <t>21000.011202/2004-99</t>
  </si>
  <si>
    <t>Acrinathrin Técnico BCS</t>
  </si>
  <si>
    <t>Acrinatrina</t>
  </si>
  <si>
    <t>21000.001542/2009-16</t>
  </si>
  <si>
    <t>Lambda Cyhalothrin 250 DVA</t>
  </si>
  <si>
    <t>21000.009091/2006-12</t>
  </si>
  <si>
    <t>Tacora 250 EW</t>
  </si>
  <si>
    <t>21000.011264/2008-24</t>
  </si>
  <si>
    <t xml:space="preserve">Carbendazim Técnico Nortox </t>
  </si>
  <si>
    <t>21000.001543/2009-61</t>
  </si>
  <si>
    <t xml:space="preserve">Lambda Cyhalothrin 5% EC </t>
  </si>
  <si>
    <t>21000.005947/2008-42</t>
  </si>
  <si>
    <t>Grassato Técnico</t>
  </si>
  <si>
    <t>21000.011687/2008-44</t>
  </si>
  <si>
    <t xml:space="preserve">Carbendazim Técnico Helm </t>
  </si>
  <si>
    <t>21000.006761/2008-19</t>
  </si>
  <si>
    <t>Lambda-Cialotrina Técnico Genbra</t>
  </si>
  <si>
    <t>21000.011076/2007-15</t>
  </si>
  <si>
    <t xml:space="preserve">Certeza </t>
  </si>
  <si>
    <t xml:space="preserve">Tiofanato-Metilico; Fluazinan </t>
  </si>
  <si>
    <t>21000.002710/1996-23</t>
  </si>
  <si>
    <t xml:space="preserve">Prevail </t>
  </si>
  <si>
    <t>Flumetsulam</t>
  </si>
  <si>
    <t>21000.012397/2006-56</t>
  </si>
  <si>
    <t>Curathane SC</t>
  </si>
  <si>
    <t>21000.014995/2006-60</t>
  </si>
  <si>
    <t xml:space="preserve">Platinum Neo </t>
  </si>
  <si>
    <t xml:space="preserve">Tiametoxam; Lambda-Cialotrina </t>
  </si>
  <si>
    <t>21000.012038/2006-07</t>
  </si>
  <si>
    <t>Eforia</t>
  </si>
  <si>
    <t>21000.007882/2006-16</t>
  </si>
  <si>
    <t>Mesosulfuron Methyl Técnico</t>
  </si>
  <si>
    <t>Metsulfurom-Metil</t>
  </si>
  <si>
    <t>21000.009619/2008-15</t>
  </si>
  <si>
    <t xml:space="preserve">Metomil Técnico Ouro Fino </t>
  </si>
  <si>
    <t>21000.006836/2007-72</t>
  </si>
  <si>
    <t xml:space="preserve">Chlorimuron Técnico Sinon </t>
  </si>
  <si>
    <t>Clorimurom-Metil</t>
  </si>
  <si>
    <t>21000.011131/2007-77</t>
  </si>
  <si>
    <t>Emthane 800 WP</t>
  </si>
  <si>
    <t>21000.012886/2006-16</t>
  </si>
  <si>
    <t>Entrust</t>
  </si>
  <si>
    <t xml:space="preserve">Espinosade </t>
  </si>
  <si>
    <t>21000.010222/2007-95</t>
  </si>
  <si>
    <t xml:space="preserve">Flexin </t>
  </si>
  <si>
    <t>21000.002272/2009-61</t>
  </si>
  <si>
    <t xml:space="preserve">Methomyl Técnico Helm </t>
  </si>
  <si>
    <t>21000.013963/2005-66</t>
  </si>
  <si>
    <t>Afalom 450 EC</t>
  </si>
  <si>
    <t>Linurom</t>
  </si>
  <si>
    <t>21000.010226/2008-54</t>
  </si>
  <si>
    <t>Rascal</t>
  </si>
  <si>
    <t>21000.000715/2008-06</t>
  </si>
  <si>
    <t xml:space="preserve">Status </t>
  </si>
  <si>
    <t xml:space="preserve">Oxicloreto de Cobre </t>
  </si>
  <si>
    <t>21000.000716/2008-42</t>
  </si>
  <si>
    <t xml:space="preserve">Copsuper </t>
  </si>
  <si>
    <t>21000.009489/2008-11</t>
  </si>
  <si>
    <t>Imidagold 700 WG</t>
  </si>
  <si>
    <t xml:space="preserve">United </t>
  </si>
  <si>
    <t>21000.000056/2008-08</t>
  </si>
  <si>
    <t>Liberty BCS</t>
  </si>
  <si>
    <t xml:space="preserve">Glufosinato - Sal de Amônio </t>
  </si>
  <si>
    <t>21000.004171/2006-81</t>
  </si>
  <si>
    <t xml:space="preserve">Lord </t>
  </si>
  <si>
    <t>Cletodin</t>
  </si>
  <si>
    <t>21000.011652/2007-24</t>
  </si>
  <si>
    <t>Cypress 400 EC</t>
  </si>
  <si>
    <t xml:space="preserve">Difenoconazol; Ciproconazol </t>
  </si>
  <si>
    <t>21000.000635/2008-42</t>
  </si>
  <si>
    <t>Biometha GR Plus</t>
  </si>
  <si>
    <t>21000.005719/2008-72</t>
  </si>
  <si>
    <t>Acefato Técnico ADB</t>
  </si>
  <si>
    <t>21000.011651/2008-61</t>
  </si>
  <si>
    <t xml:space="preserve">Eco Meta </t>
  </si>
  <si>
    <t>21000.008633/2001-25</t>
  </si>
  <si>
    <t xml:space="preserve">Serpent </t>
  </si>
  <si>
    <t>21000.001965/2009-36</t>
  </si>
  <si>
    <t>Nicosulfuron Técnico GAT</t>
  </si>
  <si>
    <t xml:space="preserve">Vitalis </t>
  </si>
  <si>
    <t>21000.001184/2008-61</t>
  </si>
  <si>
    <t>Acefato Técnico SB</t>
  </si>
  <si>
    <t>21000.004684/2008-54</t>
  </si>
  <si>
    <t xml:space="preserve">Imidacloprido Técnico Consagro </t>
  </si>
  <si>
    <t xml:space="preserve">Consagro </t>
  </si>
  <si>
    <t>21000.010737/2008-76</t>
  </si>
  <si>
    <t xml:space="preserve">Carbendazim Técnico Ouro Fino </t>
  </si>
  <si>
    <t>21000.008274/2007-00</t>
  </si>
  <si>
    <t xml:space="preserve">Acefato Técnico Sabero </t>
  </si>
  <si>
    <t>21000.000405/2009-64</t>
  </si>
  <si>
    <t>21000.002934/2008-11</t>
  </si>
  <si>
    <t>Mirza 480 SC</t>
  </si>
  <si>
    <t>21000.006045/2008-23</t>
  </si>
  <si>
    <t xml:space="preserve">Wasp 480 SC </t>
  </si>
  <si>
    <t>21000.007268/2008-16</t>
  </si>
  <si>
    <t>Lambda-Cialotrin Técnico Nufarm</t>
  </si>
  <si>
    <t xml:space="preserve">Lambda-Cialotrina </t>
  </si>
  <si>
    <t>21000.012362/2006-17</t>
  </si>
  <si>
    <t xml:space="preserve">Piroclodtrobon Técnico Cristalin </t>
  </si>
  <si>
    <t>21000.010504/2009-54</t>
  </si>
  <si>
    <t>DemolidorBR</t>
  </si>
  <si>
    <t>21000.009620/2008-40</t>
  </si>
  <si>
    <t xml:space="preserve">Tebuthiurom Técnico Ouro Fino </t>
  </si>
  <si>
    <t xml:space="preserve">Tebutiurom </t>
  </si>
  <si>
    <t>21000.000707/2009-32</t>
  </si>
  <si>
    <t>Glifoxin</t>
  </si>
  <si>
    <t>21000.007733/2009-91</t>
  </si>
  <si>
    <t xml:space="preserve">Poquer </t>
  </si>
  <si>
    <t>21000.009295/2008-15</t>
  </si>
  <si>
    <t xml:space="preserve">Lambda-Cyhalothrin Técnico Rotam </t>
  </si>
  <si>
    <t>21000.002624/2009-88</t>
  </si>
  <si>
    <t xml:space="preserve">Hexazinone Técnico Prentiss </t>
  </si>
  <si>
    <t xml:space="preserve">Prentiss </t>
  </si>
  <si>
    <t>21000.004871/1999-86</t>
  </si>
  <si>
    <t>Roundup Ready Milho</t>
  </si>
  <si>
    <t>21000.011587/2006-56</t>
  </si>
  <si>
    <t>Glifosato TK</t>
  </si>
  <si>
    <t xml:space="preserve">Atanor </t>
  </si>
  <si>
    <t>21000.009438/2008-99</t>
  </si>
  <si>
    <t>Legend 250 SL</t>
  </si>
  <si>
    <t xml:space="preserve">Cloreto de Mepiquat </t>
  </si>
  <si>
    <t>21000.000925/2009-77</t>
  </si>
  <si>
    <t xml:space="preserve">Diflubenzurom Técnico DVA </t>
  </si>
  <si>
    <t xml:space="preserve">Diflubenzurom </t>
  </si>
  <si>
    <t xml:space="preserve">DVA </t>
  </si>
  <si>
    <t>21000.009767/2008-30</t>
  </si>
  <si>
    <t>Abacus HC</t>
  </si>
  <si>
    <t>Piraclostrobina; Epoxiconazole</t>
  </si>
  <si>
    <t>21000.005006/2008-17</t>
  </si>
  <si>
    <t>Caramba Plus</t>
  </si>
  <si>
    <t>Piraclostrobina; Metconazol</t>
  </si>
  <si>
    <t>21000.007394/2008-62</t>
  </si>
  <si>
    <t xml:space="preserve">Picloram Técnico BRA </t>
  </si>
  <si>
    <t xml:space="preserve">BRA </t>
  </si>
  <si>
    <t>21000.007809/2008-06</t>
  </si>
  <si>
    <t xml:space="preserve">Picloram Técnico Prentiss </t>
  </si>
  <si>
    <t>21000.008681/2008-91</t>
  </si>
  <si>
    <t>Carbendazim Técnico Biesterfeld</t>
  </si>
  <si>
    <t xml:space="preserve">Biesterfeld </t>
  </si>
  <si>
    <t>21000.004801/2009-61</t>
  </si>
  <si>
    <t>Netuno 750 WG</t>
  </si>
  <si>
    <t>Hexazinone</t>
  </si>
  <si>
    <t>21000.005224/2009-24</t>
  </si>
  <si>
    <t>Rambo 750 WG</t>
  </si>
  <si>
    <t>21000.007701/2009-96</t>
  </si>
  <si>
    <t>SucessoBR</t>
  </si>
  <si>
    <t>21000.002548/2010-44</t>
  </si>
  <si>
    <t>BrilhanteBR</t>
  </si>
  <si>
    <t>21000.005342/2009-32</t>
  </si>
  <si>
    <t>Front</t>
  </si>
  <si>
    <t>21000.003321/2009-82</t>
  </si>
  <si>
    <t>Lambda-Cialotrina CCAB 50 EC</t>
  </si>
  <si>
    <t>21000.002831/2007-71</t>
  </si>
  <si>
    <t>Stilo</t>
  </si>
  <si>
    <t>21000.000406/2009-17</t>
  </si>
  <si>
    <t>Tebuconazole Técnico Ouro Fino</t>
  </si>
  <si>
    <t>21000.009022/2007-90</t>
  </si>
  <si>
    <t>Imazalil Técnico Defensive</t>
  </si>
  <si>
    <t xml:space="preserve">Imazalil </t>
  </si>
  <si>
    <t xml:space="preserve">Defensive </t>
  </si>
  <si>
    <t>Ano de 2009</t>
  </si>
  <si>
    <t>21000.003737/2006-58</t>
  </si>
  <si>
    <t xml:space="preserve">Carial </t>
  </si>
  <si>
    <t>21000.012452/2006-16</t>
  </si>
  <si>
    <t xml:space="preserve">Triclopyr 480 Volagro </t>
  </si>
  <si>
    <t xml:space="preserve">Volcano </t>
  </si>
  <si>
    <t>21000.012832/2006-42</t>
  </si>
  <si>
    <t xml:space="preserve">Consento </t>
  </si>
  <si>
    <t>Cloridrato de Propamocarbe; Fenamidona</t>
  </si>
  <si>
    <t>21000.010118/2006-10</t>
  </si>
  <si>
    <t>Tapak</t>
  </si>
  <si>
    <t xml:space="preserve">Óxido de Fenbutatina </t>
  </si>
  <si>
    <t>21000.005830/2007-88</t>
  </si>
  <si>
    <t>Tarkill SC</t>
  </si>
  <si>
    <t>Poland</t>
  </si>
  <si>
    <t>21000.004684/2007-73</t>
  </si>
  <si>
    <t xml:space="preserve">Gold's Técnico Consagro </t>
  </si>
  <si>
    <t>21000.001528/2006-70</t>
  </si>
  <si>
    <t>Acuthon</t>
  </si>
  <si>
    <t>21000.014001/2004-43</t>
  </si>
  <si>
    <t>Dagostar WG</t>
  </si>
  <si>
    <t>21000.006615/1998-14</t>
  </si>
  <si>
    <t>Steel BR</t>
  </si>
  <si>
    <t>Imazetapir; Imazaquim; Pendimetalina</t>
  </si>
  <si>
    <t>21000.000754/2008-03</t>
  </si>
  <si>
    <t>Reator 360 CS</t>
  </si>
  <si>
    <t>21000.014649/2006-81</t>
  </si>
  <si>
    <t>Standak</t>
  </si>
  <si>
    <t xml:space="preserve">Piraclostrobina; Tiofanato-Metílico; Fipronil </t>
  </si>
  <si>
    <t>21000.012271/2003-39</t>
  </si>
  <si>
    <t xml:space="preserve">Completto Técnico </t>
  </si>
  <si>
    <t xml:space="preserve">Bentiavalicarbe Isopropilico </t>
  </si>
  <si>
    <t>21000.003595/2008-91</t>
  </si>
  <si>
    <t xml:space="preserve">Hexazinona Nortox 250 SL </t>
  </si>
  <si>
    <t xml:space="preserve">Hexazinona </t>
  </si>
  <si>
    <t>21000.002560/2008-34</t>
  </si>
  <si>
    <t xml:space="preserve">Hexazinona Nortox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</si>
  <si>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</si>
  <si>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21000.011785/2007-09</t>
  </si>
  <si>
    <t xml:space="preserve">Gold's 500 SC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</si>
  <si>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</si>
  <si>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21000.012883/2003-21</t>
  </si>
  <si>
    <t>Completto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</si>
  <si>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</si>
  <si>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21000.014718/2006-57</t>
  </si>
  <si>
    <t xml:space="preserve">Oxicloreto de Cobre Técnico Isagro </t>
  </si>
  <si>
    <t xml:space="preserve">Isagro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</si>
  <si>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</si>
  <si>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21000.009532/2005-03</t>
  </si>
  <si>
    <t xml:space="preserve">Belt Técnico </t>
  </si>
  <si>
    <t>Flubendiamide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</si>
  <si>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</si>
  <si>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21000.011776/2007-18</t>
  </si>
  <si>
    <t xml:space="preserve">Crescendo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</si>
  <si>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</si>
  <si>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21000.002676/2008-73</t>
  </si>
  <si>
    <t>Dart</t>
  </si>
  <si>
    <t>Teflubenzurom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</si>
  <si>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</si>
  <si>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21000.002677/2008-18</t>
  </si>
  <si>
    <t>Dart 150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</si>
  <si>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</si>
  <si>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21000.013910/2006-26</t>
  </si>
  <si>
    <t>Previcur BCS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</si>
  <si>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</si>
  <si>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21000.000717/2008-97</t>
  </si>
  <si>
    <t>Carbendazin 500 SC</t>
  </si>
  <si>
    <t>21000.009944/2005-35</t>
  </si>
  <si>
    <t xml:space="preserve">Belt </t>
  </si>
  <si>
    <t>21000.001661/2008-98</t>
  </si>
  <si>
    <t xml:space="preserve">Imidacloprid 97 Técnico Helm </t>
  </si>
  <si>
    <t xml:space="preserve">Imidacloprido </t>
  </si>
  <si>
    <t>21000.002351/2007-18</t>
  </si>
  <si>
    <t>Mepiquat Técnico Cheminova</t>
  </si>
  <si>
    <t>21000.001862/2006-23</t>
  </si>
  <si>
    <t xml:space="preserve">Diflubenzurom 250 WP Sinon </t>
  </si>
  <si>
    <t>21000.010544/2006-53</t>
  </si>
  <si>
    <t>Nuprid 700 WG</t>
  </si>
  <si>
    <t>21000.004971/2008-64</t>
  </si>
  <si>
    <t xml:space="preserve">2,4-D Nortox </t>
  </si>
  <si>
    <t>21000.012364/2006-14</t>
  </si>
  <si>
    <t>Envoy SE</t>
  </si>
  <si>
    <t>Piraclostrobina; Epoxiconazol</t>
  </si>
  <si>
    <t>21000.006024/2007-27</t>
  </si>
  <si>
    <t>Thiodcarbe 350 SC</t>
  </si>
  <si>
    <t>21000.007219/2008-75</t>
  </si>
  <si>
    <t>2,4-D Nortox 806 SL</t>
  </si>
  <si>
    <t>21000.011784/2007-56</t>
  </si>
  <si>
    <t>Truppe 200 EC</t>
  </si>
  <si>
    <t xml:space="preserve">Tebuconazol </t>
  </si>
  <si>
    <t>21000.010618/2007-32</t>
  </si>
  <si>
    <t xml:space="preserve">Mepiquat Chloride Técnico Rotam </t>
  </si>
  <si>
    <t>21000.007544/2006-76</t>
  </si>
  <si>
    <t>Acefato Técnico Agripec</t>
  </si>
  <si>
    <t>21000.013491/2006-22</t>
  </si>
  <si>
    <t>Acefato Técnico UPL</t>
  </si>
  <si>
    <t>21000.001005/2007-12</t>
  </si>
  <si>
    <t>Amistar Top</t>
  </si>
  <si>
    <t>21000.008498/2003-80</t>
  </si>
  <si>
    <t>Herbitrin WG</t>
  </si>
  <si>
    <t>21000.014719/2006-00</t>
  </si>
  <si>
    <t xml:space="preserve">Hidróxido de Cobre Técnico Isagro </t>
  </si>
  <si>
    <t xml:space="preserve">Hidróxido de Cobre </t>
  </si>
  <si>
    <t>21000.011790/2007-11</t>
  </si>
  <si>
    <t xml:space="preserve">Oxicloreto de Cobre Técnico Oxiquímica </t>
  </si>
  <si>
    <t>21000.011791/2007-58</t>
  </si>
  <si>
    <t xml:space="preserve">Hidróxido de Cobre Técnico Oxiquímica </t>
  </si>
  <si>
    <t>21000.003252/2008-26</t>
  </si>
  <si>
    <t>Lambda-Cialotrine Técnico CCAB</t>
  </si>
  <si>
    <t xml:space="preserve">Lambda-cialotrina </t>
  </si>
  <si>
    <t>21000.014186/2006-58</t>
  </si>
  <si>
    <t>Saluzi 600 FS</t>
  </si>
  <si>
    <t>21000.014197/2006-38</t>
  </si>
  <si>
    <t>Imidacloprid 600 FS</t>
  </si>
  <si>
    <t>21000.001712/2007-09</t>
  </si>
  <si>
    <t xml:space="preserve">Extreme </t>
  </si>
  <si>
    <t>21000.001713/2007-45</t>
  </si>
  <si>
    <t>Majesty</t>
  </si>
  <si>
    <t>21000.002839/2007-37</t>
  </si>
  <si>
    <t xml:space="preserve">Sponsor </t>
  </si>
  <si>
    <t>21000.002640/2008-90</t>
  </si>
  <si>
    <t>Dez</t>
  </si>
  <si>
    <t>21000.011408/2007-61</t>
  </si>
  <si>
    <t xml:space="preserve">Tebuconazole Técnico DVA </t>
  </si>
  <si>
    <t>21000.008460/1999-70</t>
  </si>
  <si>
    <t xml:space="preserve">Bumper </t>
  </si>
  <si>
    <t>21000.006022/2007-38</t>
  </si>
  <si>
    <t>Saddler 350 SC</t>
  </si>
  <si>
    <t>21000.006310/1998-59</t>
  </si>
  <si>
    <t>Liberty</t>
  </si>
  <si>
    <t>21000.004707/2000-73</t>
  </si>
  <si>
    <t>Fuguron Azul</t>
  </si>
  <si>
    <t>Novaquim</t>
  </si>
  <si>
    <t>21000.011524/2007-81</t>
  </si>
  <si>
    <t xml:space="preserve">Limits 500 SC </t>
  </si>
  <si>
    <t>21000.007858/2007-50</t>
  </si>
  <si>
    <t>Metrubuzim Técnico UPL</t>
  </si>
  <si>
    <t>21000.012377/2006-85</t>
  </si>
  <si>
    <t>Rotaprid 350 SC</t>
  </si>
  <si>
    <t>21000.014774/2006-91</t>
  </si>
  <si>
    <t>Imidacloprid 700 WG</t>
  </si>
  <si>
    <t>21000.014772/2006-01</t>
  </si>
  <si>
    <t>Bamoko 700 WG</t>
  </si>
  <si>
    <t>21000.003128/2008-61</t>
  </si>
  <si>
    <t xml:space="preserve">Hexazinone Técnico Base </t>
  </si>
  <si>
    <t>21000.003202/2007-68</t>
  </si>
  <si>
    <t>Banole HV</t>
  </si>
  <si>
    <t xml:space="preserve">Óleo Mineral Parafínico </t>
  </si>
  <si>
    <t xml:space="preserve">Total Lubrificantes do Brasil </t>
  </si>
  <si>
    <t>21000.006376/2007-82</t>
  </si>
  <si>
    <t xml:space="preserve">Shar-Teb Técnico </t>
  </si>
  <si>
    <t>AlierBrasil</t>
  </si>
  <si>
    <t>21000.008570/2008-83</t>
  </si>
  <si>
    <t xml:space="preserve">Hexazinona Técnico Cropchem </t>
  </si>
  <si>
    <t xml:space="preserve">Cropchem </t>
  </si>
  <si>
    <t>21000.008537/2008-53</t>
  </si>
  <si>
    <t>Hexazinona Técncio BRA</t>
  </si>
  <si>
    <t>21000.003253/2008-71</t>
  </si>
  <si>
    <t>Tebuconazol Técnico CCAB</t>
  </si>
  <si>
    <t>21000.004974/2007-17</t>
  </si>
  <si>
    <t>Pramilho</t>
  </si>
  <si>
    <t>21000.002816/2005-61</t>
  </si>
  <si>
    <t>Inceris</t>
  </si>
  <si>
    <t>Etefom</t>
  </si>
  <si>
    <t>21000.007129/2001-16</t>
  </si>
  <si>
    <t>Abamex BR</t>
  </si>
  <si>
    <t>21000.004465/2005-22</t>
  </si>
  <si>
    <t>Daconil WG</t>
  </si>
  <si>
    <t>21000.002813/2005-27</t>
  </si>
  <si>
    <t>Thorn</t>
  </si>
  <si>
    <t>21000.009672/2007-35</t>
  </si>
  <si>
    <t>Band</t>
  </si>
  <si>
    <t>21000.009410/2006-90</t>
  </si>
  <si>
    <t>Kentan 40 WG</t>
  </si>
  <si>
    <t>21000.009941/2007-63</t>
  </si>
  <si>
    <t>Buron</t>
  </si>
  <si>
    <t>21000.008216/2006-97</t>
  </si>
  <si>
    <t xml:space="preserve">Tacora Técnico </t>
  </si>
  <si>
    <t>CrossLinck</t>
  </si>
  <si>
    <t>21000.004543/2006-70</t>
  </si>
  <si>
    <t xml:space="preserve">Alterne </t>
  </si>
  <si>
    <t>21000.000240/2007-69</t>
  </si>
  <si>
    <t>Smartfersh Smarttabs</t>
  </si>
  <si>
    <t>21000.011298/2007-38</t>
  </si>
  <si>
    <t>Thiram Técnico Flexsys</t>
  </si>
  <si>
    <t>21000.008934/2007-44</t>
  </si>
  <si>
    <t>Unizeb 800 WP</t>
  </si>
  <si>
    <t xml:space="preserve">Mancozebe </t>
  </si>
  <si>
    <t>21000.010622/2007-09</t>
  </si>
  <si>
    <t xml:space="preserve">Hexazinona D Nortox </t>
  </si>
  <si>
    <t>21000.004525/2004-26</t>
  </si>
  <si>
    <t>Stron 600 SL</t>
  </si>
  <si>
    <t xml:space="preserve">Metamidofós </t>
  </si>
  <si>
    <t>21000.002138/2006-17</t>
  </si>
  <si>
    <t xml:space="preserve">Viviful Técnico </t>
  </si>
  <si>
    <t>21000.010738/2006-59</t>
  </si>
  <si>
    <t>Viviful</t>
  </si>
  <si>
    <t>21000.004215/2008-35</t>
  </si>
  <si>
    <t>Hexafort</t>
  </si>
  <si>
    <t>21000.008367/2007-26</t>
  </si>
  <si>
    <t xml:space="preserve">Guapo </t>
  </si>
  <si>
    <t>Cresoxim-Metilico; Epoxiconazol</t>
  </si>
  <si>
    <t>21000.011209/2007-53</t>
  </si>
  <si>
    <t>Rincoforol</t>
  </si>
  <si>
    <t xml:space="preserve">Interacta </t>
  </si>
  <si>
    <t>21000.014730/2006-61</t>
  </si>
  <si>
    <t>Warrant 700 WG</t>
  </si>
  <si>
    <t>21000.008107/2007-51</t>
  </si>
  <si>
    <t xml:space="preserve">Chlorantraniliprole Técnico </t>
  </si>
  <si>
    <t xml:space="preserve">Du Pont </t>
  </si>
  <si>
    <t>21000.008439/2007-35</t>
  </si>
  <si>
    <t>Altacor</t>
  </si>
  <si>
    <t>21000.014652/2006-03</t>
  </si>
  <si>
    <t xml:space="preserve">Brio </t>
  </si>
  <si>
    <t>21000.008483/2007-91</t>
  </si>
  <si>
    <t>Premio</t>
  </si>
  <si>
    <t>21000.014651/2006-51</t>
  </si>
  <si>
    <t>Juwel</t>
  </si>
  <si>
    <t>Epoxiconazole; Cresoxim-Metílico</t>
  </si>
  <si>
    <t>21000.014650/2006-14</t>
  </si>
  <si>
    <t>Juwel SC</t>
  </si>
  <si>
    <t>21000.009284/2008-35</t>
  </si>
  <si>
    <t xml:space="preserve">Abamectin DVA 18 EC </t>
  </si>
  <si>
    <t>21000.010616/2007-43</t>
  </si>
  <si>
    <t>Tebuzol 200 EC</t>
  </si>
  <si>
    <t>21000.009039/2005-85</t>
  </si>
  <si>
    <t>Actelliclambda</t>
  </si>
  <si>
    <t>21000.009017/2002-72</t>
  </si>
  <si>
    <t xml:space="preserve">Absoluto Técnico </t>
  </si>
  <si>
    <t xml:space="preserve">Ihara </t>
  </si>
  <si>
    <t>21000.004685/2008-07</t>
  </si>
  <si>
    <t xml:space="preserve">Dessicash Técnico </t>
  </si>
  <si>
    <t xml:space="preserve">Allier Brasil </t>
  </si>
  <si>
    <t>21000.010043/2007-58</t>
  </si>
  <si>
    <t>Hexanil 750 WG</t>
  </si>
  <si>
    <t>21000.011297/2007-93</t>
  </si>
  <si>
    <t>Druid 750 WG</t>
  </si>
  <si>
    <t>21000.003268/2008-39</t>
  </si>
  <si>
    <t xml:space="preserve">Cletodim Técnico Milenia </t>
  </si>
  <si>
    <t>21000.011296/2007-49</t>
  </si>
  <si>
    <t>Mepiquat 50 SL</t>
  </si>
  <si>
    <t>21000.010619/2007-87</t>
  </si>
  <si>
    <t>Applicato 50 SL</t>
  </si>
  <si>
    <t>21000.008899/2007-63</t>
  </si>
  <si>
    <t>Imidacloprido 350 SC</t>
  </si>
  <si>
    <t>21000.011811/2007-91</t>
  </si>
  <si>
    <t>Difere</t>
  </si>
  <si>
    <t>21000.009089/2007-24</t>
  </si>
  <si>
    <t>Nicosulfuron Técnico Cheminova</t>
  </si>
  <si>
    <t>21000.006185/2008-00</t>
  </si>
  <si>
    <t xml:space="preserve">Tebuconazole Terragro </t>
  </si>
  <si>
    <t xml:space="preserve">Terragro </t>
  </si>
  <si>
    <t>21000.009977/2008-28</t>
  </si>
  <si>
    <t xml:space="preserve">Hexazinona Técnico Ouro Fino </t>
  </si>
  <si>
    <t>21000.011517/2008-60</t>
  </si>
  <si>
    <t xml:space="preserve">Eleve </t>
  </si>
  <si>
    <t>21000.011782/2007-67</t>
  </si>
  <si>
    <t>Simbole 125 SC</t>
  </si>
  <si>
    <t>21000.010017/2007-20</t>
  </si>
  <si>
    <t>Mancozebe Técnico Sabero</t>
  </si>
  <si>
    <t>21000.013399/2006-62</t>
  </si>
  <si>
    <t xml:space="preserve">Abamit </t>
  </si>
  <si>
    <t>21000.003127/2008-16</t>
  </si>
  <si>
    <t xml:space="preserve">Lambda-Cyhalothtin Técnico Base </t>
  </si>
  <si>
    <t>21000.007649/2008-97</t>
  </si>
  <si>
    <t>Norton</t>
  </si>
  <si>
    <t>21000.008212/2008-71</t>
  </si>
  <si>
    <t xml:space="preserve">2,4-D + Picloram </t>
  </si>
  <si>
    <t>21000.011749/2007-37</t>
  </si>
  <si>
    <t>Solist 430 SC</t>
  </si>
  <si>
    <t>21000.002974/2008-91</t>
  </si>
  <si>
    <t xml:space="preserve">Hexazonona + Diuron WG Nortox </t>
  </si>
  <si>
    <t>21000.007606/2008-10</t>
  </si>
  <si>
    <t xml:space="preserve">Glifosato Cropchem 480 SL </t>
  </si>
  <si>
    <t>21000.007876/2008-12</t>
  </si>
  <si>
    <t>Glifosato Nutritop</t>
  </si>
  <si>
    <t>21000.004346/2008-12</t>
  </si>
  <si>
    <t xml:space="preserve">Hexazinone DVA 250 SL </t>
  </si>
  <si>
    <t>21000.003458/2007-75</t>
  </si>
  <si>
    <t xml:space="preserve">Thiophanate Methyl 500 SC Helm </t>
  </si>
  <si>
    <t>21000.005132/2008-63</t>
  </si>
  <si>
    <t xml:space="preserve">Cloreto de Mepiquat Técnico Consagro </t>
  </si>
  <si>
    <t>21000.012946/2006-92</t>
  </si>
  <si>
    <t>Appalus 200 SC</t>
  </si>
  <si>
    <t>21000.007243/2008-12</t>
  </si>
  <si>
    <t xml:space="preserve">Tebuconazole Técnico Base </t>
  </si>
  <si>
    <t>21000.009533/2005-40</t>
  </si>
  <si>
    <t xml:space="preserve">Duetto WG </t>
  </si>
  <si>
    <t xml:space="preserve">Sipcam </t>
  </si>
  <si>
    <t>21000.010965/2001-70</t>
  </si>
  <si>
    <t>Dithane WG NT</t>
  </si>
  <si>
    <t>21000.014506/2006-70</t>
  </si>
  <si>
    <t>Dithane NT WG</t>
  </si>
  <si>
    <t>21000.003297/2007-10</t>
  </si>
  <si>
    <t xml:space="preserve">Bio NEP </t>
  </si>
  <si>
    <t xml:space="preserve">Steinernema puertoricense </t>
  </si>
  <si>
    <t xml:space="preserve">Biocontrole </t>
  </si>
  <si>
    <t>21000.009232/2008-69</t>
  </si>
  <si>
    <t>Superus</t>
  </si>
  <si>
    <t>21000.004509/2008-67</t>
  </si>
  <si>
    <t>Nicosulfuron Técnico Prentiss</t>
  </si>
  <si>
    <t>21000.004852/2008-10</t>
  </si>
  <si>
    <t xml:space="preserve">Nicosulfuron Técnico DVA </t>
  </si>
  <si>
    <t>21000.010732/2008-43</t>
  </si>
  <si>
    <t>Nicosulfuron Técnico BRA</t>
  </si>
  <si>
    <t>21000.007061/2007-52</t>
  </si>
  <si>
    <t>Laredo</t>
  </si>
  <si>
    <t>21000.011717/2006-51</t>
  </si>
  <si>
    <t>Imidacloprid Nufarm</t>
  </si>
  <si>
    <t>21000.012861/2006-12</t>
  </si>
  <si>
    <t>Fox</t>
  </si>
  <si>
    <t xml:space="preserve">Trifloxistrobina; Protioconazol </t>
  </si>
  <si>
    <t>21000.006964/2006-35</t>
  </si>
  <si>
    <t xml:space="preserve">Atempla </t>
  </si>
  <si>
    <t>21000.005934/2006-10</t>
  </si>
  <si>
    <t>Seizer 100 EC</t>
  </si>
  <si>
    <t>21000.014595/2005-73</t>
  </si>
  <si>
    <t>Escudo 500 EC</t>
  </si>
  <si>
    <t>21000.012453/2006-52</t>
  </si>
  <si>
    <t>Dihex</t>
  </si>
  <si>
    <t>Ano de 2008</t>
  </si>
  <si>
    <t>21000.007671/2007-56</t>
  </si>
  <si>
    <t>Diuron 80 Voloagro</t>
  </si>
  <si>
    <t>21000.013462/2006-61</t>
  </si>
  <si>
    <t>Agris</t>
  </si>
  <si>
    <t>Óleo Mineral</t>
  </si>
  <si>
    <t>Union Agro</t>
  </si>
  <si>
    <t>21000.009251/2006-23</t>
  </si>
  <si>
    <t>Streak Técnico</t>
  </si>
  <si>
    <t>21000.014117/2004-82</t>
  </si>
  <si>
    <t>Amplo</t>
  </si>
  <si>
    <t>Bentazon; Imazamox</t>
  </si>
  <si>
    <t>21000.011235/2006-09</t>
  </si>
  <si>
    <t>Aval 100</t>
  </si>
  <si>
    <t>21000.013528/2005-31</t>
  </si>
  <si>
    <t>Lava 100</t>
  </si>
  <si>
    <t>21000.013090/2005-91</t>
  </si>
  <si>
    <t>Fênix Satr</t>
  </si>
  <si>
    <t xml:space="preserve">Carbosulfano </t>
  </si>
  <si>
    <t>21000.004392/2000-64</t>
  </si>
  <si>
    <t>Funguran Verde</t>
  </si>
  <si>
    <t>21000.012603/2006-28</t>
  </si>
  <si>
    <t>Violin TS</t>
  </si>
  <si>
    <t>21000.012602/2006-83</t>
  </si>
  <si>
    <t>Amulet</t>
  </si>
  <si>
    <t>21000.012601/2006-39</t>
  </si>
  <si>
    <t>Bellure</t>
  </si>
  <si>
    <t>21000.008246/2006-01</t>
  </si>
  <si>
    <t>Shadow Técnico</t>
  </si>
  <si>
    <t>21000.002737/2006-31</t>
  </si>
  <si>
    <t>Rotamik</t>
  </si>
  <si>
    <t>21000.007439/2006-37</t>
  </si>
  <si>
    <t>Óleo Vegetal Samaritá</t>
  </si>
  <si>
    <t>Óleo Vegetal</t>
  </si>
  <si>
    <t>Samaritá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</si>
  <si>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</si>
  <si>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21000.014810/2005-36</t>
  </si>
  <si>
    <t>Diflubenzuron AGP 480 SC</t>
  </si>
  <si>
    <t>Agripec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</si>
  <si>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</si>
  <si>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21000.006703/2006-15</t>
  </si>
  <si>
    <t>Tebuconazol Técnico Agrolíder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</si>
  <si>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</si>
  <si>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21000.012450/2006-19</t>
  </si>
  <si>
    <t>2,4-D Ácido Técnico Volcano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</si>
  <si>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</si>
  <si>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21000.005331/2001-03</t>
  </si>
  <si>
    <t>Keep 125 SC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</si>
  <si>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</si>
  <si>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21000.001974/2006-84</t>
  </si>
  <si>
    <t>Toco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</si>
  <si>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</si>
  <si>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21000.013814/2006-88</t>
  </si>
  <si>
    <t>Paraquat Técnico 500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</si>
  <si>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</si>
  <si>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21000.000816/2007-98</t>
  </si>
  <si>
    <t>Fluazinam Técnico Cheminova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</si>
  <si>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</si>
  <si>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21000.005035/2006-17</t>
  </si>
  <si>
    <t>Velpar Max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</si>
  <si>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</si>
  <si>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21000.014925/2006-10</t>
  </si>
  <si>
    <t>Premier Plus</t>
  </si>
  <si>
    <t>Imidacloprido; Triadimenol</t>
  </si>
  <si>
    <t>21000.010996/2002-10</t>
  </si>
  <si>
    <t>Famoxadone Técnico</t>
  </si>
  <si>
    <t>Famoxadone</t>
  </si>
  <si>
    <t>21000.014812/2005-25</t>
  </si>
  <si>
    <t>Dragon</t>
  </si>
  <si>
    <t>21000.008433/2005-04</t>
  </si>
  <si>
    <t>Tropero</t>
  </si>
  <si>
    <t>21000.007275/2003-03</t>
  </si>
  <si>
    <t>Tutor</t>
  </si>
  <si>
    <t>21000.009728/2005-90</t>
  </si>
  <si>
    <t>Pendulum</t>
  </si>
  <si>
    <t xml:space="preserve">Pendimetalina </t>
  </si>
  <si>
    <t>21000.010265/2001-85</t>
  </si>
  <si>
    <t>Pymetrozine Técnico</t>
  </si>
  <si>
    <t>Pimetrozine</t>
  </si>
  <si>
    <t>21000.004853/2007-75</t>
  </si>
  <si>
    <t>2,4-D Técnico Nortox</t>
  </si>
  <si>
    <t>21000.010403/2001-26</t>
  </si>
  <si>
    <t>Chess 500 WG</t>
  </si>
  <si>
    <t>21000.012805/2006-70</t>
  </si>
  <si>
    <t>Posse 400 SC</t>
  </si>
  <si>
    <t>21000.008273/2003-23</t>
  </si>
  <si>
    <t>Tairel Plus</t>
  </si>
  <si>
    <t>Benalaxil; Clorotalonil</t>
  </si>
  <si>
    <t>21000.009277/2006-71</t>
  </si>
  <si>
    <t>SBF 006 Técnico Terragro</t>
  </si>
  <si>
    <t>Terragro</t>
  </si>
  <si>
    <t>21000.008796/2006-12</t>
  </si>
  <si>
    <t>Thiophanate-methyl 98 Técnico Helm</t>
  </si>
  <si>
    <t>Tiofanato-Metilico</t>
  </si>
  <si>
    <t>21000.001979/2007-98</t>
  </si>
  <si>
    <t>Paraquat Técnico Helm</t>
  </si>
  <si>
    <t>21000.014363/2006-04</t>
  </si>
  <si>
    <t>Glifosato Técnico Helm</t>
  </si>
  <si>
    <t>21000.014157/2004-24</t>
  </si>
  <si>
    <t>Staron</t>
  </si>
  <si>
    <t xml:space="preserve">Clorimurom-Etílico </t>
  </si>
  <si>
    <t>21000.007871/2007-17</t>
  </si>
  <si>
    <t>Imidacloprid Técnico UPL</t>
  </si>
  <si>
    <t>21000.013373/2005-33</t>
  </si>
  <si>
    <t>Chlorimuron Agripec 250 WG</t>
  </si>
  <si>
    <t>21000.012639/2006-10</t>
  </si>
  <si>
    <t>Concept Técnico</t>
  </si>
  <si>
    <t>21000.010514/2001-32</t>
  </si>
  <si>
    <t>Flamenco</t>
  </si>
  <si>
    <t>21000.008552/2001-25</t>
  </si>
  <si>
    <t>Alteza</t>
  </si>
  <si>
    <t>Imazetapir; Glifosato</t>
  </si>
  <si>
    <t>21000.007139/2005-77</t>
  </si>
  <si>
    <t>Escudo</t>
  </si>
  <si>
    <t>21000.002129/2005-45</t>
  </si>
  <si>
    <t>Tetraconazole Técnico</t>
  </si>
  <si>
    <t xml:space="preserve">Tetraconazole </t>
  </si>
  <si>
    <t>21000.005953/2007-19</t>
  </si>
  <si>
    <t>Picloram Técnico Nortox</t>
  </si>
  <si>
    <t>21000.003728/2007-48</t>
  </si>
  <si>
    <t>Flutriafol Sinon</t>
  </si>
  <si>
    <t>21000.012736/2005-13</t>
  </si>
  <si>
    <t>Soberan Técnico</t>
  </si>
  <si>
    <t>Tembotrione</t>
  </si>
  <si>
    <t>21000.013128/2005-26</t>
  </si>
  <si>
    <t xml:space="preserve">Soberan </t>
  </si>
  <si>
    <t>21000.002627/2004-15</t>
  </si>
  <si>
    <t>Talent</t>
  </si>
  <si>
    <t xml:space="preserve">Metsufuron-metilico </t>
  </si>
  <si>
    <t>21000.006731/2006-32</t>
  </si>
  <si>
    <t>Skip 125 SC</t>
  </si>
  <si>
    <t>21000.005228/2006-60</t>
  </si>
  <si>
    <t>Glifosato Técnico Dow Agrosciences II</t>
  </si>
  <si>
    <t>21000.013463/2006-13</t>
  </si>
  <si>
    <t>Soy-Gold</t>
  </si>
  <si>
    <t>Óleo vegetal</t>
  </si>
  <si>
    <t>21000.002703/2005-65</t>
  </si>
  <si>
    <t>Viper</t>
  </si>
  <si>
    <t>21000.012451/2006-63</t>
  </si>
  <si>
    <t>Picloram 240 Volcano</t>
  </si>
  <si>
    <t>21000.011532/2007-27</t>
  </si>
  <si>
    <t>21000.000471/2006-91</t>
  </si>
  <si>
    <t>Browser</t>
  </si>
  <si>
    <t>21000.011533/2007-71</t>
  </si>
  <si>
    <t>Navigator</t>
  </si>
  <si>
    <t>21000.014683/2006-56</t>
  </si>
  <si>
    <t>MSMA 720</t>
  </si>
  <si>
    <t>MSMA</t>
  </si>
  <si>
    <t>21000.001102/2001-10</t>
  </si>
  <si>
    <t>Magister</t>
  </si>
  <si>
    <t>21000.008280/2002-44</t>
  </si>
  <si>
    <t>Púgil WG</t>
  </si>
  <si>
    <t>21000.004737/2007-56</t>
  </si>
  <si>
    <t>Cention Técnico Lanxess</t>
  </si>
  <si>
    <t>Lanxess</t>
  </si>
  <si>
    <t>21000.006981/2006-72</t>
  </si>
  <si>
    <t>Trinity Técnico</t>
  </si>
  <si>
    <t>21000.004115/2007-28</t>
  </si>
  <si>
    <t>Adante</t>
  </si>
  <si>
    <t>Tiametoxam; Ciproconazol</t>
  </si>
  <si>
    <t>21000.008411/2006-17</t>
  </si>
  <si>
    <t>Array 200EC</t>
  </si>
  <si>
    <t>21000.009807/2006-81</t>
  </si>
  <si>
    <t>Triclopyr Ester Técnico Volcano</t>
  </si>
  <si>
    <t>21000.009312/2007-33</t>
  </si>
  <si>
    <t>Grall</t>
  </si>
  <si>
    <t>21000.001960/2001-56</t>
  </si>
  <si>
    <t>Rugby 200 CS</t>
  </si>
  <si>
    <t>Cadusafós</t>
  </si>
  <si>
    <t>21000.014160/2004-48</t>
  </si>
  <si>
    <t>Clorimuron Orentiss</t>
  </si>
  <si>
    <t>21000.003143/2005-66</t>
  </si>
  <si>
    <t>Dynasty</t>
  </si>
  <si>
    <t>Fludioxonil; Metalaxil-M; Azoxistrobina</t>
  </si>
  <si>
    <t>21000.014159/2004-13</t>
  </si>
  <si>
    <t>Imazetapir Prentiss</t>
  </si>
  <si>
    <t>21000.008157/2004-95</t>
  </si>
  <si>
    <t>Dicamba Técnico</t>
  </si>
  <si>
    <t>21000.011043/2007-75</t>
  </si>
  <si>
    <t>Grant</t>
  </si>
  <si>
    <t>21000.002891/2006-11</t>
  </si>
  <si>
    <t>Terbuthylazine Técnico</t>
  </si>
  <si>
    <t>21000.007761/2006-66</t>
  </si>
  <si>
    <t>Epoxiconazole Técnico Cheminova</t>
  </si>
  <si>
    <t>21000.005106/2007-54</t>
  </si>
  <si>
    <t>Fortuna Técnica</t>
  </si>
  <si>
    <t>21000.012034/2006-11</t>
  </si>
  <si>
    <t>Shadow 480 SL</t>
  </si>
  <si>
    <t>21000.012356/2005-89</t>
  </si>
  <si>
    <t>Gamit Star</t>
  </si>
  <si>
    <t>21000.007672/2007-09</t>
  </si>
  <si>
    <t>MSMA 720 Volagro</t>
  </si>
  <si>
    <t>21000.007462/2006-21</t>
  </si>
  <si>
    <t>Bio Cryptoblades</t>
  </si>
  <si>
    <t>(Z)-11-hexadecenal; (Z)-13-octadecenal</t>
  </si>
  <si>
    <t>21000.006433/2005-61</t>
  </si>
  <si>
    <t>Proline Técnico</t>
  </si>
  <si>
    <t>Proticonazol</t>
  </si>
  <si>
    <t>21000.008232/2005-07</t>
  </si>
  <si>
    <t>Folio Gold 440 SC</t>
  </si>
  <si>
    <t>Metalaxil-M; Cloratalonil</t>
  </si>
  <si>
    <t>21000.006233/2003-47</t>
  </si>
  <si>
    <t>Optix</t>
  </si>
  <si>
    <t>Beta-Cipermetrina</t>
  </si>
  <si>
    <t>21000.011578/2006-65</t>
  </si>
  <si>
    <t>Sphere Max</t>
  </si>
  <si>
    <t>21000.007270/2005-34</t>
  </si>
  <si>
    <t>Proline</t>
  </si>
  <si>
    <t>21000.009149/2005-47</t>
  </si>
  <si>
    <t>Jump</t>
  </si>
  <si>
    <t>21000.010160/2005-50</t>
  </si>
  <si>
    <t>Krismat WG</t>
  </si>
  <si>
    <t>Ametrina; Trifloxisulfurom-sodium</t>
  </si>
  <si>
    <t>21000.000958/2008-36</t>
  </si>
  <si>
    <t>Luretape BW-10</t>
  </si>
  <si>
    <t>21000.010705/2006-17</t>
  </si>
  <si>
    <t>Change</t>
  </si>
  <si>
    <t>21000.007881/2006-63</t>
  </si>
  <si>
    <t>Propomacarb Técnico BCS</t>
  </si>
  <si>
    <t>Propamocarbe</t>
  </si>
  <si>
    <t>21000.005533/2005-71</t>
  </si>
  <si>
    <t>Fungicarb 500 SC</t>
  </si>
  <si>
    <t>21000.007686/2007-14</t>
  </si>
  <si>
    <t>Clomazone Técnico Cheminova</t>
  </si>
  <si>
    <t>21000.007513/2007-04</t>
  </si>
  <si>
    <t>Lambda Cyhalothrin 50 CS Helm</t>
  </si>
  <si>
    <t>21000.007178/1998-39</t>
  </si>
  <si>
    <t>Vezir 100</t>
  </si>
  <si>
    <t>21000.014805/2005-23</t>
  </si>
  <si>
    <t>Mandipropamid Técnico</t>
  </si>
  <si>
    <t>21000.005604/2005-35</t>
  </si>
  <si>
    <t>Flare</t>
  </si>
  <si>
    <t>21000.005533/2007-32</t>
  </si>
  <si>
    <t>Artoil</t>
  </si>
  <si>
    <t>21000.011731/2006-54</t>
  </si>
  <si>
    <t>Imidacloprid Técnico Rotam</t>
  </si>
  <si>
    <t>21000.006021/2007-93</t>
  </si>
  <si>
    <t>Thiodicarb Técnico Rotam</t>
  </si>
  <si>
    <t>21000.003357/2006-13</t>
  </si>
  <si>
    <t>Sonora</t>
  </si>
  <si>
    <t>21000.014855/2005-19</t>
  </si>
  <si>
    <t>Revus</t>
  </si>
  <si>
    <t>21000.012383/2005-51</t>
  </si>
  <si>
    <t>Tebuconazole Técnico UPL</t>
  </si>
  <si>
    <t>United</t>
  </si>
  <si>
    <t>21000.012391/2004-17</t>
  </si>
  <si>
    <t>Clomazone  500 EC FMC</t>
  </si>
  <si>
    <t>21000.012392/2004-61</t>
  </si>
  <si>
    <t>Clomanex  500 EC</t>
  </si>
  <si>
    <t>21000.005251/2001-40</t>
  </si>
  <si>
    <t>2,4-D Ácido Técnico Mil</t>
  </si>
  <si>
    <t>21000.001583/2007-41</t>
  </si>
  <si>
    <t>Broker 750 WG</t>
  </si>
  <si>
    <t>21000.014139/2006-12</t>
  </si>
  <si>
    <t>Gold’S Técnico</t>
  </si>
  <si>
    <t>Óxido de Fenbutatina</t>
  </si>
  <si>
    <t>21000.001240/2008-67</t>
  </si>
  <si>
    <t>Tebuco Nortox</t>
  </si>
  <si>
    <t>21000.000779/2008-07</t>
  </si>
  <si>
    <t>2,4-D Técnico DVA</t>
  </si>
  <si>
    <t>21000.006660/2007-59</t>
  </si>
  <si>
    <t>PMG Técnico NJ</t>
  </si>
  <si>
    <t>21000.000880/2007-79</t>
  </si>
  <si>
    <t>Tebuconazole 97 Técnico Helm</t>
  </si>
  <si>
    <t>21000.008257/2007-46</t>
  </si>
  <si>
    <t>Clorpirifos Técnico Sabero</t>
  </si>
  <si>
    <t>Clorpirifos</t>
  </si>
  <si>
    <t>21000.002794/2004-58</t>
  </si>
  <si>
    <t>Baculovirus AEE</t>
  </si>
  <si>
    <t>AEE</t>
  </si>
  <si>
    <t>21000.011703/2007-18</t>
  </si>
  <si>
    <t>Brion</t>
  </si>
  <si>
    <t>21000.014723/2005-89</t>
  </si>
  <si>
    <t>Marshal Star</t>
  </si>
  <si>
    <t>21000.012328/2005-61</t>
  </si>
  <si>
    <t>Lactofen DVA Agro</t>
  </si>
  <si>
    <t>21000.014933/2006-58</t>
  </si>
  <si>
    <t>Auge</t>
  </si>
  <si>
    <t>Hidróxido de cobre</t>
  </si>
  <si>
    <t>21000.008660/2004-41</t>
  </si>
  <si>
    <t>Veromite</t>
  </si>
  <si>
    <t>Propargite</t>
  </si>
  <si>
    <t>21000.008123/2006-62</t>
  </si>
  <si>
    <t>Vermite B</t>
  </si>
  <si>
    <t>21000.013527/2005-97</t>
  </si>
  <si>
    <t>Du Din</t>
  </si>
  <si>
    <t>21000.007547/2006-18</t>
  </si>
  <si>
    <t>Du Dim 80 WG</t>
  </si>
  <si>
    <t>21000.014450/2005-72</t>
  </si>
  <si>
    <t>Libre</t>
  </si>
  <si>
    <t>Anidrido Naftálico</t>
  </si>
  <si>
    <t>21000.001033/2006-41</t>
  </si>
  <si>
    <t>Minx 500 SC</t>
  </si>
  <si>
    <t>21000.014131/2004-86</t>
  </si>
  <si>
    <t>In-Tec</t>
  </si>
  <si>
    <t xml:space="preserve">Nonil fenol Etoxilado </t>
  </si>
  <si>
    <t>Inquima</t>
  </si>
  <si>
    <t>21000.009887/2006-75</t>
  </si>
  <si>
    <t>Appalus Técnico</t>
  </si>
  <si>
    <t>21000.009695/2001-54</t>
  </si>
  <si>
    <t>Zapp QI 620</t>
  </si>
  <si>
    <t>21000.007956/2004-44</t>
  </si>
  <si>
    <t>Safety Técnico</t>
  </si>
  <si>
    <t>Etofenproxi</t>
  </si>
  <si>
    <t>21000.011778/2007-07</t>
  </si>
  <si>
    <t>Navigator-D</t>
  </si>
  <si>
    <t>21000.008483/2007-45</t>
  </si>
  <si>
    <t>Tocha</t>
  </si>
  <si>
    <t>21000.011777/2007-54</t>
  </si>
  <si>
    <t>Leopard-D</t>
  </si>
  <si>
    <t>21000.003628/2007-11</t>
  </si>
  <si>
    <t>Browser-D</t>
  </si>
  <si>
    <t>21000.000131/2006-61</t>
  </si>
  <si>
    <t>Glizmax</t>
  </si>
  <si>
    <t>21000.005029/2007-32</t>
  </si>
  <si>
    <t>PMG Técnico Syngenta</t>
  </si>
  <si>
    <t>21000.014529/2005-01</t>
  </si>
  <si>
    <t>Simtrac 500</t>
  </si>
  <si>
    <t>21000.004536/2007-59</t>
  </si>
  <si>
    <t>Picloram-D Volagro</t>
  </si>
  <si>
    <t>21000.003593/2004-78</t>
  </si>
  <si>
    <t>Zetacypermethrin Técnico FMC</t>
  </si>
  <si>
    <t>Zeta-cipermetrina</t>
  </si>
  <si>
    <t>21000.005481/2006-13</t>
  </si>
  <si>
    <t>Carbendazim 500 DVA Agro</t>
  </si>
  <si>
    <t>21000.010478/2006-11</t>
  </si>
  <si>
    <t>Aval</t>
  </si>
  <si>
    <t>21000.012321/2005-40</t>
  </si>
  <si>
    <t>Lava</t>
  </si>
  <si>
    <t>21000.004922/2006-60</t>
  </si>
  <si>
    <t>Sumô</t>
  </si>
  <si>
    <t>21000.009789/2007-19</t>
  </si>
  <si>
    <t>Flutriafol Técnico Prentiss</t>
  </si>
  <si>
    <t>21000.009311/2007-99</t>
  </si>
  <si>
    <t>Flutriafol Técnico BRA</t>
  </si>
  <si>
    <t>21000.008315/2007-50</t>
  </si>
  <si>
    <t>Ardent Técnico Milenia</t>
  </si>
  <si>
    <t>21000.001209/2007-45</t>
  </si>
  <si>
    <t>Cresoxim metílico Técnico Cheminova</t>
  </si>
  <si>
    <t>21000.002360/2005-39</t>
  </si>
  <si>
    <t>Xavante Técnico</t>
  </si>
  <si>
    <t>Fluopicolida</t>
  </si>
  <si>
    <t>21000.005713/2007-14</t>
  </si>
  <si>
    <t>Helmoxone</t>
  </si>
  <si>
    <t>21000.012611/2006-74</t>
  </si>
  <si>
    <t>Streak 500 SC</t>
  </si>
  <si>
    <t>21000.002229/2005-71</t>
  </si>
  <si>
    <t xml:space="preserve">Truly </t>
  </si>
  <si>
    <t>21000.008876/2007-59</t>
  </si>
  <si>
    <t xml:space="preserve">Hexazinone Técnico DVA </t>
  </si>
  <si>
    <t>21000.008877/2007-11</t>
  </si>
  <si>
    <t>Lambda Cyhalothrin Técnico DVA</t>
  </si>
  <si>
    <t>21000.014755/2005-84</t>
  </si>
  <si>
    <t xml:space="preserve">Attic </t>
  </si>
  <si>
    <t xml:space="preserve">Iprodione </t>
  </si>
  <si>
    <t>21000.010663/2006-14</t>
  </si>
  <si>
    <t xml:space="preserve">Trinity 250 SC </t>
  </si>
  <si>
    <t>21000.010725/2004-18</t>
  </si>
  <si>
    <t xml:space="preserve">Micene </t>
  </si>
  <si>
    <t>21000.013890/2004-21</t>
  </si>
  <si>
    <t>Zetamil WG</t>
  </si>
  <si>
    <t>21000.007386/2007-35</t>
  </si>
  <si>
    <t>Prend- D-806</t>
  </si>
  <si>
    <t>21000.012784/2006-92</t>
  </si>
  <si>
    <t xml:space="preserve">Biver </t>
  </si>
  <si>
    <t>21000.012783/2006-48</t>
  </si>
  <si>
    <t xml:space="preserve">Warrior </t>
  </si>
  <si>
    <t>21000.001208/2007-09</t>
  </si>
  <si>
    <t xml:space="preserve">Zignal </t>
  </si>
  <si>
    <t>21000.008542/2004-32</t>
  </si>
  <si>
    <t>Herbipak WG</t>
  </si>
  <si>
    <t>21000.008195/2004-48</t>
  </si>
  <si>
    <t>Ametrex WG</t>
  </si>
  <si>
    <t>21000.010752/2006-52</t>
  </si>
  <si>
    <t>Rbric</t>
  </si>
  <si>
    <t>21000.012860/2006-60</t>
  </si>
  <si>
    <t xml:space="preserve">Confidor Supra </t>
  </si>
  <si>
    <t>21000.005769/2005-15</t>
  </si>
  <si>
    <t xml:space="preserve">Xavante </t>
  </si>
  <si>
    <t>21000.005281/2001-56</t>
  </si>
  <si>
    <t xml:space="preserve">Pistol 106 SC </t>
  </si>
  <si>
    <t>21000.011796/2007-81</t>
  </si>
  <si>
    <t xml:space="preserve">Abamectim Técnico DVA </t>
  </si>
  <si>
    <t>21000.011063/2007-46</t>
  </si>
  <si>
    <t xml:space="preserve">2,4-D Ácido 97 Técnico Helm </t>
  </si>
  <si>
    <t>21000.009722/2006-01</t>
  </si>
  <si>
    <t>Envoy</t>
  </si>
  <si>
    <t xml:space="preserve">Piraclostrobina; Epoxiconazol </t>
  </si>
  <si>
    <t>21000.014738/2005-47</t>
  </si>
  <si>
    <t>Delsene WG</t>
  </si>
  <si>
    <t>21000.009830/2006-76</t>
  </si>
  <si>
    <t xml:space="preserve">Triclon </t>
  </si>
  <si>
    <t>21000.010041/2007-69</t>
  </si>
  <si>
    <t xml:space="preserve">Hezaxinone Técnico Rotam </t>
  </si>
  <si>
    <t>21000.010617/2007-98</t>
  </si>
  <si>
    <t>Odin 430 SC</t>
  </si>
  <si>
    <t>21000.010991/2006-11</t>
  </si>
  <si>
    <t xml:space="preserve">Adviter </t>
  </si>
  <si>
    <t>21000.010994/2006-46</t>
  </si>
  <si>
    <t xml:space="preserve">Avelex </t>
  </si>
  <si>
    <t>21000.010992/2006-57</t>
  </si>
  <si>
    <t xml:space="preserve">Soligard </t>
  </si>
  <si>
    <t>21000.012502/2006-57</t>
  </si>
  <si>
    <t xml:space="preserve">Grasp </t>
  </si>
  <si>
    <t>21000.000834/2008-51</t>
  </si>
  <si>
    <t>Tebuconazole Nortox 200EC</t>
  </si>
  <si>
    <t>21000.007137/2007-40</t>
  </si>
  <si>
    <t>Isca Formicida Macex</t>
  </si>
  <si>
    <t xml:space="preserve">Ác. Oléico; Ác. Palmitico; Ác. Linoléico; Ác. Esteárico; Cafeína </t>
  </si>
  <si>
    <t xml:space="preserve">Macex </t>
  </si>
  <si>
    <t>21000.010993/2006-00</t>
  </si>
  <si>
    <t>Xekil</t>
  </si>
  <si>
    <t>21000.008304/2006-99</t>
  </si>
  <si>
    <t>Profit</t>
  </si>
  <si>
    <t>Clomazona; Carfentrazona - Etílica</t>
  </si>
  <si>
    <t>21000.012895/2006-07</t>
  </si>
  <si>
    <t xml:space="preserve">Infinito </t>
  </si>
  <si>
    <t xml:space="preserve">Cloridrato de Propamocarbe; Fluopicolide </t>
  </si>
  <si>
    <t>21000.011223/2005-95</t>
  </si>
  <si>
    <t>Celest XC</t>
  </si>
  <si>
    <t xml:space="preserve">Difenoconazol; Fludioxonil </t>
  </si>
  <si>
    <t>21000.010735/2007-04</t>
  </si>
  <si>
    <t xml:space="preserve">Picloram 94 Técnico Helm </t>
  </si>
  <si>
    <t>21000.014321/2004-01</t>
  </si>
  <si>
    <t xml:space="preserve">Flupro </t>
  </si>
  <si>
    <t>21000.001655/2006-79</t>
  </si>
  <si>
    <t>Radiant 100 EC</t>
  </si>
  <si>
    <t>Flumicloraque-Pentílico</t>
  </si>
  <si>
    <t>21000.001692/2001-72</t>
  </si>
  <si>
    <t xml:space="preserve">Lactofen Técnico </t>
  </si>
  <si>
    <t>21000.004429/2005-69</t>
  </si>
  <si>
    <t>Artea 330 EC</t>
  </si>
  <si>
    <t>Propiconazol; Ciproconazol</t>
  </si>
  <si>
    <t>21000.008039/2001-34</t>
  </si>
  <si>
    <t xml:space="preserve">Stimo </t>
  </si>
  <si>
    <t xml:space="preserve">Mancozebe; Zoxamide </t>
  </si>
  <si>
    <t>21000.007872/2007-53</t>
  </si>
  <si>
    <t xml:space="preserve">Toreg 50 E C </t>
  </si>
  <si>
    <t>21000.011314/2007-92</t>
  </si>
  <si>
    <t>Clorpirifós Sabero 480EC</t>
  </si>
  <si>
    <t>21000.011683/2006-02</t>
  </si>
  <si>
    <t>Graster</t>
  </si>
  <si>
    <t>Oxazolidinadiona; Mancozebe</t>
  </si>
  <si>
    <t>21000.010283/2001-67</t>
  </si>
  <si>
    <t xml:space="preserve">Talento </t>
  </si>
  <si>
    <t>Ano de 2007</t>
  </si>
  <si>
    <t>21000.005251/2004-92</t>
  </si>
  <si>
    <t>Commanche Técnico</t>
  </si>
  <si>
    <t>21000.002124/2005-12</t>
  </si>
  <si>
    <t>Bulldock Técnico BCS</t>
  </si>
  <si>
    <t>Beta-ciflutrina</t>
  </si>
  <si>
    <t>21000.006004/2002-41</t>
  </si>
  <si>
    <t>Profoxydim Técnico</t>
  </si>
  <si>
    <t>Profoxidim</t>
  </si>
  <si>
    <t>21000.003496/2004-85</t>
  </si>
  <si>
    <t xml:space="preserve">Teflubenzuron Técnico </t>
  </si>
  <si>
    <t xml:space="preserve">Teflubenzurom </t>
  </si>
  <si>
    <t>21000.008570/2005-31</t>
  </si>
  <si>
    <t xml:space="preserve">Fomesafen Técnico Syngenta </t>
  </si>
  <si>
    <t>21000.003642/2001-20</t>
  </si>
  <si>
    <t xml:space="preserve">Fera Técnico FMC </t>
  </si>
  <si>
    <t>21000.004570/2004-81</t>
  </si>
  <si>
    <t xml:space="preserve">Dithianon Técnico Basf </t>
  </si>
  <si>
    <t>Ditianona</t>
  </si>
  <si>
    <t>21000.003643/2001-74</t>
  </si>
  <si>
    <t>Fera</t>
  </si>
  <si>
    <t>21000.004860/2001-81</t>
  </si>
  <si>
    <t>Affinity 400 EC</t>
  </si>
  <si>
    <t>21000.004781/2004-13</t>
  </si>
  <si>
    <t>Alfacipermetrina Técnico</t>
  </si>
  <si>
    <t xml:space="preserve">Alfa-cipermetrina </t>
  </si>
  <si>
    <t>21000.006780/2003-22</t>
  </si>
  <si>
    <t xml:space="preserve">Carbosulfan Técnico FMC </t>
  </si>
  <si>
    <t>21000.009527/2003-21</t>
  </si>
  <si>
    <t>Borneo Técnico</t>
  </si>
  <si>
    <t xml:space="preserve">Etoxazole </t>
  </si>
  <si>
    <t>21000.006999/2005-93</t>
  </si>
  <si>
    <t>Ciproconazol Técnico SYN</t>
  </si>
  <si>
    <t>21000.012359/2005-12</t>
  </si>
  <si>
    <t xml:space="preserve">Aureo </t>
  </si>
  <si>
    <t xml:space="preserve">Éster metílico de óleo de soja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</si>
  <si>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</si>
  <si>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21000.006821/2005-42</t>
  </si>
  <si>
    <t xml:space="preserve">Cymoxanil Técnico Helm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</si>
  <si>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</si>
  <si>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21000.010769/2005-29</t>
  </si>
  <si>
    <t xml:space="preserve">Picloram Técnico Agripec 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</si>
  <si>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</si>
  <si>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21000.011116/2005-67</t>
  </si>
  <si>
    <t xml:space="preserve">Bifentrina Técnico Milenia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</si>
  <si>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</si>
  <si>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21000.002474/2004-06</t>
  </si>
  <si>
    <t>Clomazone Técnico FMC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</si>
  <si>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</si>
  <si>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21000.011799/2005-52</t>
  </si>
  <si>
    <t>Trichodermil SC 1306</t>
  </si>
  <si>
    <t>Tricoderma harzianum</t>
  </si>
  <si>
    <t xml:space="preserve">Itaforte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</si>
  <si>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</si>
  <si>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21000.005819/2004-75</t>
  </si>
  <si>
    <t>Borneo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</si>
  <si>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</si>
  <si>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21000.012745/2003-42</t>
  </si>
  <si>
    <t>Propiconazole Técnico Nortox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</si>
  <si>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</si>
  <si>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21000.012518/2003-17</t>
  </si>
  <si>
    <t xml:space="preserve">Zaphir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</si>
  <si>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</si>
  <si>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21000.006798/2001-62</t>
  </si>
  <si>
    <t xml:space="preserve">Certus </t>
  </si>
  <si>
    <t xml:space="preserve">Pirimetanil; Iprodiona </t>
  </si>
  <si>
    <t>21000.004423/2006-72</t>
  </si>
  <si>
    <t xml:space="preserve">Icarus 250 EC </t>
  </si>
  <si>
    <t>21000.002712/2004-75</t>
  </si>
  <si>
    <t>Dimilin 80 WG</t>
  </si>
  <si>
    <t>21000.006488/2005-71</t>
  </si>
  <si>
    <t xml:space="preserve">Flutriafol Técnico Sinon </t>
  </si>
  <si>
    <t>21000.012979/2003-90</t>
  </si>
  <si>
    <t xml:space="preserve">Maxim XL Professional </t>
  </si>
  <si>
    <t>Fludioxonil; Metalaxyl-M</t>
  </si>
  <si>
    <t>21000.010998/2002-09</t>
  </si>
  <si>
    <t xml:space="preserve">Hexazinone Técnico BR </t>
  </si>
  <si>
    <t>21000.004818/2005-94</t>
  </si>
  <si>
    <t>Agril-320</t>
  </si>
  <si>
    <t xml:space="preserve">N-dodecilbenzeno sulfonato de sódio </t>
  </si>
  <si>
    <t>Herces</t>
  </si>
  <si>
    <t>21000.005575/2004-21</t>
  </si>
  <si>
    <t xml:space="preserve">Ferramol </t>
  </si>
  <si>
    <t xml:space="preserve">Fosfato Férrico </t>
  </si>
  <si>
    <t>21000.002475/2004-42</t>
  </si>
  <si>
    <t>Capture 120 FS</t>
  </si>
  <si>
    <t>21000.013844/2004-22</t>
  </si>
  <si>
    <t xml:space="preserve">Capture 400 EC </t>
  </si>
  <si>
    <t>21000.007296/2004-00</t>
  </si>
  <si>
    <t xml:space="preserve">Glifos Plus </t>
  </si>
  <si>
    <t>21000.004856/2005-47</t>
  </si>
  <si>
    <t xml:space="preserve">Diflubenzuron 96 Técnico Helm </t>
  </si>
  <si>
    <t>21000.001509/2006-43</t>
  </si>
  <si>
    <t>GLF001</t>
  </si>
  <si>
    <t>21000.001508/2006-07</t>
  </si>
  <si>
    <t>GLF002</t>
  </si>
  <si>
    <t>21000.004401/2006-11</t>
  </si>
  <si>
    <t>GLF003</t>
  </si>
  <si>
    <t>21000.014819/2005-47</t>
  </si>
  <si>
    <t>Difenohelm</t>
  </si>
  <si>
    <t>21000.012975/2003-10</t>
  </si>
  <si>
    <t>Apron RFC</t>
  </si>
  <si>
    <t>21000.008725/2005-39</t>
  </si>
  <si>
    <t>Diuron Técnico Volcano</t>
  </si>
  <si>
    <t>21000.004762/1997-89</t>
  </si>
  <si>
    <t>Detia Gas-Ex-B</t>
  </si>
  <si>
    <t xml:space="preserve">Fosfeto de Alumínio </t>
  </si>
  <si>
    <t>21000.004763/1997-41</t>
  </si>
  <si>
    <t>Detia Gas-Ex-T</t>
  </si>
  <si>
    <t>21000.005457/2005-01</t>
  </si>
  <si>
    <t xml:space="preserve">Clomazone Técnico Milenia </t>
  </si>
  <si>
    <t>21000.011399/2004-66</t>
  </si>
  <si>
    <t xml:space="preserve">Óleo Vegetal Fertimax </t>
  </si>
  <si>
    <t>IFP</t>
  </si>
  <si>
    <t>21000.012517/2003-72</t>
  </si>
  <si>
    <t>Tarzan</t>
  </si>
  <si>
    <t>21000.006417/2006-50</t>
  </si>
  <si>
    <t>Dipel WG</t>
  </si>
  <si>
    <r>
      <rPr>
        <rFont val="Arial"/>
        <color rgb="FF000066"/>
        <sz val="11.0"/>
      </rPr>
      <t xml:space="preserve">Bacillus thuringiensis </t>
    </r>
    <r>
      <rPr>
        <rFont val="Arial"/>
        <i/>
        <color rgb="FF000066"/>
        <sz val="10.0"/>
      </rPr>
      <t>var. kurstaki</t>
    </r>
  </si>
  <si>
    <t>21000.013062/2004-93</t>
  </si>
  <si>
    <t>Acefato Técnico Nortox</t>
  </si>
  <si>
    <t>21000.010712/2003-68</t>
  </si>
  <si>
    <t>Commence</t>
  </si>
  <si>
    <t>21000.009937/2004-52</t>
  </si>
  <si>
    <t>Drible</t>
  </si>
  <si>
    <t>21000.009919/2005-51</t>
  </si>
  <si>
    <t xml:space="preserve">Mancozebe Técnico Agripe </t>
  </si>
  <si>
    <t>21000.010738/2004-97</t>
  </si>
  <si>
    <t>Bifentrina 100 EC</t>
  </si>
  <si>
    <t>21000.000467/2006-23</t>
  </si>
  <si>
    <t xml:space="preserve">Picloram Técnico Volcano </t>
  </si>
  <si>
    <t>21000.012393/2004-14</t>
  </si>
  <si>
    <t>Explorer 500 SC</t>
  </si>
  <si>
    <t>21000.010737/2004-42</t>
  </si>
  <si>
    <t>Brigade 100 EC</t>
  </si>
  <si>
    <t>21000.014309/2004-99</t>
  </si>
  <si>
    <t>Diflubenzuron Técnico Sinon</t>
  </si>
  <si>
    <t>21000.008611/2005-99</t>
  </si>
  <si>
    <t>Radiant Técnico SCB</t>
  </si>
  <si>
    <t>21000.009622/2005-96</t>
  </si>
  <si>
    <t xml:space="preserve">Impact Plus </t>
  </si>
  <si>
    <t>21000.013328/2005-89</t>
  </si>
  <si>
    <t>Battle</t>
  </si>
  <si>
    <t>21000.003291/2003-19</t>
  </si>
  <si>
    <t>Togar TB</t>
  </si>
  <si>
    <t>Triclopir; Picloram</t>
  </si>
  <si>
    <t>21000.014153/2004-46</t>
  </si>
  <si>
    <t xml:space="preserve">Mustang 350 EC </t>
  </si>
  <si>
    <t>21000.013883/2004-20</t>
  </si>
  <si>
    <t xml:space="preserve">Malathion UL Cheminova </t>
  </si>
  <si>
    <t>21000.000862/2006-14</t>
  </si>
  <si>
    <t xml:space="preserve">Aston </t>
  </si>
  <si>
    <t>21000.008493/1999-10</t>
  </si>
  <si>
    <t xml:space="preserve">Caput </t>
  </si>
  <si>
    <t>21000.008492/1999-75</t>
  </si>
  <si>
    <t>Garbor</t>
  </si>
  <si>
    <t>21000.008600/2004-28</t>
  </si>
  <si>
    <t>Affinity 400 WP</t>
  </si>
  <si>
    <t>21000.001507/2006-54</t>
  </si>
  <si>
    <t>Glifosato Atar 48</t>
  </si>
  <si>
    <t xml:space="preserve">Atar </t>
  </si>
  <si>
    <t>21000.010728/2004-51</t>
  </si>
  <si>
    <t xml:space="preserve">Sprint </t>
  </si>
  <si>
    <t>21000.004738/2005-39</t>
  </si>
  <si>
    <t>Smartfressh Technology</t>
  </si>
  <si>
    <t>Rohm</t>
  </si>
  <si>
    <t>21000.010727/2004-15</t>
  </si>
  <si>
    <t>Bench</t>
  </si>
  <si>
    <t>21000.010360/2004-21</t>
  </si>
  <si>
    <t>Aura 200</t>
  </si>
  <si>
    <t xml:space="preserve">Profoxidim </t>
  </si>
  <si>
    <t>21000.007282/2001-35</t>
  </si>
  <si>
    <t>Wolf</t>
  </si>
  <si>
    <t>21000.009389/2003-80</t>
  </si>
  <si>
    <t>Diurex WG</t>
  </si>
  <si>
    <t>21000.014527/2005-12</t>
  </si>
  <si>
    <t xml:space="preserve">Simazina Técnico Atanor </t>
  </si>
  <si>
    <t xml:space="preserve">Simazina </t>
  </si>
  <si>
    <t>21000.003362/2005-45</t>
  </si>
  <si>
    <t>Dimax 480 SC</t>
  </si>
  <si>
    <t>21000.006200/2005-69</t>
  </si>
  <si>
    <t>2,4-D Técnico</t>
  </si>
  <si>
    <t>21000.012382/2005-15</t>
  </si>
  <si>
    <t xml:space="preserve">Mancozebe Técnico UPL </t>
  </si>
  <si>
    <t>21000.012385/2005-41</t>
  </si>
  <si>
    <t xml:space="preserve">Lambda-Cyhalothrin Técnico UPL </t>
  </si>
  <si>
    <t>21000.004675/2004-30</t>
  </si>
  <si>
    <t>Kifix</t>
  </si>
  <si>
    <t xml:space="preserve">Imazapir; Imazapique </t>
  </si>
  <si>
    <t>21000.013889/2004-05</t>
  </si>
  <si>
    <t>Brisa WG</t>
  </si>
  <si>
    <t>21000.002684/1995-34</t>
  </si>
  <si>
    <t>Merpan 800 WG</t>
  </si>
  <si>
    <t>Agricur</t>
  </si>
  <si>
    <t>21000.000846/2005-32</t>
  </si>
  <si>
    <t>Spring WG</t>
  </si>
  <si>
    <t>21000.002109/2002-21</t>
  </si>
  <si>
    <t xml:space="preserve">Wide </t>
  </si>
  <si>
    <t>21000.000350/2001-70</t>
  </si>
  <si>
    <t>Pivot DG</t>
  </si>
  <si>
    <t>21000.002108/2002-87</t>
  </si>
  <si>
    <t xml:space="preserve">Differ </t>
  </si>
  <si>
    <t>21000.009056/2005-12.</t>
  </si>
  <si>
    <t xml:space="preserve">Confidence </t>
  </si>
  <si>
    <t>21000.013784/2005-29</t>
  </si>
  <si>
    <t xml:space="preserve">Soldier </t>
  </si>
  <si>
    <t>21000.013782/2005-30</t>
  </si>
  <si>
    <t xml:space="preserve">Scopus </t>
  </si>
  <si>
    <t>21000.009506/2003-13</t>
  </si>
  <si>
    <t>Diuron Milenia WG</t>
  </si>
  <si>
    <t>21000.009507/2003-50</t>
  </si>
  <si>
    <t>Herburon WG</t>
  </si>
  <si>
    <t>21000.003359/2006-11</t>
  </si>
  <si>
    <t xml:space="preserve">Aproach Prima </t>
  </si>
  <si>
    <t>21000.007746/2003-75</t>
  </si>
  <si>
    <t>Atranex WG</t>
  </si>
  <si>
    <t>21000.011119/2004-10</t>
  </si>
  <si>
    <t>Brigada EC</t>
  </si>
  <si>
    <t>21000.011115/2004-31</t>
  </si>
  <si>
    <t xml:space="preserve">Alstar </t>
  </si>
  <si>
    <t>21000.008006/2002-75</t>
  </si>
  <si>
    <t xml:space="preserve">Polytrin </t>
  </si>
  <si>
    <t>Profenofos; Cipermetrina</t>
  </si>
  <si>
    <t>21000.005870/2003-04</t>
  </si>
  <si>
    <t>Atrasimex WG</t>
  </si>
  <si>
    <t>21000.009120/2000-51</t>
  </si>
  <si>
    <t xml:space="preserve">Crosser </t>
  </si>
  <si>
    <t>21000.009623/2005-31</t>
  </si>
  <si>
    <t>Capo WG</t>
  </si>
  <si>
    <t>21000.009624/2005-85</t>
  </si>
  <si>
    <t>Fiera WG</t>
  </si>
  <si>
    <t>21000.009535/2005-39</t>
  </si>
  <si>
    <t>Support WG</t>
  </si>
  <si>
    <t>21000.014655/2005-58</t>
  </si>
  <si>
    <t>Neemazal Técnico Agripec</t>
  </si>
  <si>
    <t>Azadirachtin A/B</t>
  </si>
  <si>
    <t>21000.011121/2004-99</t>
  </si>
  <si>
    <t>Insemat FS</t>
  </si>
  <si>
    <t>21000.008434/2005-41</t>
  </si>
  <si>
    <t xml:space="preserve">Siptroil </t>
  </si>
  <si>
    <t>21000.009412/2006-89</t>
  </si>
  <si>
    <t>Cup 001</t>
  </si>
  <si>
    <t>21000.008499/2003-24</t>
  </si>
  <si>
    <t>Coyote WG</t>
  </si>
  <si>
    <t>21000.006187/2003-86</t>
  </si>
  <si>
    <t>Herbimix WG</t>
  </si>
  <si>
    <t>21000.008514/2001-72</t>
  </si>
  <si>
    <t>Cymoxanil Técnico BR</t>
  </si>
  <si>
    <t>21000.005065/2005-34</t>
  </si>
  <si>
    <t xml:space="preserve">MSMA Técnico Volcano </t>
  </si>
  <si>
    <t>21000.014811/2005-81</t>
  </si>
  <si>
    <t>Lactofen AGP 240 EC</t>
  </si>
  <si>
    <t>21000.001525/1996-76</t>
  </si>
  <si>
    <t>Uradir 800</t>
  </si>
  <si>
    <t xml:space="preserve">Bromacila; Diurom </t>
  </si>
  <si>
    <t>21000.008035/2001-56</t>
  </si>
  <si>
    <t xml:space="preserve">Propaquizafop Agricur Técnico </t>
  </si>
  <si>
    <t>Propaquizafope</t>
  </si>
  <si>
    <t>21000.003354/1999-07</t>
  </si>
  <si>
    <t xml:space="preserve">Clorotalonil Técnico Nanchem </t>
  </si>
  <si>
    <t>Nanchem</t>
  </si>
  <si>
    <t>21000.007812/2001-45</t>
  </si>
  <si>
    <t xml:space="preserve">Glifosato Técnico Cropchem </t>
  </si>
  <si>
    <t>21000.007312/2003-75</t>
  </si>
  <si>
    <t xml:space="preserve">Derosal Técnico S </t>
  </si>
  <si>
    <t>21000.005286/2001-89</t>
  </si>
  <si>
    <t xml:space="preserve">Konazol 200 Ec </t>
  </si>
  <si>
    <t>21000.001281/2000-04</t>
  </si>
  <si>
    <t xml:space="preserve">Canastra </t>
  </si>
  <si>
    <t xml:space="preserve">Trifluralina </t>
  </si>
  <si>
    <t>21000.001282/2000-41</t>
  </si>
  <si>
    <t>Arrow</t>
  </si>
  <si>
    <t>21000.007745/1999-38</t>
  </si>
  <si>
    <t xml:space="preserve">TopStar </t>
  </si>
  <si>
    <t>21000.009534/2005-94</t>
  </si>
  <si>
    <t>Pronto WG</t>
  </si>
  <si>
    <t>21000.011807/2005-61</t>
  </si>
  <si>
    <t xml:space="preserve">Fana Vid Flowable </t>
  </si>
  <si>
    <t>Rizzi</t>
  </si>
  <si>
    <t>21000.009536/2005-83</t>
  </si>
  <si>
    <t>Vincitore WG</t>
  </si>
  <si>
    <t>21000.007059/2000-15</t>
  </si>
  <si>
    <t>Tradicional</t>
  </si>
  <si>
    <t>21000.003099/2001-61</t>
  </si>
  <si>
    <t>Winner 100 AL</t>
  </si>
  <si>
    <t>21000.002439/2006-41</t>
  </si>
  <si>
    <t>Echo</t>
  </si>
  <si>
    <t>21000.006004/2001-61</t>
  </si>
  <si>
    <t>Gaucho 600A</t>
  </si>
  <si>
    <t>21000.008707/2004-76</t>
  </si>
  <si>
    <t xml:space="preserve">Glifos Concept </t>
  </si>
  <si>
    <t>21000.010477/2006-77</t>
  </si>
  <si>
    <t>Aval 800</t>
  </si>
  <si>
    <t>21000.013529/2005-86</t>
  </si>
  <si>
    <t>Lava 800</t>
  </si>
  <si>
    <t>21000.012355/2005-34</t>
  </si>
  <si>
    <t>Emerald</t>
  </si>
  <si>
    <t>21000.011120/2004-44</t>
  </si>
  <si>
    <t xml:space="preserve">Xeriff 400 SC </t>
  </si>
  <si>
    <t>21000.011118/2004-75</t>
  </si>
  <si>
    <t xml:space="preserve">Eltra 400 SC </t>
  </si>
  <si>
    <t>21000.010736/2004-06</t>
  </si>
  <si>
    <t xml:space="preserve">Capture 100 EC </t>
  </si>
  <si>
    <t>21000.004715/2004-43</t>
  </si>
  <si>
    <t xml:space="preserve">Jaguar </t>
  </si>
  <si>
    <t>21000.012505/2003-48</t>
  </si>
  <si>
    <t>Systhane 400 WP</t>
  </si>
  <si>
    <t>21000.009973/2003-35</t>
  </si>
  <si>
    <t>Gli-Up 480 SL</t>
  </si>
  <si>
    <t>21000.008517/2006-11</t>
  </si>
  <si>
    <t xml:space="preserve">Splat Grafo </t>
  </si>
  <si>
    <t>(E)-8-dodecenila; (Z)-8-dodecenila; (Z)-8-dodecenol</t>
  </si>
  <si>
    <t xml:space="preserve">Isca </t>
  </si>
  <si>
    <t>21000.008518/2006-65</t>
  </si>
  <si>
    <t xml:space="preserve">Splat Grafo Bona </t>
  </si>
  <si>
    <t>21000.008129/2006-30</t>
  </si>
  <si>
    <t xml:space="preserve">Splat Cida Grafo Bona </t>
  </si>
  <si>
    <t>21000.009409/2006-65</t>
  </si>
  <si>
    <t>Neoram 37.5 WG</t>
  </si>
  <si>
    <t>21000.014158/2004-79</t>
  </si>
  <si>
    <t>Tupan</t>
  </si>
  <si>
    <t>21000.010790/2001-09</t>
  </si>
  <si>
    <t>Supremo WDG</t>
  </si>
  <si>
    <t xml:space="preserve">Clotianidina </t>
  </si>
  <si>
    <t>21000.008913/2005-67</t>
  </si>
  <si>
    <t xml:space="preserve">Turuna </t>
  </si>
  <si>
    <t>21000.006405/2004-63</t>
  </si>
  <si>
    <t xml:space="preserve">Malathion 440 EW </t>
  </si>
  <si>
    <t>21000.009407/2005-95</t>
  </si>
  <si>
    <t xml:space="preserve">Paraquat Técnico Syngenta </t>
  </si>
  <si>
    <t>21000.008154/2000-28</t>
  </si>
  <si>
    <t xml:space="preserve">Glifosato Ácido Agricur Técnico </t>
  </si>
  <si>
    <t>21000.008272/2003-89</t>
  </si>
  <si>
    <t xml:space="preserve">Benalaxyl Técnico Hokko </t>
  </si>
  <si>
    <t xml:space="preserve">Benalaxil </t>
  </si>
  <si>
    <t xml:space="preserve">Hokko </t>
  </si>
  <si>
    <t>21000.000791/2006-41</t>
  </si>
  <si>
    <t xml:space="preserve">Neemal 1.2 EC </t>
  </si>
  <si>
    <t>21000.008988/2005-48</t>
  </si>
  <si>
    <t xml:space="preserve">Zoom </t>
  </si>
  <si>
    <t>21000.004708/2000-18</t>
  </si>
  <si>
    <t xml:space="preserve">Funguran Técnico </t>
  </si>
  <si>
    <t xml:space="preserve">Novaquim </t>
  </si>
  <si>
    <t>21000.011088/2003-16</t>
  </si>
  <si>
    <t xml:space="preserve">Nufuron </t>
  </si>
  <si>
    <t>21000.007169/1998-48</t>
  </si>
  <si>
    <t>Oneshot</t>
  </si>
  <si>
    <t xml:space="preserve">Imazaquim; Glifosato </t>
  </si>
  <si>
    <t>21000.014638/2005-11</t>
  </si>
  <si>
    <t xml:space="preserve">Vincit 50 EC </t>
  </si>
  <si>
    <t>21000.012381/2005-62</t>
  </si>
  <si>
    <t xml:space="preserve">Smite </t>
  </si>
  <si>
    <t>21000.009758/2005-04</t>
  </si>
  <si>
    <t>Fanavid 85</t>
  </si>
  <si>
    <t>21000.002842/2004-16</t>
  </si>
  <si>
    <t xml:space="preserve">Decisor </t>
  </si>
  <si>
    <t>21000.002841/2004-16</t>
  </si>
  <si>
    <t xml:space="preserve">Tasker </t>
  </si>
  <si>
    <t>21000.006487/2006-16</t>
  </si>
  <si>
    <t>Lead</t>
  </si>
  <si>
    <t>21000.009727/2005-45</t>
  </si>
  <si>
    <t xml:space="preserve">Herbadox 400 EC </t>
  </si>
  <si>
    <t>21000.014637/2005-76</t>
  </si>
  <si>
    <t xml:space="preserve">Tebuconazole Técnico Milenia </t>
  </si>
  <si>
    <t>21000.007639/2005-17</t>
  </si>
  <si>
    <t xml:space="preserve">Difluchem 240 SC </t>
  </si>
  <si>
    <t>21000.008142/2005-16</t>
  </si>
  <si>
    <t xml:space="preserve">Diflubenzuron 240 EC Helm </t>
  </si>
  <si>
    <t>21000.002633/2005-45</t>
  </si>
  <si>
    <t xml:space="preserve">Acaramik </t>
  </si>
  <si>
    <t>21000.002331/2006-58</t>
  </si>
  <si>
    <t xml:space="preserve">Arena </t>
  </si>
  <si>
    <t>21000.014156/2004-80</t>
  </si>
  <si>
    <t xml:space="preserve">Prevent </t>
  </si>
  <si>
    <t>21000.009285/2005-37</t>
  </si>
  <si>
    <t xml:space="preserve">Campeon </t>
  </si>
  <si>
    <t>21000.005333/2007-80</t>
  </si>
  <si>
    <t xml:space="preserve">2,4-D Prentiss </t>
  </si>
  <si>
    <t>21000.005334/2007-24</t>
  </si>
  <si>
    <t xml:space="preserve">2,4-D Técnico BRA </t>
  </si>
  <si>
    <t>21000.013677/2004-10</t>
  </si>
  <si>
    <t xml:space="preserve">Acefato Nortox </t>
  </si>
  <si>
    <t>21000.006705/2006-12</t>
  </si>
  <si>
    <t xml:space="preserve">Flutriafol Técnico Agrolider </t>
  </si>
  <si>
    <t xml:space="preserve">Agrolider </t>
  </si>
  <si>
    <t>21000.001619/2004-43</t>
  </si>
  <si>
    <t xml:space="preserve">Metsulfuron-Methyl Técnico Cheminova </t>
  </si>
  <si>
    <t>21000.004368/2007-00</t>
  </si>
  <si>
    <t>Tersil Técnico</t>
  </si>
  <si>
    <t xml:space="preserve">Poland </t>
  </si>
  <si>
    <t>21000.011656/2006-21</t>
  </si>
  <si>
    <t>Broker Técnico</t>
  </si>
  <si>
    <t>21000.005548/2007-09</t>
  </si>
  <si>
    <t>Hexazinona Técnico Nortox</t>
  </si>
  <si>
    <t>21000.005324/2007-99</t>
  </si>
  <si>
    <t xml:space="preserve">Tebuconazole Técnico Nortox BR </t>
  </si>
  <si>
    <t>21000.010739/2004-31</t>
  </si>
  <si>
    <t xml:space="preserve">Fenix 400 SC </t>
  </si>
  <si>
    <t>21000.014076/2005-13</t>
  </si>
  <si>
    <t xml:space="preserve">Permit Star </t>
  </si>
  <si>
    <t xml:space="preserve">Dietolate </t>
  </si>
  <si>
    <t>21000.000751/2004-38</t>
  </si>
  <si>
    <t xml:space="preserve">Propiconazole Notox </t>
  </si>
  <si>
    <t>21000.003103/2004-33</t>
  </si>
  <si>
    <t>Pounge Técnico</t>
  </si>
  <si>
    <t>21000.001380/2003-21</t>
  </si>
  <si>
    <t>Triziman WG</t>
  </si>
  <si>
    <t>21000.003896/2005-71</t>
  </si>
  <si>
    <t>Talisman</t>
  </si>
  <si>
    <t xml:space="preserve">Bifentrina; Carbosulfan </t>
  </si>
  <si>
    <t>21000.001902/2003-94</t>
  </si>
  <si>
    <t>Penncozeb 800 WP</t>
  </si>
  <si>
    <t>21000.008795/2003-25</t>
  </si>
  <si>
    <t>Estrela 500 SC</t>
  </si>
  <si>
    <t>Microquímica</t>
  </si>
  <si>
    <t>21000.013220/2005-96</t>
  </si>
  <si>
    <t xml:space="preserve">Texas </t>
  </si>
  <si>
    <t>21000.014315/2005-27</t>
  </si>
  <si>
    <t xml:space="preserve">Pomme </t>
  </si>
  <si>
    <t>21000.014809/2005-10</t>
  </si>
  <si>
    <t xml:space="preserve">Pique 240 SL </t>
  </si>
  <si>
    <t>21000.013221/2005-31</t>
  </si>
  <si>
    <t xml:space="preserve">Trooper </t>
  </si>
  <si>
    <t>21000.001536/2006-16</t>
  </si>
  <si>
    <t xml:space="preserve">Blast </t>
  </si>
  <si>
    <t>21000.001535/2006-71</t>
  </si>
  <si>
    <t xml:space="preserve">Most </t>
  </si>
  <si>
    <t>21000.013530/2005-19</t>
  </si>
  <si>
    <t xml:space="preserve">Diuron 80 Volcano </t>
  </si>
  <si>
    <t>21000.004494/2005-94</t>
  </si>
  <si>
    <t xml:space="preserve">Óxido de Fenbutatina Técnico </t>
  </si>
  <si>
    <t>21000.013715/2005-15</t>
  </si>
  <si>
    <t>2,4-D Ácido Seco Técnico II</t>
  </si>
  <si>
    <t>21000.010716/2004-27</t>
  </si>
  <si>
    <t>Pivot 100 SL</t>
  </si>
  <si>
    <t>Afitrix</t>
  </si>
  <si>
    <t>21000.008265/2001-15</t>
  </si>
  <si>
    <t xml:space="preserve">Space </t>
  </si>
  <si>
    <t xml:space="preserve">Cimoxamil; Mancozebe </t>
  </si>
  <si>
    <t>21000.012395/2004-03</t>
  </si>
  <si>
    <t>Apache 100 GR</t>
  </si>
  <si>
    <t>21000.012322/2005-94</t>
  </si>
  <si>
    <t>Dizone</t>
  </si>
  <si>
    <t>21000.011090/2006-38</t>
  </si>
  <si>
    <t>Cigaral Técnico</t>
  </si>
  <si>
    <t>21000.013600/2005-21</t>
  </si>
  <si>
    <t>Agefix</t>
  </si>
  <si>
    <t xml:space="preserve">Agecom </t>
  </si>
  <si>
    <t>21000.002179/2006-11</t>
  </si>
  <si>
    <t xml:space="preserve">Tornado </t>
  </si>
  <si>
    <t>21000.000095/2006-35</t>
  </si>
  <si>
    <t>Avicta 500 FS</t>
  </si>
  <si>
    <t>21000.013906/2006-68</t>
  </si>
  <si>
    <t>Riza 200 EC</t>
  </si>
  <si>
    <t>21000.002176/2006-70</t>
  </si>
  <si>
    <t>Tatico</t>
  </si>
  <si>
    <t>21000.000626/2002-66</t>
  </si>
  <si>
    <t>Flumetralin Técnico Milenia</t>
  </si>
  <si>
    <t>Ano de 2006</t>
  </si>
  <si>
    <t>21000.000624/2002-77</t>
  </si>
  <si>
    <t>21000.014252/2004-28</t>
  </si>
  <si>
    <t>Carbendazim Técnico Rotam</t>
  </si>
  <si>
    <t>21000.008713/2003-42</t>
  </si>
  <si>
    <t>Discover 500 WP</t>
  </si>
  <si>
    <t>Clomazona; Hexazinona</t>
  </si>
  <si>
    <t>21000.005782/2001-32</t>
  </si>
  <si>
    <t>Gliato</t>
  </si>
  <si>
    <t>21000.005781/2001-98</t>
  </si>
  <si>
    <t>Abamectin Técnico Prentiss</t>
  </si>
  <si>
    <t>21000.008717/2003-21</t>
  </si>
  <si>
    <t>Ranger</t>
  </si>
  <si>
    <t>21000.003218/2003-47</t>
  </si>
  <si>
    <t>Abamectin Prentiss</t>
  </si>
  <si>
    <t>21000.008858/2000-09</t>
  </si>
  <si>
    <t>Bayfidam Técnico C</t>
  </si>
  <si>
    <t>Triadimenol</t>
  </si>
  <si>
    <t>21000.013060/2003-13</t>
  </si>
  <si>
    <t>Quinclorac Técnico Basf</t>
  </si>
  <si>
    <t>Quincloraque</t>
  </si>
  <si>
    <t>21000.006147/1995-27</t>
  </si>
  <si>
    <t>Diurex Agricur 800 SC</t>
  </si>
  <si>
    <t>21000.000408/1999-10</t>
  </si>
  <si>
    <t>Raptor 12 DF</t>
  </si>
  <si>
    <t>21000.002206/2003-03</t>
  </si>
  <si>
    <t>Oberon Técnico</t>
  </si>
  <si>
    <t>Espiromesifeno</t>
  </si>
  <si>
    <t>21000.002338/2004-16</t>
  </si>
  <si>
    <t>Clodinafop-Propargil Técnico</t>
  </si>
  <si>
    <t>Clodinafope-Propargil</t>
  </si>
  <si>
    <t>21000.002541/2004-84</t>
  </si>
  <si>
    <t>Topik 240 EC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</si>
  <si>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</si>
  <si>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21000.006415/1994-93</t>
  </si>
  <si>
    <t>Bimetron</t>
  </si>
  <si>
    <t xml:space="preserve">Ametrina; Diurom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</si>
  <si>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</si>
  <si>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21000.005876/2003-73</t>
  </si>
  <si>
    <t>Oberon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</si>
  <si>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</si>
  <si>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21000.007063/1998-17</t>
  </si>
  <si>
    <t>Genius WG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</si>
  <si>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</si>
  <si>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21000.008218/2000-21</t>
  </si>
  <si>
    <t xml:space="preserve">Scuder 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</si>
  <si>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</si>
  <si>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21000.012000/2004-64</t>
  </si>
  <si>
    <t>Approach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</si>
  <si>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</si>
  <si>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21000.004938/2002-49</t>
  </si>
  <si>
    <t>Lactofen Técnico Agripec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</si>
  <si>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</si>
  <si>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21000.012744/2003-06</t>
  </si>
  <si>
    <t xml:space="preserve">Tebuconazole Técnico Nortox 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</si>
  <si>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</si>
  <si>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21000.010967/2004-10</t>
  </si>
  <si>
    <t xml:space="preserve">Carbendazim Técnico Chemoniva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</si>
  <si>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</si>
  <si>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21000.010796/2001-78</t>
  </si>
  <si>
    <t xml:space="preserve">Matric Técnico </t>
  </si>
  <si>
    <t>Cromafenozida</t>
  </si>
  <si>
    <t>21000.001130/2005-82</t>
  </si>
  <si>
    <t>Cropstar</t>
  </si>
  <si>
    <t>21000.013385/2003-04</t>
  </si>
  <si>
    <t xml:space="preserve">Tebuconazole Nortox </t>
  </si>
  <si>
    <t>21000.005872/2001-23</t>
  </si>
  <si>
    <t xml:space="preserve">Pitcher 480 EC </t>
  </si>
  <si>
    <t xml:space="preserve">Clorpirifós </t>
  </si>
  <si>
    <t>21000.009048/2003-12</t>
  </si>
  <si>
    <t xml:space="preserve">Penoxsulam Pré-Mistura Dow Agrosciences </t>
  </si>
  <si>
    <t xml:space="preserve">Penoxsulam </t>
  </si>
  <si>
    <t>21000.010093/2002-21</t>
  </si>
  <si>
    <t xml:space="preserve">Terraclor Técnico Crompton </t>
  </si>
  <si>
    <t>Quintozeno</t>
  </si>
  <si>
    <t>Crompton</t>
  </si>
  <si>
    <t>21000.010528/2003-18</t>
  </si>
  <si>
    <t xml:space="preserve">Thiram Técnico Crompton </t>
  </si>
  <si>
    <t xml:space="preserve">Tiram </t>
  </si>
  <si>
    <t>21000.003071/2000-42</t>
  </si>
  <si>
    <t>Catcher 480 EC</t>
  </si>
  <si>
    <t>21000.002953/1999-78</t>
  </si>
  <si>
    <t>Glifos N</t>
  </si>
  <si>
    <t>21000.010802/2001-97</t>
  </si>
  <si>
    <t xml:space="preserve">Ciclone </t>
  </si>
  <si>
    <t xml:space="preserve">Cromafenozida </t>
  </si>
  <si>
    <t>21000.000489/2005-11</t>
  </si>
  <si>
    <t>Rodazim 500 SC</t>
  </si>
  <si>
    <t>21000.004646/2005-59</t>
  </si>
  <si>
    <t xml:space="preserve">Maxcel </t>
  </si>
  <si>
    <t>21000.002691/1995-08</t>
  </si>
  <si>
    <t xml:space="preserve">Merpan 500 WP </t>
  </si>
  <si>
    <t>21000.012774/2003-12</t>
  </si>
  <si>
    <t xml:space="preserve">Acefato Técnico Sinon </t>
  </si>
  <si>
    <t>21000.005780/2001-43</t>
  </si>
  <si>
    <t>Pren-D</t>
  </si>
  <si>
    <t>21000.005160/2005-38</t>
  </si>
  <si>
    <t>Biogenol</t>
  </si>
  <si>
    <t xml:space="preserve">Metil Eugenol </t>
  </si>
  <si>
    <t>21000.000085/2002-76</t>
  </si>
  <si>
    <t xml:space="preserve">Biflex Treebags </t>
  </si>
  <si>
    <t>21000.008005/2002-21</t>
  </si>
  <si>
    <t>Platinun</t>
  </si>
  <si>
    <t xml:space="preserve">Tiametoxam; Cipermetrina </t>
  </si>
  <si>
    <t>21000.011614/2004-29</t>
  </si>
  <si>
    <t xml:space="preserve">Tebuconazole 95 Técnico Helm </t>
  </si>
  <si>
    <t>21000.003105/2005-11</t>
  </si>
  <si>
    <t xml:space="preserve">Difenoconazole 94 Técnico Helm </t>
  </si>
  <si>
    <t>21000.006466/2001-88</t>
  </si>
  <si>
    <t>Taj</t>
  </si>
  <si>
    <t>21000.001614/2004-11</t>
  </si>
  <si>
    <t xml:space="preserve">Profenofós Técnico BR </t>
  </si>
  <si>
    <t>21000.008220/2001-41</t>
  </si>
  <si>
    <t>Metsulfuron Técnico Condax</t>
  </si>
  <si>
    <t xml:space="preserve">Metsufuron-Metílico </t>
  </si>
  <si>
    <t>Condax</t>
  </si>
  <si>
    <t>21000.010731/2001-23</t>
  </si>
  <si>
    <t xml:space="preserve">Metsulfuron Methyl Técnico </t>
  </si>
  <si>
    <t>Metsufuron-Metílico</t>
  </si>
  <si>
    <t>21000.010997/2002-56</t>
  </si>
  <si>
    <t>Sulfometuron Methyl Técnico</t>
  </si>
  <si>
    <t>21000.007378/2001-01</t>
  </si>
  <si>
    <t xml:space="preserve">Bio Plutella </t>
  </si>
  <si>
    <t>(Z)-11-Hexadecenal; (Z)-11Hexadedecenyl</t>
  </si>
  <si>
    <t>21000.004474/2004-32</t>
  </si>
  <si>
    <t xml:space="preserve">Paradox </t>
  </si>
  <si>
    <t>21000.000405/2005-31</t>
  </si>
  <si>
    <t>Tebuthiuron Técnico Volcano</t>
  </si>
  <si>
    <t>21000.000145/2005-01</t>
  </si>
  <si>
    <t>Tebuconazole Técnico Rotam</t>
  </si>
  <si>
    <t>21000.004868/2002-29</t>
  </si>
  <si>
    <t xml:space="preserve">Designer </t>
  </si>
  <si>
    <t>Látex sintético e fluido de organosilicone surfactante</t>
  </si>
  <si>
    <t>21000.004869/2002-73</t>
  </si>
  <si>
    <t xml:space="preserve">Sticman </t>
  </si>
  <si>
    <t>21000.004870/2002-06</t>
  </si>
  <si>
    <t>Arreglo</t>
  </si>
  <si>
    <t>21000.010719/2004-61</t>
  </si>
  <si>
    <t>Success 0,02 CB</t>
  </si>
  <si>
    <t>21000.007424/2002-45</t>
  </si>
  <si>
    <t xml:space="preserve">Metsulfuron Técnico Nufarm </t>
  </si>
  <si>
    <t>21000.000105/2004-71</t>
  </si>
  <si>
    <t>Accent</t>
  </si>
  <si>
    <t>21000.000104/2004-26</t>
  </si>
  <si>
    <t>Nicosulfuron Técnico</t>
  </si>
  <si>
    <t>21000.008541/2005-79</t>
  </si>
  <si>
    <t>Atento</t>
  </si>
  <si>
    <t>21000.001961/2004-43</t>
  </si>
  <si>
    <t xml:space="preserve">Rapel </t>
  </si>
  <si>
    <t>21000.008044/2001-47</t>
  </si>
  <si>
    <t>Clotimuron Técnico Condax</t>
  </si>
  <si>
    <t>21000.001631/1999-66</t>
  </si>
  <si>
    <t>Senior WG</t>
  </si>
  <si>
    <t>21000.011352/2005-83</t>
  </si>
  <si>
    <t xml:space="preserve">Bio Diabrotica </t>
  </si>
  <si>
    <t xml:space="preserve">1,4-Dimetoxibenzeno </t>
  </si>
  <si>
    <t>21000.002294/2004-16</t>
  </si>
  <si>
    <t>Zetanil</t>
  </si>
  <si>
    <t>21000.011182/2002-94</t>
  </si>
  <si>
    <t>Truper</t>
  </si>
  <si>
    <t>Fluroxipir-Meptílico; Triclopir-Butotílico</t>
  </si>
  <si>
    <t>21000.005159/2005-11</t>
  </si>
  <si>
    <t xml:space="preserve">Bio Mea </t>
  </si>
  <si>
    <t>E4,Z7-tridecadien-1-yl acetate; E4,Z7,Z10-tridecatrien-1-yl acetate</t>
  </si>
  <si>
    <t>21000.007178/2005-74</t>
  </si>
  <si>
    <t>Lambda-Cyhalotrin 97 Técnico Helm</t>
  </si>
  <si>
    <t>21000.004259/2004-31</t>
  </si>
  <si>
    <t xml:space="preserve">Aminopilalide Ácido Técnico </t>
  </si>
  <si>
    <t>Aminopiralide</t>
  </si>
  <si>
    <t>21000.003805/2005-06</t>
  </si>
  <si>
    <t xml:space="preserve">Hexazinona Técnico Volcano </t>
  </si>
  <si>
    <t>21000.004868/2004-91</t>
  </si>
  <si>
    <t xml:space="preserve">Dominum </t>
  </si>
  <si>
    <t xml:space="preserve">Aminopiralide </t>
  </si>
  <si>
    <t>21000.013418/2004-99</t>
  </si>
  <si>
    <t xml:space="preserve">Tebuconazole 200 EC Helm </t>
  </si>
  <si>
    <t>21000.006667/2005-17</t>
  </si>
  <si>
    <t>TebuHelm</t>
  </si>
  <si>
    <t>21000.003594/2004-12</t>
  </si>
  <si>
    <t>Bifenthrin Técnico FMC</t>
  </si>
  <si>
    <t>21000.005793/2004-65</t>
  </si>
  <si>
    <t>Boral Técnico</t>
  </si>
  <si>
    <t>21000.004963/2002-22</t>
  </si>
  <si>
    <t>Spotlight</t>
  </si>
  <si>
    <t>21000.011116/2004-88</t>
  </si>
  <si>
    <t>Aim</t>
  </si>
  <si>
    <t>21000.011117/2004-21</t>
  </si>
  <si>
    <t xml:space="preserve">Rage </t>
  </si>
  <si>
    <t>21000.010795/2001-23</t>
  </si>
  <si>
    <t>Matric</t>
  </si>
  <si>
    <t>21000.010386/2001-27</t>
  </si>
  <si>
    <t>Sementiran 500 SC</t>
  </si>
  <si>
    <t>Enro</t>
  </si>
  <si>
    <t>21000.011281/2004-38</t>
  </si>
  <si>
    <t xml:space="preserve">Novazim </t>
  </si>
  <si>
    <t>21000.012177/2003-80</t>
  </si>
  <si>
    <t xml:space="preserve">Clorim </t>
  </si>
  <si>
    <t>21000.003952/2005-78</t>
  </si>
  <si>
    <t>Difenoconazole 250 EC Helm</t>
  </si>
  <si>
    <t>21000.014528/2005-59</t>
  </si>
  <si>
    <t>Glifosato Atanor 48</t>
  </si>
  <si>
    <t>21000.012897/2003-45</t>
  </si>
  <si>
    <t>Turf Óleo</t>
  </si>
  <si>
    <t>21000.010385/2001-82</t>
  </si>
  <si>
    <t>Mayran Técnico</t>
  </si>
  <si>
    <t>21000.007961/2004-57</t>
  </si>
  <si>
    <t>Imunit</t>
  </si>
  <si>
    <t>Alfa-cipermetrina; Teflubenzurom</t>
  </si>
  <si>
    <t>21000.013286/2003-14</t>
  </si>
  <si>
    <t>Flumetralin Técnico WT</t>
  </si>
  <si>
    <t>21000.007183/2004-04</t>
  </si>
  <si>
    <t>Fomesafen Técnico SYN</t>
  </si>
  <si>
    <t>21000.003847/2004-58</t>
  </si>
  <si>
    <t>Roundup Ultra</t>
  </si>
  <si>
    <t>21000.004941/2002-62</t>
  </si>
  <si>
    <t>Acetamiprid Técnico Agripec</t>
  </si>
  <si>
    <t>21000.004847/2004-75</t>
  </si>
  <si>
    <t>Roundup Transorb R</t>
  </si>
  <si>
    <t>21000.002889/2006-33</t>
  </si>
  <si>
    <t>Bio Bonagota</t>
  </si>
  <si>
    <t>(E,Z)-3,5-dodecadienila; (Z)-9-hexadecenila; (Z)-5-dodecenila</t>
  </si>
  <si>
    <t>21000.003458/2006-94</t>
  </si>
  <si>
    <t>Bio Carambolae</t>
  </si>
  <si>
    <t>21000.002890/2006-68</t>
  </si>
  <si>
    <t>Bio Broca</t>
  </si>
  <si>
    <t>Metanol; Etanol</t>
  </si>
  <si>
    <t>21000.006349/1999-75</t>
  </si>
  <si>
    <t>Trecatol</t>
  </si>
  <si>
    <t xml:space="preserve">Benalaxil; Mancozebe </t>
  </si>
  <si>
    <t>21000.011317/2004-83</t>
  </si>
  <si>
    <t>Cyhexatin Técnico Chemia</t>
  </si>
  <si>
    <t xml:space="preserve">Cihexatina </t>
  </si>
  <si>
    <t xml:space="preserve">Chemia </t>
  </si>
  <si>
    <t>21000.000369/2001-81</t>
  </si>
  <si>
    <t>Taspa</t>
  </si>
  <si>
    <t>Propiconazol; Difeconazol</t>
  </si>
  <si>
    <t>21000.013891/2004-76</t>
  </si>
  <si>
    <t>Echo WG</t>
  </si>
  <si>
    <t>21000.011460/2003-94</t>
  </si>
  <si>
    <t>Curbix Técnico</t>
  </si>
  <si>
    <t>21000.003889/2005-70</t>
  </si>
  <si>
    <t>Picloram Técnico</t>
  </si>
  <si>
    <t>21000.012394/2004-51</t>
  </si>
  <si>
    <t>Quicksilver 400 EC</t>
  </si>
  <si>
    <t>21000.012330/2003-79</t>
  </si>
  <si>
    <t xml:space="preserve">Glyphotal </t>
  </si>
  <si>
    <t>21000.008042/2001-58</t>
  </si>
  <si>
    <t xml:space="preserve">Imazetapyr Técnico Condax </t>
  </si>
  <si>
    <t>21000.008465/1999-01</t>
  </si>
  <si>
    <t>Czar</t>
  </si>
  <si>
    <t>21000.012396/2004-40</t>
  </si>
  <si>
    <t xml:space="preserve">Aurora </t>
  </si>
  <si>
    <t>21000.002714/2005-71</t>
  </si>
  <si>
    <t>Curbix 200 SC</t>
  </si>
  <si>
    <t xml:space="preserve">Etiprole </t>
  </si>
  <si>
    <t>21000.004965/2000-50</t>
  </si>
  <si>
    <t xml:space="preserve">Bavistin </t>
  </si>
  <si>
    <t>21000.006335/2001-09</t>
  </si>
  <si>
    <t xml:space="preserve">Samurai </t>
  </si>
  <si>
    <t>21000.008467/1999-91</t>
  </si>
  <si>
    <t xml:space="preserve">Tebutiuron Técnico Milenia </t>
  </si>
  <si>
    <t>Ano de 2005</t>
  </si>
  <si>
    <t>21000.006775/2004-09</t>
  </si>
  <si>
    <t xml:space="preserve">Nativo </t>
  </si>
  <si>
    <t>Trifloxistrobina; Tebuconazole</t>
  </si>
  <si>
    <t>21000.007445/2004-22</t>
  </si>
  <si>
    <t xml:space="preserve">Azoxistrobina Pré-Mistura </t>
  </si>
  <si>
    <t>21000.002772/2000-64</t>
  </si>
  <si>
    <t>Mentor</t>
  </si>
  <si>
    <t>21000.001496/2001-06</t>
  </si>
  <si>
    <t xml:space="preserve">Bellkute </t>
  </si>
  <si>
    <t>Iminoctadina</t>
  </si>
  <si>
    <t>21000.009756/2003-45</t>
  </si>
  <si>
    <t>Isca Tamanduá Bandeira - Sf</t>
  </si>
  <si>
    <t xml:space="preserve">Biosoja </t>
  </si>
  <si>
    <t>21000.004871/2002-42</t>
  </si>
  <si>
    <t>Bond A</t>
  </si>
  <si>
    <t xml:space="preserve">Álcool oxialquilado alifático primário </t>
  </si>
  <si>
    <t>21000.004873/2002-31</t>
  </si>
  <si>
    <t>Bond B</t>
  </si>
  <si>
    <t>21000.004872/2002-97</t>
  </si>
  <si>
    <t>Bond C</t>
  </si>
  <si>
    <t>21000.007067/2001-34</t>
  </si>
  <si>
    <t>Bio Heliothis</t>
  </si>
  <si>
    <t>(Z)-11-Hexadecenal; (Z)-9-Hexadecenal</t>
  </si>
  <si>
    <t>21000.007640/2002-91</t>
  </si>
  <si>
    <t>Derosal Técnico BCS</t>
  </si>
  <si>
    <t>21000.008361/2001-63</t>
  </si>
  <si>
    <t>Academic</t>
  </si>
  <si>
    <t>21000.008836/2003-83</t>
  </si>
  <si>
    <t>Amistar WG</t>
  </si>
  <si>
    <t>21000.009772/2003-38</t>
  </si>
  <si>
    <t>Ethrel F</t>
  </si>
  <si>
    <t>21000.009773/2003-82</t>
  </si>
  <si>
    <t>Ethrel PA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</si>
  <si>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</si>
  <si>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21000.009774/2003-27</t>
  </si>
  <si>
    <t>Ethrel 25 PA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</si>
  <si>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</si>
  <si>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21000.006484/1998-30</t>
  </si>
  <si>
    <t>Quasar</t>
  </si>
  <si>
    <t>Metamidofós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</si>
  <si>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</si>
  <si>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21000.006485/1998-01</t>
  </si>
  <si>
    <t>Gladiador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</si>
  <si>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</si>
  <si>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</si>
  <si>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Impact 125 SC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</si>
  <si>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</si>
  <si>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21000.002841/2004-63</t>
  </si>
  <si>
    <t>Potenzor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</si>
  <si>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</si>
  <si>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21000.002843/2004-52</t>
  </si>
  <si>
    <t>Mercury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</si>
  <si>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</si>
  <si>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21000.010569/2001-42</t>
  </si>
  <si>
    <t xml:space="preserve">Abamectin Técnico Sinon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</si>
  <si>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</si>
  <si>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21000.006350/1999-54</t>
  </si>
  <si>
    <t>Tairel M</t>
  </si>
  <si>
    <t>Benalaxil; Mancozebe</t>
  </si>
  <si>
    <t>21000.010792/2001-90</t>
  </si>
  <si>
    <t>Focus WP</t>
  </si>
  <si>
    <t>21000.006819/1998-56</t>
  </si>
  <si>
    <t>Acrobat MZ</t>
  </si>
  <si>
    <t>Mancozebe; Dimetomorfe</t>
  </si>
  <si>
    <t>21000.001182/2003-67</t>
  </si>
  <si>
    <t>Ciromazin Técnico BR</t>
  </si>
  <si>
    <t>Ciromazina</t>
  </si>
  <si>
    <t>21000.004397/2003-30</t>
  </si>
  <si>
    <t>Ametrina Técnica AG</t>
  </si>
  <si>
    <t>21000.003924/2002-16</t>
  </si>
  <si>
    <t>Oxicloreto de Cobre Técnico Fenaproqui</t>
  </si>
  <si>
    <t>21000.000961/2003-45</t>
  </si>
  <si>
    <t>Cyazofamid Técnico</t>
  </si>
  <si>
    <t>Ishihara</t>
  </si>
  <si>
    <t>21000.010960/2002-28</t>
  </si>
  <si>
    <t>Cruser 350 FS</t>
  </si>
  <si>
    <t>21000.012970/2003-89</t>
  </si>
  <si>
    <t>Systhane 250 EC</t>
  </si>
  <si>
    <t>21000.000225/1994-35</t>
  </si>
  <si>
    <t>Captan Fersol 500 TS</t>
  </si>
  <si>
    <t>21000.009143/2001-46</t>
  </si>
  <si>
    <t xml:space="preserve">Iscalure Grafolita </t>
  </si>
  <si>
    <t>(Z)-8-Dodecenyl acetate; (E)-8-dodecenyl acetate; (Z)-8-dodecen-1-ol</t>
  </si>
  <si>
    <t>21000.007946/2002-47</t>
  </si>
  <si>
    <t>Thidiazuron Técnico BCS</t>
  </si>
  <si>
    <t>21000.003030/2002-18</t>
  </si>
  <si>
    <t xml:space="preserve">Photon SC </t>
  </si>
  <si>
    <t>21000.006166/2000-18</t>
  </si>
  <si>
    <t>Ancosar 720</t>
  </si>
  <si>
    <t>Ancom</t>
  </si>
  <si>
    <t>21000.002845/2003-61</t>
  </si>
  <si>
    <t>Prometrina Técnico AG</t>
  </si>
  <si>
    <t>21000.010895/2002-31</t>
  </si>
  <si>
    <t>Mesurol Técnico T</t>
  </si>
  <si>
    <t>Metiocarbe</t>
  </si>
  <si>
    <t>21000.003362/2003-83</t>
  </si>
  <si>
    <t xml:space="preserve">Imazaquim Técnico Basf </t>
  </si>
  <si>
    <t>Imazaquim</t>
  </si>
  <si>
    <t>21000.006356/2002-05</t>
  </si>
  <si>
    <t>Decis Técnico BCS</t>
  </si>
  <si>
    <t>21000.000691/2004-53</t>
  </si>
  <si>
    <t>Biolita</t>
  </si>
  <si>
    <t>21000.009133/2000-20</t>
  </si>
  <si>
    <t>Imazaquim Técnico</t>
  </si>
  <si>
    <t>21000.011202/2002-27</t>
  </si>
  <si>
    <t>Flonicamid Técnico FMC</t>
  </si>
  <si>
    <t>Flonicamide</t>
  </si>
  <si>
    <t>21000.011205/2002-61</t>
  </si>
  <si>
    <t>Flonicamid Técnico</t>
  </si>
  <si>
    <t>21000.005886/2004-90</t>
  </si>
  <si>
    <t>Argenfrut RV</t>
  </si>
  <si>
    <t>Agrovant</t>
  </si>
  <si>
    <t>21000.005771/2004-03</t>
  </si>
  <si>
    <t>Butiuron</t>
  </si>
  <si>
    <t>21000.009395/2003-37</t>
  </si>
  <si>
    <t>Carben 500 SC</t>
  </si>
  <si>
    <t>21000.014193/2004-98</t>
  </si>
  <si>
    <t xml:space="preserve">Celeiro </t>
  </si>
  <si>
    <t>Flutriafol; Tiofanato-Metílico</t>
  </si>
  <si>
    <t>21000.014203/2004-95</t>
  </si>
  <si>
    <t>Impact Duo</t>
  </si>
  <si>
    <t>21000.000962/2003-90</t>
  </si>
  <si>
    <t>Ranman</t>
  </si>
  <si>
    <t>21000.006216/2003-18</t>
  </si>
  <si>
    <t>Larvin WG</t>
  </si>
  <si>
    <t>21000.009149/2000-32</t>
  </si>
  <si>
    <t xml:space="preserve">Soyaquim 700 WG </t>
  </si>
  <si>
    <t>21000.008219/2001-16</t>
  </si>
  <si>
    <t xml:space="preserve">Glifisato Técnico Condax </t>
  </si>
  <si>
    <t>21000.000571/2003-75</t>
  </si>
  <si>
    <t>Metconazole Técnico Basf</t>
  </si>
  <si>
    <t>Metconazol</t>
  </si>
  <si>
    <t>21000.008116/2000-75</t>
  </si>
  <si>
    <t xml:space="preserve">Glifosato 480 Pikapau </t>
  </si>
  <si>
    <t xml:space="preserve">Produtos Químicos São Vicente </t>
  </si>
  <si>
    <t>21000.011206/2002-13</t>
  </si>
  <si>
    <t>Turbine 500 WG</t>
  </si>
  <si>
    <t>21000.011209/2002-49</t>
  </si>
  <si>
    <t>Flonicamid 500 WG</t>
  </si>
  <si>
    <t>21000.000818/2004-34</t>
  </si>
  <si>
    <t>Solara 500</t>
  </si>
  <si>
    <t>21000.008033/2001-67</t>
  </si>
  <si>
    <t>Declare</t>
  </si>
  <si>
    <t>Parationa-Metílica</t>
  </si>
  <si>
    <t>21000.012974/2003-67</t>
  </si>
  <si>
    <t>Engeo Pleno</t>
  </si>
  <si>
    <t>Tiametoxam; Lambda-cialotrina</t>
  </si>
  <si>
    <t>21000.004148/2003-44</t>
  </si>
  <si>
    <t>Glifosato Técnico Atanor II</t>
  </si>
  <si>
    <t>21000.011313/2003-14</t>
  </si>
  <si>
    <t xml:space="preserve">Arrivo Técnico </t>
  </si>
  <si>
    <t>21000.002385/2003-71</t>
  </si>
  <si>
    <t>Zellus SC</t>
  </si>
  <si>
    <t>21000.006025/2000-03</t>
  </si>
  <si>
    <t xml:space="preserve">Dimethenamis-P Técnico </t>
  </si>
  <si>
    <t>Dimetenamida</t>
  </si>
  <si>
    <t>21000.012462/2004-81</t>
  </si>
  <si>
    <t>Metarril WP E9</t>
  </si>
  <si>
    <t>21000.008449/2001-85</t>
  </si>
  <si>
    <t>Raxil FS</t>
  </si>
  <si>
    <t>21000.008785/2003-90</t>
  </si>
  <si>
    <t xml:space="preserve">Bio Tuta </t>
  </si>
  <si>
    <t>Acetatode Tetradecatrienila</t>
  </si>
  <si>
    <t>21000.002789/2004-45</t>
  </si>
  <si>
    <t xml:space="preserve">Agridex </t>
  </si>
  <si>
    <t>21000.002787/2004-56</t>
  </si>
  <si>
    <t>Unióleo</t>
  </si>
  <si>
    <t>21000.002788/2004-09</t>
  </si>
  <si>
    <t>MSO</t>
  </si>
  <si>
    <t>21000.006674/1995-22</t>
  </si>
  <si>
    <t>Glydur</t>
  </si>
  <si>
    <t>Glifosato; Diurom</t>
  </si>
  <si>
    <t>21000.008194/2000-70</t>
  </si>
  <si>
    <t xml:space="preserve">Glifosato Ácido Técnico LDA </t>
  </si>
  <si>
    <t>21000.007875/2001-00</t>
  </si>
  <si>
    <t>Gesagard 500 SC</t>
  </si>
  <si>
    <t>21000.012176/2003-35</t>
  </si>
  <si>
    <t>Portero</t>
  </si>
  <si>
    <t>21000.001523/1996-41</t>
  </si>
  <si>
    <t>Uragan 800 WP</t>
  </si>
  <si>
    <t>Bromacila</t>
  </si>
  <si>
    <t>21000.007264/2001-53</t>
  </si>
  <si>
    <t xml:space="preserve">Cyclanilide Técnico Bayer </t>
  </si>
  <si>
    <t>21000.000822/2004-01</t>
  </si>
  <si>
    <t xml:space="preserve">Paraquat Técnico Sinon </t>
  </si>
  <si>
    <t>21000.007444/2004-88</t>
  </si>
  <si>
    <t>Picoxistrobina Técnica</t>
  </si>
  <si>
    <t>21000.000327/2004-93</t>
  </si>
  <si>
    <t>Potenza</t>
  </si>
  <si>
    <t>21000.010699/2001-85</t>
  </si>
  <si>
    <t>IscalureTML Plug</t>
  </si>
  <si>
    <t>Trimedlure</t>
  </si>
  <si>
    <t>21000.003547/2003-98</t>
  </si>
  <si>
    <t xml:space="preserve">Ricer </t>
  </si>
  <si>
    <t>Penoxsulam</t>
  </si>
  <si>
    <t>21000.003548/2003-32</t>
  </si>
  <si>
    <t xml:space="preserve">Penoxsulam Técnico Dow Agrosciences </t>
  </si>
  <si>
    <t>21000.007459/2000-12</t>
  </si>
  <si>
    <t xml:space="preserve">Alanto </t>
  </si>
  <si>
    <t xml:space="preserve">Tiacloprido </t>
  </si>
  <si>
    <t>21000.003269/2003-79</t>
  </si>
  <si>
    <t xml:space="preserve">Flumetralin Técnico Syngenta </t>
  </si>
  <si>
    <t>21000.008339/2004-66</t>
  </si>
  <si>
    <t>Fluquinconazole Técnico BCS</t>
  </si>
  <si>
    <t>21000.001504/2000-25</t>
  </si>
  <si>
    <t>Bio BM</t>
  </si>
  <si>
    <t>5,9-dimetilpentadecano</t>
  </si>
  <si>
    <t>21000.010708/2003-08</t>
  </si>
  <si>
    <t>Ethrel Técnico BCS</t>
  </si>
  <si>
    <t>21000.003650/2001-76</t>
  </si>
  <si>
    <t>Proplant</t>
  </si>
  <si>
    <t>21000.006003/2001-16</t>
  </si>
  <si>
    <t>Calypso 480 A</t>
  </si>
  <si>
    <t>21000.008912/2000-16</t>
  </si>
  <si>
    <t>Cleaness</t>
  </si>
  <si>
    <t>Carpropamid</t>
  </si>
  <si>
    <t>21000.009738/2003-63</t>
  </si>
  <si>
    <t>Glifosato Fersol 480</t>
  </si>
  <si>
    <t>21000.005329/2001-26</t>
  </si>
  <si>
    <t>Soprano Agricur Técnico</t>
  </si>
  <si>
    <t>21000.007096/2001-04</t>
  </si>
  <si>
    <t>Monceren 250 SC</t>
  </si>
  <si>
    <t>Penicurom</t>
  </si>
  <si>
    <t>21000.007358/2001-22</t>
  </si>
  <si>
    <t>Zoxium Técnico 950</t>
  </si>
  <si>
    <t>Zoxamida</t>
  </si>
  <si>
    <t>21000.010799/2001-10</t>
  </si>
  <si>
    <t>MilbekNock</t>
  </si>
  <si>
    <t>Milbectina</t>
  </si>
  <si>
    <t>21000.004852/2001-35</t>
  </si>
  <si>
    <t>Iscalure BW 10</t>
  </si>
  <si>
    <t>21000.009136/2000-63</t>
  </si>
  <si>
    <t>Imazetapir Técnico Agripec</t>
  </si>
  <si>
    <t>21000.000940/2002-49</t>
  </si>
  <si>
    <t>Thiovit Jet</t>
  </si>
  <si>
    <t>21000.004744/2002-43</t>
  </si>
  <si>
    <t>Callisto</t>
  </si>
  <si>
    <t>21000.004650/2002-74</t>
  </si>
  <si>
    <t>Mesotrione Técnico</t>
  </si>
  <si>
    <t>21000.005979/2000-91</t>
  </si>
  <si>
    <t>Loyalty Técnico</t>
  </si>
  <si>
    <t>Flufenpir-Etil</t>
  </si>
  <si>
    <t>21000.008232/2001-75</t>
  </si>
  <si>
    <t>Hussar</t>
  </si>
  <si>
    <t>Iodossulfurom-Metil</t>
  </si>
  <si>
    <t>21000.005330/2001-51</t>
  </si>
  <si>
    <t>Soprano 125 SC</t>
  </si>
  <si>
    <t>MIlênia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</si>
  <si>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</si>
  <si>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21000.007415/2001-73</t>
  </si>
  <si>
    <t>Delsene SC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</si>
  <si>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</si>
  <si>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21000.009125/2000-83</t>
  </si>
  <si>
    <t>Glifosato Agripec 720 WG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</si>
  <si>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</si>
  <si>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21000.008387/2001-10</t>
  </si>
  <si>
    <t>Collis</t>
  </si>
  <si>
    <t>Boscalida; Cresoxim-Metílico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</si>
  <si>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</si>
  <si>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21000.010756/2001-26</t>
  </si>
  <si>
    <t>ActaraPlus</t>
  </si>
  <si>
    <t>Tiametoxam; Cipermetrina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</si>
  <si>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</si>
  <si>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21000.002270/2002-03</t>
  </si>
  <si>
    <t>Penncozeb WG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</si>
  <si>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</si>
  <si>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21000.002273/2002-39</t>
  </si>
  <si>
    <t>Vondozeb 800 WP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</si>
  <si>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</si>
  <si>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21000.005598/2000-10</t>
  </si>
  <si>
    <t>MCPA Ácido Técnico Nufarm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</si>
  <si>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</si>
  <si>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21000.001520/1996-52</t>
  </si>
  <si>
    <t>Fertox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</si>
  <si>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</si>
  <si>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21000.010970/2001-82</t>
  </si>
  <si>
    <t>Plenty</t>
  </si>
  <si>
    <t>21014.000101/1995-45</t>
  </si>
  <si>
    <t>Sulfluramida Técnica Dominus</t>
  </si>
  <si>
    <t>Sulfloramida</t>
  </si>
  <si>
    <t>21000.002664/2002-53</t>
  </si>
  <si>
    <t>Fordor 750 WG</t>
  </si>
  <si>
    <t>Isoxaflutole</t>
  </si>
  <si>
    <t>21000.001252/2001-15</t>
  </si>
  <si>
    <t>U 46 Prime</t>
  </si>
  <si>
    <t>21000.001524/1996-11</t>
  </si>
  <si>
    <t>Gillanex</t>
  </si>
  <si>
    <t>Atrazina; Glifosato</t>
  </si>
  <si>
    <t>21000.004940/2002-16</t>
  </si>
  <si>
    <t>Diflubenzuron Técnico Agripec</t>
  </si>
  <si>
    <t>21000.000947/2004-22</t>
  </si>
  <si>
    <t>Eminent 125 EW</t>
  </si>
  <si>
    <t>Tetraconazole</t>
  </si>
  <si>
    <t>21000.008597/2000-19</t>
  </si>
  <si>
    <t>Ethephon Técnico BR Griffin</t>
  </si>
  <si>
    <t>Griffin Brasil</t>
  </si>
  <si>
    <t>21000.006174/2002-26</t>
  </si>
  <si>
    <t>Bellis</t>
  </si>
  <si>
    <t>21000.001784/2000-71</t>
  </si>
  <si>
    <t>Parathion Methyl Técnico Griffin</t>
  </si>
  <si>
    <t>21000.001766/2002-51</t>
  </si>
  <si>
    <t>Microthiol Disperss WG</t>
  </si>
  <si>
    <t>Arkema Química</t>
  </si>
  <si>
    <t>21000.002439/2002-17</t>
  </si>
  <si>
    <t>LI 700</t>
  </si>
  <si>
    <t>Lecitina; Ácido Pripiônico</t>
  </si>
  <si>
    <t>United Agri</t>
  </si>
  <si>
    <t>21000.008719/2003-10</t>
  </si>
  <si>
    <t>Spray Oil 15E</t>
  </si>
  <si>
    <t>Ipiranga</t>
  </si>
  <si>
    <t>21000.007130/2001-32</t>
  </si>
  <si>
    <t>Protreat</t>
  </si>
  <si>
    <t>Carbendazim; Tiram</t>
  </si>
  <si>
    <t>Merck</t>
  </si>
  <si>
    <t>21000.008115/2000-21</t>
  </si>
  <si>
    <t>Glifosato Técnico Pikapau</t>
  </si>
  <si>
    <t>Produtos Químicos São Vicente</t>
  </si>
  <si>
    <t>21000.000128/2000-51</t>
  </si>
  <si>
    <t>Pendimethalin Sanachem 500 EC</t>
  </si>
  <si>
    <t>21000.007105/2003-11</t>
  </si>
  <si>
    <t>Grap'Oil</t>
  </si>
  <si>
    <t>21000.001497/2001-42</t>
  </si>
  <si>
    <t>Bellkute Técnico</t>
  </si>
  <si>
    <t>Hokko do Brasil</t>
  </si>
  <si>
    <t>21000.004352/2000-12</t>
  </si>
  <si>
    <t>Pyroquilon Técnico</t>
  </si>
  <si>
    <t>Piroquilon</t>
  </si>
  <si>
    <t>21000.007800/1999-44</t>
  </si>
  <si>
    <t>Regio</t>
  </si>
  <si>
    <t>21000.007801/1999-15</t>
  </si>
  <si>
    <t>Praise</t>
  </si>
  <si>
    <t>21000.007177/1998-76</t>
  </si>
  <si>
    <t>Topgan 150</t>
  </si>
  <si>
    <t>21000.007473/2001-05</t>
  </si>
  <si>
    <t>Pectichem</t>
  </si>
  <si>
    <t>Gossiplure</t>
  </si>
  <si>
    <t>21000.009127/2000-72</t>
  </si>
  <si>
    <t>Zethapyr 106 SL</t>
  </si>
  <si>
    <t>21000.008832/2003-03</t>
  </si>
  <si>
    <t>Connect</t>
  </si>
  <si>
    <t>21000.003273/1999-07</t>
  </si>
  <si>
    <t>Tidy 700</t>
  </si>
  <si>
    <t>21000.006120/2001-80</t>
  </si>
  <si>
    <t>Gamma Cyhalothrin Técnico Cheminova</t>
  </si>
  <si>
    <t>Gama-Cialotrina</t>
  </si>
  <si>
    <t>21000.006410/2001-23</t>
  </si>
  <si>
    <t>Gamma Cyhalothrin Técnico</t>
  </si>
  <si>
    <t>21000.010973/2001-16</t>
  </si>
  <si>
    <t>CottonQuik</t>
  </si>
  <si>
    <t>21000.009008/2003-62</t>
  </si>
  <si>
    <t>Panzer 250 WDG</t>
  </si>
  <si>
    <t>21000.004258/2002-25</t>
  </si>
  <si>
    <t>Grazon BR</t>
  </si>
  <si>
    <t>21000.006119/2001-55</t>
  </si>
  <si>
    <t>Nexide</t>
  </si>
  <si>
    <t>21000.001183/2003-10</t>
  </si>
  <si>
    <t>Lufenuron Técnico BR</t>
  </si>
  <si>
    <t>21000.006116/2001-11</t>
  </si>
  <si>
    <t>Fentrol</t>
  </si>
  <si>
    <t>21000.008043/2001-01</t>
  </si>
  <si>
    <t>Carbendazin Técnico Condax</t>
  </si>
  <si>
    <t>21000.006411/2001-78</t>
  </si>
  <si>
    <t>Stallion 60 CS</t>
  </si>
  <si>
    <t>21000.006412/2001-12</t>
  </si>
  <si>
    <t>Stallion 150 CS</t>
  </si>
  <si>
    <t>21000.002698/2002-01</t>
  </si>
  <si>
    <t>Choice</t>
  </si>
  <si>
    <t>Mistura de sais polissacarídeos e outros</t>
  </si>
  <si>
    <t>21000.008705/2001-34</t>
  </si>
  <si>
    <t>Ferômonio Plato para Lagarta Militar do Algodoeiro</t>
  </si>
  <si>
    <t>(Z)-9-tetradecenila; (Z)-11-hexadecenal; (Z)-9-dodecenila</t>
  </si>
  <si>
    <t>Plato do Brasil</t>
  </si>
  <si>
    <t>21000.004335/2001-66</t>
  </si>
  <si>
    <t>Citroagrícola</t>
  </si>
  <si>
    <t>Citron</t>
  </si>
  <si>
    <t>21000.009746/2003-18</t>
  </si>
  <si>
    <t>Chopper Florestal</t>
  </si>
  <si>
    <t>21000.005681/2004-12</t>
  </si>
  <si>
    <t>Tuit Florestal</t>
  </si>
  <si>
    <t>21000.007810/2001-56</t>
  </si>
  <si>
    <t>Carbendazim Técnico Cropchem</t>
  </si>
  <si>
    <t>21000.009741/2003-87</t>
  </si>
  <si>
    <t>Scout</t>
  </si>
  <si>
    <t>21000.007724/1999-68</t>
  </si>
  <si>
    <t>Atramix 500 SC</t>
  </si>
  <si>
    <t>21000.006483/1998-77</t>
  </si>
  <si>
    <t>Rivat</t>
  </si>
  <si>
    <t>21000.008244/2000-19</t>
  </si>
  <si>
    <t>Giz Plus</t>
  </si>
  <si>
    <t>21000.010649/2003-60</t>
  </si>
  <si>
    <t>Flutriafol Técnico UK</t>
  </si>
  <si>
    <t>21000.004939/2002-93</t>
  </si>
  <si>
    <t>Imidacloprid Técnico Agripec</t>
  </si>
  <si>
    <t>21000.003754/2002-61</t>
  </si>
  <si>
    <t>Tepraloxydim Técnico</t>
  </si>
  <si>
    <t>Tepraloxidim</t>
  </si>
  <si>
    <t>21000.001872/2003-16</t>
  </si>
  <si>
    <t>21000.003753/2002-17</t>
  </si>
  <si>
    <t>Tepraloxydim Pré-Mistura 30%</t>
  </si>
  <si>
    <t>21000.003180/1998-39</t>
  </si>
  <si>
    <t>Roundup Ready</t>
  </si>
  <si>
    <t>21000.007827/2001-11</t>
  </si>
  <si>
    <t>Cymoxanil Técnico Oxon</t>
  </si>
  <si>
    <t>21000.009434/2001-34</t>
  </si>
  <si>
    <t>Kabuki Técnico</t>
  </si>
  <si>
    <t>Piraflufem-Etil</t>
  </si>
  <si>
    <t>21000.009749/2003-43</t>
  </si>
  <si>
    <t>Galigan 240 F</t>
  </si>
  <si>
    <t>21000.007330/2002-76</t>
  </si>
  <si>
    <t>Kabuki</t>
  </si>
  <si>
    <t>Hokko</t>
  </si>
  <si>
    <t>21000.005980/2000-15</t>
  </si>
  <si>
    <t>Loyalty</t>
  </si>
  <si>
    <t>Flufenpir-Etilico</t>
  </si>
  <si>
    <t>21000.010961/2002-72</t>
  </si>
  <si>
    <t>Polo 500 SC</t>
  </si>
  <si>
    <t>21000.000902/2003-77</t>
  </si>
  <si>
    <t>Premier Duo</t>
  </si>
  <si>
    <t>21000.010840/2003-10</t>
  </si>
  <si>
    <t>Systhane Técnico DAS</t>
  </si>
  <si>
    <t>21000.010811/2002-69</t>
  </si>
  <si>
    <t>Mesurol Isca</t>
  </si>
  <si>
    <t>21000.004859/2001-57</t>
  </si>
  <si>
    <t>Carfentrazone Ethyl Técnico FMC</t>
  </si>
  <si>
    <t>21000.010342/2001-05</t>
  </si>
  <si>
    <t>Glifosato 480 CS Sinon</t>
  </si>
  <si>
    <t>21000.008466/1999-47</t>
  </si>
  <si>
    <t>Acarit</t>
  </si>
  <si>
    <t>Propagito</t>
  </si>
  <si>
    <t>21000.006486/1995-12</t>
  </si>
  <si>
    <t>Tordon 24 K</t>
  </si>
  <si>
    <t>21000.003166/2001-47</t>
  </si>
  <si>
    <t>Acefato Técnico Cheminova</t>
  </si>
  <si>
    <t>21000.005884/2001-58</t>
  </si>
  <si>
    <t>Envidor Técnico</t>
  </si>
  <si>
    <t>21000.007315/2001-47</t>
  </si>
  <si>
    <t>Envidor</t>
  </si>
  <si>
    <t>21000.000783/2002-71</t>
  </si>
  <si>
    <t>HT-Silcon</t>
  </si>
  <si>
    <t>Tratamento Térmico</t>
  </si>
  <si>
    <t>Silcon Ambiental</t>
  </si>
  <si>
    <t>21000.007121/2000-61</t>
  </si>
  <si>
    <t>Harpon WG</t>
  </si>
  <si>
    <t>Zoxamida; Cimoxanil</t>
  </si>
  <si>
    <t>21000.007499/2002-26</t>
  </si>
  <si>
    <t>Rivolt 480</t>
  </si>
  <si>
    <t>21000.000532/2001-14</t>
  </si>
  <si>
    <t>Glifosato Nufarm</t>
  </si>
  <si>
    <t>21000.001889/1998-54</t>
  </si>
  <si>
    <t>Acarstin</t>
  </si>
  <si>
    <t>Ciexatina</t>
  </si>
  <si>
    <t>21000.009148/2000-98</t>
  </si>
  <si>
    <t>Cabrio Top</t>
  </si>
  <si>
    <t>21000.002971/2001-53</t>
  </si>
  <si>
    <t>Sulfentrazone 750 FMC Técnico</t>
  </si>
  <si>
    <t>21000.007443/1998-98</t>
  </si>
  <si>
    <t>Spada WG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</si>
  <si>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</si>
  <si>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21000.002971/2000-72</t>
  </si>
  <si>
    <t>Polyram DF</t>
  </si>
  <si>
    <t>Metiram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</si>
  <si>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</si>
  <si>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21000.006390/2001-91</t>
  </si>
  <si>
    <t>Akito</t>
  </si>
  <si>
    <t>Atofina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</si>
  <si>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</si>
  <si>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21000.000530/2001-17</t>
  </si>
  <si>
    <t>2,4-D 806 Nufarm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</si>
  <si>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</si>
  <si>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21000.000533/2001-51</t>
  </si>
  <si>
    <t>Navajo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</si>
  <si>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</si>
  <si>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21000.007392/1998-41</t>
  </si>
  <si>
    <t>Furacarb 100 GR</t>
  </si>
  <si>
    <t>Carbofurano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</si>
  <si>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</si>
  <si>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21000.002403/1999-77</t>
  </si>
  <si>
    <t>Garra 450 PM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</si>
  <si>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</si>
  <si>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21000.002404/1999-30</t>
  </si>
  <si>
    <t>Supera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</si>
  <si>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</si>
  <si>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21000.003554/2001-28</t>
  </si>
  <si>
    <t>Aquila</t>
  </si>
  <si>
    <t>Chemionova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</si>
  <si>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</si>
  <si>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21000.003517/2001-10</t>
  </si>
  <si>
    <t>Bio Spodoptera</t>
  </si>
  <si>
    <t>(Z)-9-tetradecenila; Z)-11-hexadecenila; (Z)-7-dodecenila</t>
  </si>
  <si>
    <t>21000.009031/2000-12</t>
  </si>
  <si>
    <t>Nicosulfuron Técnico Nortox</t>
  </si>
  <si>
    <t>21000.008117/2000-10</t>
  </si>
  <si>
    <t>Malathion 20</t>
  </si>
  <si>
    <t>Indústria Química Cajazeira</t>
  </si>
  <si>
    <t>21000.008195/2000-14</t>
  </si>
  <si>
    <t>21000.006303/1998-93</t>
  </si>
  <si>
    <t>Metil Parathion Técnico Cheminova</t>
  </si>
  <si>
    <t>21000.008761/2000-98</t>
  </si>
  <si>
    <t>Nicosulfuron Nortox 40 SC</t>
  </si>
  <si>
    <t>21000.002960/2002-54</t>
  </si>
  <si>
    <t>SmartFresh</t>
  </si>
  <si>
    <t>Rohm and Haas</t>
  </si>
  <si>
    <t>21000.004760/2000-74</t>
  </si>
  <si>
    <t>Twister</t>
  </si>
  <si>
    <t>21000.007349/1998-20</t>
  </si>
  <si>
    <t>Graslan 100 Peletizado</t>
  </si>
  <si>
    <t>21000.007467/1994-22</t>
  </si>
  <si>
    <t>Folpet Fersol 500 PM</t>
  </si>
  <si>
    <t>21000.008857/2000-56</t>
  </si>
  <si>
    <t>Cleaness Técnico</t>
  </si>
  <si>
    <t>21000.006475/2001-79</t>
  </si>
  <si>
    <t>Feromônio Plato para Bicudo do Algodoeiro</t>
  </si>
  <si>
    <t>21000.002340/1999-40</t>
  </si>
  <si>
    <t>Glyphosate Técnico</t>
  </si>
  <si>
    <t>21000.009134/2000-74</t>
  </si>
  <si>
    <t>Glifosato Técnico Agripec 95% ID</t>
  </si>
  <si>
    <t>21000.009032/2000-59</t>
  </si>
  <si>
    <t>Endosulfan Técnico Nortox</t>
  </si>
  <si>
    <t>Endossulfam</t>
  </si>
  <si>
    <t>21000.003296/2001-80</t>
  </si>
  <si>
    <t>Abamex Técnico</t>
  </si>
  <si>
    <t>Bernardo Química</t>
  </si>
  <si>
    <t>21000.007848/2001-29</t>
  </si>
  <si>
    <t>Abamectin Técnico Cheminova</t>
  </si>
  <si>
    <t>21014.000100/1995-82</t>
  </si>
  <si>
    <t>Formicida Isca Agripec</t>
  </si>
  <si>
    <t>21000.003830/1993-78</t>
  </si>
  <si>
    <t>MCPA Técnico Agritec</t>
  </si>
  <si>
    <t>Agritec</t>
  </si>
  <si>
    <t>21000.009130/2000-96</t>
  </si>
  <si>
    <t>Nicosulfuron Técnico Agripec</t>
  </si>
  <si>
    <t>21000.008644/2001-13</t>
  </si>
  <si>
    <t>Feromônio Plato para Lagarta Rosada</t>
  </si>
  <si>
    <t>Gossyplure</t>
  </si>
  <si>
    <t>Plato do Brasail</t>
  </si>
  <si>
    <t>21000.003552/2001-39</t>
  </si>
  <si>
    <t>Rapsode</t>
  </si>
  <si>
    <t>Fenoxaprope-P-Etílico</t>
  </si>
  <si>
    <t>21000.009131/2000-31</t>
  </si>
  <si>
    <t>Tebuconazole Técnico Agripec</t>
  </si>
  <si>
    <t>21000.009135/2000-19</t>
  </si>
  <si>
    <t>Glifosato Técnico Agripec 95% GLI</t>
  </si>
  <si>
    <t>21000.009128/2000-17</t>
  </si>
  <si>
    <t>Nicosulfuron Agripec 40 SC</t>
  </si>
  <si>
    <t>21000.005534/2003-53</t>
  </si>
  <si>
    <t>Priori Xtra</t>
  </si>
  <si>
    <t>Azoxistrobina; Ciproconazole</t>
  </si>
  <si>
    <t>21000.007471/2002-99</t>
  </si>
  <si>
    <t>Verdadero 600 WG</t>
  </si>
  <si>
    <t>Tiametoxam; Ciproconazole</t>
  </si>
  <si>
    <t>21000.007813/2001-90</t>
  </si>
  <si>
    <t>Carbendazim Técnico Sinon</t>
  </si>
  <si>
    <t>21000.007229/2001-34</t>
  </si>
  <si>
    <t>Only</t>
  </si>
  <si>
    <t>Imazetapir; Imazapic</t>
  </si>
  <si>
    <t>21000.010571/2001-11</t>
  </si>
  <si>
    <t>Mandarim</t>
  </si>
  <si>
    <t>21000.010798/2001-67</t>
  </si>
  <si>
    <t>Milbeknock Técnico</t>
  </si>
  <si>
    <t>21000.008032/2001-12</t>
  </si>
  <si>
    <t>Grimectin</t>
  </si>
  <si>
    <t>Griffin</t>
  </si>
  <si>
    <t>21000.008762/2000-32</t>
  </si>
  <si>
    <t>Endosulfan Nortox 350 EC</t>
  </si>
  <si>
    <t>21000.007439/1998-11</t>
  </si>
  <si>
    <t>Pivot 30 DF</t>
  </si>
  <si>
    <t>21000.007773/2001-86</t>
  </si>
  <si>
    <t>Abamectin Técnico Griffin</t>
  </si>
  <si>
    <t>21000.005875/2003-29</t>
  </si>
  <si>
    <t>Sphere</t>
  </si>
  <si>
    <t>Trifloxistrobina; Ciproconazole</t>
  </si>
  <si>
    <t>21000.001617/2002-92</t>
  </si>
  <si>
    <t>Tatic</t>
  </si>
  <si>
    <t>Mistura de Polímeros e propilenoglicol</t>
  </si>
  <si>
    <t>21000.000462/2002-77</t>
  </si>
  <si>
    <t>Bond</t>
  </si>
  <si>
    <t>Látex sintético; Fluído de Organosilicone; Álccol oxialquilado</t>
  </si>
  <si>
    <t>21000.009126/2000-28</t>
  </si>
  <si>
    <t>Rival 200 EC</t>
  </si>
  <si>
    <t>21000.001265/2001-94</t>
  </si>
  <si>
    <t>Pilarsato Técnico</t>
  </si>
  <si>
    <t>21000.002690/1995-37</t>
  </si>
  <si>
    <t>Folpan Agricur 800 WDG</t>
  </si>
  <si>
    <t>21000.006165/2000-73</t>
  </si>
  <si>
    <t>Ancosar Técnico</t>
  </si>
  <si>
    <t>Ancon do Brasil</t>
  </si>
  <si>
    <t>21000.008450/2001-18</t>
  </si>
  <si>
    <t>Poncho Técnico</t>
  </si>
  <si>
    <t>21000.007811/2001-09</t>
  </si>
  <si>
    <t>Clorimuron Técnico Cropchem</t>
  </si>
  <si>
    <t>21000.008468/2001-10</t>
  </si>
  <si>
    <t>Focus Técnico</t>
  </si>
  <si>
    <t>21000.004966/2000-02</t>
  </si>
  <si>
    <t>Carbendazin Técnico Mil</t>
  </si>
  <si>
    <t>21000.005856/2002-11</t>
  </si>
  <si>
    <t>Poncho</t>
  </si>
  <si>
    <t>21000.001544/1999-63</t>
  </si>
  <si>
    <t>Ametrina Técnica Atanor</t>
  </si>
  <si>
    <t>21000.001857/1999-49</t>
  </si>
  <si>
    <t>Ametrina Atanor 50 SC</t>
  </si>
  <si>
    <t>21000.007416/2001-18</t>
  </si>
  <si>
    <t>Carbendazim Técnico</t>
  </si>
  <si>
    <t>21000.007109/2001-37</t>
  </si>
  <si>
    <t>Boscalid Técnico</t>
  </si>
  <si>
    <t>21000.008389/2001-09</t>
  </si>
  <si>
    <t>Cantus</t>
  </si>
  <si>
    <t>21000.004916/2002-89</t>
  </si>
  <si>
    <t>Cipermetrina Técnica Nortox Mol</t>
  </si>
  <si>
    <t>21000.007847/2001-84</t>
  </si>
  <si>
    <t>Kraft 36 EC</t>
  </si>
  <si>
    <t>21000.002770/2000-53</t>
  </si>
  <si>
    <t>Fenamidone Técnico Aventis</t>
  </si>
  <si>
    <t>Fenamidona</t>
  </si>
  <si>
    <t>Aventis</t>
  </si>
  <si>
    <t>21000.006613/2000-39</t>
  </si>
  <si>
    <t>Formicida Fumacê</t>
  </si>
  <si>
    <t>Ecco Control</t>
  </si>
  <si>
    <t>21000.007653/1999-11</t>
  </si>
  <si>
    <t>Stratego 250 EC</t>
  </si>
  <si>
    <t>Trifloxistrobina; Propiconazole</t>
  </si>
  <si>
    <t>21000.006178/2000-42</t>
  </si>
  <si>
    <t>Clincher</t>
  </si>
  <si>
    <t>Cialofope-Butilico</t>
  </si>
  <si>
    <t>21000.006177/2000-06</t>
  </si>
  <si>
    <t>Cyhalofop BE Técnico Dow Agrosciences</t>
  </si>
  <si>
    <t>21000.001542/1999-38</t>
  </si>
  <si>
    <t>Trac 50 SC</t>
  </si>
  <si>
    <t>21000.002775/2000-06</t>
  </si>
  <si>
    <t>Oxadiargyl Técncio</t>
  </si>
  <si>
    <t>Oxadiargil</t>
  </si>
  <si>
    <t>21000.003851/2000-92</t>
  </si>
  <si>
    <t>Foramsulfuron Técnico</t>
  </si>
  <si>
    <t>Foramsulfurom</t>
  </si>
  <si>
    <t>21000.004898/2000-73</t>
  </si>
  <si>
    <t>Clorimuron Master Nortox</t>
  </si>
  <si>
    <t>21000.004899/2000-18</t>
  </si>
  <si>
    <t>Imazetapir Plus Nortox</t>
  </si>
  <si>
    <t>21000.000670/2000-12</t>
  </si>
  <si>
    <t>Opus SC</t>
  </si>
  <si>
    <t>21000.004670/2000-83</t>
  </si>
  <si>
    <t>Bio Tribolium</t>
  </si>
  <si>
    <t>4,8-Dimetildecanal</t>
  </si>
  <si>
    <t>21000.005782/2000-51</t>
  </si>
  <si>
    <t>Bio Neo</t>
  </si>
  <si>
    <t>E-11-Hexadecenol; (Z,Z,Z)-3,6,9-tricosatrieno</t>
  </si>
  <si>
    <t>21000.006713/1999-14</t>
  </si>
  <si>
    <t>Sulfato de Cobre Microsal</t>
  </si>
  <si>
    <t>Microsal</t>
  </si>
  <si>
    <t>21000.007277/1998-11</t>
  </si>
  <si>
    <t>Glifosato Atanor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</si>
  <si>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</si>
  <si>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21000.005719/2000-15</t>
  </si>
  <si>
    <t>Derosal Plus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</si>
  <si>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</si>
  <si>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21014.000005/1994-71</t>
  </si>
  <si>
    <t>Oxicloreto de Cobre Técnico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</si>
  <si>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</si>
  <si>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21000.006764/1998-66</t>
  </si>
  <si>
    <t>Promalin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</si>
  <si>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</si>
  <si>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21000.006369/1999-82</t>
  </si>
  <si>
    <t>Curathane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</si>
  <si>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</si>
  <si>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21000.006251/1998-91</t>
  </si>
  <si>
    <t>Phenothiol Técnico</t>
  </si>
  <si>
    <t>Phenothiol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</si>
  <si>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</si>
  <si>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21000.008282/1999-98</t>
  </si>
  <si>
    <t>Select One Pack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</si>
  <si>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</si>
  <si>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21000.007800/2000-30</t>
  </si>
  <si>
    <t>Censor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</si>
  <si>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</si>
  <si>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21000.000440/1999-22</t>
  </si>
  <si>
    <t>Ácido 2,4-D Técnico Atanor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</si>
  <si>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</si>
  <si>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21000.009183/2000-15</t>
  </si>
  <si>
    <t>Engeo</t>
  </si>
  <si>
    <t>21000.007098/2000-12</t>
  </si>
  <si>
    <t>Glifosato Nortox WG</t>
  </si>
  <si>
    <t>21052.000908/1991-16</t>
  </si>
  <si>
    <t>Rabcide 200</t>
  </si>
  <si>
    <t>Ftalida</t>
  </si>
  <si>
    <t>21000.008035/1999-81</t>
  </si>
  <si>
    <t>Bullet</t>
  </si>
  <si>
    <t>Iodossulfurom-Metílico-Sódico</t>
  </si>
  <si>
    <t>21000.009552/1990-47</t>
  </si>
  <si>
    <t>Royaltac CE BR</t>
  </si>
  <si>
    <t>N-Decanol</t>
  </si>
  <si>
    <t>Uniroyal</t>
  </si>
  <si>
    <t>21000.007967/1997-06</t>
  </si>
  <si>
    <t>Cicol</t>
  </si>
  <si>
    <t>Nonil fenol etoxilado</t>
  </si>
  <si>
    <t>21000.003513/1994-04</t>
  </si>
  <si>
    <t>Stopper 500 SC</t>
  </si>
  <si>
    <t>21000.004560/2000-11</t>
  </si>
  <si>
    <t>RMD-1</t>
  </si>
  <si>
    <t>21000.008489/1999-51</t>
  </si>
  <si>
    <t>Zaz</t>
  </si>
  <si>
    <t>21000.007046/1994-74</t>
  </si>
  <si>
    <t>Deferon Técnico</t>
  </si>
  <si>
    <t>21000.008598/2000-63</t>
  </si>
  <si>
    <t>Propanil Técnico GR</t>
  </si>
  <si>
    <t>21000.007438/1998-58</t>
  </si>
  <si>
    <t>Forum Plus</t>
  </si>
  <si>
    <t>Dimetomorfe; Clorotalonil</t>
  </si>
  <si>
    <t>21000.006004/1999-01</t>
  </si>
  <si>
    <t>Pilon WDG</t>
  </si>
  <si>
    <t>21000.002660/2000-11</t>
  </si>
  <si>
    <t>Glifosato Técnico Dow Agrosciences</t>
  </si>
  <si>
    <t>21000.004900/2000-12</t>
  </si>
  <si>
    <t>Imazaquim Ultra Nortox</t>
  </si>
  <si>
    <t>21000.000912/2001-41</t>
  </si>
  <si>
    <t>Retain</t>
  </si>
  <si>
    <t>Cloridrato de Aviglicina</t>
  </si>
  <si>
    <t>21000.009129/2000-61</t>
  </si>
  <si>
    <t>Carbendazin Técnico Agripec</t>
  </si>
  <si>
    <t>21000.005597/2000-67</t>
  </si>
  <si>
    <t>Glifosato Técnico Nufarm</t>
  </si>
  <si>
    <t>21000.000925/1994-57</t>
  </si>
  <si>
    <t>Diuron Técnico Agripec</t>
  </si>
  <si>
    <t>21000.000855/2001-08</t>
  </si>
  <si>
    <t>Glifosato Ácido Técnico Sinon</t>
  </si>
  <si>
    <t>21000.004753/1998-79</t>
  </si>
  <si>
    <t>Beta-Cipermetrina Técnica UPL</t>
  </si>
  <si>
    <t>Arkema</t>
  </si>
  <si>
    <t>21000.002303/2001-06</t>
  </si>
  <si>
    <t>Chlorimuron Técnico Cheminova</t>
  </si>
  <si>
    <t>21000.009132/2000-85</t>
  </si>
  <si>
    <t>Agripec 500 SC</t>
  </si>
  <si>
    <t>21000.008462/1999-69</t>
  </si>
  <si>
    <t>Propargite Técnico Milenia</t>
  </si>
  <si>
    <t>21000.002302/2001-81</t>
  </si>
  <si>
    <t>Fenoxaprop Técnico Cheminova</t>
  </si>
  <si>
    <t>21000.005364/2000-64</t>
  </si>
  <si>
    <t>Boveril WP PL63</t>
  </si>
  <si>
    <t>Itaforte</t>
  </si>
  <si>
    <t>21000.000441/1999-95</t>
  </si>
  <si>
    <t>2,4-D Amina 72</t>
  </si>
  <si>
    <t>21000.007727/2000-04</t>
  </si>
  <si>
    <t>Ethylbloc</t>
  </si>
  <si>
    <t>21000.005849/2002-10</t>
  </si>
  <si>
    <t>Hexaron WG</t>
  </si>
  <si>
    <t>Hexazinona; Diuron</t>
  </si>
  <si>
    <t>21000.008468/1999-58</t>
  </si>
  <si>
    <t>Hexazinone Técnico Milenia</t>
  </si>
  <si>
    <t>21000.000942/1998-08</t>
  </si>
  <si>
    <t>Gastoxin B57</t>
  </si>
  <si>
    <t>Casa Bernardo</t>
  </si>
  <si>
    <t>21000.005079/1998-86</t>
  </si>
  <si>
    <t>Cloreto de Benzalcônico Técnico</t>
  </si>
  <si>
    <t>Cloreto de Benzalcônio</t>
  </si>
  <si>
    <t>PRTrade</t>
  </si>
  <si>
    <t>21000.002715/1998-17</t>
  </si>
  <si>
    <t>Giberelina + Indol Butírico Técnico</t>
  </si>
  <si>
    <t>Ácido Giberélico; Ácido Indol butírico</t>
  </si>
  <si>
    <t>21000.004688/1999-90</t>
  </si>
  <si>
    <t>Iodosulfuron Técnico</t>
  </si>
  <si>
    <t>Iodossulfurom-Metílico</t>
  </si>
  <si>
    <t>21000.008393/1999-93</t>
  </si>
  <si>
    <t>Glifosate Potássico Técnico</t>
  </si>
  <si>
    <t>Zeneca</t>
  </si>
  <si>
    <t>21000.008091/1999-15</t>
  </si>
  <si>
    <t>Pulsor Técnico</t>
  </si>
  <si>
    <t>Tifluzamida</t>
  </si>
  <si>
    <t>21000.008461/1999-14</t>
  </si>
  <si>
    <t>Lactofen Técnico Milenia</t>
  </si>
  <si>
    <t>21000.007474/1999-01</t>
  </si>
  <si>
    <t>Permit</t>
  </si>
  <si>
    <t>Dietholate</t>
  </si>
  <si>
    <t>21000.006859/1997-90</t>
  </si>
  <si>
    <t>Antracol 700 PM</t>
  </si>
  <si>
    <t>Propinebe</t>
  </si>
  <si>
    <t>21000.005999/1999-85</t>
  </si>
  <si>
    <t>Abamectin Técnico Nortox</t>
  </si>
  <si>
    <t>21000.005180/1999-91</t>
  </si>
  <si>
    <t>Cipermetrina Técnica Nortox</t>
  </si>
  <si>
    <t>21000.005332/1999-37</t>
  </si>
  <si>
    <t>Piritilen</t>
  </si>
  <si>
    <t>21000.005795/1995-10</t>
  </si>
  <si>
    <t>Shavit Agricur Técnico</t>
  </si>
  <si>
    <t>21000.007051/1998-38</t>
  </si>
  <si>
    <t>Radar</t>
  </si>
  <si>
    <t>21000.006949/1998-61</t>
  </si>
  <si>
    <t>Novapir</t>
  </si>
  <si>
    <t>Beta-Ciflutrina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</si>
  <si>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</si>
  <si>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21000.007170/1998-27</t>
  </si>
  <si>
    <t>Caramba 90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</si>
  <si>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</si>
  <si>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21000.000993/1995-98</t>
  </si>
  <si>
    <t>Metolachlor Agricur Técnico</t>
  </si>
  <si>
    <t>Metolachlor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</si>
  <si>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</si>
  <si>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21000.006741/1998-61</t>
  </si>
  <si>
    <t>Metconazole Técnico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</si>
  <si>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</si>
  <si>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</si>
  <si>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21000.000181/2000-52</t>
  </si>
  <si>
    <t>Naja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</si>
  <si>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</si>
  <si>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21000.004194/1998-89</t>
  </si>
  <si>
    <t>Perflan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</si>
  <si>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</si>
  <si>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21000.006574/1999-10</t>
  </si>
  <si>
    <t>Stage</t>
  </si>
  <si>
    <t>Cloreto de Mepiquat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</si>
  <si>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</si>
  <si>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21000.008090/1999-71</t>
  </si>
  <si>
    <t>Pulsor 240 SC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</si>
  <si>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</si>
  <si>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21000.007445/1998-13</t>
  </si>
  <si>
    <t>Gulliver</t>
  </si>
  <si>
    <t>Azimsulfurom</t>
  </si>
  <si>
    <t>21000.002241/1998-96</t>
  </si>
  <si>
    <t>Conquest</t>
  </si>
  <si>
    <t>21000.001805/1999-45</t>
  </si>
  <si>
    <t>Convence</t>
  </si>
  <si>
    <t>21000.006540/1995-69</t>
  </si>
  <si>
    <t>Sumibase 500 CE</t>
  </si>
  <si>
    <t>Fenitrotiona</t>
  </si>
  <si>
    <t>21000.001091/1996-78</t>
  </si>
  <si>
    <t>2,4-D Agritec</t>
  </si>
  <si>
    <t>21000.006777/1993-01</t>
  </si>
  <si>
    <t>Diuron 500 Agritec</t>
  </si>
  <si>
    <t>21000.004293/1996-07</t>
  </si>
  <si>
    <t>Fegatex</t>
  </si>
  <si>
    <t>21000.005179/1999-10</t>
  </si>
  <si>
    <t>Cipermetrina Nortox 250 EC</t>
  </si>
  <si>
    <t>21000.005689/1999-98</t>
  </si>
  <si>
    <t>Iscalure Tuta</t>
  </si>
  <si>
    <t>(E,Z)-3,8-Tetradecadienila</t>
  </si>
  <si>
    <t>21000.005688/1999-25</t>
  </si>
  <si>
    <t>Iscalure Bonagota</t>
  </si>
  <si>
    <t>(E,Z)-3,5-Dodecadienila</t>
  </si>
  <si>
    <t>21000.002037/1999-19</t>
  </si>
  <si>
    <t>Gachon</t>
  </si>
  <si>
    <t>(Z,E)-9,12-Tetradecadienila</t>
  </si>
  <si>
    <t>21000.002683/1995-71</t>
  </si>
  <si>
    <t>Metolachlor 960 CE</t>
  </si>
  <si>
    <t>21000.000453/1998-93</t>
  </si>
  <si>
    <t>Stimulate</t>
  </si>
  <si>
    <t>21000.003349/1995-35</t>
  </si>
  <si>
    <t>Mancozeb Técnico Elf Atochem</t>
  </si>
  <si>
    <t>Abamex</t>
  </si>
  <si>
    <t>21000.001476/1999-13</t>
  </si>
  <si>
    <t>Bio Trimedlure</t>
  </si>
  <si>
    <t>21000.006537/1995-51</t>
  </si>
  <si>
    <t>Sumiguard 500 PM</t>
  </si>
  <si>
    <t>21000.007320/1993-33</t>
  </si>
  <si>
    <t>Ametrina Técnica Sanachem</t>
  </si>
  <si>
    <t>21000.008394/1999-38</t>
  </si>
  <si>
    <t>Zapp QI</t>
  </si>
  <si>
    <t>Zêneca</t>
  </si>
  <si>
    <t>21000.001977/1996-58</t>
  </si>
  <si>
    <t>21000.002676/2000-16</t>
  </si>
  <si>
    <t>Goltix Técnico</t>
  </si>
  <si>
    <t>Metamitron</t>
  </si>
  <si>
    <t>21000.000465/2000-49</t>
  </si>
  <si>
    <t>Starion 2P</t>
  </si>
  <si>
    <t>21000.008025/1997-82</t>
  </si>
  <si>
    <t>Galben-M</t>
  </si>
  <si>
    <t>Benalaxil</t>
  </si>
  <si>
    <t>21000.005288/1999-47</t>
  </si>
  <si>
    <t>Garant BR</t>
  </si>
  <si>
    <t>21000.002533/1999-82</t>
  </si>
  <si>
    <t>Quimióleo</t>
  </si>
  <si>
    <t>Fenix Agro-Pecus</t>
  </si>
  <si>
    <t>21000.008032/1999-18</t>
  </si>
  <si>
    <t>2,4-D Ácido Técnico Nufarm</t>
  </si>
  <si>
    <t xml:space="preserve">21000.000289/1996-80 </t>
  </si>
  <si>
    <t>Pyretop Técnico</t>
  </si>
  <si>
    <t>Fenvalerato</t>
  </si>
  <si>
    <t>21000.007053/1998-63</t>
  </si>
  <si>
    <t>Stinger</t>
  </si>
  <si>
    <t>21000.007054/1998-26</t>
  </si>
  <si>
    <t>Rustler</t>
  </si>
  <si>
    <t>21000.007052/1998-09</t>
  </si>
  <si>
    <t>Polaris</t>
  </si>
  <si>
    <t>21000.006000/1999-42</t>
  </si>
  <si>
    <t>Abamectin Nortox</t>
  </si>
  <si>
    <t>21000.006910/1993-11</t>
  </si>
  <si>
    <t>Space</t>
  </si>
  <si>
    <t>21000.006690/1999-11</t>
  </si>
  <si>
    <t>Iprovalicarb Técnico</t>
  </si>
  <si>
    <t>Iprovalicarbe</t>
  </si>
  <si>
    <t>21000.008354/1999-96</t>
  </si>
  <si>
    <t>Bion 500 WG</t>
  </si>
  <si>
    <t>Acibenzolar-S-Metil</t>
  </si>
  <si>
    <t>Novartis</t>
  </si>
  <si>
    <t>21000.008355/1999-31</t>
  </si>
  <si>
    <t>Acibenzolar-S-Methyl Técnico</t>
  </si>
  <si>
    <t>21000.006852/2000-99</t>
  </si>
  <si>
    <t>Bio Bicudo</t>
  </si>
  <si>
    <t>21000.005754/1999-58</t>
  </si>
  <si>
    <t>Keshet Agricur Técnico</t>
  </si>
  <si>
    <t>21000.008196/2000-69</t>
  </si>
  <si>
    <t>2,4-D Ácido Técnico BR</t>
  </si>
  <si>
    <t>21000.002553/1999-90</t>
  </si>
  <si>
    <t>Provado 200 SC</t>
  </si>
  <si>
    <t>21000.005797/1995-37</t>
  </si>
  <si>
    <t>Shavit Agricur 250 CE</t>
  </si>
  <si>
    <t>21000.002689/1995-58</t>
  </si>
  <si>
    <t>Mirage 450 EC</t>
  </si>
  <si>
    <t>Procloraz</t>
  </si>
  <si>
    <t>21000.005760/1999-21</t>
  </si>
  <si>
    <t>Brigadier</t>
  </si>
  <si>
    <t>21000.000609/1993-86</t>
  </si>
  <si>
    <t>Alanex 480 CE</t>
  </si>
  <si>
    <t>Alacloro</t>
  </si>
  <si>
    <t>21000.007241/1998-73</t>
  </si>
  <si>
    <t>Cadusafos Técnico FMC</t>
  </si>
  <si>
    <t>21000.005407/2000-10</t>
  </si>
  <si>
    <t>Trifloxysulfuron Sodium Técnico</t>
  </si>
  <si>
    <t>Trifloxisulfurom-Sódico</t>
  </si>
  <si>
    <t>21000.006161/2000-95</t>
  </si>
  <si>
    <t>Enfield</t>
  </si>
  <si>
    <t>21000.005792/2000-97</t>
  </si>
  <si>
    <t>Krismat</t>
  </si>
  <si>
    <t>Ametrina; Trifloxisulfurom-Sódico</t>
  </si>
  <si>
    <t>21000.006282/2000-37</t>
  </si>
  <si>
    <t>Ferocitrus Furão</t>
  </si>
  <si>
    <t>Acetato de (E)-8-dodecenila; (E)-8-dodecenol</t>
  </si>
  <si>
    <t>Coopercitrus</t>
  </si>
  <si>
    <t>21000.008192/2000-81</t>
  </si>
  <si>
    <t>Glifosato Ácido Técnico Milenia</t>
  </si>
  <si>
    <t>21000.001451/1999-84</t>
  </si>
  <si>
    <t>Paracap 450 CS</t>
  </si>
  <si>
    <t>21000.001804/1999-82</t>
  </si>
  <si>
    <t>Folidol MCS</t>
  </si>
  <si>
    <t>21000.007529/1999-92</t>
  </si>
  <si>
    <t>Banavit</t>
  </si>
  <si>
    <t>Aldicarbe</t>
  </si>
  <si>
    <t>Rhône-Poulenc</t>
  </si>
  <si>
    <t>21000.008193/2000-25</t>
  </si>
  <si>
    <t>Glifosato Ácido Técnico BR</t>
  </si>
  <si>
    <t>21000.003980/1999-86</t>
  </si>
  <si>
    <t>Nemacur Técnico NBA</t>
  </si>
  <si>
    <t>Fenamifós</t>
  </si>
  <si>
    <t>21000.006289/1991-98</t>
  </si>
  <si>
    <t>Rabcide Técnico 970</t>
  </si>
  <si>
    <t>21000.001858/1999-10</t>
  </si>
  <si>
    <t>Biographolita</t>
  </si>
  <si>
    <t>Álcool Laurílico; Acetato de (Z)-8-dodecenila; Acetato de (E)-8-dodecenila; (Z)-8-dodecenol</t>
  </si>
  <si>
    <t>21000.005837/1998-01</t>
  </si>
  <si>
    <t>Horizon Duo</t>
  </si>
  <si>
    <t>Tebuconazol; Triadimenol</t>
  </si>
  <si>
    <t>21000.007219/1998-14</t>
  </si>
  <si>
    <t>Spraytex S</t>
  </si>
  <si>
    <t>Óleo mineral</t>
  </si>
  <si>
    <t>21000.000407/1999-57</t>
  </si>
  <si>
    <t>Sweeper 12 DF</t>
  </si>
  <si>
    <t>lmazamoxi</t>
  </si>
  <si>
    <t>21000.000129/2000-04</t>
  </si>
  <si>
    <t>Pendimethalin Técnico Sanachem</t>
  </si>
  <si>
    <t>21000.006967/2000-83</t>
  </si>
  <si>
    <t>Pyraclostrobin Técnico</t>
  </si>
  <si>
    <t>21000.006968/2000-28</t>
  </si>
  <si>
    <t>Opera</t>
  </si>
  <si>
    <t>21000.001543/1999-90</t>
  </si>
  <si>
    <t>Atrazina Técnica Atanor</t>
  </si>
  <si>
    <t>21000.006969/2000-79</t>
  </si>
  <si>
    <t>Comet</t>
  </si>
  <si>
    <t>21000.008093/1999-12</t>
  </si>
  <si>
    <t>Positron Duo</t>
  </si>
  <si>
    <t>Propinebe; Iprovalicarbe</t>
  </si>
  <si>
    <t>21000.003760/1999-80</t>
  </si>
  <si>
    <t>Thiabendazole Técnico</t>
  </si>
  <si>
    <t>Tiabendazol</t>
  </si>
  <si>
    <t>21000.003079/1996-43</t>
  </si>
  <si>
    <t>Kaligreen</t>
  </si>
  <si>
    <t>Bicarbonato de potássio</t>
  </si>
  <si>
    <t>Toyo Denka</t>
  </si>
  <si>
    <t>21000.005759/1999-71</t>
  </si>
  <si>
    <t>Keshet 25 EC</t>
  </si>
  <si>
    <t>21000.001909/2001-44</t>
  </si>
  <si>
    <t>Pirâmide</t>
  </si>
  <si>
    <t>21000.008380/1999-14</t>
  </si>
  <si>
    <t>Bio Pectinophora</t>
  </si>
  <si>
    <t>21000.003006/1998-31</t>
  </si>
  <si>
    <t>Belcocel Técnico</t>
  </si>
  <si>
    <t>Cloreto de Clormequate</t>
  </si>
  <si>
    <t>UCB</t>
  </si>
  <si>
    <t>21000.001625/2001-58</t>
  </si>
  <si>
    <t>Antecip</t>
  </si>
  <si>
    <t>Etefom; Glufosinato - Sal de Amônio</t>
  </si>
  <si>
    <t>21000.001357/2000-93</t>
  </si>
  <si>
    <t>21000.007639/1999-91</t>
  </si>
  <si>
    <t>Trifloxystrobin Técnico</t>
  </si>
  <si>
    <t>21000.007276/1998-58</t>
  </si>
  <si>
    <t>Glifosato Técnico Atanor</t>
  </si>
  <si>
    <t>21000.003103/2000-18</t>
  </si>
  <si>
    <t>Imazetapir Técnico Nortox</t>
  </si>
  <si>
    <t>21000.001734/1999-07</t>
  </si>
  <si>
    <t>Stroby</t>
  </si>
  <si>
    <t>21000.003102/2000-65</t>
  </si>
  <si>
    <t>Chlorimuron Etil Técnico Nortox</t>
  </si>
  <si>
    <t>21000.003104/2000-54</t>
  </si>
  <si>
    <t>Imazaquim Técnico Nortox</t>
  </si>
  <si>
    <t>21000.006635/1999-02</t>
  </si>
  <si>
    <t>Rugby 100 G</t>
  </si>
  <si>
    <t>21000.002315/2000-70</t>
  </si>
  <si>
    <t>Dinamic Técncio</t>
  </si>
  <si>
    <t>21000.004016/2000-70</t>
  </si>
  <si>
    <t>Dinamic</t>
  </si>
  <si>
    <t>Decis 25 UBV</t>
  </si>
  <si>
    <t>Hoechst Schering Agrevo</t>
  </si>
  <si>
    <t>21000.002205/2000-16</t>
  </si>
  <si>
    <t>Kadett</t>
  </si>
  <si>
    <t>21000.006581/1998-96</t>
  </si>
  <si>
    <t>Roundup Dry Técnico</t>
  </si>
  <si>
    <t>21000.009156/2000-34</t>
  </si>
  <si>
    <t>PMG Técnico</t>
  </si>
  <si>
    <t>Soccer 70 WG</t>
  </si>
  <si>
    <t>21000.006981/1999-55</t>
  </si>
  <si>
    <t>Lannate Express</t>
  </si>
  <si>
    <t>21000.007652/1999-59</t>
  </si>
  <si>
    <t>Flint 500 WG</t>
  </si>
  <si>
    <t>21000.007582/2000-33</t>
  </si>
  <si>
    <t>Equip Plus</t>
  </si>
  <si>
    <t>Foransulfurom; Iodosulfurom-Metílico-Sódico</t>
  </si>
  <si>
    <t>21000.004716/1999-23</t>
  </si>
  <si>
    <t>Zoxium 800 PM</t>
  </si>
  <si>
    <t>21000.000982/1998-14</t>
  </si>
  <si>
    <t>Alaclor + Atrazina SC Nortox</t>
  </si>
  <si>
    <t>Alacloro; Atrazina</t>
  </si>
  <si>
    <t>21000.005830/1995-19</t>
  </si>
  <si>
    <t>Carbendazin Técnico Milenia</t>
  </si>
  <si>
    <t>Nufos 480 CE</t>
  </si>
  <si>
    <t>21000.007322/1998-73</t>
  </si>
  <si>
    <t>Artea</t>
  </si>
  <si>
    <t>Ciproconazol; Propiconazol</t>
  </si>
  <si>
    <t>21000.008308/1997-05</t>
  </si>
  <si>
    <t>Azafenidin Técnico</t>
  </si>
  <si>
    <t>Azafenidina</t>
  </si>
  <si>
    <t>21000.005665/1998-45</t>
  </si>
  <si>
    <t>Dinamaz 70 WG</t>
  </si>
  <si>
    <t>21000.002296/1998-88</t>
  </si>
  <si>
    <t>Clorpirifós Técnico Cheminova</t>
  </si>
  <si>
    <t>21000.000532/1999-49</t>
  </si>
  <si>
    <t>Keepdry</t>
  </si>
  <si>
    <t>Irrigação Dias Cruz</t>
  </si>
  <si>
    <t>21000.001953/1999-32</t>
  </si>
  <si>
    <t>Primaiz Gold</t>
  </si>
  <si>
    <t>Atrazina; S-Metolacloro</t>
  </si>
  <si>
    <t>21000.007321/1998-19</t>
  </si>
  <si>
    <t>Primagram Gold</t>
  </si>
  <si>
    <t>21000.005393/1996-89</t>
  </si>
  <si>
    <t>Pilarsato Técnico 620</t>
  </si>
  <si>
    <t>21000.004930/1992-77</t>
  </si>
  <si>
    <t>Simazine Técnico</t>
  </si>
  <si>
    <t>21000.008304/1997-46</t>
  </si>
  <si>
    <t>Style</t>
  </si>
  <si>
    <t>21000.008609/1992-99</t>
  </si>
  <si>
    <t>Sulfato de Estreptomicina Técnico M</t>
  </si>
  <si>
    <t>Estreptomicina</t>
  </si>
  <si>
    <t>Pfizer</t>
  </si>
  <si>
    <t>21000.002020/1996-65</t>
  </si>
  <si>
    <t>Sulfato de Estreptomicina Técnico</t>
  </si>
  <si>
    <t>21000.005183/1998-06</t>
  </si>
  <si>
    <t>Thiophanate Methyl Técnico</t>
  </si>
  <si>
    <t>21000.005184/1998-61</t>
  </si>
  <si>
    <t>Acephate Técnico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</si>
  <si>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</si>
  <si>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21000.007416/1998-15</t>
  </si>
  <si>
    <t>Calypso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</si>
  <si>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</si>
  <si>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21000.006158/1998-96</t>
  </si>
  <si>
    <t>Karate Zeon 50 CS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</si>
  <si>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</si>
  <si>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21000.001508/1999-08</t>
  </si>
  <si>
    <t>Calypso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</si>
  <si>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</si>
  <si>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21000.006662/1995-43</t>
  </si>
  <si>
    <t>Tamar Técnico</t>
  </si>
  <si>
    <t>Fluazifop-P-Butil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</si>
  <si>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</si>
  <si>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21000.008234/1997-62</t>
  </si>
  <si>
    <t>Onic Técnico</t>
  </si>
  <si>
    <t>Alanicarbe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</si>
  <si>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</si>
  <si>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21000.005016/1998-66</t>
  </si>
  <si>
    <t>Indoxacarb Técnico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</si>
  <si>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</si>
  <si>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21000.004874/1998-93</t>
  </si>
  <si>
    <t>Aramo 200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</si>
  <si>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</si>
  <si>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21000.002711/1996-96</t>
  </si>
  <si>
    <t>Gallant 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</si>
  <si>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</si>
  <si>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21000.006301/1998-68</t>
  </si>
  <si>
    <t>Kocide WDG</t>
  </si>
  <si>
    <t>21000.006447/1998-11</t>
  </si>
  <si>
    <t>Pilarsato</t>
  </si>
  <si>
    <t>21000.003463/1999-34</t>
  </si>
  <si>
    <t>Triade</t>
  </si>
  <si>
    <t>21000.004814/1999-42</t>
  </si>
  <si>
    <t>Premier</t>
  </si>
  <si>
    <t>21000.008307/1997-34</t>
  </si>
  <si>
    <t>Midas BR</t>
  </si>
  <si>
    <t>Famoxadona; Mancozebe</t>
  </si>
  <si>
    <t>21000.007444/1998-51</t>
  </si>
  <si>
    <t>Ranger BR</t>
  </si>
  <si>
    <t>21000.001036/1995-89</t>
  </si>
  <si>
    <t>Terraclor Técnico Uniroyal</t>
  </si>
  <si>
    <t>21000.007545/1999-49</t>
  </si>
  <si>
    <t>Actara 10 GR</t>
  </si>
  <si>
    <t>21000.007183/1999-50</t>
  </si>
  <si>
    <t>Verdadero 20 GR</t>
  </si>
  <si>
    <t>21000.008306/1997-71</t>
  </si>
  <si>
    <t>Avaunt 150</t>
  </si>
  <si>
    <t>21000.008305/1997-17</t>
  </si>
  <si>
    <t>Rumo GDA</t>
  </si>
  <si>
    <t>21000.006532/1995-38</t>
  </si>
  <si>
    <t>Sumyzin 500</t>
  </si>
  <si>
    <t>21000.006539/1995-87</t>
  </si>
  <si>
    <t>Sumirody 300</t>
  </si>
  <si>
    <t>Fenprpopatrina</t>
  </si>
  <si>
    <t>21000.006807/1999-58</t>
  </si>
  <si>
    <t>Rimon Agricur Técnico</t>
  </si>
  <si>
    <t>21000.006808/1999-11</t>
  </si>
  <si>
    <t>Rimon 100 EC</t>
  </si>
  <si>
    <t>21000.006809/1999-83</t>
  </si>
  <si>
    <t>Gallaxy 100 EC</t>
  </si>
  <si>
    <t>21000.007448/1998-10</t>
  </si>
  <si>
    <t>Azimsulfuron Técnico</t>
  </si>
  <si>
    <t>Azinsulfurom</t>
  </si>
  <si>
    <t>21000.003091/1999-91</t>
  </si>
  <si>
    <t>Zoxium Tecnico</t>
  </si>
  <si>
    <t>21000.006847/1998-91</t>
  </si>
  <si>
    <t>Carfentrazone Ethyl Técnico</t>
  </si>
  <si>
    <t>Carfentrazona-Etilica</t>
  </si>
  <si>
    <t>21000.000317/1999-66</t>
  </si>
  <si>
    <t>Starion</t>
  </si>
  <si>
    <t>21000.008265/1992-81</t>
  </si>
  <si>
    <t>Alanex Agricur Técnico</t>
  </si>
  <si>
    <t>21000.008024/1997-10</t>
  </si>
  <si>
    <t>Benalaxyl Técnico</t>
  </si>
  <si>
    <t>21000.007249/1998-85</t>
  </si>
  <si>
    <t>Cobox DF</t>
  </si>
  <si>
    <t>21000.008961/1992-42</t>
  </si>
  <si>
    <t>Falcon Técnico</t>
  </si>
  <si>
    <t>Butroxidim</t>
  </si>
  <si>
    <t>21000.006711/1999-81</t>
  </si>
  <si>
    <t>Aurora 400 EC</t>
  </si>
  <si>
    <t>21000.004974/1998-38</t>
  </si>
  <si>
    <t>Goltix</t>
  </si>
  <si>
    <t>Metamitrona</t>
  </si>
  <si>
    <t>21000.000494/1999-51</t>
  </si>
  <si>
    <t>Agro-Oil</t>
  </si>
  <si>
    <t>21000.006449/1999-21</t>
  </si>
  <si>
    <t>Guardsman</t>
  </si>
  <si>
    <t>Atrazina; Dimetenamida</t>
  </si>
  <si>
    <t>21000.003274/1999-61</t>
  </si>
  <si>
    <t>Topsin 500 TS</t>
  </si>
  <si>
    <t>21000.007565/1997-94</t>
  </si>
  <si>
    <t>Miner'Oil</t>
  </si>
  <si>
    <t>21000.002749/1999-10</t>
  </si>
  <si>
    <t>Finale Técnico AT</t>
  </si>
  <si>
    <t>21000.000288/1996-17</t>
  </si>
  <si>
    <t>Sumibase Técnico</t>
  </si>
  <si>
    <t>21000.008235/1997-25</t>
  </si>
  <si>
    <t>Onic 300</t>
  </si>
  <si>
    <t>21000.001106/1998-13</t>
  </si>
  <si>
    <t>Clorimuron-Etil Técnico LDA</t>
  </si>
  <si>
    <t>21000.002294/1999-33</t>
  </si>
  <si>
    <t>Prodígio Técnico</t>
  </si>
  <si>
    <t>Aclonifem</t>
  </si>
  <si>
    <t>Rhone-Poulenc</t>
  </si>
  <si>
    <t>21000.002716/1998-71</t>
  </si>
  <si>
    <t>Citocinina Técnica</t>
  </si>
  <si>
    <t>Citocinina</t>
  </si>
  <si>
    <t>21000.000157/1999-91</t>
  </si>
  <si>
    <t>Paclobutrazol Técnico</t>
  </si>
  <si>
    <t>21000.008424/1997-06</t>
  </si>
  <si>
    <t>Antracol Técnico</t>
  </si>
  <si>
    <t>21000.002597/1997-01</t>
  </si>
  <si>
    <t>Bravonil 720</t>
  </si>
  <si>
    <t>21000.006573/1999-49</t>
  </si>
  <si>
    <t>Pix HC</t>
  </si>
  <si>
    <t>21052.004224/1996-06</t>
  </si>
  <si>
    <t>Impact 1,5 G</t>
  </si>
  <si>
    <t>21000.004700/1999-93</t>
  </si>
  <si>
    <t>Iscalure Cydia</t>
  </si>
  <si>
    <t>Codlemonio</t>
  </si>
  <si>
    <t>Driver</t>
  </si>
  <si>
    <t>21000.006947/1994-11</t>
  </si>
  <si>
    <t>Expurgran</t>
  </si>
  <si>
    <t>Caporal</t>
  </si>
  <si>
    <t>21000.003253/1999-91</t>
  </si>
  <si>
    <t>Brodal Técnico</t>
  </si>
  <si>
    <t>Diflufenican</t>
  </si>
  <si>
    <t>21000.003657/1999-21</t>
  </si>
  <si>
    <t>Prostore 2 DP</t>
  </si>
  <si>
    <t>21000.004716/1990-95</t>
  </si>
  <si>
    <t>N-Decanol Técnico ALS</t>
  </si>
  <si>
    <t>21000.007255/1998-88</t>
  </si>
  <si>
    <t>Baron</t>
  </si>
  <si>
    <t>Dissulfotom; Triadimenol</t>
  </si>
  <si>
    <t>21000.005185/1999-12</t>
  </si>
  <si>
    <t>Soccer SC</t>
  </si>
  <si>
    <t>21000.006251/1999-72</t>
  </si>
  <si>
    <t>PB-Rope-L</t>
  </si>
  <si>
    <t>21000.006087/1993-35</t>
  </si>
  <si>
    <t>Alazine 500 SC</t>
  </si>
  <si>
    <t>Alliance SC</t>
  </si>
  <si>
    <t>21000.004717/1999-96</t>
  </si>
  <si>
    <t>Stimo PM</t>
  </si>
  <si>
    <t>Mancozebe; Zoxamida</t>
  </si>
  <si>
    <t>21000.000539/1999-98</t>
  </si>
  <si>
    <t>Cultar 250 SC</t>
  </si>
  <si>
    <t>21000.005559/1998-00</t>
  </si>
  <si>
    <t>Micromite 240 SC</t>
  </si>
  <si>
    <t>21000.008037/1999-70</t>
  </si>
  <si>
    <t>Curyom 550 EC</t>
  </si>
  <si>
    <t>21000.006948/1998-07</t>
  </si>
  <si>
    <t>Full</t>
  </si>
  <si>
    <t>Beta-Cliflutrina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</si>
</sst>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00000"/>
    <numFmt numFmtId="165" formatCode="d/m/yyyy"/>
    <numFmt numFmtId="166" formatCode="0000"/>
    <numFmt numFmtId="167" formatCode="dd&quot;/&quot;mm&quot;/&quot;yyyy"/>
    <numFmt numFmtId="168" formatCode="mm/dd/yyyy"/>
    <numFmt numFmtId="169" formatCode="0.0%"/>
    <numFmt numFmtId="170" formatCode="m/d/yyyy"/>
    <numFmt numFmtId="171" formatCode="#,##0.0"/>
    <numFmt numFmtId="172" formatCode="0.0"/>
    <numFmt numFmtId="173" formatCode="D/M/YYYY"/>
    <numFmt numFmtId="174" formatCode="dd/mm/yyyy"/>
  </numFmts>
  <fonts count="54">
    <font>
      <sz val="10.0"/>
      <color rgb="FF000000"/>
      <name val="Calibri"/>
      <scheme val="minor"/>
    </font>
    <font>
      <b/>
      <sz val="11.0"/>
      <color rgb="FFFFFFFF"/>
      <name val="Arial"/>
    </font>
    <font>
      <sz val="11.0"/>
      <color rgb="FF366092"/>
      <name val="Arial"/>
    </font>
    <font>
      <b/>
      <sz val="11.0"/>
      <color rgb="FF274E13"/>
      <name val="Arial"/>
    </font>
    <font>
      <sz val="11.0"/>
      <color rgb="FF000000"/>
      <name val="Arial"/>
    </font>
    <font>
      <sz val="11.0"/>
      <color rgb="FF000066"/>
      <name val="Arial"/>
    </font>
    <font>
      <sz val="12.0"/>
      <color rgb="FF366092"/>
      <name val="Arial"/>
    </font>
    <font>
      <b/>
      <sz val="12.0"/>
      <color rgb="FFFFFFFF"/>
      <name val="Arial"/>
    </font>
    <font/>
    <font>
      <sz val="10.0"/>
      <color rgb="FF366092"/>
      <name val="Arial"/>
    </font>
    <font>
      <sz val="11.0"/>
      <color rgb="FF274E13"/>
      <name val="Arial"/>
    </font>
    <font>
      <b/>
      <sz val="14.0"/>
      <color rgb="FFFFFFFF"/>
      <name val="Arial"/>
    </font>
    <font>
      <sz val="11.0"/>
      <color rgb="FF366092"/>
      <name val="Calibri"/>
    </font>
    <font>
      <sz val="10.0"/>
      <color rgb="FF274E13"/>
      <name val="Arial"/>
    </font>
    <font>
      <i/>
      <sz val="12.0"/>
      <color rgb="FF366092"/>
      <name val="Calibri"/>
    </font>
    <font>
      <b/>
      <sz val="16.0"/>
      <color rgb="FFFFFFFF"/>
      <name val="Arial"/>
    </font>
    <font>
      <b/>
      <sz val="10.0"/>
      <color rgb="FF274E13"/>
      <name val="Arial"/>
    </font>
    <font>
      <sz val="8.0"/>
      <color rgb="FF000000"/>
      <name val="Arial"/>
    </font>
    <font>
      <sz val="10.0"/>
      <color rgb="FF000000"/>
      <name val="Arial"/>
    </font>
    <font>
      <b/>
      <sz val="12.0"/>
      <color rgb="FF003300"/>
      <name val="Arial"/>
    </font>
    <font>
      <b/>
      <sz val="18.0"/>
      <color rgb="FF274E13"/>
      <name val="Arial"/>
    </font>
    <font>
      <b/>
      <sz val="12.0"/>
      <color rgb="FF000000"/>
      <name val="Arial"/>
    </font>
    <font>
      <b/>
      <sz val="20.0"/>
      <color rgb="FFFFFFFF"/>
      <name val="Arial"/>
    </font>
    <font>
      <b/>
      <sz val="13.0"/>
      <color rgb="FFFFFFFF"/>
      <name val="Arial"/>
    </font>
    <font>
      <sz val="12.0"/>
      <color rgb="FFFFFFFF"/>
      <name val="Arial"/>
    </font>
    <font>
      <sz val="12.0"/>
      <color rgb="FF274E13"/>
      <name val="Arial"/>
    </font>
    <font>
      <b/>
      <sz val="12.0"/>
      <color rgb="FF274E13"/>
      <name val="Arial"/>
    </font>
    <font>
      <b/>
      <u/>
      <sz val="20.0"/>
      <color rgb="FF274E13"/>
      <name val="Arial"/>
    </font>
    <font>
      <b/>
      <u/>
      <sz val="20.0"/>
      <color rgb="FF274E13"/>
      <name val="Arial"/>
    </font>
    <font>
      <b/>
      <u/>
      <sz val="12.0"/>
      <color rgb="FF000066"/>
      <name val="Arial"/>
    </font>
    <font>
      <sz val="12.0"/>
      <color rgb="FF000066"/>
      <name val="Arial"/>
    </font>
    <font>
      <b/>
      <u/>
      <sz val="20.0"/>
      <color rgb="FF274E13"/>
      <name val="Arial"/>
    </font>
    <font>
      <sz val="11.0"/>
      <color rgb="FF000000"/>
      <name val="Calibri"/>
    </font>
    <font>
      <b/>
      <color theme="1"/>
      <name val="Calibri"/>
      <scheme val="minor"/>
    </font>
    <font>
      <sz val="11.0"/>
      <color rgb="FFFFFFFF"/>
      <name val="Arial"/>
    </font>
    <font>
      <sz val="12.0"/>
      <color rgb="FF000000"/>
      <name val="Calibri"/>
    </font>
    <font>
      <b/>
      <sz val="13.0"/>
      <color rgb="FF274E13"/>
      <name val="Calibri"/>
      <scheme val="minor"/>
    </font>
    <font>
      <b/>
      <sz val="11.0"/>
      <color rgb="FF000066"/>
      <name val="Arial"/>
    </font>
    <font>
      <b/>
      <sz val="10.0"/>
      <color rgb="FF366092"/>
      <name val="Arial"/>
    </font>
    <font>
      <b/>
      <sz val="10.0"/>
      <color rgb="FF000066"/>
      <name val="Arial"/>
    </font>
    <font>
      <i/>
      <sz val="11.0"/>
      <color rgb="FF000066"/>
      <name val="Arial"/>
    </font>
    <font>
      <b/>
      <sz val="11.0"/>
      <color rgb="FF366092"/>
      <name val="Arial"/>
    </font>
    <font>
      <sz val="14.0"/>
      <color rgb="FF000000"/>
      <name val="Arial"/>
    </font>
    <font>
      <sz val="10.0"/>
      <color rgb="FF000066"/>
      <name val="Arial"/>
    </font>
    <font>
      <b/>
      <sz val="11.0"/>
      <color rgb="FF003300"/>
      <name val="Arial"/>
    </font>
    <font>
      <b/>
      <u/>
      <sz val="10.0"/>
      <color rgb="FF000000"/>
      <name val="Arial"/>
    </font>
    <font>
      <sz val="11.0"/>
      <color rgb="FF000080"/>
      <name val="Arial"/>
    </font>
    <font>
      <b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</fonts>
  <fills count="21">
    <fill>
      <patternFill patternType="none"/>
    </fill>
    <fill>
      <patternFill patternType="lightGray"/>
    </fill>
    <fill>
      <patternFill patternType="solid">
        <fgColor rgb="FF274E13"/>
        <bgColor rgb="FF274E13"/>
      </patternFill>
    </fill>
    <fill>
      <patternFill patternType="solid">
        <fgColor rgb="FFB6D7A8"/>
        <bgColor rgb="FFB6D7A8"/>
      </patternFill>
    </fill>
    <fill>
      <patternFill patternType="solid">
        <fgColor rgb="FF93C47D"/>
        <bgColor rgb="FF93C47D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EC3D38"/>
        <bgColor rgb="FFEC3D38"/>
      </patternFill>
    </fill>
    <fill>
      <patternFill patternType="solid">
        <fgColor rgb="FFF0F01E"/>
        <bgColor rgb="FFF0F01E"/>
      </patternFill>
    </fill>
    <fill>
      <patternFill patternType="solid">
        <fgColor rgb="FF17A2D5"/>
        <bgColor rgb="FF17A2D5"/>
      </patternFill>
    </fill>
    <fill>
      <patternFill patternType="solid">
        <fgColor rgb="FF0FB85C"/>
        <bgColor rgb="FF0FB85C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002060"/>
        <bgColor rgb="FF002060"/>
      </patternFill>
    </fill>
    <fill>
      <patternFill patternType="solid">
        <fgColor rgb="FFDBE5F1"/>
        <bgColor rgb="FFDBE5F1"/>
      </patternFill>
    </fill>
    <fill>
      <patternFill patternType="solid">
        <fgColor rgb="FF000066"/>
        <bgColor rgb="FF000066"/>
      </patternFill>
    </fill>
    <fill>
      <patternFill patternType="solid">
        <fgColor rgb="FFB8CCE4"/>
        <bgColor rgb="FFB8CCE4"/>
      </patternFill>
    </fill>
    <fill>
      <patternFill patternType="solid">
        <fgColor rgb="FFDCE6F1"/>
        <bgColor rgb="FFDCE6F1"/>
      </patternFill>
    </fill>
    <fill>
      <patternFill patternType="solid">
        <fgColor rgb="FF0070C0"/>
        <bgColor rgb="FF0070C0"/>
      </patternFill>
    </fill>
  </fills>
  <borders count="203">
    <border/>
    <border>
      <left style="thin">
        <color rgb="FF274E13"/>
      </left>
      <right style="thin">
        <color rgb="FF274E13"/>
      </right>
      <top style="thin">
        <color rgb="FF274E13"/>
      </top>
      <bottom style="thin">
        <color rgb="FF274E13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274E13"/>
      </left>
      <top style="thin">
        <color rgb="FF274E13"/>
      </top>
    </border>
    <border>
      <top style="thin">
        <color rgb="FF274E13"/>
      </top>
    </border>
    <border>
      <right style="thin">
        <color rgb="FF274E13"/>
      </right>
      <top style="thin">
        <color rgb="FF274E13"/>
      </top>
    </border>
    <border>
      <left style="thin">
        <color rgb="FF274E13"/>
      </left>
      <bottom style="thin">
        <color rgb="FF274E13"/>
      </bottom>
    </border>
    <border>
      <bottom style="thin">
        <color rgb="FF274E13"/>
      </bottom>
    </border>
    <border>
      <right style="thin">
        <color rgb="FF274E13"/>
      </right>
      <bottom style="thin">
        <color rgb="FF274E13"/>
      </bottom>
    </border>
    <border>
      <left style="thin">
        <color rgb="FF274E13"/>
      </left>
      <top style="thin">
        <color rgb="FF274E13"/>
      </top>
      <bottom style="thin">
        <color rgb="FF274E13"/>
      </bottom>
    </border>
    <border>
      <top style="thin">
        <color rgb="FF274E13"/>
      </top>
      <bottom style="thin">
        <color rgb="FF274E13"/>
      </bottom>
    </border>
    <border>
      <right style="thin">
        <color rgb="FF274E13"/>
      </right>
      <top style="thin">
        <color rgb="FF274E13"/>
      </top>
      <bottom style="thin">
        <color rgb="FF274E13"/>
      </bottom>
    </border>
    <border>
      <left style="medium">
        <color rgb="FF002060"/>
      </left>
      <top style="medium">
        <color rgb="FF002060"/>
      </top>
    </border>
    <border>
      <top style="medium">
        <color rgb="FF002060"/>
      </top>
    </border>
    <border>
      <right style="medium">
        <color rgb="FF002060"/>
      </right>
      <top style="medium">
        <color rgb="FF002060"/>
      </top>
    </border>
    <border>
      <left style="medium">
        <color rgb="FF002060"/>
      </left>
      <bottom style="thin">
        <color rgb="FFFFFFFF"/>
      </bottom>
    </border>
    <border>
      <bottom style="thin">
        <color rgb="FFFFFFFF"/>
      </bottom>
    </border>
    <border>
      <right style="medium">
        <color rgb="FF002060"/>
      </right>
      <bottom style="thin">
        <color rgb="FFFFFFFF"/>
      </bottom>
    </border>
    <border>
      <left style="medium">
        <color rgb="FF002060"/>
      </left>
      <right style="medium">
        <color rgb="FFFFFFFF"/>
      </right>
      <top style="thin">
        <color rgb="FFFFFFFF"/>
      </top>
      <bottom style="thin">
        <color rgb="FF002060"/>
      </bottom>
    </border>
    <border>
      <left style="medium">
        <color rgb="FFFFFFFF"/>
      </left>
      <top style="thin">
        <color rgb="FFFFFFFF"/>
      </top>
      <bottom style="thin">
        <color rgb="FF002060"/>
      </bottom>
    </border>
    <border>
      <top style="thin">
        <color rgb="FFFFFFFF"/>
      </top>
      <bottom style="thin">
        <color rgb="FF002060"/>
      </bottom>
    </border>
    <border>
      <right style="medium">
        <color rgb="FF002060"/>
      </right>
      <top style="thin">
        <color rgb="FFFFFFFF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002060"/>
      </top>
      <bottom style="thin">
        <color rgb="FF002060"/>
      </bottom>
    </border>
    <border>
      <top style="thin">
        <color rgb="FF002060"/>
      </top>
      <bottom style="thin">
        <color rgb="FF002060"/>
      </bottom>
    </border>
    <border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thin">
        <color rgb="FF002060"/>
      </top>
      <bottom style="medium">
        <color rgb="FF002060"/>
      </bottom>
    </border>
    <border>
      <left style="medium">
        <color rgb="FFFFFFFF"/>
      </left>
      <top style="thin">
        <color rgb="FF002060"/>
      </top>
      <bottom style="medium">
        <color rgb="FF002060"/>
      </bottom>
    </border>
    <border>
      <top style="thin">
        <color rgb="FF002060"/>
      </top>
      <bottom style="medium">
        <color rgb="FF002060"/>
      </bottom>
    </border>
    <border>
      <right style="medium">
        <color rgb="FF002060"/>
      </right>
      <top style="thin">
        <color rgb="FF002060"/>
      </top>
      <bottom style="medium">
        <color rgb="FF002060"/>
      </bottom>
    </border>
    <border>
      <left/>
      <right/>
      <top/>
      <bottom/>
    </border>
    <border>
      <left style="medium">
        <color rgb="FF002060"/>
      </left>
      <right style="medium">
        <color rgb="FF002060"/>
      </right>
      <top style="medium">
        <color rgb="FF002060"/>
      </top>
    </border>
    <border>
      <left style="medium">
        <color rgb="FFFFFFFF"/>
      </left>
      <right style="medium">
        <color rgb="FFFFFFFF"/>
      </right>
      <top style="medium">
        <color rgb="FF002060"/>
      </top>
    </border>
    <border>
      <right style="medium">
        <color rgb="FFFFFFFF"/>
      </right>
      <top style="medium">
        <color rgb="FF002060"/>
      </top>
    </border>
    <border>
      <right/>
      <top/>
    </border>
    <border>
      <left style="thin">
        <color rgb="FF274E13"/>
      </left>
      <right style="thin">
        <color rgb="FF274E13"/>
      </right>
      <top style="thin">
        <color rgb="FF274E13"/>
      </top>
    </border>
    <border>
      <left style="thin">
        <color rgb="FF274E13"/>
      </left>
      <right style="thin">
        <color rgb="FF274E13"/>
      </right>
      <bottom style="thin">
        <color rgb="FF274E13"/>
      </bottom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</border>
    <border>
      <top/>
      <bottom style="medium">
        <color rgb="FFFFFFFF"/>
      </bottom>
    </border>
    <border>
      <right style="thick">
        <color rgb="FFFFFFFF"/>
      </right>
      <top/>
      <bottom style="medium">
        <color rgb="FFFFFFFF"/>
      </bottom>
    </border>
    <border>
      <right style="medium">
        <color rgb="FFFFFFFF"/>
      </right>
      <top style="medium">
        <color rgb="FFFFFFFF"/>
      </top>
    </border>
    <border>
      <left style="thin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/>
      <top style="medium">
        <color rgb="FFFFFFFF"/>
      </top>
    </border>
    <border>
      <left style="medium">
        <color rgb="FFFFFFFF"/>
      </left>
      <top style="medium">
        <color rgb="FFFFFFFF"/>
      </top>
    </border>
    <border>
      <left style="medium">
        <color rgb="FFFFFFFF"/>
      </left>
      <right style="thick">
        <color rgb="FFFFFFFF"/>
      </right>
      <top style="medium">
        <color rgb="FFFFFFFF"/>
      </top>
    </border>
    <border>
      <left style="medium">
        <color rgb="FFFFFFFF"/>
      </left>
      <top style="thin">
        <color rgb="FFFFFFFF"/>
      </top>
      <bottom style="thin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ck">
        <color rgb="FFFFFFFF"/>
      </top>
      <bottom style="thin">
        <color rgb="FFFFFFFF"/>
      </bottom>
    </border>
    <border>
      <left style="thin">
        <color rgb="FFFFFFFF"/>
      </left>
      <right style="thick">
        <color rgb="FFFFFFFF"/>
      </right>
      <top style="thick">
        <color rgb="FFFFFFFF"/>
      </top>
      <bottom style="thin">
        <color rgb="FFFFFFFF"/>
      </bottom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ck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top style="thin">
        <color rgb="FFFFFFFF"/>
      </top>
    </border>
    <border>
      <left style="thick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ck">
        <color rgb="FFFFFFFF"/>
      </right>
      <top style="thin">
        <color rgb="FFFFFFFF"/>
      </top>
    </border>
    <border>
      <left style="medium">
        <color rgb="FFFFFFFF"/>
      </left>
      <top style="thick">
        <color rgb="FFFFFFFF"/>
      </top>
      <bottom style="thick">
        <color rgb="FFFFFFFF"/>
      </bottom>
    </border>
    <border>
      <left style="thick">
        <color rgb="FFFFFFFF"/>
      </left>
      <right style="medium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right style="medium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right/>
      <top style="thick">
        <color rgb="FFFFFFFF"/>
      </top>
      <bottom style="thick">
        <color rgb="FFFFFFFF"/>
      </bottom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bottom style="thin">
        <color rgb="FFFFFFFF"/>
      </bottom>
    </border>
    <border>
      <left style="thick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ck">
        <color rgb="FFFFFFFF"/>
      </right>
      <bottom style="thin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  <bottom style="thick">
        <color rgb="FFFFFFFF"/>
      </bottom>
    </border>
    <border>
      <left style="thin">
        <color rgb="FFFFFFFF"/>
      </left>
      <right style="thin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bottom style="thick">
        <color rgb="FFFFFFFF"/>
      </bottom>
    </border>
    <border>
      <left style="thick">
        <color rgb="FFFFFFFF"/>
      </left>
      <right style="thin">
        <color rgb="FFFFFFFF"/>
      </right>
      <bottom style="thick">
        <color rgb="FFFFFFFF"/>
      </bottom>
    </border>
    <border>
      <left style="thin">
        <color rgb="FFFFFFFF"/>
      </left>
      <right style="thin">
        <color rgb="FFFFFFFF"/>
      </right>
      <bottom style="thick">
        <color rgb="FFFFFFFF"/>
      </bottom>
    </border>
    <border>
      <left style="thin">
        <color rgb="FFFFFFFF"/>
      </left>
      <right style="thick">
        <color rgb="FFFFFFFF"/>
      </right>
      <top/>
      <bottom style="thick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</border>
    <border>
      <left style="thin">
        <color rgb="FFFFFFFF"/>
      </left>
      <right style="thin">
        <color rgb="FFFFFFFF"/>
      </right>
      <top style="thick">
        <color rgb="FFFFFFFF"/>
      </top>
    </border>
    <border>
      <left style="thin">
        <color rgb="FFFFFFFF"/>
      </left>
      <right style="thick">
        <color rgb="FFFFFFFF"/>
      </right>
      <top style="thick">
        <color rgb="FFFFFFFF"/>
      </top>
    </border>
    <border>
      <left style="thin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n">
        <color rgb="FF274E13"/>
      </left>
      <right style="thin">
        <color rgb="FF274E13"/>
      </right>
    </border>
    <border>
      <top style="thin">
        <color rgb="FF000066"/>
      </top>
    </border>
    <border>
      <left style="thin">
        <color rgb="FF000066"/>
      </left>
      <top style="thin">
        <color rgb="FF000066"/>
      </top>
    </border>
    <border>
      <right style="thin">
        <color rgb="FF000066"/>
      </right>
      <top style="thin">
        <color rgb="FF000066"/>
      </top>
    </border>
    <border>
      <left style="thin">
        <color rgb="FF000066"/>
      </left>
      <bottom style="thin">
        <color rgb="FF000066"/>
      </bottom>
    </border>
    <border>
      <bottom style="thin">
        <color rgb="FF000066"/>
      </bottom>
    </border>
    <border>
      <right style="thin">
        <color rgb="FF000066"/>
      </right>
      <bottom style="thin">
        <color rgb="FF000066"/>
      </bottom>
    </border>
    <border>
      <bottom style="thin">
        <color rgb="FF002060"/>
      </bottom>
    </border>
    <border>
      <left style="thin">
        <color rgb="FF000066"/>
      </left>
      <right style="thin">
        <color rgb="FF000066"/>
      </right>
      <top style="thin">
        <color rgb="FF000066"/>
      </top>
    </border>
    <border>
      <left style="thin">
        <color rgb="FF000066"/>
      </left>
      <right style="thin">
        <color rgb="FF000066"/>
      </right>
    </border>
    <border>
      <left style="thin">
        <color rgb="FF000066"/>
      </left>
      <right style="thin">
        <color rgb="FF000066"/>
      </right>
      <bottom style="thin">
        <color rgb="FF000066"/>
      </bottom>
    </border>
    <border>
      <left style="thin">
        <color rgb="FF274E13"/>
      </left>
    </border>
    <border>
      <right style="thin">
        <color rgb="FF274E13"/>
      </right>
    </border>
    <border>
      <left style="thin">
        <color rgb="FF38761D"/>
      </left>
      <right style="thin">
        <color rgb="FF38761D"/>
      </right>
      <top style="thin">
        <color rgb="FF38761D"/>
      </top>
    </border>
    <border>
      <left style="thin">
        <color rgb="FF38761D"/>
      </left>
      <right style="thin">
        <color rgb="FF38761D"/>
      </right>
    </border>
    <border>
      <left style="thin">
        <color rgb="FF38761D"/>
      </left>
      <right style="thin">
        <color rgb="FF38761D"/>
      </right>
      <bottom style="thin">
        <color rgb="FF38761D"/>
      </bottom>
    </border>
    <border>
      <left style="thin">
        <color rgb="FF38761D"/>
      </left>
      <right style="thin">
        <color rgb="FF38761D"/>
      </right>
      <top style="thin">
        <color rgb="FF38761D"/>
      </top>
      <bottom style="thin">
        <color rgb="FF38761D"/>
      </bottom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/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0066"/>
      </left>
      <top style="thin">
        <color rgb="FF000066"/>
      </top>
      <bottom style="medium">
        <color rgb="FF000066"/>
      </bottom>
    </border>
    <border>
      <right style="medium">
        <color rgb="FF000066"/>
      </right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medium">
        <color rgb="FF002060"/>
      </bottom>
    </border>
    <border>
      <left style="medium">
        <color rgb="FF002060"/>
      </left>
      <right style="medium">
        <color rgb="FFFFFFFF"/>
      </right>
      <top style="medium">
        <color rgb="FF002060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medium">
        <color rgb="FF002060"/>
      </bottom>
    </border>
    <border>
      <left style="medium">
        <color rgb="FF002060"/>
      </left>
      <bottom style="medium">
        <color rgb="FF002060"/>
      </bottom>
    </border>
    <border>
      <bottom style="medium">
        <color rgb="FF002060"/>
      </bottom>
    </border>
    <border>
      <right style="medium">
        <color rgb="FF002060"/>
      </right>
      <bottom style="medium">
        <color rgb="FF002060"/>
      </bottom>
    </border>
    <border>
      <left style="medium">
        <color rgb="FF002060"/>
      </left>
      <top style="medium">
        <color rgb="FF002060"/>
      </top>
      <bottom style="thin">
        <color rgb="FF002060"/>
      </bottom>
    </border>
    <border>
      <top style="medium">
        <color rgb="FF002060"/>
      </top>
      <bottom style="thin">
        <color rgb="FF002060"/>
      </bottom>
    </border>
    <border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2060"/>
      </left>
      <top style="thin">
        <color rgb="FF002060"/>
      </top>
      <bottom style="medium">
        <color rgb="FF002060"/>
      </bottom>
    </border>
    <border>
      <left style="medium">
        <color rgb="FF002060"/>
      </left>
      <right style="medium">
        <color rgb="FFFFFFFF"/>
      </right>
      <top/>
      <bottom style="medium">
        <color rgb="FF002060"/>
      </bottom>
    </border>
    <border>
      <left style="medium">
        <color rgb="FFFFFFFF"/>
      </left>
      <top/>
      <bottom style="medium">
        <color rgb="FF002060"/>
      </bottom>
    </border>
    <border>
      <top/>
      <bottom style="medium">
        <color rgb="FF002060"/>
      </bottom>
    </border>
    <border>
      <right style="medium">
        <color rgb="FFFFFFFF"/>
      </right>
      <top/>
      <bottom style="medium">
        <color rgb="FF002060"/>
      </bottom>
    </border>
    <border>
      <left style="medium">
        <color rgb="FFFFFFFF"/>
      </left>
      <right style="medium">
        <color rgb="FF002060"/>
      </right>
      <top/>
      <bottom style="medium">
        <color rgb="FF002060"/>
      </bottom>
    </border>
    <border>
      <left style="medium">
        <color rgb="FF000000"/>
      </left>
      <right style="medium">
        <color rgb="FFFFFFFF"/>
      </right>
      <top/>
      <bottom style="medium">
        <color rgb="FF000000"/>
      </bottom>
    </border>
    <border>
      <left style="medium">
        <color rgb="FFFFFFFF"/>
      </left>
      <top style="thin">
        <color rgb="FF002060"/>
      </top>
      <bottom style="medium">
        <color rgb="FF000000"/>
      </bottom>
    </border>
    <border>
      <top style="thin">
        <color rgb="FF002060"/>
      </top>
      <bottom style="medium">
        <color rgb="FF000000"/>
      </bottom>
    </border>
    <border>
      <right style="medium">
        <color rgb="FFFFFFFF"/>
      </right>
      <top style="thin">
        <color rgb="FF002060"/>
      </top>
      <bottom style="medium">
        <color rgb="FF000000"/>
      </bottom>
    </border>
    <border>
      <left style="medium">
        <color rgb="FFFFFFFF"/>
      </left>
      <right style="medium">
        <color rgb="FF000000"/>
      </right>
      <top/>
      <bottom style="medium">
        <color rgb="FF000000"/>
      </bottom>
    </border>
    <border>
      <left style="medium">
        <color rgb="FF002060"/>
      </left>
      <top style="thin">
        <color rgb="FFFFFFFF"/>
      </top>
      <bottom/>
    </border>
    <border>
      <top style="thin">
        <color rgb="FFFFFFFF"/>
      </top>
      <bottom/>
    </border>
    <border>
      <right style="medium">
        <color rgb="FFFFFFFF"/>
      </right>
      <top style="thin">
        <color rgb="FFFFFFFF"/>
      </top>
      <bottom/>
    </border>
    <border>
      <left style="medium">
        <color rgb="FFFFFFFF"/>
      </left>
      <right style="medium">
        <color rgb="FFFFFFFF"/>
      </right>
      <bottom/>
    </border>
    <border>
      <left style="medium">
        <color rgb="FFFFFFFF"/>
      </left>
      <right style="medium">
        <color rgb="FF002060"/>
      </right>
      <bottom/>
    </border>
    <border>
      <left style="medium">
        <color rgb="FF000066"/>
      </left>
      <bottom style="thin">
        <color rgb="FF000066"/>
      </bottom>
    </border>
    <border>
      <right style="medium">
        <color rgb="FF000066"/>
      </right>
      <bottom style="thin">
        <color rgb="FF000066"/>
      </bottom>
    </border>
    <border>
      <left style="medium">
        <color rgb="FF000066"/>
      </left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thin">
        <color rgb="FF000066"/>
      </bottom>
    </border>
    <border>
      <top style="thin">
        <color rgb="FF000066"/>
      </top>
      <bottom style="thin">
        <color rgb="FF000066"/>
      </bottom>
    </border>
    <border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medium">
        <color rgb="FF002060"/>
      </bottom>
    </border>
    <border>
      <top style="thin">
        <color rgb="FF000066"/>
      </top>
      <bottom style="medium">
        <color rgb="FF002060"/>
      </bottom>
    </border>
    <border>
      <right style="medium">
        <color rgb="FF000066"/>
      </right>
      <top style="thin">
        <color rgb="FF000066"/>
      </top>
      <bottom style="medium">
        <color rgb="FF002060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medium">
        <color rgb="FF002060"/>
      </bottom>
    </border>
    <border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FFFFFF"/>
      </right>
      <bottom style="thin">
        <color rgb="FF002060"/>
      </bottom>
    </border>
    <border>
      <left style="medium">
        <color rgb="FFFFFFFF"/>
      </left>
      <right style="medium">
        <color rgb="FF002060"/>
      </right>
      <bottom style="thin">
        <color rgb="FF002060"/>
      </bottom>
    </border>
    <border>
      <left style="medium">
        <color rgb="FF002060"/>
      </left>
      <bottom style="thin">
        <color rgb="FF002060"/>
      </bottom>
    </border>
    <border>
      <right style="medium">
        <color rgb="FF002060"/>
      </right>
      <bottom style="thin">
        <color rgb="FF002060"/>
      </bottom>
    </border>
    <border>
      <left style="medium">
        <color rgb="FF002060"/>
      </left>
      <bottom/>
    </border>
    <border>
      <bottom/>
    </border>
    <border>
      <right style="medium">
        <color rgb="FFFFFFFF"/>
      </right>
      <bottom/>
    </border>
    <border>
      <left style="medium">
        <color rgb="FF000066"/>
      </left>
      <top style="medium">
        <color rgb="FF000066"/>
      </top>
    </border>
    <border>
      <top style="medium">
        <color rgb="FF000066"/>
      </top>
    </border>
    <border>
      <right style="medium">
        <color rgb="FF000066"/>
      </right>
      <top style="medium">
        <color rgb="FF000066"/>
      </top>
    </border>
    <border>
      <left style="medium">
        <color rgb="FF000066"/>
      </left>
      <bottom style="thin">
        <color rgb="FFFFFFFF"/>
      </bottom>
    </border>
    <border>
      <right style="medium">
        <color rgb="FF000066"/>
      </right>
      <bottom style="thin">
        <color rgb="FFFFFFFF"/>
      </bottom>
    </border>
    <border>
      <left style="medium">
        <color rgb="FF000066"/>
      </left>
      <right style="medium">
        <color rgb="FFFFFFFF"/>
      </right>
      <top style="thin">
        <color rgb="FFFFFFFF"/>
      </top>
      <bottom style="thin">
        <color rgb="FF000066"/>
      </bottom>
    </border>
    <border>
      <left style="medium">
        <color rgb="FFFFFFFF"/>
      </left>
      <top style="thin">
        <color rgb="FFFFFFFF"/>
      </top>
      <bottom style="thin">
        <color rgb="FF000066"/>
      </bottom>
    </border>
    <border>
      <top style="thin">
        <color rgb="FFFFFFFF"/>
      </top>
      <bottom style="thin">
        <color rgb="FF000066"/>
      </bottom>
    </border>
    <border>
      <right style="medium">
        <color rgb="FF000066"/>
      </right>
      <top style="thin">
        <color rgb="FFFFFFFF"/>
      </top>
      <bottom style="thin">
        <color rgb="FF000066"/>
      </bottom>
    </border>
    <border>
      <left style="medium">
        <color rgb="FF000066"/>
      </left>
      <right style="medium">
        <color rgb="FFFFFFFF"/>
      </right>
      <top style="thin">
        <color rgb="FF000066"/>
      </top>
      <bottom style="medium">
        <color rgb="FF000066"/>
      </bottom>
    </border>
    <border>
      <left style="medium">
        <color rgb="FFFFFFFF"/>
      </left>
      <top style="thin">
        <color rgb="FF000066"/>
      </top>
      <bottom style="medium">
        <color rgb="FF000066"/>
      </bottom>
    </border>
    <border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thin">
        <color rgb="FF000066"/>
      </top>
      <bottom style="thin">
        <color rgb="FF000066"/>
      </bottom>
    </border>
    <border>
      <left style="medium">
        <color rgb="FF002060"/>
      </left>
      <right style="medium">
        <color rgb="FF00000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</border>
    <border>
      <left style="medium">
        <color rgb="FF002060"/>
      </left>
      <right style="medium">
        <color rgb="FF000000"/>
      </right>
      <top style="thin">
        <color rgb="FF002060"/>
      </top>
    </border>
    <border>
      <right style="medium">
        <color rgb="FF000000"/>
      </right>
      <top style="thin">
        <color rgb="FF002060"/>
      </top>
    </border>
    <border>
      <right style="medium">
        <color rgb="FF002060"/>
      </right>
      <top style="thin">
        <color rgb="FF002060"/>
      </top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2060"/>
      </left>
      <right style="medium">
        <color rgb="FF002060"/>
      </right>
      <bottom style="thin">
        <color rgb="FF002060"/>
      </bottom>
    </border>
    <border>
      <left style="medium">
        <color rgb="FF002060"/>
      </left>
      <right style="medium">
        <color rgb="FF000000"/>
      </right>
      <bottom style="thin">
        <color rgb="FF002060"/>
      </bottom>
    </border>
    <border>
      <right style="medium">
        <color rgb="FF000000"/>
      </right>
      <bottom style="thin">
        <color rgb="FF002060"/>
      </bottom>
    </border>
    <border>
      <left style="medium">
        <color rgb="FF002060"/>
      </left>
      <right/>
      <top style="thin">
        <color rgb="FF002060"/>
      </top>
      <bottom style="thin">
        <color rgb="FF002060"/>
      </bottom>
    </border>
    <border>
      <left style="thin">
        <color rgb="FF000000"/>
      </left>
      <right style="thin">
        <color rgb="FF000000"/>
      </right>
      <top style="thin">
        <color rgb="FF000066"/>
      </top>
      <bottom style="thin">
        <color rgb="FF000066"/>
      </bottom>
    </border>
    <border>
      <left style="medium">
        <color rgb="FF002060"/>
      </left>
      <right style="medium">
        <color rgb="FF002060"/>
      </right>
      <top style="thin">
        <color rgb="FF000066"/>
      </top>
      <bottom style="thin">
        <color rgb="FF00000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0066"/>
      </bottom>
    </border>
    <border>
      <left style="medium">
        <color rgb="FFFFFFFF"/>
      </left>
      <right style="medium">
        <color rgb="FFFFFFFF"/>
      </right>
      <top/>
      <bottom/>
    </border>
    <border>
      <left style="medium">
        <color rgb="FFFFFFFF"/>
      </left>
      <right style="medium">
        <color rgb="FF002060"/>
      </right>
      <top/>
      <bottom/>
    </border>
    <border>
      <left style="medium">
        <color rgb="FF000066"/>
      </left>
      <top style="medium">
        <color rgb="FF000066"/>
      </top>
      <bottom style="thin">
        <color rgb="FF000066"/>
      </bottom>
    </border>
    <border>
      <top style="medium">
        <color rgb="FF000066"/>
      </top>
      <bottom style="thin">
        <color rgb="FF000066"/>
      </bottom>
    </border>
    <border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FFFFFF"/>
      </left>
      <right style="medium">
        <color rgb="FFFFFFFF"/>
      </right>
      <top/>
      <bottom style="thin">
        <color rgb="FF002060"/>
      </bottom>
    </border>
    <border>
      <left style="medium">
        <color rgb="FFFFFFFF"/>
      </left>
      <right style="medium">
        <color rgb="FF002060"/>
      </right>
      <top/>
      <bottom style="thin">
        <color rgb="FF002060"/>
      </bottom>
    </border>
    <border>
      <left style="medium">
        <color rgb="FF002060"/>
      </left>
      <right style="medium">
        <color rgb="FF002060"/>
      </right>
      <top/>
      <bottom style="thin">
        <color rgb="FF002060"/>
      </bottom>
    </border>
    <border>
      <left/>
      <right style="medium">
        <color rgb="FF002060"/>
      </right>
      <top/>
      <bottom style="thin">
        <color rgb="FF002060"/>
      </bottom>
    </border>
    <border>
      <left/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3300"/>
      </left>
      <right style="medium">
        <color rgb="FF003300"/>
      </right>
      <top/>
      <bottom style="thin">
        <color rgb="FF003300"/>
      </bottom>
    </border>
    <border>
      <left style="medium">
        <color rgb="FF003300"/>
      </left>
      <right style="medium">
        <color rgb="FF003300"/>
      </right>
      <top style="thin">
        <color rgb="FF003300"/>
      </top>
      <bottom style="medium">
        <color rgb="FF003300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/>
    </border>
    <border>
      <left style="medium">
        <color rgb="FF003300"/>
      </left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FFFFFF"/>
      </top>
      <bottom style="medium">
        <color rgb="FF000066"/>
      </bottom>
    </border>
    <border>
      <top style="thin">
        <color rgb="FFFFFFFF"/>
      </top>
      <bottom style="medium">
        <color rgb="FF000066"/>
      </bottom>
    </border>
    <border>
      <right style="medium">
        <color rgb="FFFFFFFF"/>
      </right>
      <top style="thin">
        <color rgb="FFFFFFFF"/>
      </top>
      <bottom style="medium">
        <color rgb="FF000066"/>
      </bottom>
    </border>
    <border>
      <left style="medium">
        <color rgb="FF000066"/>
      </left>
      <top style="medium">
        <color rgb="FF000066"/>
      </top>
      <bottom style="medium">
        <color rgb="FF000066"/>
      </bottom>
    </border>
    <border>
      <top style="medium">
        <color rgb="FF000066"/>
      </top>
      <bottom style="medium">
        <color rgb="FF000066"/>
      </bottom>
    </border>
    <border>
      <right style="medium">
        <color rgb="FF000066"/>
      </right>
      <top style="medium">
        <color rgb="FF000066"/>
      </top>
      <bottom style="medium">
        <color rgb="FF000066"/>
      </bottom>
    </border>
    <border>
      <left style="medium">
        <color rgb="FF002060"/>
      </left>
      <top style="medium">
        <color rgb="FF000066"/>
      </top>
      <bottom style="thin">
        <color rgb="FF002060"/>
      </bottom>
    </border>
    <border>
      <top style="medium">
        <color rgb="FF000066"/>
      </top>
      <bottom style="thin">
        <color rgb="FF002060"/>
      </bottom>
    </border>
    <border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</border>
    <border>
      <right style="medium">
        <color rgb="FF002060"/>
      </right>
    </border>
  </borders>
  <cellStyleXfs count="1">
    <xf borderId="0" fillId="0" fontId="0" numFmtId="0" applyAlignment="1" applyFont="1"/>
  </cellStyleXfs>
  <cellXfs count="686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vertical="center"/>
    </xf>
    <xf borderId="1" fillId="2" fontId="1" numFmtId="1" xfId="0" applyAlignment="1" applyBorder="1" applyFont="1" applyNumberFormat="1">
      <alignment horizontal="center" vertical="center"/>
    </xf>
    <xf borderId="1" fillId="2" fontId="1" numFmtId="165" xfId="0" applyAlignment="1" applyBorder="1" applyFont="1" applyNumberFormat="1">
      <alignment horizontal="center" vertical="center"/>
    </xf>
    <xf borderId="1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shrinkToFit="0" vertical="center" wrapText="1"/>
    </xf>
    <xf borderId="1" fillId="2" fontId="1" numFmtId="3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1" fillId="3" fontId="3" numFmtId="0" xfId="0" applyAlignment="1" applyBorder="1" applyFill="1" applyFont="1">
      <alignment horizontal="center"/>
    </xf>
    <xf borderId="1" fillId="3" fontId="4" numFmtId="166" xfId="0" applyAlignment="1" applyBorder="1" applyFont="1" applyNumberFormat="1">
      <alignment horizontal="center" readingOrder="0" vertical="center"/>
    </xf>
    <xf borderId="1" fillId="3" fontId="4" numFmtId="167" xfId="0" applyAlignment="1" applyBorder="1" applyFont="1" applyNumberFormat="1">
      <alignment horizontal="center" readingOrder="0" vertical="center"/>
    </xf>
    <xf borderId="1" fillId="3" fontId="4" numFmtId="0" xfId="0" applyAlignment="1" applyBorder="1" applyFont="1">
      <alignment horizontal="center" readingOrder="0" shrinkToFit="0" vertical="center" wrapText="1"/>
    </xf>
    <xf borderId="1" fillId="3" fontId="4" numFmtId="0" xfId="0" applyAlignment="1" applyBorder="1" applyFont="1">
      <alignment horizontal="center" readingOrder="0" vertical="center"/>
    </xf>
    <xf borderId="1" fillId="3" fontId="4" numFmtId="168" xfId="0" applyAlignment="1" applyBorder="1" applyFont="1" applyNumberFormat="1">
      <alignment horizontal="center" readingOrder="0" vertical="center"/>
    </xf>
    <xf borderId="1" fillId="3" fontId="5" numFmtId="3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2" fillId="2" fontId="7" numFmtId="3" xfId="0" applyAlignment="1" applyBorder="1" applyFont="1" applyNumberFormat="1">
      <alignment horizontal="center" readingOrder="0" vertical="center"/>
    </xf>
    <xf borderId="3" fillId="0" fontId="8" numFmtId="0" xfId="0" applyBorder="1" applyFont="1"/>
    <xf borderId="1" fillId="4" fontId="3" numFmtId="0" xfId="0" applyAlignment="1" applyBorder="1" applyFill="1" applyFont="1">
      <alignment horizontal="center"/>
    </xf>
    <xf borderId="1" fillId="4" fontId="4" numFmtId="166" xfId="0" applyAlignment="1" applyBorder="1" applyFont="1" applyNumberFormat="1">
      <alignment horizontal="center" readingOrder="0" vertical="center"/>
    </xf>
    <xf borderId="1" fillId="4" fontId="4" numFmtId="167" xfId="0" applyAlignment="1" applyBorder="1" applyFont="1" applyNumberFormat="1">
      <alignment horizontal="center" readingOrder="0" vertical="center"/>
    </xf>
    <xf borderId="1" fillId="4" fontId="4" numFmtId="0" xfId="0" applyAlignment="1" applyBorder="1" applyFont="1">
      <alignment horizontal="center" readingOrder="0" vertical="center"/>
    </xf>
    <xf borderId="1" fillId="4" fontId="4" numFmtId="0" xfId="0" applyAlignment="1" applyBorder="1" applyFont="1">
      <alignment horizontal="center" readingOrder="0" shrinkToFit="0" vertical="center" wrapText="1"/>
    </xf>
    <xf borderId="1" fillId="4" fontId="4" numFmtId="168" xfId="0" applyAlignment="1" applyBorder="1" applyFont="1" applyNumberFormat="1">
      <alignment horizontal="center" readingOrder="0" vertical="center"/>
    </xf>
    <xf borderId="1" fillId="4" fontId="5" numFmtId="3" xfId="0" applyAlignment="1" applyBorder="1" applyFont="1" applyNumberFormat="1">
      <alignment horizontal="center" vertical="center"/>
    </xf>
    <xf borderId="0" fillId="0" fontId="9" numFmtId="0" xfId="0" applyAlignment="1" applyFont="1">
      <alignment horizontal="center" vertical="center"/>
    </xf>
    <xf borderId="4" fillId="4" fontId="3" numFmtId="0" xfId="0" applyAlignment="1" applyBorder="1" applyFont="1">
      <alignment horizontal="center" vertical="center"/>
    </xf>
    <xf borderId="4" fillId="4" fontId="10" numFmtId="0" xfId="0" applyAlignment="1" applyBorder="1" applyFont="1">
      <alignment horizontal="center" vertical="center"/>
    </xf>
    <xf borderId="1" fillId="3" fontId="4" numFmtId="3" xfId="0" applyAlignment="1" applyBorder="1" applyFont="1" applyNumberFormat="1">
      <alignment horizontal="center" vertical="center"/>
    </xf>
    <xf borderId="4" fillId="3" fontId="3" numFmtId="0" xfId="0" applyAlignment="1" applyBorder="1" applyFont="1">
      <alignment horizontal="center" readingOrder="0" vertical="center"/>
    </xf>
    <xf borderId="4" fillId="3" fontId="10" numFmtId="0" xfId="0" applyAlignment="1" applyBorder="1" applyFont="1">
      <alignment horizontal="center" readingOrder="0" vertical="center"/>
    </xf>
    <xf borderId="1" fillId="4" fontId="4" numFmtId="3" xfId="0" applyAlignment="1" applyBorder="1" applyFont="1" applyNumberFormat="1">
      <alignment horizontal="center" vertical="center"/>
    </xf>
    <xf borderId="2" fillId="2" fontId="7" numFmtId="3" xfId="0" applyAlignment="1" applyBorder="1" applyFont="1" applyNumberFormat="1">
      <alignment horizontal="center" vertical="center"/>
    </xf>
    <xf borderId="5" fillId="2" fontId="11" numFmtId="0" xfId="0" applyAlignment="1" applyBorder="1" applyFont="1">
      <alignment horizontal="center" vertical="center"/>
    </xf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11" fillId="4" fontId="3" numFmtId="0" xfId="0" applyAlignment="1" applyBorder="1" applyFont="1">
      <alignment horizontal="center" vertical="center"/>
    </xf>
    <xf borderId="12" fillId="0" fontId="8" numFmtId="0" xfId="0" applyBorder="1" applyFont="1"/>
    <xf borderId="13" fillId="0" fontId="8" numFmtId="0" xfId="0" applyBorder="1" applyFont="1"/>
    <xf borderId="0" fillId="0" fontId="12" numFmtId="0" xfId="0" applyAlignment="1" applyFont="1">
      <alignment horizontal="center" vertical="center"/>
    </xf>
    <xf borderId="11" fillId="3" fontId="3" numFmtId="0" xfId="0" applyAlignment="1" applyBorder="1" applyFont="1">
      <alignment horizontal="center" readingOrder="0" vertical="center"/>
    </xf>
    <xf borderId="1" fillId="4" fontId="4" numFmtId="168" xfId="0" applyAlignment="1" applyBorder="1" applyFont="1" applyNumberFormat="1">
      <alignment horizontal="center" readingOrder="0" shrinkToFit="0" vertical="center" wrapText="1"/>
    </xf>
    <xf borderId="1" fillId="2" fontId="7" numFmtId="0" xfId="0" applyAlignment="1" applyBorder="1" applyFont="1">
      <alignment horizontal="center" vertical="center"/>
    </xf>
    <xf borderId="11" fillId="2" fontId="7" numFmtId="0" xfId="0" applyAlignment="1" applyBorder="1" applyFont="1">
      <alignment horizontal="center" vertical="center"/>
    </xf>
    <xf borderId="1" fillId="4" fontId="3" numFmtId="0" xfId="0" applyAlignment="1" applyBorder="1" applyFont="1">
      <alignment horizontal="center" vertical="center"/>
    </xf>
    <xf borderId="1" fillId="4" fontId="3" numFmtId="169" xfId="0" applyAlignment="1" applyBorder="1" applyFont="1" applyNumberFormat="1">
      <alignment horizontal="center" vertical="center"/>
    </xf>
    <xf borderId="1" fillId="3" fontId="3" numFmtId="0" xfId="0" applyAlignment="1" applyBorder="1" applyFont="1">
      <alignment horizontal="center" vertical="center"/>
    </xf>
    <xf borderId="11" fillId="3" fontId="3" numFmtId="0" xfId="0" applyAlignment="1" applyBorder="1" applyFont="1">
      <alignment horizontal="center" vertical="center"/>
    </xf>
    <xf borderId="1" fillId="3" fontId="3" numFmtId="169" xfId="0" applyAlignment="1" applyBorder="1" applyFont="1" applyNumberFormat="1">
      <alignment horizontal="center" vertical="center"/>
    </xf>
    <xf borderId="1" fillId="3" fontId="4" numFmtId="170" xfId="0" applyAlignment="1" applyBorder="1" applyFont="1" applyNumberFormat="1">
      <alignment horizontal="center" readingOrder="0" vertical="center"/>
    </xf>
    <xf borderId="1" fillId="4" fontId="3" numFmtId="0" xfId="0" applyAlignment="1" applyBorder="1" applyFont="1">
      <alignment horizontal="center" readingOrder="0"/>
    </xf>
    <xf borderId="12" fillId="4" fontId="3" numFmtId="0" xfId="0" applyAlignment="1" applyBorder="1" applyFont="1">
      <alignment horizontal="center"/>
    </xf>
    <xf borderId="13" fillId="4" fontId="3" numFmtId="169" xfId="0" applyAlignment="1" applyBorder="1" applyFont="1" applyNumberFormat="1">
      <alignment horizontal="center"/>
    </xf>
    <xf borderId="1" fillId="2" fontId="7" numFmtId="169" xfId="0" applyAlignment="1" applyBorder="1" applyFont="1" applyNumberFormat="1">
      <alignment horizontal="center" vertical="center"/>
    </xf>
    <xf borderId="1" fillId="4" fontId="4" numFmtId="166" xfId="0" applyAlignment="1" applyBorder="1" applyFont="1" applyNumberFormat="1">
      <alignment horizontal="center" vertical="center"/>
    </xf>
    <xf borderId="1" fillId="4" fontId="4" numFmtId="167" xfId="0" applyAlignment="1" applyBorder="1" applyFont="1" applyNumberFormat="1">
      <alignment horizontal="center" vertical="center"/>
    </xf>
    <xf borderId="1" fillId="4" fontId="4" numFmtId="0" xfId="0" applyAlignment="1" applyBorder="1" applyFont="1">
      <alignment horizontal="center" vertical="center"/>
    </xf>
    <xf borderId="1" fillId="4" fontId="4" numFmtId="0" xfId="0" applyAlignment="1" applyBorder="1" applyFont="1">
      <alignment horizontal="center" shrinkToFit="0" vertical="center" wrapText="1"/>
    </xf>
    <xf borderId="1" fillId="4" fontId="4" numFmtId="165" xfId="0" applyAlignment="1" applyBorder="1" applyFont="1" applyNumberFormat="1">
      <alignment horizontal="center" vertical="center"/>
    </xf>
    <xf borderId="1" fillId="3" fontId="4" numFmtId="166" xfId="0" applyAlignment="1" applyBorder="1" applyFont="1" applyNumberFormat="1">
      <alignment horizontal="center" vertical="center"/>
    </xf>
    <xf borderId="1" fillId="3" fontId="4" numFmtId="167" xfId="0" applyAlignment="1" applyBorder="1" applyFont="1" applyNumberFormat="1">
      <alignment horizontal="center" vertical="center"/>
    </xf>
    <xf borderId="1" fillId="3" fontId="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horizontal="center" vertical="center"/>
    </xf>
    <xf borderId="1" fillId="3" fontId="4" numFmtId="165" xfId="0" applyAlignment="1" applyBorder="1" applyFont="1" applyNumberFormat="1">
      <alignment horizontal="center" vertical="center"/>
    </xf>
    <xf borderId="11" fillId="5" fontId="10" numFmtId="0" xfId="0" applyAlignment="1" applyBorder="1" applyFill="1" applyFont="1">
      <alignment horizontal="center" vertical="center"/>
    </xf>
    <xf borderId="1" fillId="5" fontId="10" numFmtId="0" xfId="0" applyAlignment="1" applyBorder="1" applyFont="1">
      <alignment horizontal="center" vertical="center"/>
    </xf>
    <xf borderId="1" fillId="5" fontId="10" numFmtId="10" xfId="0" applyAlignment="1" applyBorder="1" applyFont="1" applyNumberFormat="1">
      <alignment horizontal="center" vertical="center"/>
    </xf>
    <xf borderId="11" fillId="5" fontId="13" numFmtId="0" xfId="0" applyAlignment="1" applyBorder="1" applyFont="1">
      <alignment horizontal="center" vertical="center"/>
    </xf>
    <xf borderId="1" fillId="5" fontId="13" numFmtId="0" xfId="0" applyAlignment="1" applyBorder="1" applyFont="1">
      <alignment horizontal="center" vertical="center"/>
    </xf>
    <xf borderId="1" fillId="5" fontId="13" numFmtId="10" xfId="0" applyAlignment="1" applyBorder="1" applyFont="1" applyNumberFormat="1">
      <alignment horizontal="center" vertical="center"/>
    </xf>
    <xf borderId="11" fillId="6" fontId="10" numFmtId="0" xfId="0" applyAlignment="1" applyBorder="1" applyFill="1" applyFont="1">
      <alignment horizontal="center" vertical="center"/>
    </xf>
    <xf borderId="1" fillId="6" fontId="10" numFmtId="0" xfId="0" applyAlignment="1" applyBorder="1" applyFont="1">
      <alignment horizontal="center" vertical="center"/>
    </xf>
    <xf borderId="1" fillId="6" fontId="10" numFmtId="10" xfId="0" applyAlignment="1" applyBorder="1" applyFont="1" applyNumberFormat="1">
      <alignment horizontal="center" vertical="center"/>
    </xf>
    <xf borderId="11" fillId="6" fontId="13" numFmtId="0" xfId="0" applyAlignment="1" applyBorder="1" applyFont="1">
      <alignment horizontal="center" vertical="center"/>
    </xf>
    <xf borderId="1" fillId="6" fontId="13" numFmtId="0" xfId="0" applyAlignment="1" applyBorder="1" applyFont="1">
      <alignment horizontal="center" vertical="center"/>
    </xf>
    <xf borderId="1" fillId="6" fontId="13" numFmtId="10" xfId="0" applyAlignment="1" applyBorder="1" applyFont="1" applyNumberFormat="1">
      <alignment horizontal="center" vertical="center"/>
    </xf>
    <xf borderId="11" fillId="7" fontId="10" numFmtId="0" xfId="0" applyAlignment="1" applyBorder="1" applyFill="1" applyFont="1">
      <alignment horizontal="center" vertical="center"/>
    </xf>
    <xf borderId="1" fillId="7" fontId="10" numFmtId="0" xfId="0" applyAlignment="1" applyBorder="1" applyFont="1">
      <alignment horizontal="center" vertical="center"/>
    </xf>
    <xf borderId="1" fillId="7" fontId="10" numFmtId="10" xfId="0" applyAlignment="1" applyBorder="1" applyFont="1" applyNumberFormat="1">
      <alignment horizontal="center" vertical="center"/>
    </xf>
    <xf borderId="11" fillId="8" fontId="10" numFmtId="0" xfId="0" applyAlignment="1" applyBorder="1" applyFill="1" applyFont="1">
      <alignment horizontal="center" vertical="center"/>
    </xf>
    <xf borderId="1" fillId="8" fontId="10" numFmtId="0" xfId="0" applyAlignment="1" applyBorder="1" applyFont="1">
      <alignment horizontal="center" vertical="center"/>
    </xf>
    <xf borderId="1" fillId="8" fontId="10" numFmtId="10" xfId="0" applyAlignment="1" applyBorder="1" applyFont="1" applyNumberFormat="1">
      <alignment horizontal="center" vertical="center"/>
    </xf>
    <xf borderId="11" fillId="0" fontId="10" numFmtId="0" xfId="0" applyAlignment="1" applyBorder="1" applyFont="1">
      <alignment horizontal="center" vertical="center"/>
    </xf>
    <xf borderId="1" fillId="0" fontId="10" numFmtId="0" xfId="0" applyAlignment="1" applyBorder="1" applyFont="1">
      <alignment horizontal="center" vertical="center"/>
    </xf>
    <xf borderId="1" fillId="0" fontId="10" numFmtId="10" xfId="0" applyAlignment="1" applyBorder="1" applyFont="1" applyNumberFormat="1">
      <alignment horizontal="center" vertical="center"/>
    </xf>
    <xf borderId="1" fillId="2" fontId="7" numFmtId="10" xfId="0" applyAlignment="1" applyBorder="1" applyFont="1" applyNumberFormat="1">
      <alignment horizontal="center" vertical="center"/>
    </xf>
    <xf borderId="11" fillId="9" fontId="10" numFmtId="0" xfId="0" applyAlignment="1" applyBorder="1" applyFill="1" applyFont="1">
      <alignment horizontal="center" vertical="center"/>
    </xf>
    <xf borderId="1" fillId="9" fontId="10" numFmtId="0" xfId="0" applyAlignment="1" applyBorder="1" applyFont="1">
      <alignment horizontal="center" shrinkToFit="0" vertical="center" wrapText="1"/>
    </xf>
    <xf borderId="1" fillId="9" fontId="10" numFmtId="10" xfId="0" applyAlignment="1" applyBorder="1" applyFont="1" applyNumberFormat="1">
      <alignment horizontal="center" shrinkToFit="0" vertical="center" wrapText="1"/>
    </xf>
    <xf borderId="11" fillId="10" fontId="10" numFmtId="0" xfId="0" applyAlignment="1" applyBorder="1" applyFill="1" applyFont="1">
      <alignment horizontal="center" readingOrder="0" vertical="center"/>
    </xf>
    <xf borderId="1" fillId="10" fontId="10" numFmtId="0" xfId="0" applyAlignment="1" applyBorder="1" applyFont="1">
      <alignment horizontal="center" shrinkToFit="0" vertical="center" wrapText="1"/>
    </xf>
    <xf borderId="1" fillId="10" fontId="10" numFmtId="10" xfId="0" applyAlignment="1" applyBorder="1" applyFont="1" applyNumberFormat="1">
      <alignment horizontal="center" shrinkToFit="0" vertical="center" wrapText="1"/>
    </xf>
    <xf borderId="11" fillId="11" fontId="10" numFmtId="0" xfId="0" applyAlignment="1" applyBorder="1" applyFill="1" applyFont="1">
      <alignment horizontal="center" readingOrder="0" vertical="center"/>
    </xf>
    <xf borderId="1" fillId="11" fontId="10" numFmtId="0" xfId="0" applyAlignment="1" applyBorder="1" applyFont="1">
      <alignment horizontal="center" shrinkToFit="0" vertical="center" wrapText="1"/>
    </xf>
    <xf borderId="1" fillId="11" fontId="10" numFmtId="10" xfId="0" applyAlignment="1" applyBorder="1" applyFont="1" applyNumberFormat="1">
      <alignment horizontal="center" shrinkToFit="0" vertical="center" wrapText="1"/>
    </xf>
    <xf borderId="11" fillId="12" fontId="10" numFmtId="0" xfId="0" applyAlignment="1" applyBorder="1" applyFill="1" applyFont="1">
      <alignment horizontal="center" readingOrder="0" vertical="center"/>
    </xf>
    <xf borderId="1" fillId="12" fontId="10" numFmtId="0" xfId="0" applyAlignment="1" applyBorder="1" applyFont="1">
      <alignment horizontal="center" shrinkToFit="0" vertical="center" wrapText="1"/>
    </xf>
    <xf borderId="1" fillId="12" fontId="10" numFmtId="10" xfId="0" applyAlignment="1" applyBorder="1" applyFont="1" applyNumberFormat="1">
      <alignment horizontal="center" shrinkToFit="0" vertical="center" wrapText="1"/>
    </xf>
    <xf borderId="14" fillId="2" fontId="11" numFmtId="0" xfId="0" applyAlignment="1" applyBorder="1" applyFont="1">
      <alignment horizontal="center" vertical="center"/>
    </xf>
    <xf borderId="15" fillId="0" fontId="8" numFmtId="0" xfId="0" applyBorder="1" applyFont="1"/>
    <xf borderId="16" fillId="0" fontId="8" numFmtId="0" xfId="0" applyBorder="1" applyFont="1"/>
    <xf borderId="17" fillId="0" fontId="8" numFmtId="0" xfId="0" applyBorder="1" applyFont="1"/>
    <xf borderId="18" fillId="0" fontId="8" numFmtId="0" xfId="0" applyBorder="1" applyFont="1"/>
    <xf borderId="19" fillId="0" fontId="8" numFmtId="0" xfId="0" applyBorder="1" applyFont="1"/>
    <xf borderId="20" fillId="2" fontId="7" numFmtId="0" xfId="0" applyAlignment="1" applyBorder="1" applyFont="1">
      <alignment horizontal="center" vertical="center"/>
    </xf>
    <xf borderId="21" fillId="2" fontId="7" numFmtId="0" xfId="0" applyAlignment="1" applyBorder="1" applyFont="1">
      <alignment horizontal="center" vertical="center"/>
    </xf>
    <xf borderId="22" fillId="0" fontId="8" numFmtId="0" xfId="0" applyBorder="1" applyFont="1"/>
    <xf borderId="23" fillId="0" fontId="8" numFmtId="0" xfId="0" applyBorder="1" applyFont="1"/>
    <xf borderId="24" fillId="3" fontId="10" numFmtId="0" xfId="0" applyAlignment="1" applyBorder="1" applyFont="1">
      <alignment horizontal="center" shrinkToFit="0" vertical="center" wrapText="1"/>
    </xf>
    <xf borderId="25" fillId="3" fontId="10" numFmtId="171" xfId="0" applyAlignment="1" applyBorder="1" applyFont="1" applyNumberFormat="1">
      <alignment horizontal="center" shrinkToFit="0" vertical="center" wrapText="1"/>
    </xf>
    <xf borderId="26" fillId="0" fontId="8" numFmtId="0" xfId="0" applyBorder="1" applyFont="1"/>
    <xf borderId="27" fillId="0" fontId="8" numFmtId="0" xfId="0" applyBorder="1" applyFont="1"/>
    <xf borderId="24" fillId="4" fontId="10" numFmtId="0" xfId="0" applyAlignment="1" applyBorder="1" applyFont="1">
      <alignment horizontal="center" shrinkToFit="0" vertical="center" wrapText="1"/>
    </xf>
    <xf borderId="28" fillId="2" fontId="7" numFmtId="0" xfId="0" applyAlignment="1" applyBorder="1" applyFont="1">
      <alignment horizontal="center" vertical="center"/>
    </xf>
    <xf borderId="29" fillId="2" fontId="7" numFmtId="171" xfId="0" applyAlignment="1" applyBorder="1" applyFont="1" applyNumberFormat="1">
      <alignment horizontal="center" vertical="center"/>
    </xf>
    <xf borderId="30" fillId="0" fontId="8" numFmtId="0" xfId="0" applyBorder="1" applyFont="1"/>
    <xf borderId="31" fillId="0" fontId="8" numFmtId="0" xfId="0" applyBorder="1" applyFont="1"/>
    <xf borderId="1" fillId="3" fontId="10" numFmtId="166" xfId="0" applyAlignment="1" applyBorder="1" applyFont="1" applyNumberFormat="1">
      <alignment horizontal="center" vertical="center"/>
    </xf>
    <xf borderId="1" fillId="3" fontId="10" numFmtId="167" xfId="0" applyAlignment="1" applyBorder="1" applyFont="1" applyNumberFormat="1">
      <alignment horizontal="center" vertical="center"/>
    </xf>
    <xf borderId="1" fillId="3" fontId="10" numFmtId="0" xfId="0" applyAlignment="1" applyBorder="1" applyFont="1">
      <alignment horizontal="center" shrinkToFit="0" vertical="center" wrapText="1"/>
    </xf>
    <xf borderId="1" fillId="3" fontId="10" numFmtId="0" xfId="0" applyAlignment="1" applyBorder="1" applyFont="1">
      <alignment horizontal="center" vertical="center"/>
    </xf>
    <xf borderId="1" fillId="3" fontId="10" numFmtId="165" xfId="0" applyAlignment="1" applyBorder="1" applyFont="1" applyNumberFormat="1">
      <alignment horizontal="center" vertical="center"/>
    </xf>
    <xf borderId="1" fillId="3" fontId="10" numFmtId="0" xfId="0" applyAlignment="1" applyBorder="1" applyFont="1">
      <alignment horizontal="center" readingOrder="0" vertical="center"/>
    </xf>
    <xf borderId="1" fillId="3" fontId="10" numFmtId="3" xfId="0" applyAlignment="1" applyBorder="1" applyFont="1" applyNumberFormat="1">
      <alignment horizontal="center" vertical="center"/>
    </xf>
    <xf borderId="1" fillId="4" fontId="10" numFmtId="166" xfId="0" applyAlignment="1" applyBorder="1" applyFont="1" applyNumberFormat="1">
      <alignment horizontal="center" vertical="center"/>
    </xf>
    <xf borderId="1" fillId="4" fontId="10" numFmtId="167" xfId="0" applyAlignment="1" applyBorder="1" applyFont="1" applyNumberFormat="1">
      <alignment horizontal="center" vertical="center"/>
    </xf>
    <xf borderId="1" fillId="4" fontId="10" numFmtId="0" xfId="0" applyAlignment="1" applyBorder="1" applyFont="1">
      <alignment horizontal="center" vertical="center"/>
    </xf>
    <xf borderId="1" fillId="4" fontId="10" numFmtId="0" xfId="0" applyAlignment="1" applyBorder="1" applyFont="1">
      <alignment horizontal="center" shrinkToFit="0" vertical="center" wrapText="1"/>
    </xf>
    <xf borderId="1" fillId="4" fontId="10" numFmtId="165" xfId="0" applyAlignment="1" applyBorder="1" applyFont="1" applyNumberFormat="1">
      <alignment horizontal="center" vertical="center"/>
    </xf>
    <xf borderId="1" fillId="4" fontId="10" numFmtId="3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9" numFmtId="164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3" xfId="0" applyAlignment="1" applyFont="1" applyNumberFormat="1">
      <alignment horizontal="center"/>
    </xf>
    <xf borderId="32" fillId="13" fontId="9" numFmtId="164" xfId="0" applyAlignment="1" applyBorder="1" applyFill="1" applyFont="1" applyNumberFormat="1">
      <alignment horizontal="center"/>
    </xf>
    <xf borderId="32" fillId="13" fontId="9" numFmtId="1" xfId="0" applyAlignment="1" applyBorder="1" applyFont="1" applyNumberFormat="1">
      <alignment horizontal="center"/>
    </xf>
    <xf borderId="0" fillId="13" fontId="9" numFmtId="165" xfId="0" applyAlignment="1" applyFont="1" applyNumberFormat="1">
      <alignment horizontal="center"/>
    </xf>
    <xf borderId="32" fillId="13" fontId="9" numFmtId="0" xfId="0" applyAlignment="1" applyBorder="1" applyFont="1">
      <alignment horizontal="center"/>
    </xf>
    <xf borderId="32" fillId="13" fontId="9" numFmtId="0" xfId="0" applyAlignment="1" applyBorder="1" applyFont="1">
      <alignment horizontal="center" shrinkToFit="0" wrapText="1"/>
    </xf>
    <xf borderId="32" fillId="13" fontId="9" numFmtId="3" xfId="0" applyAlignment="1" applyBorder="1" applyFont="1" applyNumberFormat="1">
      <alignment horizontal="center"/>
    </xf>
    <xf borderId="33" fillId="2" fontId="1" numFmtId="164" xfId="0" applyAlignment="1" applyBorder="1" applyFont="1" applyNumberFormat="1">
      <alignment horizontal="center" vertical="center"/>
    </xf>
    <xf borderId="14" fillId="2" fontId="1" numFmtId="1" xfId="0" applyAlignment="1" applyBorder="1" applyFont="1" applyNumberFormat="1">
      <alignment horizontal="center" vertical="center"/>
    </xf>
    <xf borderId="34" fillId="2" fontId="1" numFmtId="1" xfId="0" applyAlignment="1" applyBorder="1" applyFont="1" applyNumberFormat="1">
      <alignment horizontal="center" vertical="center"/>
    </xf>
    <xf borderId="15" fillId="2" fontId="1" numFmtId="0" xfId="0" applyAlignment="1" applyBorder="1" applyFont="1">
      <alignment horizontal="center" vertical="center"/>
    </xf>
    <xf borderId="34" fillId="2" fontId="1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center" shrinkToFit="0" vertical="center" wrapText="1"/>
    </xf>
    <xf borderId="34" fillId="2" fontId="1" numFmtId="167" xfId="0" applyAlignment="1" applyBorder="1" applyFont="1" applyNumberFormat="1">
      <alignment horizontal="center" vertical="center"/>
    </xf>
    <xf borderId="35" fillId="2" fontId="1" numFmtId="0" xfId="0" applyAlignment="1" applyBorder="1" applyFont="1">
      <alignment horizontal="center" vertical="center"/>
    </xf>
    <xf borderId="36" fillId="2" fontId="1" numFmtId="3" xfId="0" applyAlignment="1" applyBorder="1" applyFont="1" applyNumberFormat="1">
      <alignment horizontal="center" vertical="center"/>
    </xf>
    <xf borderId="1" fillId="3" fontId="3" numFmtId="164" xfId="0" applyAlignment="1" applyBorder="1" applyFont="1" applyNumberFormat="1">
      <alignment horizontal="center" readingOrder="0" vertical="center"/>
    </xf>
    <xf borderId="1" fillId="3" fontId="10" numFmtId="166" xfId="0" applyAlignment="1" applyBorder="1" applyFont="1" applyNumberFormat="1">
      <alignment horizontal="center" readingOrder="0" vertical="center"/>
    </xf>
    <xf borderId="1" fillId="3" fontId="10" numFmtId="167" xfId="0" applyAlignment="1" applyBorder="1" applyFont="1" applyNumberFormat="1">
      <alignment horizontal="center" readingOrder="0" vertical="center"/>
    </xf>
    <xf borderId="1" fillId="3" fontId="10" numFmtId="0" xfId="0" applyAlignment="1" applyBorder="1" applyFont="1">
      <alignment horizontal="center" readingOrder="0" shrinkToFit="0" vertical="center" wrapText="1"/>
    </xf>
    <xf borderId="1" fillId="11" fontId="10" numFmtId="0" xfId="0" applyAlignment="1" applyBorder="1" applyFont="1">
      <alignment horizontal="center" readingOrder="0" shrinkToFit="0" vertical="center" wrapText="1"/>
    </xf>
    <xf borderId="1" fillId="3" fontId="10" numFmtId="1" xfId="0" applyAlignment="1" applyBorder="1" applyFont="1" applyNumberFormat="1">
      <alignment horizontal="center" shrinkToFit="0" vertical="center" wrapText="1"/>
    </xf>
    <xf borderId="11" fillId="2" fontId="7" numFmtId="0" xfId="0" applyAlignment="1" applyBorder="1" applyFont="1">
      <alignment horizontal="center" readingOrder="0" vertical="center"/>
    </xf>
    <xf borderId="1" fillId="4" fontId="3" numFmtId="164" xfId="0" applyAlignment="1" applyBorder="1" applyFont="1" applyNumberFormat="1">
      <alignment horizontal="center" readingOrder="0" vertical="center"/>
    </xf>
    <xf borderId="1" fillId="4" fontId="10" numFmtId="166" xfId="0" applyAlignment="1" applyBorder="1" applyFont="1" applyNumberFormat="1">
      <alignment horizontal="center" readingOrder="0" vertical="center"/>
    </xf>
    <xf borderId="1" fillId="4" fontId="10" numFmtId="167" xfId="0" applyAlignment="1" applyBorder="1" applyFont="1" applyNumberFormat="1">
      <alignment horizontal="center" readingOrder="0" vertical="center"/>
    </xf>
    <xf borderId="1" fillId="4" fontId="10" numFmtId="0" xfId="0" applyAlignment="1" applyBorder="1" applyFont="1">
      <alignment horizontal="center" readingOrder="0" vertical="center"/>
    </xf>
    <xf borderId="1" fillId="4" fontId="10" numFmtId="0" xfId="0" applyAlignment="1" applyBorder="1" applyFont="1">
      <alignment horizontal="center" readingOrder="0" shrinkToFit="0" vertical="center" wrapText="1"/>
    </xf>
    <xf borderId="1" fillId="4" fontId="10" numFmtId="1" xfId="0" applyAlignment="1" applyBorder="1" applyFont="1" applyNumberFormat="1">
      <alignment horizontal="center" shrinkToFit="0" vertical="center" wrapText="1"/>
    </xf>
    <xf borderId="1" fillId="10" fontId="10" numFmtId="0" xfId="0" applyAlignment="1" applyBorder="1" applyFont="1">
      <alignment horizontal="center" readingOrder="0" shrinkToFit="0" vertical="center" wrapText="1"/>
    </xf>
    <xf borderId="1" fillId="4" fontId="10" numFmtId="168" xfId="0" applyAlignment="1" applyBorder="1" applyFont="1" applyNumberFormat="1">
      <alignment horizontal="center" readingOrder="0" vertical="center"/>
    </xf>
    <xf borderId="1" fillId="5" fontId="10" numFmtId="0" xfId="0" applyAlignment="1" applyBorder="1" applyFont="1">
      <alignment horizontal="center" readingOrder="0" shrinkToFit="0" vertical="center" wrapText="1"/>
    </xf>
    <xf borderId="5" fillId="2" fontId="15" numFmtId="0" xfId="0" applyAlignment="1" applyBorder="1" applyFont="1">
      <alignment horizontal="center" vertical="center"/>
    </xf>
    <xf borderId="11" fillId="3" fontId="16" numFmtId="0" xfId="0" applyAlignment="1" applyBorder="1" applyFont="1">
      <alignment horizontal="center" vertical="center"/>
    </xf>
    <xf borderId="11" fillId="4" fontId="16" numFmtId="0" xfId="0" applyAlignment="1" applyBorder="1" applyFont="1">
      <alignment horizontal="center" vertical="center"/>
    </xf>
    <xf borderId="0" fillId="12" fontId="10" numFmtId="0" xfId="0" applyAlignment="1" applyFont="1">
      <alignment horizontal="center" readingOrder="0"/>
    </xf>
    <xf borderId="1" fillId="9" fontId="10" numFmtId="0" xfId="0" applyAlignment="1" applyBorder="1" applyFont="1">
      <alignment horizontal="center" vertical="center"/>
    </xf>
    <xf borderId="1" fillId="9" fontId="10" numFmtId="10" xfId="0" applyAlignment="1" applyBorder="1" applyFont="1" applyNumberFormat="1">
      <alignment horizontal="center" vertical="center"/>
    </xf>
    <xf borderId="11" fillId="10" fontId="10" numFmtId="0" xfId="0" applyAlignment="1" applyBorder="1" applyFont="1">
      <alignment horizontal="center" vertical="center"/>
    </xf>
    <xf borderId="1" fillId="10" fontId="10" numFmtId="0" xfId="0" applyAlignment="1" applyBorder="1" applyFont="1">
      <alignment horizontal="center" vertical="center"/>
    </xf>
    <xf borderId="1" fillId="10" fontId="10" numFmtId="10" xfId="0" applyAlignment="1" applyBorder="1" applyFont="1" applyNumberFormat="1">
      <alignment horizontal="center" vertical="center"/>
    </xf>
    <xf borderId="11" fillId="11" fontId="10" numFmtId="0" xfId="0" applyAlignment="1" applyBorder="1" applyFont="1">
      <alignment horizontal="center" vertical="center"/>
    </xf>
    <xf borderId="1" fillId="11" fontId="10" numFmtId="0" xfId="0" applyAlignment="1" applyBorder="1" applyFont="1">
      <alignment horizontal="center" vertical="center"/>
    </xf>
    <xf borderId="1" fillId="11" fontId="10" numFmtId="10" xfId="0" applyAlignment="1" applyBorder="1" applyFont="1" applyNumberFormat="1">
      <alignment horizontal="center" vertical="center"/>
    </xf>
    <xf borderId="11" fillId="12" fontId="10" numFmtId="0" xfId="0" applyAlignment="1" applyBorder="1" applyFont="1">
      <alignment horizontal="center" vertical="center"/>
    </xf>
    <xf borderId="1" fillId="12" fontId="10" numFmtId="0" xfId="0" applyAlignment="1" applyBorder="1" applyFont="1">
      <alignment horizontal="center" vertical="center"/>
    </xf>
    <xf borderId="1" fillId="12" fontId="10" numFmtId="10" xfId="0" applyAlignment="1" applyBorder="1" applyFont="1" applyNumberFormat="1">
      <alignment horizontal="center" vertical="center"/>
    </xf>
    <xf borderId="11" fillId="9" fontId="10" numFmtId="0" xfId="0" applyAlignment="1" applyBorder="1" applyFont="1">
      <alignment horizontal="center" shrinkToFit="0" vertical="center" wrapText="1"/>
    </xf>
    <xf borderId="11" fillId="10" fontId="10" numFmtId="0" xfId="0" applyAlignment="1" applyBorder="1" applyFont="1">
      <alignment horizontal="center" shrinkToFit="0" vertical="center" wrapText="1"/>
    </xf>
    <xf borderId="11" fillId="11" fontId="10" numFmtId="0" xfId="0" applyAlignment="1" applyBorder="1" applyFont="1">
      <alignment horizontal="center" shrinkToFit="0" vertical="center" wrapText="1"/>
    </xf>
    <xf borderId="11" fillId="12" fontId="10" numFmtId="0" xfId="0" applyAlignment="1" applyBorder="1" applyFont="1">
      <alignment horizontal="center" shrinkToFit="0" vertical="center" wrapText="1"/>
    </xf>
    <xf borderId="5" fillId="11" fontId="10" numFmtId="0" xfId="0" applyAlignment="1" applyBorder="1" applyFont="1">
      <alignment horizontal="center" vertical="center"/>
    </xf>
    <xf borderId="11" fillId="3" fontId="10" numFmtId="2" xfId="0" applyAlignment="1" applyBorder="1" applyFont="1" applyNumberFormat="1">
      <alignment horizontal="center" shrinkToFit="0" vertical="center" wrapText="1"/>
    </xf>
    <xf borderId="11" fillId="4" fontId="10" numFmtId="2" xfId="0" applyAlignment="1" applyBorder="1" applyFont="1" applyNumberFormat="1">
      <alignment horizontal="center" shrinkToFit="0" vertical="center" wrapText="1"/>
    </xf>
    <xf borderId="37" fillId="2" fontId="7" numFmtId="0" xfId="0" applyAlignment="1" applyBorder="1" applyFont="1">
      <alignment horizontal="center" vertical="center"/>
    </xf>
    <xf borderId="5" fillId="2" fontId="7" numFmtId="171" xfId="0" applyAlignment="1" applyBorder="1" applyFont="1" applyNumberFormat="1">
      <alignment horizontal="center" vertical="center"/>
    </xf>
    <xf borderId="38" fillId="0" fontId="8" numFmtId="0" xfId="0" applyBorder="1" applyFont="1"/>
    <xf borderId="32" fillId="13" fontId="9" numFmtId="167" xfId="0" applyAlignment="1" applyBorder="1" applyFont="1" applyNumberFormat="1">
      <alignment horizontal="center"/>
    </xf>
    <xf borderId="0" fillId="0" fontId="17" numFmtId="0" xfId="0" applyFont="1"/>
    <xf borderId="0" fillId="0" fontId="18" numFmtId="0" xfId="0" applyFont="1"/>
    <xf borderId="0" fillId="0" fontId="19" numFmtId="0" xfId="0" applyAlignment="1" applyFont="1">
      <alignment horizontal="center"/>
    </xf>
    <xf borderId="0" fillId="0" fontId="18" numFmtId="0" xfId="0" applyAlignment="1" applyFont="1">
      <alignment horizontal="center"/>
    </xf>
    <xf borderId="0" fillId="0" fontId="20" numFmtId="0" xfId="0" applyAlignment="1" applyFont="1">
      <alignment horizontal="center"/>
    </xf>
    <xf borderId="0" fillId="0" fontId="21" numFmtId="0" xfId="0" applyAlignment="1" applyFont="1">
      <alignment horizontal="center"/>
    </xf>
    <xf borderId="39" fillId="0" fontId="4" numFmtId="0" xfId="0" applyAlignment="1" applyBorder="1" applyFont="1">
      <alignment vertical="center"/>
    </xf>
    <xf borderId="40" fillId="2" fontId="22" numFmtId="0" xfId="0" applyAlignment="1" applyBorder="1" applyFont="1">
      <alignment horizontal="center" vertical="center"/>
    </xf>
    <xf borderId="40" fillId="0" fontId="8" numFmtId="0" xfId="0" applyBorder="1" applyFont="1"/>
    <xf borderId="41" fillId="0" fontId="8" numFmtId="0" xfId="0" applyBorder="1" applyFont="1"/>
    <xf borderId="42" fillId="2" fontId="23" numFmtId="0" xfId="0" applyAlignment="1" applyBorder="1" applyFont="1">
      <alignment horizontal="center" vertical="center"/>
    </xf>
    <xf borderId="43" fillId="2" fontId="23" numFmtId="0" xfId="0" applyAlignment="1" applyBorder="1" applyFont="1">
      <alignment horizontal="center" vertical="center"/>
    </xf>
    <xf borderId="44" fillId="2" fontId="23" numFmtId="0" xfId="0" applyAlignment="1" applyBorder="1" applyFont="1">
      <alignment horizontal="center" vertical="center"/>
    </xf>
    <xf borderId="45" fillId="2" fontId="23" numFmtId="0" xfId="0" applyAlignment="1" applyBorder="1" applyFont="1">
      <alignment horizontal="center" vertical="center"/>
    </xf>
    <xf borderId="46" fillId="2" fontId="23" numFmtId="0" xfId="0" applyAlignment="1" applyBorder="1" applyFont="1">
      <alignment horizontal="center" readingOrder="0" vertical="center"/>
    </xf>
    <xf borderId="47" fillId="2" fontId="23" numFmtId="0" xfId="0" applyAlignment="1" applyBorder="1" applyFont="1">
      <alignment horizontal="center" readingOrder="0" vertical="center"/>
    </xf>
    <xf borderId="48" fillId="2" fontId="24" numFmtId="0" xfId="0" applyAlignment="1" applyBorder="1" applyFont="1">
      <alignment horizontal="center" readingOrder="0" vertical="center"/>
    </xf>
    <xf borderId="49" fillId="14" fontId="25" numFmtId="0" xfId="0" applyAlignment="1" applyBorder="1" applyFill="1" applyFont="1">
      <alignment horizontal="center" vertical="center"/>
    </xf>
    <xf borderId="50" fillId="14" fontId="25" numFmtId="0" xfId="0" applyAlignment="1" applyBorder="1" applyFont="1">
      <alignment horizontal="center" vertical="center"/>
    </xf>
    <xf borderId="51" fillId="14" fontId="25" numFmtId="0" xfId="0" applyAlignment="1" applyBorder="1" applyFont="1">
      <alignment horizontal="center" vertical="center"/>
    </xf>
    <xf borderId="52" fillId="3" fontId="25" numFmtId="0" xfId="0" applyAlignment="1" applyBorder="1" applyFont="1">
      <alignment horizontal="center" vertical="center"/>
    </xf>
    <xf borderId="4" fillId="3" fontId="25" numFmtId="0" xfId="0" applyAlignment="1" applyBorder="1" applyFont="1">
      <alignment horizontal="center" vertical="center"/>
    </xf>
    <xf borderId="53" fillId="3" fontId="25" numFmtId="0" xfId="0" applyAlignment="1" applyBorder="1" applyFont="1">
      <alignment horizontal="center" vertical="center"/>
    </xf>
    <xf borderId="52" fillId="14" fontId="25" numFmtId="0" xfId="0" applyAlignment="1" applyBorder="1" applyFont="1">
      <alignment horizontal="center" vertical="center"/>
    </xf>
    <xf borderId="4" fillId="14" fontId="25" numFmtId="0" xfId="0" applyAlignment="1" applyBorder="1" applyFont="1">
      <alignment horizontal="center" vertical="center"/>
    </xf>
    <xf borderId="53" fillId="14" fontId="25" numFmtId="0" xfId="0" applyAlignment="1" applyBorder="1" applyFont="1">
      <alignment horizontal="center" vertical="center"/>
    </xf>
    <xf borderId="54" fillId="2" fontId="24" numFmtId="0" xfId="0" applyAlignment="1" applyBorder="1" applyFont="1">
      <alignment horizontal="center" vertical="center"/>
    </xf>
    <xf borderId="55" fillId="3" fontId="25" numFmtId="0" xfId="0" applyAlignment="1" applyBorder="1" applyFont="1">
      <alignment horizontal="center" vertical="center"/>
    </xf>
    <xf borderId="56" fillId="3" fontId="25" numFmtId="0" xfId="0" applyAlignment="1" applyBorder="1" applyFont="1">
      <alignment horizontal="center" vertical="center"/>
    </xf>
    <xf borderId="57" fillId="3" fontId="25" numFmtId="0" xfId="0" applyAlignment="1" applyBorder="1" applyFont="1">
      <alignment horizontal="center" vertical="center"/>
    </xf>
    <xf borderId="58" fillId="2" fontId="7" numFmtId="0" xfId="0" applyAlignment="1" applyBorder="1" applyFont="1">
      <alignment horizontal="center" readingOrder="0" vertical="center"/>
    </xf>
    <xf borderId="59" fillId="14" fontId="26" numFmtId="0" xfId="0" applyAlignment="1" applyBorder="1" applyFont="1">
      <alignment horizontal="center" vertical="center"/>
    </xf>
    <xf borderId="60" fillId="14" fontId="26" numFmtId="0" xfId="0" applyAlignment="1" applyBorder="1" applyFont="1">
      <alignment horizontal="center" vertical="center"/>
    </xf>
    <xf borderId="61" fillId="14" fontId="26" numFmtId="0" xfId="0" applyAlignment="1" applyBorder="1" applyFont="1">
      <alignment horizontal="center" vertical="center"/>
    </xf>
    <xf borderId="62" fillId="14" fontId="26" numFmtId="0" xfId="0" applyAlignment="1" applyBorder="1" applyFont="1">
      <alignment horizontal="center" vertical="center"/>
    </xf>
    <xf borderId="63" fillId="2" fontId="24" numFmtId="0" xfId="0" applyAlignment="1" applyBorder="1" applyFont="1">
      <alignment horizontal="center" readingOrder="0" vertical="center"/>
    </xf>
    <xf borderId="64" fillId="3" fontId="25" numFmtId="0" xfId="0" applyAlignment="1" applyBorder="1" applyFont="1">
      <alignment horizontal="center" vertical="center"/>
    </xf>
    <xf borderId="65" fillId="3" fontId="25" numFmtId="0" xfId="0" applyAlignment="1" applyBorder="1" applyFont="1">
      <alignment horizontal="center" vertical="center"/>
    </xf>
    <xf borderId="66" fillId="3" fontId="25" numFmtId="0" xfId="0" applyAlignment="1" applyBorder="1" applyFont="1">
      <alignment horizontal="center" vertical="center"/>
    </xf>
    <xf borderId="54" fillId="2" fontId="24" numFmtId="0" xfId="0" applyAlignment="1" applyBorder="1" applyFont="1">
      <alignment horizontal="center" readingOrder="0" vertical="center"/>
    </xf>
    <xf borderId="67" fillId="14" fontId="26" numFmtId="0" xfId="0" applyAlignment="1" applyBorder="1" applyFont="1">
      <alignment horizontal="center" vertical="center"/>
    </xf>
    <xf borderId="68" fillId="14" fontId="26" numFmtId="0" xfId="0" applyAlignment="1" applyBorder="1" applyFont="1">
      <alignment horizontal="center" vertical="center"/>
    </xf>
    <xf borderId="51" fillId="14" fontId="26" numFmtId="0" xfId="0" applyAlignment="1" applyBorder="1" applyFont="1">
      <alignment horizontal="center" vertical="center"/>
    </xf>
    <xf borderId="0" fillId="0" fontId="26" numFmtId="0" xfId="0" applyAlignment="1" applyFont="1">
      <alignment horizontal="center"/>
    </xf>
    <xf borderId="69" fillId="2" fontId="7" numFmtId="0" xfId="0" applyAlignment="1" applyBorder="1" applyFont="1">
      <alignment horizontal="center" readingOrder="0" vertical="center"/>
    </xf>
    <xf borderId="70" fillId="3" fontId="26" numFmtId="0" xfId="0" applyAlignment="1" applyBorder="1" applyFont="1">
      <alignment horizontal="center" vertical="center"/>
    </xf>
    <xf borderId="71" fillId="3" fontId="26" numFmtId="0" xfId="0" applyAlignment="1" applyBorder="1" applyFont="1">
      <alignment horizontal="center" vertical="center"/>
    </xf>
    <xf borderId="72" fillId="3" fontId="26" numFmtId="0" xfId="0" applyAlignment="1" applyBorder="1" applyFont="1">
      <alignment horizontal="center" vertical="center"/>
    </xf>
    <xf borderId="73" fillId="14" fontId="26" numFmtId="0" xfId="0" applyAlignment="1" applyBorder="1" applyFont="1">
      <alignment horizontal="center" vertical="center"/>
    </xf>
    <xf borderId="74" fillId="14" fontId="26" numFmtId="0" xfId="0" applyAlignment="1" applyBorder="1" applyFont="1">
      <alignment horizontal="center" vertical="center"/>
    </xf>
    <xf borderId="75" fillId="14" fontId="26" numFmtId="0" xfId="0" applyAlignment="1" applyBorder="1" applyFont="1">
      <alignment horizontal="center" vertical="center"/>
    </xf>
    <xf borderId="67" fillId="3" fontId="26" numFmtId="0" xfId="0" applyAlignment="1" applyBorder="1" applyFont="1">
      <alignment horizontal="center" vertical="center"/>
    </xf>
    <xf borderId="68" fillId="3" fontId="26" numFmtId="0" xfId="0" applyAlignment="1" applyBorder="1" applyFont="1">
      <alignment horizontal="center" vertical="center"/>
    </xf>
    <xf borderId="76" fillId="3" fontId="26" numFmtId="0" xfId="0" applyAlignment="1" applyBorder="1" applyFont="1">
      <alignment horizontal="center" vertical="center"/>
    </xf>
    <xf borderId="77" fillId="0" fontId="18" numFmtId="0" xfId="0" applyAlignment="1" applyBorder="1" applyFont="1">
      <alignment horizontal="center" vertical="center"/>
    </xf>
    <xf borderId="37" fillId="14" fontId="27" numFmtId="164" xfId="0" applyAlignment="1" applyBorder="1" applyFont="1" applyNumberFormat="1">
      <alignment horizontal="center" readingOrder="0" vertical="center"/>
    </xf>
    <xf borderId="11" fillId="14" fontId="16" numFmtId="164" xfId="0" applyAlignment="1" applyBorder="1" applyFont="1" applyNumberFormat="1">
      <alignment horizontal="center" readingOrder="0" vertical="center"/>
    </xf>
    <xf borderId="11" fillId="14" fontId="13" numFmtId="0" xfId="0" applyAlignment="1" applyBorder="1" applyFont="1">
      <alignment horizontal="center" readingOrder="0" vertical="center"/>
    </xf>
    <xf borderId="78" fillId="0" fontId="8" numFmtId="0" xfId="0" applyBorder="1" applyFont="1"/>
    <xf borderId="11" fillId="14" fontId="16" numFmtId="0" xfId="0" applyAlignment="1" applyBorder="1" applyFont="1">
      <alignment horizontal="center" vertical="center"/>
    </xf>
    <xf borderId="11" fillId="14" fontId="16" numFmtId="0" xfId="0" applyAlignment="1" applyBorder="1" applyFont="1">
      <alignment horizontal="center" readingOrder="0" vertical="center"/>
    </xf>
    <xf borderId="0" fillId="0" fontId="18" numFmtId="0" xfId="0" applyAlignment="1" applyFont="1">
      <alignment horizontal="center" vertical="center"/>
    </xf>
    <xf borderId="0" fillId="0" fontId="18" numFmtId="0" xfId="0" applyAlignment="1" applyFont="1">
      <alignment vertical="center"/>
    </xf>
    <xf borderId="79" fillId="14" fontId="28" numFmtId="0" xfId="0" applyAlignment="1" applyBorder="1" applyFont="1">
      <alignment horizontal="center" vertical="center"/>
    </xf>
    <xf borderId="80" fillId="14" fontId="25" numFmtId="0" xfId="0" applyAlignment="1" applyBorder="1" applyFont="1">
      <alignment horizontal="left" vertical="center"/>
    </xf>
    <xf borderId="79" fillId="0" fontId="8" numFmtId="0" xfId="0" applyBorder="1" applyFont="1"/>
    <xf borderId="81" fillId="0" fontId="8" numFmtId="0" xfId="0" applyBorder="1" applyFont="1"/>
    <xf borderId="82" fillId="0" fontId="8" numFmtId="0" xfId="0" applyBorder="1" applyFont="1"/>
    <xf borderId="83" fillId="0" fontId="8" numFmtId="0" xfId="0" applyBorder="1" applyFont="1"/>
    <xf borderId="84" fillId="0" fontId="8" numFmtId="0" xfId="0" applyBorder="1" applyFont="1"/>
    <xf borderId="80" fillId="14" fontId="25" numFmtId="0" xfId="0" applyAlignment="1" applyBorder="1" applyFont="1">
      <alignment horizontal="left" shrinkToFit="0" vertical="center" wrapText="1"/>
    </xf>
    <xf borderId="85" fillId="0" fontId="8" numFmtId="0" xfId="0" applyBorder="1" applyFont="1"/>
    <xf borderId="0" fillId="0" fontId="29" numFmtId="0" xfId="0" applyAlignment="1" applyFont="1">
      <alignment horizontal="right" vertical="center"/>
    </xf>
    <xf borderId="0" fillId="0" fontId="30" numFmtId="0" xfId="0" applyAlignment="1" applyFont="1">
      <alignment horizontal="left" shrinkToFit="0" vertical="center" wrapText="1"/>
    </xf>
    <xf borderId="86" fillId="14" fontId="31" numFmtId="0" xfId="0" applyAlignment="1" applyBorder="1" applyFont="1">
      <alignment horizontal="center" vertical="center"/>
    </xf>
    <xf borderId="87" fillId="0" fontId="8" numFmtId="0" xfId="0" applyBorder="1" applyFont="1"/>
    <xf borderId="88" fillId="0" fontId="8" numFmtId="0" xfId="0" applyBorder="1" applyFont="1"/>
    <xf borderId="0" fillId="0" fontId="32" numFmtId="0" xfId="0" applyAlignment="1" applyFont="1">
      <alignment horizontal="center"/>
    </xf>
    <xf borderId="5" fillId="2" fontId="11" numFmtId="0" xfId="0" applyAlignment="1" applyBorder="1" applyFont="1">
      <alignment horizontal="center" readingOrder="0" shrinkToFit="0" vertical="center" wrapText="1"/>
    </xf>
    <xf borderId="11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readingOrder="0" vertical="center"/>
    </xf>
    <xf borderId="1" fillId="9" fontId="10" numFmtId="1" xfId="0" applyAlignment="1" applyBorder="1" applyFont="1" applyNumberFormat="1">
      <alignment horizontal="center" vertical="center"/>
    </xf>
    <xf borderId="11" fillId="3" fontId="10" numFmtId="0" xfId="0" applyAlignment="1" applyBorder="1" applyFont="1">
      <alignment horizontal="center" vertical="center"/>
    </xf>
    <xf borderId="1" fillId="3" fontId="10" numFmtId="169" xfId="0" applyAlignment="1" applyBorder="1" applyFont="1" applyNumberFormat="1">
      <alignment horizontal="center" vertical="center"/>
    </xf>
    <xf borderId="11" fillId="4" fontId="10" numFmtId="0" xfId="0" applyAlignment="1" applyBorder="1" applyFont="1">
      <alignment horizontal="center" vertical="center"/>
    </xf>
    <xf borderId="1" fillId="4" fontId="10" numFmtId="169" xfId="0" applyAlignment="1" applyBorder="1" applyFont="1" applyNumberFormat="1">
      <alignment horizontal="center" vertical="center"/>
    </xf>
    <xf borderId="1" fillId="10" fontId="10" numFmtId="1" xfId="0" applyAlignment="1" applyBorder="1" applyFont="1" applyNumberFormat="1">
      <alignment horizontal="center" vertical="center"/>
    </xf>
    <xf borderId="1" fillId="11" fontId="10" numFmtId="1" xfId="0" applyAlignment="1" applyBorder="1" applyFont="1" applyNumberFormat="1">
      <alignment horizontal="center" vertical="center"/>
    </xf>
    <xf borderId="1" fillId="12" fontId="10" numFmtId="1" xfId="0" applyAlignment="1" applyBorder="1" applyFont="1" applyNumberFormat="1">
      <alignment horizontal="center" vertical="center"/>
    </xf>
    <xf borderId="5" fillId="2" fontId="23" numFmtId="0" xfId="0" applyAlignment="1" applyBorder="1" applyFont="1">
      <alignment horizontal="center" vertical="center"/>
    </xf>
    <xf borderId="89" fillId="0" fontId="8" numFmtId="0" xfId="0" applyBorder="1" applyFont="1"/>
    <xf borderId="90" fillId="0" fontId="8" numFmtId="0" xfId="0" applyBorder="1" applyFont="1"/>
    <xf borderId="1" fillId="2" fontId="1" numFmtId="169" xfId="0" applyAlignment="1" applyBorder="1" applyFont="1" applyNumberFormat="1">
      <alignment horizontal="center" vertical="center"/>
    </xf>
    <xf borderId="0" fillId="0" fontId="33" numFmtId="0" xfId="0" applyFont="1"/>
    <xf borderId="1" fillId="3" fontId="10" numFmtId="172" xfId="0" applyAlignment="1" applyBorder="1" applyFont="1" applyNumberFormat="1">
      <alignment horizontal="center" vertical="center"/>
    </xf>
    <xf borderId="1" fillId="4" fontId="10" numFmtId="172" xfId="0" applyAlignment="1" applyBorder="1" applyFont="1" applyNumberFormat="1">
      <alignment horizontal="center" vertical="center"/>
    </xf>
    <xf borderId="1" fillId="2" fontId="1" numFmtId="172" xfId="0" applyAlignment="1" applyBorder="1" applyFont="1" applyNumberFormat="1">
      <alignment horizontal="center" vertical="center"/>
    </xf>
    <xf borderId="11" fillId="2" fontId="11" numFmtId="0" xfId="0" applyAlignment="1" applyBorder="1" applyFont="1">
      <alignment horizontal="center" shrinkToFit="0" vertical="center" wrapText="1"/>
    </xf>
    <xf borderId="91" fillId="2" fontId="1" numFmtId="0" xfId="0" applyAlignment="1" applyBorder="1" applyFont="1">
      <alignment horizontal="center" shrinkToFit="0" vertical="center" wrapText="1"/>
    </xf>
    <xf borderId="92" fillId="0" fontId="8" numFmtId="0" xfId="0" applyBorder="1" applyFont="1"/>
    <xf borderId="6" fillId="2" fontId="11" numFmtId="0" xfId="0" applyAlignment="1" applyBorder="1" applyFont="1">
      <alignment horizontal="center" vertical="center"/>
    </xf>
    <xf borderId="7" fillId="2" fontId="11" numFmtId="0" xfId="0" applyAlignment="1" applyBorder="1" applyFont="1">
      <alignment horizontal="center" vertical="center"/>
    </xf>
    <xf borderId="11" fillId="2" fontId="34" numFmtId="0" xfId="0" applyAlignment="1" applyBorder="1" applyFont="1">
      <alignment horizontal="center" vertical="center"/>
    </xf>
    <xf borderId="93" fillId="0" fontId="8" numFmtId="0" xfId="0" applyBorder="1" applyFont="1"/>
    <xf borderId="0" fillId="0" fontId="35" numFmtId="0" xfId="0" applyFont="1"/>
    <xf borderId="1" fillId="3" fontId="10" numFmtId="1" xfId="0" applyAlignment="1" applyBorder="1" applyFont="1" applyNumberFormat="1">
      <alignment horizontal="center" vertical="center"/>
    </xf>
    <xf borderId="1" fillId="3" fontId="10" numFmtId="1" xfId="0" applyAlignment="1" applyBorder="1" applyFont="1" applyNumberFormat="1">
      <alignment horizontal="center" readingOrder="0" vertical="center"/>
    </xf>
    <xf borderId="11" fillId="3" fontId="10" numFmtId="1" xfId="0" applyAlignment="1" applyBorder="1" applyFont="1" applyNumberFormat="1">
      <alignment horizontal="center" readingOrder="0" vertical="center"/>
    </xf>
    <xf borderId="94" fillId="2" fontId="1" numFmtId="1" xfId="0" applyAlignment="1" applyBorder="1" applyFont="1" applyNumberFormat="1">
      <alignment horizontal="center" shrinkToFit="0" vertical="center" wrapText="1"/>
    </xf>
    <xf borderId="12" fillId="3" fontId="16" numFmtId="0" xfId="0" applyAlignment="1" applyBorder="1" applyFont="1">
      <alignment horizontal="center" vertical="center"/>
    </xf>
    <xf borderId="1" fillId="4" fontId="10" numFmtId="1" xfId="0" applyAlignment="1" applyBorder="1" applyFont="1" applyNumberFormat="1">
      <alignment horizontal="center" vertical="center"/>
    </xf>
    <xf borderId="11" fillId="4" fontId="10" numFmtId="1" xfId="0" applyAlignment="1" applyBorder="1" applyFont="1" applyNumberFormat="1">
      <alignment horizontal="center" vertical="center"/>
    </xf>
    <xf borderId="12" fillId="4" fontId="16" numFmtId="0" xfId="0" applyAlignment="1" applyBorder="1" applyFont="1">
      <alignment horizontal="center" vertical="center"/>
    </xf>
    <xf borderId="1" fillId="4" fontId="10" numFmtId="1" xfId="0" applyAlignment="1" applyBorder="1" applyFont="1" applyNumberFormat="1">
      <alignment horizontal="center" readingOrder="0" vertical="center"/>
    </xf>
    <xf borderId="11" fillId="4" fontId="10" numFmtId="1" xfId="0" applyAlignment="1" applyBorder="1" applyFont="1" applyNumberFormat="1">
      <alignment horizontal="center" readingOrder="0" vertical="center"/>
    </xf>
    <xf borderId="78" fillId="2" fontId="1" numFmtId="1" xfId="0" applyAlignment="1" applyBorder="1" applyFont="1" applyNumberFormat="1">
      <alignment horizontal="center" shrinkToFit="0" vertical="center" wrapText="1"/>
    </xf>
    <xf borderId="0" fillId="0" fontId="36" numFmtId="0" xfId="0" applyAlignment="1" applyFont="1">
      <alignment horizontal="center" readingOrder="0"/>
    </xf>
    <xf borderId="95" fillId="15" fontId="7" numFmtId="0" xfId="0" applyAlignment="1" applyBorder="1" applyFill="1" applyFont="1">
      <alignment horizontal="center" shrinkToFit="0" vertical="center" wrapText="1"/>
    </xf>
    <xf borderId="96" fillId="15" fontId="7" numFmtId="0" xfId="0" applyAlignment="1" applyBorder="1" applyFont="1">
      <alignment horizontal="center" shrinkToFit="0" vertical="center" wrapText="1"/>
    </xf>
    <xf borderId="96" fillId="15" fontId="7" numFmtId="167" xfId="0" applyAlignment="1" applyBorder="1" applyFont="1" applyNumberFormat="1">
      <alignment horizontal="center" shrinkToFit="0" vertical="center" wrapText="1"/>
    </xf>
    <xf borderId="95" fillId="15" fontId="7" numFmtId="3" xfId="0" applyAlignment="1" applyBorder="1" applyFont="1" applyNumberFormat="1">
      <alignment horizontal="center" vertical="center"/>
    </xf>
    <xf borderId="24" fillId="16" fontId="5" numFmtId="3" xfId="0" applyAlignment="1" applyBorder="1" applyFill="1" applyFont="1" applyNumberFormat="1">
      <alignment horizontal="center" vertical="center"/>
    </xf>
    <xf borderId="97" fillId="17" fontId="7" numFmtId="0" xfId="0" applyAlignment="1" applyBorder="1" applyFill="1" applyFont="1">
      <alignment horizontal="center" readingOrder="0" vertical="center"/>
    </xf>
    <xf borderId="98" fillId="0" fontId="8" numFmtId="0" xfId="0" applyBorder="1" applyFont="1"/>
    <xf borderId="24" fillId="18" fontId="5" numFmtId="3" xfId="0" applyAlignment="1" applyBorder="1" applyFill="1" applyFont="1" applyNumberFormat="1">
      <alignment horizontal="center" vertical="center"/>
    </xf>
    <xf borderId="99" fillId="16" fontId="37" numFmtId="0" xfId="0" applyAlignment="1" applyBorder="1" applyFont="1">
      <alignment horizontal="center" vertical="center"/>
    </xf>
    <xf borderId="24" fillId="18" fontId="37" numFmtId="0" xfId="0" applyAlignment="1" applyBorder="1" applyFont="1">
      <alignment horizontal="center" vertical="center"/>
    </xf>
    <xf borderId="24" fillId="16" fontId="37" numFmtId="0" xfId="0" applyAlignment="1" applyBorder="1" applyFont="1">
      <alignment horizontal="center" vertical="center"/>
    </xf>
    <xf borderId="100" fillId="16" fontId="37" numFmtId="0" xfId="0" applyAlignment="1" applyBorder="1" applyFont="1">
      <alignment horizontal="center" vertical="center"/>
    </xf>
    <xf borderId="101" fillId="17" fontId="7" numFmtId="0" xfId="0" applyAlignment="1" applyBorder="1" applyFont="1">
      <alignment horizontal="center" vertical="center"/>
    </xf>
    <xf borderId="102" fillId="17" fontId="7" numFmtId="0" xfId="0" applyAlignment="1" applyBorder="1" applyFont="1">
      <alignment horizontal="center" vertical="center"/>
    </xf>
    <xf borderId="0" fillId="0" fontId="38" numFmtId="0" xfId="0" applyAlignment="1" applyFont="1">
      <alignment horizontal="center" vertical="center"/>
    </xf>
    <xf borderId="14" fillId="17" fontId="11" numFmtId="0" xfId="0" applyAlignment="1" applyBorder="1" applyFont="1">
      <alignment horizontal="center" vertical="center"/>
    </xf>
    <xf borderId="103" fillId="0" fontId="8" numFmtId="0" xfId="0" applyBorder="1" applyFont="1"/>
    <xf borderId="104" fillId="0" fontId="8" numFmtId="0" xfId="0" applyBorder="1" applyFont="1"/>
    <xf borderId="105" fillId="0" fontId="8" numFmtId="0" xfId="0" applyBorder="1" applyFont="1"/>
    <xf borderId="106" fillId="18" fontId="39" numFmtId="0" xfId="0" applyAlignment="1" applyBorder="1" applyFont="1">
      <alignment horizontal="center" vertical="center"/>
    </xf>
    <xf borderId="107" fillId="0" fontId="8" numFmtId="0" xfId="0" applyBorder="1" applyFont="1"/>
    <xf borderId="108" fillId="0" fontId="8" numFmtId="0" xfId="0" applyBorder="1" applyFont="1"/>
    <xf borderId="25" fillId="16" fontId="39" numFmtId="0" xfId="0" applyAlignment="1" applyBorder="1" applyFont="1">
      <alignment horizontal="center" vertical="center"/>
    </xf>
    <xf borderId="25" fillId="18" fontId="39" numFmtId="0" xfId="0" applyAlignment="1" applyBorder="1" applyFont="1">
      <alignment horizontal="center" vertical="center"/>
    </xf>
    <xf borderId="109" fillId="18" fontId="39" numFmtId="0" xfId="0" applyAlignment="1" applyBorder="1" applyFont="1">
      <alignment horizontal="center" vertical="center"/>
    </xf>
    <xf borderId="110" fillId="17" fontId="7" numFmtId="0" xfId="0" applyAlignment="1" applyBorder="1" applyFont="1">
      <alignment horizontal="center" vertical="center"/>
    </xf>
    <xf borderId="111" fillId="17" fontId="7" numFmtId="0" xfId="0" applyAlignment="1" applyBorder="1" applyFont="1">
      <alignment horizontal="center" vertical="center"/>
    </xf>
    <xf borderId="112" fillId="0" fontId="8" numFmtId="0" xfId="0" applyBorder="1" applyFont="1"/>
    <xf borderId="113" fillId="0" fontId="8" numFmtId="0" xfId="0" applyBorder="1" applyFont="1"/>
    <xf borderId="114" fillId="17" fontId="7" numFmtId="0" xfId="0" applyAlignment="1" applyBorder="1" applyFont="1">
      <alignment horizontal="center" vertical="center"/>
    </xf>
    <xf borderId="106" fillId="16" fontId="37" numFmtId="0" xfId="0" applyAlignment="1" applyBorder="1" applyFont="1">
      <alignment horizontal="center" vertical="center"/>
    </xf>
    <xf borderId="24" fillId="16" fontId="37" numFmtId="169" xfId="0" applyAlignment="1" applyBorder="1" applyFont="1" applyNumberFormat="1">
      <alignment horizontal="center" vertical="center"/>
    </xf>
    <xf borderId="25" fillId="18" fontId="37" numFmtId="0" xfId="0" applyAlignment="1" applyBorder="1" applyFont="1">
      <alignment horizontal="center" vertical="center"/>
    </xf>
    <xf borderId="24" fillId="18" fontId="37" numFmtId="169" xfId="0" applyAlignment="1" applyBorder="1" applyFont="1" applyNumberFormat="1">
      <alignment horizontal="center" vertical="center"/>
    </xf>
    <xf borderId="25" fillId="16" fontId="37" numFmtId="0" xfId="0" applyAlignment="1" applyBorder="1" applyFont="1">
      <alignment horizontal="center" vertical="center"/>
    </xf>
    <xf borderId="24" fillId="18" fontId="37" numFmtId="0" xfId="0" applyAlignment="1" applyBorder="1" applyFont="1">
      <alignment horizontal="center" readingOrder="0" vertical="center"/>
    </xf>
    <xf borderId="115" fillId="17" fontId="1" numFmtId="0" xfId="0" applyAlignment="1" applyBorder="1" applyFont="1">
      <alignment horizontal="center" vertical="center"/>
    </xf>
    <xf borderId="116" fillId="17" fontId="1" numFmtId="0" xfId="0" applyAlignment="1" applyBorder="1" applyFont="1">
      <alignment horizontal="center" vertical="center"/>
    </xf>
    <xf borderId="117" fillId="0" fontId="8" numFmtId="0" xfId="0" applyBorder="1" applyFont="1"/>
    <xf borderId="118" fillId="0" fontId="8" numFmtId="0" xfId="0" applyBorder="1" applyFont="1"/>
    <xf borderId="119" fillId="17" fontId="1" numFmtId="169" xfId="0" applyAlignment="1" applyBorder="1" applyFont="1" applyNumberFormat="1">
      <alignment horizontal="center" vertical="center"/>
    </xf>
    <xf borderId="95" fillId="16" fontId="37" numFmtId="0" xfId="0" applyAlignment="1" applyBorder="1" applyFont="1">
      <alignment horizontal="center" vertical="center"/>
    </xf>
    <xf borderId="95" fillId="16" fontId="37" numFmtId="169" xfId="0" applyAlignment="1" applyBorder="1" applyFont="1" applyNumberFormat="1">
      <alignment horizontal="center" vertical="center"/>
    </xf>
    <xf borderId="100" fillId="18" fontId="37" numFmtId="0" xfId="0" applyAlignment="1" applyBorder="1" applyFont="1">
      <alignment horizontal="center" vertical="center"/>
    </xf>
    <xf borderId="100" fillId="18" fontId="37" numFmtId="169" xfId="0" applyAlignment="1" applyBorder="1" applyFont="1" applyNumberFormat="1">
      <alignment horizontal="center" vertical="center"/>
    </xf>
    <xf borderId="14" fillId="17" fontId="15" numFmtId="0" xfId="0" applyAlignment="1" applyBorder="1" applyFont="1">
      <alignment horizontal="center" vertical="center"/>
    </xf>
    <xf borderId="120" fillId="17" fontId="7" numFmtId="0" xfId="0" applyAlignment="1" applyBorder="1" applyFont="1">
      <alignment horizontal="center" vertical="center"/>
    </xf>
    <xf borderId="121" fillId="0" fontId="8" numFmtId="0" xfId="0" applyBorder="1" applyFont="1"/>
    <xf borderId="122" fillId="0" fontId="8" numFmtId="0" xfId="0" applyBorder="1" applyFont="1"/>
    <xf borderId="123" fillId="17" fontId="7" numFmtId="0" xfId="0" applyAlignment="1" applyBorder="1" applyFont="1">
      <alignment horizontal="center" vertical="center"/>
    </xf>
    <xf borderId="124" fillId="17" fontId="7" numFmtId="0" xfId="0" applyAlignment="1" applyBorder="1" applyFont="1">
      <alignment horizontal="center" vertical="center"/>
    </xf>
    <xf borderId="125" fillId="5" fontId="5" numFmtId="0" xfId="0" applyAlignment="1" applyBorder="1" applyFont="1">
      <alignment horizontal="center" vertical="center"/>
    </xf>
    <xf borderId="126" fillId="0" fontId="8" numFmtId="0" xfId="0" applyBorder="1" applyFont="1"/>
    <xf borderId="127" fillId="5" fontId="5" numFmtId="0" xfId="0" applyAlignment="1" applyBorder="1" applyFont="1">
      <alignment horizontal="center" vertical="center"/>
    </xf>
    <xf borderId="127" fillId="5" fontId="5" numFmtId="10" xfId="0" applyAlignment="1" applyBorder="1" applyFont="1" applyNumberFormat="1">
      <alignment horizontal="center" vertical="center"/>
    </xf>
    <xf borderId="128" fillId="5" fontId="5" numFmtId="0" xfId="0" applyAlignment="1" applyBorder="1" applyFont="1">
      <alignment horizontal="center" vertical="center"/>
    </xf>
    <xf borderId="129" fillId="0" fontId="8" numFmtId="0" xfId="0" applyBorder="1" applyFont="1"/>
    <xf borderId="130" fillId="0" fontId="8" numFmtId="0" xfId="0" applyBorder="1" applyFont="1"/>
    <xf borderId="131" fillId="5" fontId="5" numFmtId="0" xfId="0" applyAlignment="1" applyBorder="1" applyFont="1">
      <alignment horizontal="center" vertical="center"/>
    </xf>
    <xf borderId="131" fillId="5" fontId="5" numFmtId="10" xfId="0" applyAlignment="1" applyBorder="1" applyFont="1" applyNumberFormat="1">
      <alignment horizontal="center" vertical="center"/>
    </xf>
    <xf borderId="128" fillId="6" fontId="5" numFmtId="0" xfId="0" applyAlignment="1" applyBorder="1" applyFont="1">
      <alignment horizontal="center" vertical="center"/>
    </xf>
    <xf borderId="131" fillId="6" fontId="5" numFmtId="0" xfId="0" applyAlignment="1" applyBorder="1" applyFont="1">
      <alignment horizontal="center" vertical="center"/>
    </xf>
    <xf borderId="131" fillId="6" fontId="5" numFmtId="10" xfId="0" applyAlignment="1" applyBorder="1" applyFont="1" applyNumberFormat="1">
      <alignment horizontal="center" vertical="center"/>
    </xf>
    <xf borderId="128" fillId="7" fontId="5" numFmtId="0" xfId="0" applyAlignment="1" applyBorder="1" applyFont="1">
      <alignment horizontal="center" vertical="center"/>
    </xf>
    <xf borderId="131" fillId="7" fontId="5" numFmtId="0" xfId="0" applyAlignment="1" applyBorder="1" applyFont="1">
      <alignment horizontal="center" vertical="center"/>
    </xf>
    <xf borderId="131" fillId="7" fontId="5" numFmtId="10" xfId="0" applyAlignment="1" applyBorder="1" applyFont="1" applyNumberFormat="1">
      <alignment horizontal="center" vertical="center"/>
    </xf>
    <xf borderId="128" fillId="8" fontId="5" numFmtId="0" xfId="0" applyAlignment="1" applyBorder="1" applyFont="1">
      <alignment horizontal="center" vertical="center"/>
    </xf>
    <xf borderId="131" fillId="8" fontId="5" numFmtId="0" xfId="0" applyAlignment="1" applyBorder="1" applyFont="1">
      <alignment horizontal="center" vertical="center"/>
    </xf>
    <xf borderId="131" fillId="8" fontId="5" numFmtId="10" xfId="0" applyAlignment="1" applyBorder="1" applyFont="1" applyNumberFormat="1">
      <alignment horizontal="center" vertical="center"/>
    </xf>
    <xf borderId="132" fillId="0" fontId="5" numFmtId="0" xfId="0" applyAlignment="1" applyBorder="1" applyFont="1">
      <alignment horizontal="center" vertical="center"/>
    </xf>
    <xf borderId="133" fillId="0" fontId="8" numFmtId="0" xfId="0" applyBorder="1" applyFont="1"/>
    <xf borderId="134" fillId="0" fontId="8" numFmtId="0" xfId="0" applyBorder="1" applyFont="1"/>
    <xf borderId="135" fillId="0" fontId="5" numFmtId="0" xfId="0" applyAlignment="1" applyBorder="1" applyFont="1">
      <alignment horizontal="center" vertical="center"/>
    </xf>
    <xf borderId="135" fillId="0" fontId="5" numFmtId="10" xfId="0" applyAlignment="1" applyBorder="1" applyFont="1" applyNumberFormat="1">
      <alignment horizontal="center" vertical="center"/>
    </xf>
    <xf borderId="106" fillId="17" fontId="7" numFmtId="0" xfId="0" applyAlignment="1" applyBorder="1" applyFont="1">
      <alignment horizontal="center" vertical="center"/>
    </xf>
    <xf borderId="136" fillId="0" fontId="8" numFmtId="0" xfId="0" applyBorder="1" applyFont="1"/>
    <xf borderId="137" fillId="17" fontId="7" numFmtId="0" xfId="0" applyAlignment="1" applyBorder="1" applyFont="1">
      <alignment horizontal="center" vertical="center"/>
    </xf>
    <xf borderId="138" fillId="17" fontId="7" numFmtId="10" xfId="0" applyAlignment="1" applyBorder="1" applyFont="1" applyNumberFormat="1">
      <alignment horizontal="center" vertical="center"/>
    </xf>
    <xf borderId="139" fillId="17" fontId="7" numFmtId="0" xfId="0" applyAlignment="1" applyBorder="1" applyFont="1">
      <alignment horizontal="center" vertical="center"/>
    </xf>
    <xf borderId="140" fillId="17" fontId="7" numFmtId="0" xfId="0" applyAlignment="1" applyBorder="1" applyFont="1">
      <alignment horizontal="center" vertical="center"/>
    </xf>
    <xf borderId="141" fillId="16" fontId="5" numFmtId="0" xfId="0" applyAlignment="1" applyBorder="1" applyFont="1">
      <alignment horizontal="center" shrinkToFit="0" vertical="center" wrapText="1"/>
    </xf>
    <xf borderId="142" fillId="0" fontId="8" numFmtId="0" xfId="0" applyBorder="1" applyFont="1"/>
    <xf borderId="24" fillId="16" fontId="5" numFmtId="0" xfId="0" applyAlignment="1" applyBorder="1" applyFont="1">
      <alignment horizontal="center" shrinkToFit="0" vertical="center" wrapText="1"/>
    </xf>
    <xf borderId="24" fillId="16" fontId="5" numFmtId="10" xfId="0" applyAlignment="1" applyBorder="1" applyFont="1" applyNumberFormat="1">
      <alignment horizontal="center" shrinkToFit="0" vertical="center" wrapText="1"/>
    </xf>
    <xf borderId="25" fillId="18" fontId="5" numFmtId="0" xfId="0" applyAlignment="1" applyBorder="1" applyFont="1">
      <alignment horizontal="center" shrinkToFit="0" vertical="center" wrapText="1"/>
    </xf>
    <xf borderId="24" fillId="18" fontId="5" numFmtId="0" xfId="0" applyAlignment="1" applyBorder="1" applyFont="1">
      <alignment horizontal="center" shrinkToFit="0" vertical="center" wrapText="1"/>
    </xf>
    <xf borderId="24" fillId="18" fontId="5" numFmtId="10" xfId="0" applyAlignment="1" applyBorder="1" applyFont="1" applyNumberFormat="1">
      <alignment horizontal="center" shrinkToFit="0" vertical="center" wrapText="1"/>
    </xf>
    <xf borderId="25" fillId="16" fontId="5" numFmtId="0" xfId="0" applyAlignment="1" applyBorder="1" applyFont="1">
      <alignment horizontal="center" shrinkToFit="0" vertical="center" wrapText="1"/>
    </xf>
    <xf borderId="143" fillId="17" fontId="7" numFmtId="0" xfId="0" applyAlignment="1" applyBorder="1" applyFont="1">
      <alignment horizontal="center" vertical="center"/>
    </xf>
    <xf borderId="144" fillId="0" fontId="8" numFmtId="0" xfId="0" applyBorder="1" applyFont="1"/>
    <xf borderId="145" fillId="0" fontId="8" numFmtId="0" xfId="0" applyBorder="1" applyFont="1"/>
    <xf borderId="146" fillId="17" fontId="11" numFmtId="0" xfId="0" applyAlignment="1" applyBorder="1" applyFont="1">
      <alignment horizontal="center" vertical="center"/>
    </xf>
    <xf borderId="147" fillId="0" fontId="8" numFmtId="0" xfId="0" applyBorder="1" applyFont="1"/>
    <xf borderId="148" fillId="0" fontId="8" numFmtId="0" xfId="0" applyBorder="1" applyFont="1"/>
    <xf borderId="149" fillId="0" fontId="8" numFmtId="0" xfId="0" applyBorder="1" applyFont="1"/>
    <xf borderId="150" fillId="0" fontId="8" numFmtId="0" xfId="0" applyBorder="1" applyFont="1"/>
    <xf borderId="151" fillId="17" fontId="7" numFmtId="0" xfId="0" applyAlignment="1" applyBorder="1" applyFont="1">
      <alignment horizontal="center" vertical="center"/>
    </xf>
    <xf borderId="152" fillId="17" fontId="7" numFmtId="0" xfId="0" applyAlignment="1" applyBorder="1" applyFont="1">
      <alignment horizontal="center" vertical="center"/>
    </xf>
    <xf borderId="153" fillId="0" fontId="8" numFmtId="0" xfId="0" applyBorder="1" applyFont="1"/>
    <xf borderId="154" fillId="0" fontId="8" numFmtId="0" xfId="0" applyBorder="1" applyFont="1"/>
    <xf borderId="131" fillId="18" fontId="5" numFmtId="0" xfId="0" applyAlignment="1" applyBorder="1" applyFont="1">
      <alignment horizontal="center" shrinkToFit="0" vertical="center" wrapText="1"/>
    </xf>
    <xf borderId="128" fillId="18" fontId="5" numFmtId="171" xfId="0" applyAlignment="1" applyBorder="1" applyFont="1" applyNumberFormat="1">
      <alignment horizontal="center" shrinkToFit="0" vertical="center" wrapText="1"/>
    </xf>
    <xf borderId="131" fillId="16" fontId="5" numFmtId="0" xfId="0" applyAlignment="1" applyBorder="1" applyFont="1">
      <alignment horizontal="center" shrinkToFit="0" vertical="center" wrapText="1"/>
    </xf>
    <xf borderId="128" fillId="16" fontId="5" numFmtId="171" xfId="0" applyAlignment="1" applyBorder="1" applyFont="1" applyNumberFormat="1">
      <alignment horizontal="center" shrinkToFit="0" vertical="center" wrapText="1"/>
    </xf>
    <xf borderId="155" fillId="17" fontId="7" numFmtId="0" xfId="0" applyAlignment="1" applyBorder="1" applyFont="1">
      <alignment horizontal="center" vertical="center"/>
    </xf>
    <xf borderId="156" fillId="17" fontId="7" numFmtId="171" xfId="0" applyAlignment="1" applyBorder="1" applyFont="1" applyNumberFormat="1">
      <alignment horizontal="center" vertical="center"/>
    </xf>
    <xf borderId="157" fillId="0" fontId="8" numFmtId="0" xfId="0" applyBorder="1" applyFont="1"/>
    <xf borderId="24" fillId="16" fontId="37" numFmtId="164" xfId="0" applyAlignment="1" applyBorder="1" applyFont="1" applyNumberFormat="1">
      <alignment horizontal="center" vertical="center"/>
    </xf>
    <xf borderId="24" fillId="16" fontId="5" numFmtId="166" xfId="0" applyAlignment="1" applyBorder="1" applyFont="1" applyNumberFormat="1">
      <alignment horizontal="center" vertical="center"/>
    </xf>
    <xf borderId="24" fillId="16" fontId="5" numFmtId="167" xfId="0" applyAlignment="1" applyBorder="1" applyFont="1" applyNumberFormat="1">
      <alignment horizontal="center" readingOrder="0" vertical="center"/>
    </xf>
    <xf borderId="24" fillId="16" fontId="5" numFmtId="0" xfId="0" applyAlignment="1" applyBorder="1" applyFont="1">
      <alignment horizontal="center" vertical="center"/>
    </xf>
    <xf borderId="24" fillId="16" fontId="5" numFmtId="165" xfId="0" applyAlignment="1" applyBorder="1" applyFont="1" applyNumberFormat="1">
      <alignment horizontal="center" readingOrder="0" vertical="center"/>
    </xf>
    <xf borderId="158" fillId="16" fontId="5" numFmtId="0" xfId="0" applyAlignment="1" applyBorder="1" applyFont="1">
      <alignment horizontal="center" readingOrder="0" vertical="center"/>
    </xf>
    <xf borderId="24" fillId="18" fontId="37" numFmtId="164" xfId="0" applyAlignment="1" applyBorder="1" applyFont="1" applyNumberFormat="1">
      <alignment horizontal="center" vertical="center"/>
    </xf>
    <xf borderId="24" fillId="18" fontId="5" numFmtId="166" xfId="0" applyAlignment="1" applyBorder="1" applyFont="1" applyNumberFormat="1">
      <alignment horizontal="center" vertical="center"/>
    </xf>
    <xf borderId="24" fillId="18" fontId="5" numFmtId="167" xfId="0" applyAlignment="1" applyBorder="1" applyFont="1" applyNumberFormat="1">
      <alignment horizontal="center" readingOrder="0" vertical="center"/>
    </xf>
    <xf borderId="24" fillId="18" fontId="5" numFmtId="0" xfId="0" applyAlignment="1" applyBorder="1" applyFont="1">
      <alignment horizontal="center" vertical="center"/>
    </xf>
    <xf borderId="24" fillId="18" fontId="5" numFmtId="165" xfId="0" applyAlignment="1" applyBorder="1" applyFont="1" applyNumberFormat="1">
      <alignment horizontal="center" readingOrder="0" vertical="center"/>
    </xf>
    <xf borderId="158" fillId="18" fontId="5" numFmtId="0" xfId="0" applyAlignment="1" applyBorder="1" applyFont="1">
      <alignment horizontal="center" vertical="center"/>
    </xf>
    <xf borderId="24" fillId="18" fontId="5" numFmtId="167" xfId="0" applyAlignment="1" applyBorder="1" applyFont="1" applyNumberFormat="1">
      <alignment horizontal="center" vertical="center"/>
    </xf>
    <xf borderId="24" fillId="16" fontId="5" numFmtId="167" xfId="0" applyAlignment="1" applyBorder="1" applyFont="1" applyNumberFormat="1">
      <alignment horizontal="center" vertical="center"/>
    </xf>
    <xf borderId="158" fillId="7" fontId="5" numFmtId="0" xfId="0" applyAlignment="1" applyBorder="1" applyFont="1">
      <alignment horizontal="center"/>
    </xf>
    <xf borderId="24" fillId="18" fontId="5" numFmtId="0" xfId="0" applyAlignment="1" applyBorder="1" applyFont="1">
      <alignment horizontal="center" readingOrder="0" vertical="center"/>
    </xf>
    <xf borderId="24" fillId="18" fontId="5" numFmtId="165" xfId="0" applyAlignment="1" applyBorder="1" applyFont="1" applyNumberFormat="1">
      <alignment horizontal="center" vertical="center"/>
    </xf>
    <xf borderId="24" fillId="16" fontId="5" numFmtId="0" xfId="0" applyAlignment="1" applyBorder="1" applyFont="1">
      <alignment horizontal="center" readingOrder="0" shrinkToFit="0" vertical="center" wrapText="1"/>
    </xf>
    <xf borderId="24" fillId="16" fontId="5" numFmtId="165" xfId="0" applyAlignment="1" applyBorder="1" applyFont="1" applyNumberFormat="1">
      <alignment horizontal="center" vertical="center"/>
    </xf>
    <xf borderId="158" fillId="8" fontId="5" numFmtId="0" xfId="0" applyAlignment="1" applyBorder="1" applyFont="1">
      <alignment horizontal="center" shrinkToFit="0" vertical="center" wrapText="1"/>
    </xf>
    <xf borderId="24" fillId="18" fontId="5" numFmtId="0" xfId="0" applyAlignment="1" applyBorder="1" applyFont="1">
      <alignment horizontal="center" readingOrder="0" shrinkToFit="0" vertical="center" wrapText="1"/>
    </xf>
    <xf borderId="24" fillId="18" fontId="5" numFmtId="166" xfId="0" applyAlignment="1" applyBorder="1" applyFont="1" applyNumberFormat="1">
      <alignment horizontal="center" readingOrder="0" vertical="center"/>
    </xf>
    <xf borderId="24" fillId="16" fontId="5" numFmtId="166" xfId="0" applyAlignment="1" applyBorder="1" applyFont="1" applyNumberFormat="1">
      <alignment horizontal="center" readingOrder="0" vertical="center"/>
    </xf>
    <xf borderId="24" fillId="16" fontId="5" numFmtId="0" xfId="0" applyAlignment="1" applyBorder="1" applyFont="1">
      <alignment horizontal="center" readingOrder="0" vertical="center"/>
    </xf>
    <xf borderId="24" fillId="16" fontId="5" numFmtId="168" xfId="0" applyAlignment="1" applyBorder="1" applyFont="1" applyNumberFormat="1">
      <alignment horizontal="center" readingOrder="0" vertical="center"/>
    </xf>
    <xf borderId="159" fillId="18" fontId="5" numFmtId="166" xfId="0" applyAlignment="1" applyBorder="1" applyFont="1" applyNumberFormat="1">
      <alignment horizontal="center" readingOrder="0" vertical="center"/>
    </xf>
    <xf borderId="27" fillId="18" fontId="5" numFmtId="167" xfId="0" applyAlignment="1" applyBorder="1" applyFont="1" applyNumberFormat="1">
      <alignment horizontal="center" readingOrder="0" vertical="center"/>
    </xf>
    <xf borderId="160" fillId="16" fontId="5" numFmtId="166" xfId="0" applyAlignment="1" applyBorder="1" applyFont="1" applyNumberFormat="1">
      <alignment horizontal="center" readingOrder="0" vertical="center"/>
    </xf>
    <xf borderId="161" fillId="16" fontId="5" numFmtId="166" xfId="0" applyAlignment="1" applyBorder="1" applyFont="1" applyNumberFormat="1">
      <alignment horizontal="center" readingOrder="0" vertical="center"/>
    </xf>
    <xf borderId="162" fillId="16" fontId="5" numFmtId="167" xfId="0" applyAlignment="1" applyBorder="1" applyFont="1" applyNumberFormat="1">
      <alignment horizontal="center" readingOrder="0" vertical="center"/>
    </xf>
    <xf borderId="163" fillId="16" fontId="5" numFmtId="0" xfId="0" applyAlignment="1" applyBorder="1" applyFont="1">
      <alignment horizontal="center" readingOrder="0" shrinkToFit="0" vertical="center" wrapText="1"/>
    </xf>
    <xf borderId="160" fillId="16" fontId="5" numFmtId="0" xfId="0" applyAlignment="1" applyBorder="1" applyFont="1">
      <alignment horizontal="center" readingOrder="0" vertical="center"/>
    </xf>
    <xf borderId="160" fillId="16" fontId="5" numFmtId="0" xfId="0" applyAlignment="1" applyBorder="1" applyFont="1">
      <alignment horizontal="center" readingOrder="0" shrinkToFit="0" vertical="center" wrapText="1"/>
    </xf>
    <xf borderId="160" fillId="16" fontId="5" numFmtId="167" xfId="0" applyAlignment="1" applyBorder="1" applyFont="1" applyNumberFormat="1">
      <alignment horizontal="center" readingOrder="0" vertical="center"/>
    </xf>
    <xf borderId="161" fillId="18" fontId="37" numFmtId="164" xfId="0" applyAlignment="1" applyBorder="1" applyFont="1" applyNumberFormat="1">
      <alignment horizontal="center" vertical="center"/>
    </xf>
    <xf borderId="162" fillId="18" fontId="5" numFmtId="166" xfId="0" applyAlignment="1" applyBorder="1" applyFont="1" applyNumberFormat="1">
      <alignment horizontal="center" readingOrder="0" vertical="center"/>
    </xf>
    <xf borderId="162" fillId="18" fontId="5" numFmtId="167" xfId="0" applyAlignment="1" applyBorder="1" applyFont="1" applyNumberFormat="1">
      <alignment horizontal="center" readingOrder="0" vertical="center"/>
    </xf>
    <xf borderId="163" fillId="18" fontId="5" numFmtId="0" xfId="0" applyAlignment="1" applyBorder="1" applyFont="1">
      <alignment horizontal="center" readingOrder="0" vertical="center"/>
    </xf>
    <xf borderId="160" fillId="18" fontId="5" numFmtId="0" xfId="0" applyAlignment="1" applyBorder="1" applyFont="1">
      <alignment horizontal="center" readingOrder="0" vertical="center"/>
    </xf>
    <xf borderId="160" fillId="18" fontId="5" numFmtId="0" xfId="0" applyAlignment="1" applyBorder="1" applyFont="1">
      <alignment horizontal="center" readingOrder="0" shrinkToFit="0" vertical="center" wrapText="1"/>
    </xf>
    <xf borderId="160" fillId="18" fontId="5" numFmtId="167" xfId="0" applyAlignment="1" applyBorder="1" applyFont="1" applyNumberFormat="1">
      <alignment horizontal="center" readingOrder="0" vertical="center"/>
    </xf>
    <xf borderId="164" fillId="16" fontId="37" numFmtId="164" xfId="0" applyAlignment="1" applyBorder="1" applyFont="1" applyNumberFormat="1">
      <alignment horizontal="center" vertical="center"/>
    </xf>
    <xf borderId="165" fillId="16" fontId="5" numFmtId="166" xfId="0" applyAlignment="1" applyBorder="1" applyFont="1" applyNumberFormat="1">
      <alignment horizontal="center" readingOrder="0" vertical="center"/>
    </xf>
    <xf borderId="165" fillId="16" fontId="5" numFmtId="167" xfId="0" applyAlignment="1" applyBorder="1" applyFont="1" applyNumberFormat="1">
      <alignment horizontal="center" readingOrder="0" vertical="center"/>
    </xf>
    <xf borderId="165" fillId="16" fontId="5" numFmtId="0" xfId="0" applyAlignment="1" applyBorder="1" applyFont="1">
      <alignment horizontal="center" readingOrder="0" shrinkToFit="0" vertical="center" wrapText="1"/>
    </xf>
    <xf borderId="165" fillId="16" fontId="5" numFmtId="0" xfId="0" applyAlignment="1" applyBorder="1" applyFont="1">
      <alignment horizontal="center" readingOrder="0" vertical="center"/>
    </xf>
    <xf borderId="164" fillId="18" fontId="37" numFmtId="164" xfId="0" applyAlignment="1" applyBorder="1" applyFont="1" applyNumberFormat="1">
      <alignment horizontal="center" vertical="center"/>
    </xf>
    <xf borderId="165" fillId="18" fontId="5" numFmtId="166" xfId="0" applyAlignment="1" applyBorder="1" applyFont="1" applyNumberFormat="1">
      <alignment horizontal="center" readingOrder="0" vertical="center"/>
    </xf>
    <xf borderId="165" fillId="18" fontId="5" numFmtId="167" xfId="0" applyAlignment="1" applyBorder="1" applyFont="1" applyNumberFormat="1">
      <alignment horizontal="center" readingOrder="0" vertical="center"/>
    </xf>
    <xf borderId="165" fillId="18" fontId="5" numFmtId="0" xfId="0" applyAlignment="1" applyBorder="1" applyFont="1">
      <alignment horizontal="center" readingOrder="0" vertical="center"/>
    </xf>
    <xf borderId="165" fillId="18" fontId="5" numFmtId="0" xfId="0" applyAlignment="1" applyBorder="1" applyFont="1">
      <alignment horizontal="center" readingOrder="0" shrinkToFit="0" vertical="center" wrapText="1"/>
    </xf>
    <xf borderId="165" fillId="16" fontId="5" numFmtId="166" xfId="0" applyAlignment="1" applyBorder="1" applyFont="1" applyNumberFormat="1">
      <alignment horizontal="center" vertical="bottom"/>
    </xf>
    <xf borderId="165" fillId="16" fontId="5" numFmtId="167" xfId="0" applyAlignment="1" applyBorder="1" applyFont="1" applyNumberFormat="1">
      <alignment horizontal="center" readingOrder="0" vertical="bottom"/>
    </xf>
    <xf borderId="165" fillId="16" fontId="5" numFmtId="0" xfId="0" applyAlignment="1" applyBorder="1" applyFont="1">
      <alignment horizontal="center" shrinkToFit="0" vertical="bottom" wrapText="1"/>
    </xf>
    <xf borderId="165" fillId="16" fontId="5" numFmtId="0" xfId="0" applyAlignment="1" applyBorder="1" applyFont="1">
      <alignment horizontal="center" vertical="bottom"/>
    </xf>
    <xf borderId="165" fillId="18" fontId="5" numFmtId="166" xfId="0" applyAlignment="1" applyBorder="1" applyFont="1" applyNumberFormat="1">
      <alignment horizontal="center" vertical="bottom"/>
    </xf>
    <xf borderId="165" fillId="18" fontId="5" numFmtId="167" xfId="0" applyAlignment="1" applyBorder="1" applyFont="1" applyNumberFormat="1">
      <alignment horizontal="center" readingOrder="0" vertical="bottom"/>
    </xf>
    <xf borderId="165" fillId="18" fontId="5" numFmtId="0" xfId="0" applyAlignment="1" applyBorder="1" applyFont="1">
      <alignment horizontal="center" vertical="bottom"/>
    </xf>
    <xf borderId="165" fillId="18" fontId="5" numFmtId="0" xfId="0" applyAlignment="1" applyBorder="1" applyFont="1">
      <alignment horizontal="center" shrinkToFit="0" vertical="bottom" wrapText="1"/>
    </xf>
    <xf borderId="165" fillId="16" fontId="5" numFmtId="173" xfId="0" applyAlignment="1" applyBorder="1" applyFont="1" applyNumberFormat="1">
      <alignment horizontal="center" readingOrder="0" vertical="bottom"/>
    </xf>
    <xf borderId="165" fillId="18" fontId="5" numFmtId="173" xfId="0" applyAlignment="1" applyBorder="1" applyFont="1" applyNumberFormat="1">
      <alignment horizontal="center" vertical="bottom"/>
    </xf>
    <xf borderId="165" fillId="16" fontId="5" numFmtId="173" xfId="0" applyAlignment="1" applyBorder="1" applyFont="1" applyNumberFormat="1">
      <alignment horizontal="center" readingOrder="0" vertical="center"/>
    </xf>
    <xf borderId="165" fillId="18" fontId="5" numFmtId="173" xfId="0" applyAlignment="1" applyBorder="1" applyFont="1" applyNumberFormat="1">
      <alignment horizontal="center" readingOrder="0" vertical="bottom"/>
    </xf>
    <xf borderId="165" fillId="18" fontId="5" numFmtId="173" xfId="0" applyAlignment="1" applyBorder="1" applyFont="1" applyNumberFormat="1">
      <alignment horizontal="center" readingOrder="0" vertical="center"/>
    </xf>
    <xf borderId="166" fillId="16" fontId="37" numFmtId="164" xfId="0" applyAlignment="1" applyBorder="1" applyFont="1" applyNumberFormat="1">
      <alignment horizontal="center" vertical="center"/>
    </xf>
    <xf borderId="167" fillId="16" fontId="5" numFmtId="166" xfId="0" applyAlignment="1" applyBorder="1" applyFont="1" applyNumberFormat="1">
      <alignment horizontal="center" readingOrder="0" vertical="center"/>
    </xf>
    <xf borderId="168" fillId="16" fontId="5" numFmtId="166" xfId="0" applyAlignment="1" applyBorder="1" applyFont="1" applyNumberFormat="1">
      <alignment horizontal="center" readingOrder="0" vertical="center"/>
    </xf>
    <xf borderId="168" fillId="16" fontId="5" numFmtId="173" xfId="0" applyAlignment="1" applyBorder="1" applyFont="1" applyNumberFormat="1">
      <alignment horizontal="center" readingOrder="0" vertical="center"/>
    </xf>
    <xf borderId="142" fillId="16" fontId="5" numFmtId="0" xfId="0" applyAlignment="1" applyBorder="1" applyFont="1">
      <alignment horizontal="center" readingOrder="0" shrinkToFit="0" vertical="center" wrapText="1"/>
    </xf>
    <xf borderId="166" fillId="16" fontId="5" numFmtId="0" xfId="0" applyAlignment="1" applyBorder="1" applyFont="1">
      <alignment horizontal="center" readingOrder="0" vertical="center"/>
    </xf>
    <xf borderId="167" fillId="16" fontId="5" numFmtId="0" xfId="0" applyAlignment="1" applyBorder="1" applyFont="1">
      <alignment horizontal="center" readingOrder="0" shrinkToFit="0" vertical="center" wrapText="1"/>
    </xf>
    <xf borderId="27" fillId="18" fontId="5" numFmtId="166" xfId="0" applyAlignment="1" applyBorder="1" applyFont="1" applyNumberFormat="1">
      <alignment horizontal="center" readingOrder="0" vertical="center"/>
    </xf>
    <xf borderId="159" fillId="18" fontId="5" numFmtId="173" xfId="0" applyAlignment="1" applyBorder="1" applyFont="1" applyNumberFormat="1">
      <alignment horizontal="center" readingOrder="0" vertical="center"/>
    </xf>
    <xf borderId="27" fillId="18" fontId="5" numFmtId="0" xfId="0" applyAlignment="1" applyBorder="1" applyFont="1">
      <alignment horizontal="center" readingOrder="0" vertical="center"/>
    </xf>
    <xf borderId="159" fillId="16" fontId="5" numFmtId="166" xfId="0" applyAlignment="1" applyBorder="1" applyFont="1" applyNumberFormat="1">
      <alignment horizontal="center" readingOrder="0" vertical="center"/>
    </xf>
    <xf borderId="27" fillId="16" fontId="5" numFmtId="166" xfId="0" applyAlignment="1" applyBorder="1" applyFont="1" applyNumberFormat="1">
      <alignment horizontal="center" readingOrder="0" vertical="center"/>
    </xf>
    <xf borderId="24" fillId="16" fontId="5" numFmtId="173" xfId="0" applyAlignment="1" applyBorder="1" applyFont="1" applyNumberFormat="1">
      <alignment horizontal="center" readingOrder="0" vertical="center"/>
    </xf>
    <xf borderId="24" fillId="18" fontId="5" numFmtId="173" xfId="0" applyAlignment="1" applyBorder="1" applyFont="1" applyNumberFormat="1">
      <alignment horizontal="center" readingOrder="0" vertical="center"/>
    </xf>
    <xf borderId="24" fillId="16" fontId="5" numFmtId="167" xfId="0" applyAlignment="1" applyBorder="1" applyFont="1" applyNumberFormat="1">
      <alignment horizontal="center" vertical="center"/>
    </xf>
    <xf borderId="24" fillId="19" fontId="5" numFmtId="0" xfId="0" applyAlignment="1" applyBorder="1" applyFill="1" applyFont="1">
      <alignment horizontal="center" vertical="center"/>
    </xf>
    <xf borderId="169" fillId="16" fontId="5" numFmtId="0" xfId="0" applyAlignment="1" applyBorder="1" applyFont="1">
      <alignment horizontal="center" vertical="center"/>
    </xf>
    <xf borderId="24" fillId="18" fontId="5" numFmtId="167" xfId="0" applyAlignment="1" applyBorder="1" applyFont="1" applyNumberFormat="1">
      <alignment horizontal="center" vertical="center"/>
    </xf>
    <xf borderId="169" fillId="18" fontId="5" numFmtId="0" xfId="0" applyAlignment="1" applyBorder="1" applyFont="1">
      <alignment horizontal="center" vertical="center"/>
    </xf>
    <xf borderId="158" fillId="5" fontId="5" numFmtId="0" xfId="0" applyAlignment="1" applyBorder="1" applyFont="1">
      <alignment horizontal="center"/>
    </xf>
    <xf borderId="24" fillId="16" fontId="40" numFmtId="0" xfId="0" applyAlignment="1" applyBorder="1" applyFont="1">
      <alignment horizontal="center" shrinkToFit="0" vertical="center" wrapText="1"/>
    </xf>
    <xf borderId="24" fillId="18" fontId="5" numFmtId="167" xfId="0" applyAlignment="1" applyBorder="1" applyFont="1" applyNumberFormat="1">
      <alignment horizontal="center" readingOrder="0" vertical="center"/>
    </xf>
    <xf borderId="24" fillId="18" fontId="40" numFmtId="0" xfId="0" applyAlignment="1" applyBorder="1" applyFont="1">
      <alignment horizontal="center" shrinkToFit="0" vertical="center" wrapText="1"/>
    </xf>
    <xf borderId="158" fillId="5" fontId="5" numFmtId="0" xfId="0" applyAlignment="1" applyBorder="1" applyFont="1">
      <alignment horizontal="center" shrinkToFit="0" vertical="center" wrapText="1"/>
    </xf>
    <xf borderId="158" fillId="7" fontId="5" numFmtId="0" xfId="0" applyAlignment="1" applyBorder="1" applyFont="1">
      <alignment horizontal="center" readingOrder="0"/>
    </xf>
    <xf borderId="129" fillId="5" fontId="5" numFmtId="0" xfId="0" applyAlignment="1" applyBorder="1" applyFont="1">
      <alignment horizontal="center" readingOrder="0"/>
    </xf>
    <xf borderId="158" fillId="6" fontId="5" numFmtId="0" xfId="0" applyAlignment="1" applyBorder="1" applyFont="1">
      <alignment horizontal="center" shrinkToFit="0" vertical="center" wrapText="1"/>
    </xf>
    <xf borderId="24" fillId="16" fontId="5" numFmtId="167" xfId="0" applyAlignment="1" applyBorder="1" applyFont="1" applyNumberFormat="1">
      <alignment horizontal="center" readingOrder="0" vertical="center"/>
    </xf>
    <xf borderId="170" fillId="8" fontId="5" numFmtId="0" xfId="0" applyAlignment="1" applyBorder="1" applyFont="1">
      <alignment horizontal="center" shrinkToFit="0" vertical="center" wrapText="1"/>
    </xf>
    <xf borderId="0" fillId="0" fontId="41" numFmtId="0" xfId="0" applyAlignment="1" applyFont="1">
      <alignment horizontal="center"/>
    </xf>
    <xf borderId="170" fillId="6" fontId="5" numFmtId="0" xfId="0" applyAlignment="1" applyBorder="1" applyFont="1">
      <alignment horizontal="center" shrinkToFit="0" vertical="center" wrapText="1"/>
    </xf>
    <xf borderId="24" fillId="16" fontId="37" numFmtId="164" xfId="0" applyAlignment="1" applyBorder="1" applyFont="1" applyNumberFormat="1">
      <alignment horizontal="center" readingOrder="0" vertical="center"/>
    </xf>
    <xf borderId="171" fillId="7" fontId="5" numFmtId="0" xfId="0" applyAlignment="1" applyBorder="1" applyFont="1">
      <alignment horizontal="center"/>
    </xf>
    <xf borderId="0" fillId="0" fontId="9" numFmtId="167" xfId="0" applyAlignment="1" applyFont="1" applyNumberFormat="1">
      <alignment horizontal="center"/>
    </xf>
    <xf borderId="172" fillId="16" fontId="5" numFmtId="0" xfId="0" applyAlignment="1" applyBorder="1" applyFont="1">
      <alignment horizontal="center" readingOrder="0" vertical="center"/>
    </xf>
    <xf borderId="24" fillId="16" fontId="5" numFmtId="174" xfId="0" applyAlignment="1" applyBorder="1" applyFont="1" applyNumberFormat="1">
      <alignment horizontal="center" vertical="center"/>
    </xf>
    <xf borderId="24" fillId="18" fontId="5" numFmtId="165" xfId="0" applyAlignment="1" applyBorder="1" applyFont="1" applyNumberFormat="1">
      <alignment horizontal="center" shrinkToFit="0" vertical="center" wrapText="1"/>
    </xf>
    <xf borderId="173" fillId="17" fontId="7" numFmtId="0" xfId="0" applyAlignment="1" applyBorder="1" applyFont="1">
      <alignment horizontal="center" vertical="center"/>
    </xf>
    <xf borderId="174" fillId="17" fontId="7" numFmtId="0" xfId="0" applyAlignment="1" applyBorder="1" applyFont="1">
      <alignment horizontal="center" vertical="center"/>
    </xf>
    <xf borderId="175" fillId="5" fontId="5" numFmtId="0" xfId="0" applyAlignment="1" applyBorder="1" applyFont="1">
      <alignment horizontal="center" vertical="center"/>
    </xf>
    <xf borderId="176" fillId="0" fontId="8" numFmtId="0" xfId="0" applyBorder="1" applyFont="1"/>
    <xf borderId="177" fillId="0" fontId="8" numFmtId="0" xfId="0" applyBorder="1" applyFont="1"/>
    <xf borderId="178" fillId="17" fontId="7" numFmtId="0" xfId="0" applyAlignment="1" applyBorder="1" applyFont="1">
      <alignment horizontal="center" vertical="center"/>
    </xf>
    <xf borderId="179" fillId="17" fontId="7" numFmtId="0" xfId="0" applyAlignment="1" applyBorder="1" applyFont="1">
      <alignment horizontal="center" vertical="center"/>
    </xf>
    <xf borderId="106" fillId="16" fontId="5" numFmtId="0" xfId="0" applyAlignment="1" applyBorder="1" applyFont="1">
      <alignment horizontal="center" shrinkToFit="0" vertical="center" wrapText="1"/>
    </xf>
    <xf borderId="24" fillId="16" fontId="5" numFmtId="3" xfId="0" applyAlignment="1" applyBorder="1" applyFont="1" applyNumberFormat="1">
      <alignment horizontal="center" shrinkToFit="0" vertical="center" wrapText="1"/>
    </xf>
    <xf borderId="24" fillId="18" fontId="5" numFmtId="3" xfId="0" applyAlignment="1" applyBorder="1" applyFont="1" applyNumberFormat="1">
      <alignment horizontal="center" shrinkToFit="0" vertical="center" wrapText="1"/>
    </xf>
    <xf borderId="24" fillId="8" fontId="5" numFmtId="0" xfId="0" applyAlignment="1" applyBorder="1" applyFont="1">
      <alignment horizontal="center" shrinkToFit="0" vertical="center" wrapText="1"/>
    </xf>
    <xf borderId="24" fillId="7" fontId="5" numFmtId="0" xfId="0" applyAlignment="1" applyBorder="1" applyFont="1">
      <alignment horizontal="center" vertical="center"/>
    </xf>
    <xf borderId="24" fillId="6" fontId="5" numFmtId="0" xfId="0" applyAlignment="1" applyBorder="1" applyFont="1">
      <alignment horizontal="center" shrinkToFit="0" vertical="center" wrapText="1"/>
    </xf>
    <xf borderId="32" fillId="5" fontId="5" numFmtId="0" xfId="0" applyAlignment="1" applyBorder="1" applyFont="1">
      <alignment horizontal="center" shrinkToFit="0" wrapText="1"/>
    </xf>
    <xf borderId="24" fillId="6" fontId="40" numFmtId="0" xfId="0" applyAlignment="1" applyBorder="1" applyFont="1">
      <alignment horizontal="center" shrinkToFit="0" vertical="center" wrapText="1"/>
    </xf>
    <xf borderId="24" fillId="5" fontId="5" numFmtId="0" xfId="0" applyAlignment="1" applyBorder="1" applyFont="1">
      <alignment horizontal="center" vertical="center"/>
    </xf>
    <xf borderId="24" fillId="18" fontId="40" numFmtId="0" xfId="0" applyAlignment="1" applyBorder="1" applyFont="1">
      <alignment horizontal="center" vertical="center"/>
    </xf>
    <xf borderId="24" fillId="16" fontId="40" numFmtId="0" xfId="0" applyAlignment="1" applyBorder="1" applyFont="1">
      <alignment horizontal="center" vertical="center"/>
    </xf>
    <xf borderId="24" fillId="5" fontId="5" numFmtId="1" xfId="0" applyAlignment="1" applyBorder="1" applyFont="1" applyNumberFormat="1">
      <alignment horizontal="center" shrinkToFit="0" vertical="center" wrapText="1"/>
    </xf>
    <xf borderId="24" fillId="6" fontId="5" numFmtId="0" xfId="0" applyAlignment="1" applyBorder="1" applyFont="1">
      <alignment horizontal="center" vertical="center"/>
    </xf>
    <xf borderId="24" fillId="18" fontId="37" numFmtId="167" xfId="0" applyAlignment="1" applyBorder="1" applyFont="1" applyNumberFormat="1">
      <alignment horizontal="center" vertical="center"/>
    </xf>
    <xf borderId="180" fillId="19" fontId="37" numFmtId="0" xfId="0" applyAlignment="1" applyBorder="1" applyFont="1">
      <alignment horizontal="center" shrinkToFit="0" vertical="center" wrapText="1"/>
    </xf>
    <xf borderId="181" fillId="19" fontId="5" numFmtId="0" xfId="0" applyAlignment="1" applyBorder="1" applyFont="1">
      <alignment horizontal="center" shrinkToFit="0" vertical="center" wrapText="1"/>
    </xf>
    <xf borderId="181" fillId="19" fontId="5" numFmtId="167" xfId="0" applyAlignment="1" applyBorder="1" applyFont="1" applyNumberFormat="1">
      <alignment horizontal="center" shrinkToFit="0" vertical="center" wrapText="1"/>
    </xf>
    <xf borderId="181" fillId="13" fontId="5" numFmtId="0" xfId="0" applyAlignment="1" applyBorder="1" applyFont="1">
      <alignment horizontal="center" shrinkToFit="0" vertical="center" wrapText="1"/>
    </xf>
    <xf borderId="97" fillId="17" fontId="7" numFmtId="0" xfId="0" applyAlignment="1" applyBorder="1" applyFont="1">
      <alignment horizontal="center" vertical="center"/>
    </xf>
    <xf borderId="180" fillId="18" fontId="37" numFmtId="0" xfId="0" applyAlignment="1" applyBorder="1" applyFont="1">
      <alignment horizontal="center" shrinkToFit="0" vertical="center" wrapText="1"/>
    </xf>
    <xf borderId="181" fillId="18" fontId="5" numFmtId="0" xfId="0" applyAlignment="1" applyBorder="1" applyFont="1">
      <alignment horizontal="center" shrinkToFit="0" vertical="center" wrapText="1"/>
    </xf>
    <xf borderId="181" fillId="18" fontId="5" numFmtId="167" xfId="0" applyAlignment="1" applyBorder="1" applyFont="1" applyNumberFormat="1">
      <alignment horizontal="center" shrinkToFit="0" vertical="center" wrapText="1"/>
    </xf>
    <xf borderId="181" fillId="8" fontId="5" numFmtId="0" xfId="0" applyAlignment="1" applyBorder="1" applyFont="1">
      <alignment horizontal="center" shrinkToFit="0" vertical="center" wrapText="1"/>
    </xf>
    <xf borderId="181" fillId="7" fontId="5" numFmtId="0" xfId="0" applyAlignment="1" applyBorder="1" applyFont="1">
      <alignment horizontal="center" shrinkToFit="0" vertical="center" wrapText="1"/>
    </xf>
    <xf borderId="24" fillId="19" fontId="37" numFmtId="0" xfId="0" applyAlignment="1" applyBorder="1" applyFont="1">
      <alignment horizontal="center" shrinkToFit="0" vertical="center" wrapText="1"/>
    </xf>
    <xf borderId="182" fillId="19" fontId="5" numFmtId="0" xfId="0" applyAlignment="1" applyBorder="1" applyFont="1">
      <alignment horizontal="center" shrinkToFit="0" vertical="center" wrapText="1"/>
    </xf>
    <xf borderId="182" fillId="19" fontId="5" numFmtId="167" xfId="0" applyAlignment="1" applyBorder="1" applyFont="1" applyNumberFormat="1">
      <alignment horizontal="center" shrinkToFit="0" vertical="center" wrapText="1"/>
    </xf>
    <xf borderId="182" fillId="20" fontId="5" numFmtId="0" xfId="0" applyAlignment="1" applyBorder="1" applyFill="1" applyFont="1">
      <alignment horizontal="center" shrinkToFit="0" vertical="center" wrapText="1"/>
    </xf>
    <xf borderId="181" fillId="20" fontId="5" numFmtId="0" xfId="0" applyAlignment="1" applyBorder="1" applyFont="1">
      <alignment horizontal="center" shrinkToFit="0" vertical="center" wrapText="1"/>
    </xf>
    <xf borderId="181" fillId="18" fontId="40" numFmtId="0" xfId="0" applyAlignment="1" applyBorder="1" applyFont="1">
      <alignment horizontal="center" shrinkToFit="0" vertical="center" wrapText="1"/>
    </xf>
    <xf borderId="181" fillId="19" fontId="40" numFmtId="0" xfId="0" applyAlignment="1" applyBorder="1" applyFont="1">
      <alignment horizontal="center" shrinkToFit="0" vertical="center" wrapText="1"/>
    </xf>
    <xf borderId="181" fillId="19" fontId="37" numFmtId="0" xfId="0" applyAlignment="1" applyBorder="1" applyFont="1">
      <alignment horizontal="center" shrinkToFit="0" vertical="center" wrapText="1"/>
    </xf>
    <xf borderId="181" fillId="19" fontId="37" numFmtId="167" xfId="0" applyAlignment="1" applyBorder="1" applyFont="1" applyNumberFormat="1">
      <alignment horizontal="center" shrinkToFit="0" vertical="center" wrapText="1"/>
    </xf>
    <xf borderId="24" fillId="16" fontId="37" numFmtId="3" xfId="0" applyAlignment="1" applyBorder="1" applyFont="1" applyNumberFormat="1">
      <alignment horizontal="center" shrinkToFit="0" vertical="center" wrapText="1"/>
    </xf>
    <xf borderId="181" fillId="6" fontId="5" numFmtId="0" xfId="0" applyAlignment="1" applyBorder="1" applyFont="1">
      <alignment horizontal="center" shrinkToFit="0" vertical="center" wrapText="1"/>
    </xf>
    <xf borderId="181" fillId="5" fontId="5" numFmtId="0" xfId="0" applyAlignment="1" applyBorder="1" applyFont="1">
      <alignment horizontal="center" shrinkToFit="0" vertical="center" wrapText="1"/>
    </xf>
    <xf borderId="183" fillId="19" fontId="37" numFmtId="0" xfId="0" applyAlignment="1" applyBorder="1" applyFont="1">
      <alignment horizontal="center" shrinkToFit="0" vertical="center" wrapText="1"/>
    </xf>
    <xf borderId="184" fillId="18" fontId="37" numFmtId="0" xfId="0" applyAlignment="1" applyBorder="1" applyFont="1">
      <alignment horizontal="center" shrinkToFit="0" vertical="center" wrapText="1"/>
    </xf>
    <xf borderId="185" fillId="19" fontId="37" numFmtId="0" xfId="0" applyAlignment="1" applyBorder="1" applyFont="1">
      <alignment horizontal="center" shrinkToFit="0" vertical="center" wrapText="1"/>
    </xf>
    <xf borderId="95" fillId="15" fontId="7" numFmtId="164" xfId="0" applyAlignment="1" applyBorder="1" applyFont="1" applyNumberFormat="1">
      <alignment horizontal="center" vertical="center"/>
    </xf>
    <xf borderId="95" fillId="15" fontId="7" numFmtId="1" xfId="0" applyAlignment="1" applyBorder="1" applyFont="1" applyNumberFormat="1">
      <alignment horizontal="center" vertical="center"/>
    </xf>
    <xf borderId="95" fillId="15" fontId="7" numFmtId="167" xfId="0" applyAlignment="1" applyBorder="1" applyFont="1" applyNumberFormat="1">
      <alignment horizontal="center" vertical="center"/>
    </xf>
    <xf borderId="95" fillId="15" fontId="7" numFmtId="0" xfId="0" applyAlignment="1" applyBorder="1" applyFont="1">
      <alignment horizontal="center" vertical="center"/>
    </xf>
    <xf borderId="95" fillId="15" fontId="7" numFmtId="49" xfId="0" applyAlignment="1" applyBorder="1" applyFont="1" applyNumberFormat="1">
      <alignment horizontal="center" vertical="center"/>
    </xf>
    <xf borderId="24" fillId="8" fontId="5" numFmtId="0" xfId="0" applyAlignment="1" applyBorder="1" applyFont="1">
      <alignment horizontal="center" vertical="center"/>
    </xf>
    <xf borderId="24" fillId="13" fontId="5" numFmtId="0" xfId="0" applyAlignment="1" applyBorder="1" applyFont="1">
      <alignment horizontal="center" vertical="center"/>
    </xf>
    <xf borderId="100" fillId="13" fontId="5" numFmtId="0" xfId="0" applyAlignment="1" applyBorder="1" applyFont="1">
      <alignment horizontal="center" vertical="center"/>
    </xf>
    <xf borderId="0" fillId="0" fontId="42" numFmtId="0" xfId="0" applyAlignment="1" applyFont="1">
      <alignment horizontal="center" vertical="center"/>
    </xf>
    <xf borderId="186" fillId="7" fontId="5" numFmtId="1" xfId="0" applyAlignment="1" applyBorder="1" applyFont="1" applyNumberFormat="1">
      <alignment horizontal="center" vertical="center"/>
    </xf>
    <xf borderId="186" fillId="5" fontId="5" numFmtId="1" xfId="0" applyAlignment="1" applyBorder="1" applyFont="1" applyNumberFormat="1">
      <alignment horizontal="center" vertical="center"/>
    </xf>
    <xf borderId="186" fillId="6" fontId="5" numFmtId="1" xfId="0" applyAlignment="1" applyBorder="1" applyFont="1" applyNumberFormat="1">
      <alignment horizontal="center" vertical="center"/>
    </xf>
    <xf borderId="24" fillId="16" fontId="37" numFmtId="166" xfId="0" applyAlignment="1" applyBorder="1" applyFont="1" applyNumberFormat="1">
      <alignment horizontal="center" vertical="center"/>
    </xf>
    <xf borderId="24" fillId="16" fontId="37" numFmtId="167" xfId="0" applyAlignment="1" applyBorder="1" applyFont="1" applyNumberFormat="1">
      <alignment horizontal="center" vertical="center"/>
    </xf>
    <xf borderId="24" fillId="16" fontId="37" numFmtId="0" xfId="0" applyAlignment="1" applyBorder="1" applyFont="1">
      <alignment horizontal="center" shrinkToFit="0" vertical="center" wrapText="1"/>
    </xf>
    <xf borderId="24" fillId="18" fontId="37" numFmtId="0" xfId="0" applyAlignment="1" applyBorder="1" applyFont="1">
      <alignment horizontal="center" shrinkToFit="0" vertical="center" wrapText="1"/>
    </xf>
    <xf borderId="186" fillId="8" fontId="5" numFmtId="1" xfId="0" applyAlignment="1" applyBorder="1" applyFont="1" applyNumberFormat="1">
      <alignment horizontal="center" vertical="center"/>
    </xf>
    <xf borderId="24" fillId="16" fontId="43" numFmtId="0" xfId="0" applyAlignment="1" applyBorder="1" applyFont="1">
      <alignment horizontal="center" shrinkToFit="0" vertical="center" wrapText="1"/>
    </xf>
    <xf borderId="24" fillId="18" fontId="43" numFmtId="0" xfId="0" applyAlignment="1" applyBorder="1" applyFont="1">
      <alignment horizontal="center" shrinkToFit="0" vertical="center" wrapText="1"/>
    </xf>
    <xf borderId="24" fillId="18" fontId="37" numFmtId="166" xfId="0" applyAlignment="1" applyBorder="1" applyFont="1" applyNumberFormat="1">
      <alignment horizontal="center" vertical="center"/>
    </xf>
    <xf borderId="24" fillId="18" fontId="37" numFmtId="3" xfId="0" applyAlignment="1" applyBorder="1" applyFont="1" applyNumberFormat="1">
      <alignment horizontal="center" shrinkToFit="0" vertical="center" wrapText="1"/>
    </xf>
    <xf borderId="187" fillId="7" fontId="5" numFmtId="1" xfId="0" applyAlignment="1" applyBorder="1" applyFont="1" applyNumberFormat="1">
      <alignment horizontal="center" vertical="center"/>
    </xf>
    <xf borderId="0" fillId="0" fontId="44" numFmtId="164" xfId="0" applyAlignment="1" applyFont="1" applyNumberFormat="1">
      <alignment horizontal="center"/>
    </xf>
    <xf borderId="0" fillId="0" fontId="44" numFmtId="0" xfId="0" applyAlignment="1" applyFont="1">
      <alignment horizontal="center"/>
    </xf>
    <xf borderId="0" fillId="0" fontId="44" numFmtId="167" xfId="0" applyAlignment="1" applyFont="1" applyNumberFormat="1">
      <alignment horizontal="center"/>
    </xf>
    <xf borderId="0" fillId="0" fontId="44" numFmtId="3" xfId="0" applyAlignment="1" applyFont="1" applyNumberFormat="1">
      <alignment horizontal="center" vertical="center"/>
    </xf>
    <xf borderId="32" fillId="13" fontId="18" numFmtId="164" xfId="0" applyAlignment="1" applyBorder="1" applyFont="1" applyNumberFormat="1">
      <alignment horizontal="center"/>
    </xf>
    <xf borderId="32" fillId="13" fontId="18" numFmtId="1" xfId="0" applyAlignment="1" applyBorder="1" applyFont="1" applyNumberFormat="1">
      <alignment horizontal="center"/>
    </xf>
    <xf borderId="32" fillId="13" fontId="18" numFmtId="1" xfId="0" applyAlignment="1" applyBorder="1" applyFont="1" applyNumberFormat="1">
      <alignment horizontal="center" vertical="center"/>
    </xf>
    <xf borderId="32" fillId="13" fontId="18" numFmtId="167" xfId="0" applyAlignment="1" applyBorder="1" applyFont="1" applyNumberFormat="1">
      <alignment horizontal="center"/>
    </xf>
    <xf borderId="32" fillId="13" fontId="18" numFmtId="0" xfId="0" applyAlignment="1" applyBorder="1" applyFont="1">
      <alignment horizontal="center"/>
    </xf>
    <xf borderId="32" fillId="13" fontId="18" numFmtId="0" xfId="0" applyAlignment="1" applyBorder="1" applyFont="1">
      <alignment horizontal="center" shrinkToFit="0" wrapText="1"/>
    </xf>
    <xf borderId="32" fillId="13" fontId="18" numFmtId="3" xfId="0" applyAlignment="1" applyBorder="1" applyFont="1" applyNumberFormat="1">
      <alignment horizontal="center" vertical="center"/>
    </xf>
    <xf borderId="188" fillId="17" fontId="7" numFmtId="164" xfId="0" applyAlignment="1" applyBorder="1" applyFont="1" applyNumberFormat="1">
      <alignment horizontal="center" vertical="center"/>
    </xf>
    <xf borderId="189" fillId="17" fontId="7" numFmtId="1" xfId="0" applyAlignment="1" applyBorder="1" applyFont="1" applyNumberFormat="1">
      <alignment horizontal="center" vertical="center"/>
    </xf>
    <xf borderId="189" fillId="17" fontId="7" numFmtId="167" xfId="0" applyAlignment="1" applyBorder="1" applyFont="1" applyNumberFormat="1">
      <alignment horizontal="center" vertical="center"/>
    </xf>
    <xf borderId="188" fillId="17" fontId="11" numFmtId="0" xfId="0" applyAlignment="1" applyBorder="1" applyFont="1">
      <alignment horizontal="center" vertical="center"/>
    </xf>
    <xf borderId="188" fillId="17" fontId="7" numFmtId="0" xfId="0" applyAlignment="1" applyBorder="1" applyFont="1">
      <alignment horizontal="center" vertical="center"/>
    </xf>
    <xf borderId="188" fillId="17" fontId="7" numFmtId="167" xfId="0" applyAlignment="1" applyBorder="1" applyFont="1" applyNumberFormat="1">
      <alignment horizontal="center" vertical="center"/>
    </xf>
    <xf borderId="32" fillId="17" fontId="7" numFmtId="1" xfId="0" applyAlignment="1" applyBorder="1" applyFont="1" applyNumberFormat="1">
      <alignment horizontal="center" vertical="center"/>
    </xf>
    <xf borderId="32" fillId="17" fontId="7" numFmtId="3" xfId="0" applyAlignment="1" applyBorder="1" applyFont="1" applyNumberFormat="1">
      <alignment horizontal="center" vertical="center"/>
    </xf>
    <xf borderId="186" fillId="8" fontId="5" numFmtId="0" xfId="0" applyAlignment="1" applyBorder="1" applyFont="1">
      <alignment horizontal="center" vertical="center"/>
    </xf>
    <xf borderId="186" fillId="6" fontId="5" numFmtId="0" xfId="0" applyAlignment="1" applyBorder="1" applyFont="1">
      <alignment horizontal="center" vertical="center"/>
    </xf>
    <xf borderId="186" fillId="7" fontId="5" numFmtId="0" xfId="0" applyAlignment="1" applyBorder="1" applyFont="1">
      <alignment horizontal="center" vertical="center"/>
    </xf>
    <xf borderId="186" fillId="5" fontId="5" numFmtId="0" xfId="0" applyAlignment="1" applyBorder="1" applyFont="1">
      <alignment horizontal="center" vertical="center"/>
    </xf>
    <xf borderId="0" fillId="0" fontId="32" numFmtId="0" xfId="0" applyAlignment="1" applyFont="1">
      <alignment horizontal="center" vertical="center"/>
    </xf>
    <xf borderId="190" fillId="0" fontId="18" numFmtId="0" xfId="0" applyAlignment="1" applyBorder="1" applyFont="1">
      <alignment horizontal="center" vertical="center"/>
    </xf>
    <xf borderId="0" fillId="0" fontId="18" numFmtId="164" xfId="0" applyAlignment="1" applyFont="1" applyNumberFormat="1">
      <alignment horizontal="center"/>
    </xf>
    <xf borderId="0" fillId="0" fontId="18" numFmtId="1" xfId="0" applyAlignment="1" applyFont="1" applyNumberFormat="1">
      <alignment horizontal="center"/>
    </xf>
    <xf borderId="0" fillId="0" fontId="18" numFmtId="167" xfId="0" applyAlignment="1" applyFont="1" applyNumberFormat="1">
      <alignment horizontal="center"/>
    </xf>
    <xf borderId="0" fillId="0" fontId="18" numFmtId="3" xfId="0" applyAlignment="1" applyFont="1" applyNumberFormat="1">
      <alignment horizontal="center"/>
    </xf>
    <xf borderId="191" fillId="5" fontId="43" numFmtId="1" xfId="0" applyAlignment="1" applyBorder="1" applyFont="1" applyNumberFormat="1">
      <alignment horizontal="center"/>
    </xf>
    <xf borderId="191" fillId="7" fontId="43" numFmtId="1" xfId="0" applyAlignment="1" applyBorder="1" applyFont="1" applyNumberFormat="1">
      <alignment horizontal="center"/>
    </xf>
    <xf borderId="0" fillId="0" fontId="32" numFmtId="0" xfId="0" applyFont="1"/>
    <xf borderId="191" fillId="6" fontId="43" numFmtId="1" xfId="0" applyAlignment="1" applyBorder="1" applyFont="1" applyNumberFormat="1">
      <alignment horizontal="center"/>
    </xf>
    <xf borderId="191" fillId="8" fontId="43" numFmtId="1" xfId="0" applyAlignment="1" applyBorder="1" applyFont="1" applyNumberFormat="1">
      <alignment horizontal="center"/>
    </xf>
    <xf borderId="24" fillId="18" fontId="40" numFmtId="166" xfId="0" applyAlignment="1" applyBorder="1" applyFont="1" applyNumberFormat="1">
      <alignment horizontal="center" vertical="center"/>
    </xf>
    <xf borderId="24" fillId="16" fontId="40" numFmtId="166" xfId="0" applyAlignment="1" applyBorder="1" applyFont="1" applyNumberFormat="1">
      <alignment horizontal="center" vertical="center"/>
    </xf>
    <xf borderId="192" fillId="17" fontId="7" numFmtId="0" xfId="0" applyAlignment="1" applyBorder="1" applyFont="1">
      <alignment horizontal="center" vertical="center"/>
    </xf>
    <xf borderId="193" fillId="0" fontId="8" numFmtId="0" xfId="0" applyBorder="1" applyFont="1"/>
    <xf borderId="194" fillId="0" fontId="8" numFmtId="0" xfId="0" applyBorder="1" applyFont="1"/>
    <xf borderId="195" fillId="5" fontId="5" numFmtId="0" xfId="0" applyAlignment="1" applyBorder="1" applyFont="1">
      <alignment horizontal="center" vertical="center"/>
    </xf>
    <xf borderId="196" fillId="0" fontId="8" numFmtId="0" xfId="0" applyBorder="1" applyFont="1"/>
    <xf borderId="197" fillId="0" fontId="8" numFmtId="0" xfId="0" applyBorder="1" applyFont="1"/>
    <xf borderId="175" fillId="6" fontId="5" numFmtId="0" xfId="0" applyAlignment="1" applyBorder="1" applyFont="1">
      <alignment horizontal="center" vertical="center"/>
    </xf>
    <xf borderId="198" fillId="16" fontId="5" numFmtId="0" xfId="0" applyAlignment="1" applyBorder="1" applyFont="1">
      <alignment horizontal="center" shrinkToFit="0" vertical="center" wrapText="1"/>
    </xf>
    <xf borderId="199" fillId="0" fontId="8" numFmtId="0" xfId="0" applyBorder="1" applyFont="1"/>
    <xf borderId="200" fillId="0" fontId="8" numFmtId="0" xfId="0" applyBorder="1" applyFont="1"/>
    <xf borderId="0" fillId="0" fontId="45" numFmtId="0" xfId="0" applyAlignment="1" applyFont="1">
      <alignment horizontal="center"/>
    </xf>
    <xf borderId="24" fillId="5" fontId="43" numFmtId="1" xfId="0" applyAlignment="1" applyBorder="1" applyFont="1" applyNumberFormat="1">
      <alignment horizontal="center"/>
    </xf>
    <xf borderId="24" fillId="8" fontId="43" numFmtId="1" xfId="0" applyAlignment="1" applyBorder="1" applyFont="1" applyNumberFormat="1">
      <alignment horizontal="center"/>
    </xf>
    <xf borderId="24" fillId="7" fontId="43" numFmtId="1" xfId="0" applyAlignment="1" applyBorder="1" applyFont="1" applyNumberFormat="1">
      <alignment horizontal="center"/>
    </xf>
    <xf borderId="24" fillId="6" fontId="43" numFmtId="1" xfId="0" applyAlignment="1" applyBorder="1" applyFont="1" applyNumberFormat="1">
      <alignment horizontal="center"/>
    </xf>
    <xf borderId="24" fillId="16" fontId="46" numFmtId="166" xfId="0" applyAlignment="1" applyBorder="1" applyFont="1" applyNumberFormat="1">
      <alignment horizontal="center" vertical="center"/>
    </xf>
    <xf borderId="0" fillId="0" fontId="47" numFmtId="164" xfId="0" applyAlignment="1" applyFont="1" applyNumberFormat="1">
      <alignment horizontal="center"/>
    </xf>
    <xf borderId="0" fillId="0" fontId="18" numFmtId="166" xfId="0" applyAlignment="1" applyFont="1" applyNumberFormat="1">
      <alignment horizontal="center"/>
    </xf>
    <xf borderId="24" fillId="18" fontId="37" numFmtId="3" xfId="0" applyAlignment="1" applyBorder="1" applyFont="1" applyNumberFormat="1">
      <alignment horizontal="center" vertical="center"/>
    </xf>
    <xf borderId="0" fillId="0" fontId="18" numFmtId="14" xfId="0" applyAlignment="1" applyFont="1" applyNumberFormat="1">
      <alignment horizontal="center"/>
    </xf>
    <xf borderId="176" fillId="0" fontId="18" numFmtId="0" xfId="0" applyAlignment="1" applyBorder="1" applyFont="1">
      <alignment horizontal="center" vertical="center"/>
    </xf>
    <xf borderId="177" fillId="0" fontId="18" numFmtId="0" xfId="0" applyAlignment="1" applyBorder="1" applyFont="1">
      <alignment horizontal="center" vertical="center"/>
    </xf>
    <xf borderId="129" fillId="0" fontId="18" numFmtId="0" xfId="0" applyAlignment="1" applyBorder="1" applyFont="1">
      <alignment horizontal="center" vertical="center"/>
    </xf>
    <xf borderId="130" fillId="0" fontId="18" numFmtId="0" xfId="0" applyAlignment="1" applyBorder="1" applyFont="1">
      <alignment horizontal="center" vertical="center"/>
    </xf>
    <xf borderId="129" fillId="0" fontId="43" numFmtId="0" xfId="0" applyAlignment="1" applyBorder="1" applyFont="1">
      <alignment horizontal="center" vertical="center"/>
    </xf>
    <xf borderId="130" fillId="0" fontId="43" numFmtId="0" xfId="0" applyAlignment="1" applyBorder="1" applyFont="1">
      <alignment horizontal="center" vertical="center"/>
    </xf>
    <xf borderId="157" fillId="0" fontId="43" numFmtId="0" xfId="0" applyAlignment="1" applyBorder="1" applyFont="1">
      <alignment horizontal="center" vertical="center"/>
    </xf>
    <xf borderId="98" fillId="0" fontId="43" numFmtId="0" xfId="0" applyAlignment="1" applyBorder="1" applyFont="1">
      <alignment horizontal="center" vertical="center"/>
    </xf>
    <xf borderId="95" fillId="17" fontId="7" numFmtId="164" xfId="0" applyAlignment="1" applyBorder="1" applyFont="1" applyNumberFormat="1">
      <alignment horizontal="center" vertical="center"/>
    </xf>
    <xf borderId="95" fillId="17" fontId="7" numFmtId="0" xfId="0" applyAlignment="1" applyBorder="1" applyFont="1">
      <alignment horizontal="center" vertical="center"/>
    </xf>
    <xf borderId="95" fillId="17" fontId="7" numFmtId="167" xfId="0" applyAlignment="1" applyBorder="1" applyFont="1" applyNumberFormat="1">
      <alignment horizontal="center" vertical="center"/>
    </xf>
    <xf borderId="95" fillId="17" fontId="7" numFmtId="49" xfId="0" applyAlignment="1" applyBorder="1" applyFont="1" applyNumberFormat="1">
      <alignment horizontal="center" vertical="center"/>
    </xf>
    <xf borderId="95" fillId="17" fontId="7" numFmtId="3" xfId="0" applyAlignment="1" applyBorder="1" applyFont="1" applyNumberFormat="1">
      <alignment horizontal="center" vertical="center"/>
    </xf>
    <xf borderId="24" fillId="18" fontId="5" numFmtId="1" xfId="0" applyAlignment="1" applyBorder="1" applyFont="1" applyNumberFormat="1">
      <alignment horizontal="center" vertical="center"/>
    </xf>
    <xf borderId="24" fillId="16" fontId="5" numFmtId="1" xfId="0" applyAlignment="1" applyBorder="1" applyFont="1" applyNumberFormat="1">
      <alignment horizontal="center" vertical="center"/>
    </xf>
    <xf borderId="24" fillId="18" fontId="37" numFmtId="1" xfId="0" applyAlignment="1" applyBorder="1" applyFont="1" applyNumberFormat="1">
      <alignment horizontal="center" vertical="center"/>
    </xf>
    <xf borderId="0" fillId="0" fontId="18" numFmtId="164" xfId="0" applyAlignment="1" applyFont="1" applyNumberFormat="1">
      <alignment horizontal="center" shrinkToFit="0" vertical="center" wrapText="1"/>
    </xf>
    <xf borderId="0" fillId="0" fontId="18" numFmtId="167" xfId="0" applyAlignment="1" applyFont="1" applyNumberFormat="1">
      <alignment horizontal="center" shrinkToFit="0" vertical="center" wrapText="1"/>
    </xf>
    <xf borderId="0" fillId="0" fontId="18" numFmtId="0" xfId="0" applyAlignment="1" applyFont="1">
      <alignment horizontal="center" shrinkToFit="0" vertical="center" wrapText="1"/>
    </xf>
    <xf borderId="0" fillId="0" fontId="18" numFmtId="14" xfId="0" applyAlignment="1" applyFont="1" applyNumberFormat="1">
      <alignment horizontal="center" shrinkToFit="0" vertical="center" wrapText="1"/>
    </xf>
    <xf borderId="0" fillId="0" fontId="18" numFmtId="3" xfId="0" applyAlignment="1" applyFont="1" applyNumberFormat="1">
      <alignment horizontal="center" shrinkToFit="0" vertical="center" wrapText="1"/>
    </xf>
    <xf borderId="0" fillId="0" fontId="18" numFmtId="164" xfId="0" applyAlignment="1" applyFont="1" applyNumberFormat="1">
      <alignment horizontal="center" vertical="center"/>
    </xf>
    <xf borderId="0" fillId="0" fontId="18" numFmtId="167" xfId="0" applyAlignment="1" applyFont="1" applyNumberFormat="1">
      <alignment horizontal="center" vertical="center"/>
    </xf>
    <xf borderId="0" fillId="0" fontId="18" numFmtId="3" xfId="0" applyAlignment="1" applyFont="1" applyNumberFormat="1">
      <alignment horizontal="center" vertical="center"/>
    </xf>
    <xf borderId="24" fillId="16" fontId="37" numFmtId="3" xfId="0" applyAlignment="1" applyBorder="1" applyFont="1" applyNumberFormat="1">
      <alignment horizontal="center" vertical="center"/>
    </xf>
    <xf borderId="0" fillId="0" fontId="48" numFmtId="167" xfId="0" applyAlignment="1" applyFont="1" applyNumberFormat="1">
      <alignment horizontal="center" shrinkToFit="0" vertical="center" wrapText="1"/>
    </xf>
    <xf borderId="0" fillId="0" fontId="49" numFmtId="14" xfId="0" applyAlignment="1" applyFont="1" applyNumberFormat="1">
      <alignment horizontal="center" shrinkToFit="0" vertical="center" wrapText="1"/>
    </xf>
    <xf borderId="0" fillId="0" fontId="50" numFmtId="3" xfId="0" applyAlignment="1" applyFont="1" applyNumberFormat="1">
      <alignment horizontal="center" shrinkToFit="0" vertical="center" wrapText="1"/>
    </xf>
    <xf borderId="0" fillId="0" fontId="51" numFmtId="167" xfId="0" applyAlignment="1" applyFont="1" applyNumberFormat="1">
      <alignment horizontal="center"/>
    </xf>
    <xf borderId="0" fillId="0" fontId="52" numFmtId="0" xfId="0" applyAlignment="1" applyFont="1">
      <alignment horizontal="center"/>
    </xf>
    <xf borderId="0" fillId="0" fontId="53" numFmtId="3" xfId="0" applyAlignment="1" applyFont="1" applyNumberFormat="1">
      <alignment horizontal="center"/>
    </xf>
    <xf borderId="0" fillId="0" fontId="18" numFmtId="0" xfId="0" applyAlignment="1" applyFont="1">
      <alignment horizontal="center" vertical="top"/>
    </xf>
    <xf borderId="24" fillId="18" fontId="5" numFmtId="14" xfId="0" applyAlignment="1" applyBorder="1" applyFont="1" applyNumberFormat="1">
      <alignment horizontal="center" vertical="center"/>
    </xf>
    <xf borderId="24" fillId="16" fontId="5" numFmtId="14" xfId="0" applyAlignment="1" applyBorder="1" applyFont="1" applyNumberFormat="1">
      <alignment horizontal="center" vertical="center"/>
    </xf>
    <xf borderId="24" fillId="18" fontId="37" numFmtId="14" xfId="0" applyAlignment="1" applyBorder="1" applyFont="1" applyNumberFormat="1">
      <alignment horizontal="center" vertical="center"/>
    </xf>
    <xf borderId="166" fillId="16" fontId="37" numFmtId="166" xfId="0" applyAlignment="1" applyBorder="1" applyFont="1" applyNumberFormat="1">
      <alignment horizontal="center" vertical="center"/>
    </xf>
    <xf borderId="201" fillId="16" fontId="37" numFmtId="14" xfId="0" applyAlignment="1" applyBorder="1" applyFont="1" applyNumberFormat="1">
      <alignment horizontal="center" vertical="center"/>
    </xf>
    <xf borderId="202" fillId="0" fontId="8" numFmtId="0" xfId="0" applyBorder="1" applyFont="1"/>
    <xf borderId="24" fillId="18" fontId="5" numFmtId="166" xfId="0" applyAlignment="1" applyBorder="1" applyFont="1" applyNumberFormat="1">
      <alignment horizontal="center" shrinkToFit="0" vertical="center" wrapText="1"/>
    </xf>
    <xf borderId="24" fillId="16" fontId="5" numFmtId="166" xfId="0" applyAlignment="1" applyBorder="1" applyFont="1" applyNumberFormat="1">
      <alignment horizontal="center" shrinkToFit="0" vertical="center" wrapText="1"/>
    </xf>
    <xf borderId="24" fillId="18" fontId="37" numFmtId="166" xfId="0" applyAlignment="1" applyBorder="1" applyFont="1" applyNumberFormat="1">
      <alignment horizontal="center" shrinkToFit="0" vertical="center" wrapText="1"/>
    </xf>
    <xf borderId="24" fillId="8" fontId="43" numFmtId="1" xfId="0" applyAlignment="1" applyBorder="1" applyFont="1" applyNumberFormat="1">
      <alignment horizontal="center" vertical="center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27.xml"/><Relationship Id="rId20" Type="http://schemas.openxmlformats.org/officeDocument/2006/relationships/worksheet" Target="worksheets/sheet7.xml"/><Relationship Id="rId42" Type="http://customschemas.google.com/relationships/workbookmetadata" Target="metadata"/><Relationship Id="rId41" Type="http://schemas.openxmlformats.org/officeDocument/2006/relationships/worksheet" Target="worksheets/sheet28.xml"/><Relationship Id="rId22" Type="http://schemas.openxmlformats.org/officeDocument/2006/relationships/worksheet" Target="worksheets/sheet9.xml"/><Relationship Id="rId21" Type="http://schemas.openxmlformats.org/officeDocument/2006/relationships/worksheet" Target="worksheets/sheet8.xml"/><Relationship Id="rId24" Type="http://schemas.openxmlformats.org/officeDocument/2006/relationships/worksheet" Target="worksheets/sheet11.xml"/><Relationship Id="rId23" Type="http://schemas.openxmlformats.org/officeDocument/2006/relationships/worksheet" Target="worksheets/sheet1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chartsheet" Target="chartsheets/sheet3.xml"/><Relationship Id="rId26" Type="http://schemas.openxmlformats.org/officeDocument/2006/relationships/worksheet" Target="worksheets/sheet13.xml"/><Relationship Id="rId25" Type="http://schemas.openxmlformats.org/officeDocument/2006/relationships/worksheet" Target="worksheets/sheet12.xml"/><Relationship Id="rId28" Type="http://schemas.openxmlformats.org/officeDocument/2006/relationships/worksheet" Target="worksheets/sheet15.xml"/><Relationship Id="rId27" Type="http://schemas.openxmlformats.org/officeDocument/2006/relationships/worksheet" Target="worksheets/sheet1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16.xml"/><Relationship Id="rId7" Type="http://schemas.openxmlformats.org/officeDocument/2006/relationships/chartsheet" Target="chartsheets/sheet1.xml"/><Relationship Id="rId8" Type="http://schemas.openxmlformats.org/officeDocument/2006/relationships/chartsheet" Target="chartsheets/sheet2.xml"/><Relationship Id="rId31" Type="http://schemas.openxmlformats.org/officeDocument/2006/relationships/worksheet" Target="worksheets/sheet18.xml"/><Relationship Id="rId30" Type="http://schemas.openxmlformats.org/officeDocument/2006/relationships/worksheet" Target="worksheets/sheet17.xml"/><Relationship Id="rId11" Type="http://schemas.openxmlformats.org/officeDocument/2006/relationships/chartsheet" Target="chartsheets/sheet5.xml"/><Relationship Id="rId33" Type="http://schemas.openxmlformats.org/officeDocument/2006/relationships/worksheet" Target="worksheets/sheet20.xml"/><Relationship Id="rId10" Type="http://schemas.openxmlformats.org/officeDocument/2006/relationships/chartsheet" Target="chartsheets/sheet4.xml"/><Relationship Id="rId32" Type="http://schemas.openxmlformats.org/officeDocument/2006/relationships/worksheet" Target="worksheets/sheet19.xml"/><Relationship Id="rId13" Type="http://schemas.openxmlformats.org/officeDocument/2006/relationships/chartsheet" Target="chartsheets/sheet7.xml"/><Relationship Id="rId35" Type="http://schemas.openxmlformats.org/officeDocument/2006/relationships/worksheet" Target="worksheets/sheet22.xml"/><Relationship Id="rId12" Type="http://schemas.openxmlformats.org/officeDocument/2006/relationships/chartsheet" Target="chartsheets/sheet6.xml"/><Relationship Id="rId34" Type="http://schemas.openxmlformats.org/officeDocument/2006/relationships/worksheet" Target="worksheets/sheet21.xml"/><Relationship Id="rId15" Type="http://schemas.openxmlformats.org/officeDocument/2006/relationships/chartsheet" Target="chartsheets/sheet9.xml"/><Relationship Id="rId37" Type="http://schemas.openxmlformats.org/officeDocument/2006/relationships/worksheet" Target="worksheets/sheet24.xml"/><Relationship Id="rId14" Type="http://schemas.openxmlformats.org/officeDocument/2006/relationships/chartsheet" Target="chartsheets/sheet8.xml"/><Relationship Id="rId36" Type="http://schemas.openxmlformats.org/officeDocument/2006/relationships/worksheet" Target="worksheets/sheet23.xml"/><Relationship Id="rId17" Type="http://schemas.openxmlformats.org/officeDocument/2006/relationships/worksheet" Target="worksheets/sheet4.xml"/><Relationship Id="rId39" Type="http://schemas.openxmlformats.org/officeDocument/2006/relationships/worksheet" Target="worksheets/sheet26.xml"/><Relationship Id="rId16" Type="http://schemas.openxmlformats.org/officeDocument/2006/relationships/chartsheet" Target="chartsheets/sheet10.xml"/><Relationship Id="rId38" Type="http://schemas.openxmlformats.org/officeDocument/2006/relationships/worksheet" Target="worksheets/sheet25.xml"/><Relationship Id="rId19" Type="http://schemas.openxmlformats.org/officeDocument/2006/relationships/worksheet" Target="worksheets/sheet6.xml"/><Relationship Id="rId1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3600">
                <a:solidFill>
                  <a:srgbClr val="274E13"/>
                </a:solidFill>
                <a:latin typeface="Arial"/>
              </a:defRPr>
            </a:pPr>
            <a:r>
              <a:rPr b="1" sz="3600">
                <a:solidFill>
                  <a:srgbClr val="274E13"/>
                </a:solidFill>
                <a:latin typeface="Arial"/>
              </a:rPr>
              <a:t>Total de Registros de Agrotóxicos, seus Componentes e Afins</a:t>
            </a:r>
          </a:p>
        </c:rich>
      </c:tx>
      <c:layout>
        <c:manualLayout>
          <c:xMode val="edge"/>
          <c:yMode val="edge"/>
          <c:x val="0.05374835910946469"/>
          <c:y val="0.26111391825696956"/>
        </c:manualLayout>
      </c:layout>
      <c:overlay val="0"/>
    </c:title>
    <c:plotArea>
      <c:layout/>
      <c:lineChart>
        <c:varyColors val="0"/>
        <c:ser>
          <c:idx val="0"/>
          <c:order val="0"/>
          <c:spPr>
            <a:ln cmpd="sng" w="38100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Pt>
            <c:idx val="22"/>
            <c:marker>
              <c:symbol val="none"/>
            </c:marker>
          </c:dPt>
          <c:dLbls>
            <c:dLbl>
              <c:idx val="22"/>
              <c:numFmt formatCode="General" sourceLinked="0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0"/>
            <c:txPr>
              <a:bodyPr/>
              <a:lstStyle/>
              <a:p>
                <a:pPr lvl="0">
                  <a:defRPr b="1"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Resumo!$A$9:$Y$9</c:f>
            </c:strRef>
          </c:cat>
          <c:val>
            <c:numRef>
              <c:f>Resumo!$A$23:$Y$23</c:f>
              <c:numCache/>
            </c:numRef>
          </c:val>
          <c:smooth val="0"/>
        </c:ser>
        <c:axId val="638312654"/>
        <c:axId val="938432777"/>
      </c:lineChart>
      <c:catAx>
        <c:axId val="6383126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938432777"/>
      </c:catAx>
      <c:valAx>
        <c:axId val="938432777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449981526359122"/>
              <c:y val="0.001068074454670377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63831265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73763"/>
              </a:solidFill>
              <a:latin typeface="Arial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274E13"/>
                </a:solidFill>
                <a:latin typeface="Arial"/>
              </a:defRPr>
            </a:pPr>
            <a:r>
              <a:rPr b="0">
                <a:solidFill>
                  <a:srgbClr val="274E13"/>
                </a:solidFill>
                <a:latin typeface="Arial"/>
              </a:rPr>
              <a:t>Tempo Médio de Registro - Por Tipo</a:t>
            </a:r>
          </a:p>
        </c:rich>
      </c:tx>
      <c:layout>
        <c:manualLayout>
          <c:xMode val="edge"/>
          <c:yMode val="edge"/>
          <c:x val="0.06274458052320694"/>
          <c:y val="0.12429369067560021"/>
        </c:manualLayout>
      </c:layout>
      <c:overlay val="0"/>
    </c:title>
    <c:plotArea>
      <c:layout/>
      <c:lineChart>
        <c:ser>
          <c:idx val="0"/>
          <c:order val="0"/>
          <c:tx>
            <c:v>PTN - Produto Técnico Novo</c:v>
          </c:tx>
          <c:spPr>
            <a:ln cmpd="sng" w="19050"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Outros'!$E$34:$AB$34</c:f>
              <c:numCache/>
            </c:numRef>
          </c:val>
          <c:smooth val="0"/>
        </c:ser>
        <c:ser>
          <c:idx val="1"/>
          <c:order val="1"/>
          <c:tx>
            <c:v>PTE - Produto Técnico Equivalente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Outros'!$E$35:$AB$35</c:f>
              <c:numCache/>
            </c:numRef>
          </c:val>
          <c:smooth val="0"/>
        </c:ser>
        <c:ser>
          <c:idx val="2"/>
          <c:order val="2"/>
          <c:tx>
            <c:v>PF - Produto Formulado</c:v>
          </c:tx>
          <c:spPr>
            <a:ln cmpd="sng" w="19050">
              <a:solidFill>
                <a:schemeClr val="accent6"/>
              </a:solidFill>
            </a:ln>
          </c:spPr>
          <c:marker>
            <c:symbol val="circle"/>
            <c:size val="6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Outros'!$E$37:$AB$37</c:f>
              <c:numCache/>
            </c:numRef>
          </c:val>
          <c:smooth val="0"/>
        </c:ser>
        <c:ser>
          <c:idx val="3"/>
          <c:order val="3"/>
          <c:tx>
            <c:v>PFN - Produto Formulado a Base de Ingrediente Ativo Novo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Outros'!$E$38:$AB$38</c:f>
              <c:numCache/>
            </c:numRef>
          </c:val>
          <c:smooth val="0"/>
        </c:ser>
        <c:ser>
          <c:idx val="4"/>
          <c:order val="4"/>
          <c:tx>
            <c:v>PF/PTE - Produto Formulado a Base de Produto Técnico Equivalente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Outros'!$E$39:$AB$39</c:f>
              <c:numCache/>
            </c:numRef>
          </c:val>
          <c:smooth val="0"/>
        </c:ser>
        <c:ser>
          <c:idx val="5"/>
          <c:order val="5"/>
          <c:tx>
            <c:v>Bio - Produto Formulado Biológico, Microbiológico, Bioquímico, Extrato Vegetal, Regulador de Crescimento ou Semioquímico; de Baixo Risco</c:v>
          </c:tx>
          <c:spPr>
            <a:ln cmpd="sng" w="19050">
              <a:solidFill>
                <a:srgbClr val="EA9999">
                  <a:alpha val="100000"/>
                </a:srgbClr>
              </a:solidFill>
            </a:ln>
          </c:spPr>
          <c:marker>
            <c:symbol val="circle"/>
            <c:size val="6"/>
            <c:spPr>
              <a:solidFill>
                <a:srgbClr val="EA9999">
                  <a:alpha val="100000"/>
                </a:srgbClr>
              </a:solidFill>
              <a:ln cmpd="sng">
                <a:solidFill>
                  <a:srgbClr val="EA9999">
                    <a:alpha val="100000"/>
                  </a:srgbClr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Outros'!$E$40:$AB$40</c:f>
              <c:numCache/>
            </c:numRef>
          </c:val>
          <c:smooth val="0"/>
        </c:ser>
        <c:ser>
          <c:idx val="6"/>
          <c:order val="6"/>
          <c:tx>
            <c:v>Bio/Org - Produto Formulado Biológico, Microbiológico, Bioquímico, Extrato Vegetal, Regulador de Crescimento ou Semioquímico, para a Agricultura Orgânica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Outros'!$E$41:$AB$41</c:f>
              <c:numCache/>
            </c:numRef>
          </c:val>
          <c:smooth val="0"/>
        </c:ser>
        <c:ser>
          <c:idx val="7"/>
          <c:order val="7"/>
          <c:tx>
            <c:v>Média Geral</c:v>
          </c:tx>
          <c:spPr>
            <a:ln cmpd="sng" w="19050">
              <a:solidFill>
                <a:schemeClr val="accent5"/>
              </a:solidFill>
            </a:ln>
          </c:spPr>
          <c:marker>
            <c:symbol val="circle"/>
            <c:size val="6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Outros'!$E$42:$AB$42</c:f>
              <c:numCache/>
            </c:numRef>
          </c:val>
          <c:smooth val="0"/>
        </c:ser>
        <c:axId val="495639455"/>
        <c:axId val="132332397"/>
      </c:lineChart>
      <c:catAx>
        <c:axId val="4956394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32332397"/>
      </c:catAx>
      <c:valAx>
        <c:axId val="1323323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Tempo de Tramitação, Em Meses</a:t>
                </a:r>
              </a:p>
            </c:rich>
          </c:tx>
          <c:layout>
            <c:manualLayout>
              <c:xMode val="edge"/>
              <c:yMode val="edge"/>
              <c:x val="0.031189127586231078"/>
              <c:y val="0.11429454814691603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495639455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  <c:spPr>
    <a:solidFill>
      <a:schemeClr val="lt1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Total de Registros - Produtos Técnicos e Formulados</a:t>
            </a:r>
          </a:p>
        </c:rich>
      </c:tx>
      <c:layout>
        <c:manualLayout>
          <c:xMode val="edge"/>
          <c:yMode val="edge"/>
          <c:x val="0.06295575811115274"/>
          <c:y val="0.126794317757593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Total Prdutos Técnicos (PT + PTN + PTE + Pré-Mistura)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Lbls>
            <c:dLbl>
              <c:idx val="20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numFmt formatCode="General" sourceLinked="1"/>
              <c:txPr>
                <a:bodyPr/>
                <a:lstStyle/>
                <a:p>
                  <a:pPr lvl="0">
                    <a:defRPr b="1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numFmt formatCode="General" sourceLinked="1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Resumo!$C$9:$Y$9</c:f>
            </c:strRef>
          </c:cat>
          <c:val>
            <c:numRef>
              <c:f>Resumo!$C$14:$Y$14</c:f>
              <c:numCache/>
            </c:numRef>
          </c:val>
        </c:ser>
        <c:ser>
          <c:idx val="1"/>
          <c:order val="1"/>
          <c:tx>
            <c:v>Total de Produtos Formulados (PF + PFN + PF/PTE + Bio + Bio/Org)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Pt>
            <c:idx val="8"/>
          </c:dPt>
          <c:dPt>
            <c:idx val="18"/>
          </c:dPt>
          <c:dPt>
            <c:idx val="21"/>
          </c:dPt>
          <c:dPt>
            <c:idx val="22"/>
          </c:dPt>
          <c:dPt>
            <c:idx val="23"/>
          </c:dPt>
          <c:dLbls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Resumo!$C$9:$Y$9</c:f>
            </c:strRef>
          </c:cat>
          <c:val>
            <c:numRef>
              <c:f>Resumo!$C$22:$Y$22</c:f>
              <c:numCache/>
            </c:numRef>
          </c:val>
        </c:ser>
        <c:overlap val="100"/>
        <c:axId val="1807944038"/>
        <c:axId val="1768625289"/>
      </c:barChart>
      <c:catAx>
        <c:axId val="18079440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768625289"/>
      </c:catAx>
      <c:valAx>
        <c:axId val="1768625289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90155440414508"/>
              <c:y val="-0.20435510887772193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807944038"/>
      </c:valAx>
    </c:plotArea>
    <c:legend>
      <c:legendPos val="b"/>
      <c:legendEntry>
        <c:idx val="0"/>
        <c:txPr>
          <a:bodyPr/>
          <a:lstStyle/>
          <a:p>
            <a:pPr lvl="0">
              <a:defRPr>
                <a:latin typeface="Arial"/>
              </a:defRPr>
            </a:pPr>
          </a:p>
        </c:txPr>
      </c:legendEntry>
      <c:legendEntry>
        <c:idx val="1"/>
        <c:txPr>
          <a:bodyPr/>
          <a:lstStyle/>
          <a:p>
            <a:pPr lvl="0">
              <a:defRPr b="1"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de Baixo Risco (Biológicos, Microbiológicos, Semioquímicos, Extratos Vegetais, Reguladores de Crescimento ou Agricultura Orgânica)</a:t>
            </a:r>
          </a:p>
        </c:rich>
      </c:tx>
      <c:layout>
        <c:manualLayout>
          <c:xMode val="edge"/>
          <c:yMode val="edge"/>
          <c:x val="0.042396639219122505"/>
          <c:y val="0.15384159705707026"/>
        </c:manualLayout>
      </c:layout>
      <c:overlay val="0"/>
    </c:title>
    <c:plotArea>
      <c:layout>
        <c:manualLayout>
          <c:xMode val="edge"/>
          <c:yMode val="edge"/>
          <c:x val="0.06125604337061062"/>
          <c:y val="0.14044525553780707"/>
          <c:w val="0.9282135065965303"/>
          <c:h val="0.7902511064041408"/>
        </c:manualLayout>
      </c:layout>
      <c:barChart>
        <c:barDir val="col"/>
        <c:ser>
          <c:idx val="0"/>
          <c:order val="0"/>
          <c:tx>
            <c:v>Produtos Formulados de Baixo Risco (Bio + Bio/Org)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8"/>
          </c:dPt>
          <c:dPt>
            <c:idx val="9"/>
          </c:dPt>
          <c:dPt>
            <c:idx val="11"/>
          </c:dPt>
          <c:dPt>
            <c:idx val="22"/>
          </c:dPt>
          <c:dLbls>
            <c:dLbl>
              <c:idx val="0"/>
              <c:numFmt formatCode="General" sourceLinked="1"/>
              <c:txPr>
                <a:bodyPr/>
                <a:lstStyle/>
                <a:p>
                  <a:pPr lvl="0">
                    <a:defRPr b="1" i="0"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General" sourceLinked="1"/>
              <c:txPr>
                <a:bodyPr/>
                <a:lstStyle/>
                <a:p>
                  <a:pPr lvl="0">
                    <a:defRPr b="1" i="0"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Resumo!$B$9:$Y$9</c:f>
            </c:strRef>
          </c:cat>
          <c:val>
            <c:numRef>
              <c:f>Resumo!$B$20:$Y$20</c:f>
              <c:numCache/>
            </c:numRef>
          </c:val>
        </c:ser>
        <c:axId val="1363100596"/>
        <c:axId val="1118477753"/>
      </c:barChart>
      <c:catAx>
        <c:axId val="1363100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118477753"/>
      </c:catAx>
      <c:valAx>
        <c:axId val="11184777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958450308815272"/>
              <c:y val="0.2235913229535374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363100596"/>
      </c:valAx>
    </c:plotArea>
    <c:legend>
      <c:legendPos val="b"/>
      <c:legendEntry>
        <c:idx val="0"/>
        <c:txPr>
          <a:bodyPr/>
          <a:lstStyle/>
          <a:p>
            <a:pPr lvl="0">
              <a:defRPr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Fitossanitários com Uso Aprovado para a Agricultura Orgânica </a:t>
            </a:r>
          </a:p>
        </c:rich>
      </c:tx>
      <c:layout>
        <c:manualLayout>
          <c:xMode val="edge"/>
          <c:yMode val="edge"/>
          <c:x val="0.07365624999999999"/>
          <c:y val="0.14101516919486579"/>
        </c:manualLayout>
      </c:layout>
      <c:overlay val="0"/>
    </c:title>
    <c:plotArea>
      <c:layout/>
      <c:barChart>
        <c:barDir val="col"/>
        <c:ser>
          <c:idx val="0"/>
          <c:order val="0"/>
          <c:tx>
            <c:v>Bio/Org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Lbls>
            <c:dLbl>
              <c:idx val="0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0"/>
            <c:txPr>
              <a:bodyPr/>
              <a:lstStyle/>
              <a:p>
                <a:pPr lvl="0">
                  <a:defRPr b="1" i="0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Resumo!$M$9:$Y$9</c:f>
            </c:strRef>
          </c:cat>
          <c:val>
            <c:numRef>
              <c:f>Resumo!$M$19:$Y$19</c:f>
              <c:numCache/>
            </c:numRef>
          </c:val>
        </c:ser>
        <c:axId val="637121044"/>
        <c:axId val="549146336"/>
      </c:barChart>
      <c:catAx>
        <c:axId val="6371210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</a:t>
                </a:r>
              </a:p>
            </c:rich>
          </c:tx>
          <c:layout>
            <c:manualLayout>
              <c:xMode val="edge"/>
              <c:yMode val="edge"/>
              <c:x val="0.06173671267810882"/>
              <c:y val="0.9236180904522614"/>
            </c:manualLayout>
          </c:layout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549146336"/>
      </c:catAx>
      <c:valAx>
        <c:axId val="5491463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343588082901554"/>
              <c:y val="0.11617549044327052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3300"/>
                </a:solidFill>
                <a:latin typeface="Arial"/>
              </a:defRPr>
            </a:pPr>
          </a:p>
        </c:txPr>
        <c:crossAx val="637121044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Registro de Agrotóxicos e Afins Aprovados - Por tipo</a:t>
            </a:r>
          </a:p>
        </c:rich>
      </c:tx>
      <c:layout>
        <c:manualLayout>
          <c:xMode val="edge"/>
          <c:yMode val="edge"/>
          <c:x val="0.04857091038613886"/>
          <c:y val="0.12886772157323284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Bio/Org - Produto Formulado Biológico, Microbiológico, Bioquímico, Extrato Vegetal, Regulador de Crescimento ou Semioquímico, para a Agricultura Orgânica</c:v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Resumo!$B$19:$Y$19</c:f>
              <c:numCache/>
            </c:numRef>
          </c:val>
        </c:ser>
        <c:ser>
          <c:idx val="1"/>
          <c:order val="1"/>
          <c:tx>
            <c:v>Bio - Produto Formulado Biológico, Microbiológico, Bioquímico, Extrato Vegetal, Regulador de Crescimento ou Semioquímico; de Baixo Risco</c:v>
          </c:tx>
          <c:spPr>
            <a:solidFill>
              <a:srgbClr val="F6B26B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Resumo!$B$18:$Y$18</c:f>
              <c:numCache/>
            </c:numRef>
          </c:val>
        </c:ser>
        <c:ser>
          <c:idx val="2"/>
          <c:order val="2"/>
          <c:tx>
            <c:v>PF/PTE - Produto Formulado a base de Produto Técnico Equivalente</c:v>
          </c:tx>
          <c:spPr>
            <a:solidFill>
              <a:srgbClr val="EA9999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Resumo!$B$17:$Y$17</c:f>
              <c:numCache/>
            </c:numRef>
          </c:val>
        </c:ser>
        <c:ser>
          <c:idx val="3"/>
          <c:order val="3"/>
          <c:tx>
            <c:v>PFN - Produto Formulado a Base de Ingrediente Ativo Novo</c:v>
          </c:tx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Resumo!$B$16:$Y$16</c:f>
              <c:numCache/>
            </c:numRef>
          </c:val>
        </c:ser>
        <c:ser>
          <c:idx val="4"/>
          <c:order val="4"/>
          <c:tx>
            <c:v>PF - Produto Formulado</c:v>
          </c:tx>
          <c:spPr>
            <a:solidFill>
              <a:srgbClr val="A2C4C9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Resumo!$B$15:$Y$15</c:f>
              <c:numCache/>
            </c:numRef>
          </c:val>
        </c:ser>
        <c:overlap val="100"/>
        <c:axId val="928421638"/>
        <c:axId val="1430484126"/>
      </c:barChart>
      <c:catAx>
        <c:axId val="9284216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430484126"/>
      </c:catAx>
      <c:valAx>
        <c:axId val="14304841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274E13"/>
                    </a:solidFill>
                    <a:latin typeface="Arial"/>
                  </a:defRPr>
                </a:pPr>
                <a:r>
                  <a:rPr b="0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2477032657266057"/>
              <c:y val="0.11340730364146373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928421638"/>
      </c:valAx>
    </c:plotArea>
    <c:legend>
      <c:legendPos val="b"/>
      <c:legendEntry>
        <c:idx val="4"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Técnicos e Pré-Misturas Registrados - Por Tipo</a:t>
            </a:r>
          </a:p>
        </c:rich>
      </c:tx>
      <c:layout>
        <c:manualLayout>
          <c:xMode val="edge"/>
          <c:yMode val="edge"/>
          <c:x val="0.04187856129843918"/>
          <c:y val="0.1336544916998437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PT - Produto Técnico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21"/>
          </c:dPt>
          <c:cat>
            <c:strRef>
              <c:f>Resumo!$B$9:$Y$9</c:f>
            </c:strRef>
          </c:cat>
          <c:val>
            <c:numRef>
              <c:f>Resumo!$B$10:$Y$10</c:f>
              <c:numCache/>
            </c:numRef>
          </c:val>
        </c:ser>
        <c:ser>
          <c:idx val="1"/>
          <c:order val="1"/>
          <c:tx>
            <c:v>PTN - Produto Técnico Novo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dPt>
            <c:idx val="11"/>
          </c:dPt>
          <c:cat>
            <c:strRef>
              <c:f>Resumo!$B$9:$Y$9</c:f>
            </c:strRef>
          </c:cat>
          <c:val>
            <c:numRef>
              <c:f>Resumo!$B$11:$Y$11</c:f>
              <c:numCache/>
            </c:numRef>
          </c:val>
        </c:ser>
        <c:ser>
          <c:idx val="2"/>
          <c:order val="2"/>
          <c:tx>
            <c:v>PTE - Produto Técnico Equivalente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12"/>
          </c:dPt>
          <c:cat>
            <c:strRef>
              <c:f>Resumo!$B$9:$Y$9</c:f>
            </c:strRef>
          </c:cat>
          <c:val>
            <c:numRef>
              <c:f>Resumo!$B$12:$Y$12</c:f>
              <c:numCache/>
            </c:numRef>
          </c:val>
        </c:ser>
        <c:ser>
          <c:idx val="3"/>
          <c:order val="3"/>
          <c:tx>
            <c:v>Pré-Mistura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Resumo!$B$13:$Y$13</c:f>
              <c:numCache/>
            </c:numRef>
          </c:val>
        </c:ser>
        <c:overlap val="100"/>
        <c:axId val="1435339775"/>
        <c:axId val="1876940959"/>
      </c:barChart>
      <c:catAx>
        <c:axId val="14353397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876940959"/>
      </c:catAx>
      <c:valAx>
        <c:axId val="18769409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045080228096951"/>
              <c:y val="0.11136235773388808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435339775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Classes Toxicológicas dos Registros e Agrotóxicos, seus Componentes e Afins Aprovados</a:t>
            </a:r>
          </a:p>
        </c:rich>
      </c:tx>
      <c:layout>
        <c:manualLayout>
          <c:xMode val="edge"/>
          <c:yMode val="edge"/>
          <c:x val="0.03053125"/>
          <c:y val="0.141015169194865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Classe I - Extremamente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Outros'!$E$4:$AB$4</c:f>
              <c:numCache/>
            </c:numRef>
          </c:val>
        </c:ser>
        <c:ser>
          <c:idx val="1"/>
          <c:order val="1"/>
          <c:tx>
            <c:v>Categoria 1 - Produto Extremamente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Outros'!$E$5:$AB$5</c:f>
              <c:numCache/>
            </c:numRef>
          </c:val>
        </c:ser>
        <c:ser>
          <c:idx val="2"/>
          <c:order val="2"/>
          <c:tx>
            <c:v>Categoria 2 - Produto Altamente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Outros'!$E$6:$AB$6</c:f>
              <c:numCache/>
            </c:numRef>
          </c:val>
        </c:ser>
        <c:ser>
          <c:idx val="3"/>
          <c:order val="3"/>
          <c:tx>
            <c:v>Classe II - Altamente Tóxico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Outros'!$E$7:$AB$7</c:f>
              <c:numCache/>
            </c:numRef>
          </c:val>
        </c:ser>
        <c:ser>
          <c:idx val="4"/>
          <c:order val="4"/>
          <c:tx>
            <c:v>Categoria 3 - Produto Moderadamente Tóxico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Outros'!$E$8:$AB$8</c:f>
              <c:numCache/>
            </c:numRef>
          </c:val>
        </c:ser>
        <c:ser>
          <c:idx val="5"/>
          <c:order val="5"/>
          <c:tx>
            <c:v>Classe III - Medianamente Tóxico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Outros'!$E$9:$AB$9</c:f>
              <c:numCache/>
            </c:numRef>
          </c:val>
        </c:ser>
        <c:ser>
          <c:idx val="6"/>
          <c:order val="6"/>
          <c:tx>
            <c:v>Categoria 4 - Produto Pouco Tóxico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Outros'!$E$10:$AB$10</c:f>
              <c:numCache/>
            </c:numRef>
          </c:val>
        </c:ser>
        <c:ser>
          <c:idx val="7"/>
          <c:order val="7"/>
          <c:tx>
            <c:v>Categoria 5 - Produto Improvável de Causar Dano Agudo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Outros'!$E$11:$AB$11</c:f>
              <c:numCache/>
            </c:numRef>
          </c:val>
        </c:ser>
        <c:ser>
          <c:idx val="8"/>
          <c:order val="8"/>
          <c:tx>
            <c:v>Classe IV - Pouco Tóxico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Outros'!$E$12:$AB$12</c:f>
              <c:numCache/>
            </c:numRef>
          </c:val>
        </c:ser>
        <c:ser>
          <c:idx val="9"/>
          <c:order val="9"/>
          <c:tx>
            <c:v>Não Classificado - Produto Não Classificado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Outros'!$E$13:$AB$13</c:f>
              <c:numCache/>
            </c:numRef>
          </c:val>
        </c:ser>
        <c:ser>
          <c:idx val="10"/>
          <c:order val="10"/>
          <c:tx>
            <c:v>Não Determinada Devido à Natureza do Produto (Inimigos naturais)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Outros'!$E$14:$AB$14</c:f>
              <c:numCache/>
            </c:numRef>
          </c:val>
        </c:ser>
        <c:ser>
          <c:idx val="11"/>
          <c:order val="11"/>
          <c:tx>
            <c:v>O Perfil Toxicológico Foi Considerado Equivalente ao Produto Técnico de Referência</c:v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dPt>
            <c:idx val="21"/>
          </c:dPt>
          <c:dPt>
            <c:idx val="22"/>
          </c:dPt>
          <c:cat>
            <c:strRef>
              <c:f>'Tabela Geral 2020 e Outros'!$E$3:$AB$3</c:f>
            </c:strRef>
          </c:cat>
          <c:val>
            <c:numRef>
              <c:f>'Tabela Geral 2020 e Outros'!$E$15:$AB$15</c:f>
              <c:numCache/>
            </c:numRef>
          </c:val>
        </c:ser>
        <c:overlap val="100"/>
        <c:axId val="1870316217"/>
        <c:axId val="701665574"/>
      </c:barChart>
      <c:catAx>
        <c:axId val="18703162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701665574"/>
      </c:catAx>
      <c:valAx>
        <c:axId val="701665574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29538581010612377"/>
              <c:y val="0.11003843505408471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870316217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Classificações Ambientais para os Agrotóxicos, seus Componentes e Afins Registrados</a:t>
            </a:r>
          </a:p>
        </c:rich>
      </c:tx>
      <c:layout>
        <c:manualLayout>
          <c:xMode val="edge"/>
          <c:yMode val="edge"/>
          <c:x val="0.01928125"/>
          <c:y val="0.1398483080513418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Classe I - Produto Altamente Perigoso ao Meio Ambiente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Outros'!$E$23:$AB$23</c:f>
              <c:numCache/>
            </c:numRef>
          </c:val>
        </c:ser>
        <c:ser>
          <c:idx val="1"/>
          <c:order val="1"/>
          <c:tx>
            <c:v>Classe II - Produto Muito Perigoso ao Meio Ambiente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Outros'!$E$24:$AB$24</c:f>
              <c:numCache/>
            </c:numRef>
          </c:val>
        </c:ser>
        <c:ser>
          <c:idx val="2"/>
          <c:order val="2"/>
          <c:tx>
            <c:v>Classe III - Produto Perigoso ao Meio Ambiente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Outros'!$E$25:$AB$25</c:f>
              <c:numCache/>
            </c:numRef>
          </c:val>
        </c:ser>
        <c:ser>
          <c:idx val="3"/>
          <c:order val="3"/>
          <c:tx>
            <c:v>Classe IV - Produto Pouco Perigoso ao Meio ambiente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Outros'!$E$26:$AB$26</c:f>
              <c:numCache/>
            </c:numRef>
          </c:val>
        </c:ser>
        <c:overlap val="100"/>
        <c:axId val="17295073"/>
        <c:axId val="1115984098"/>
      </c:barChart>
      <c:catAx>
        <c:axId val="172950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115984098"/>
      </c:catAx>
      <c:valAx>
        <c:axId val="11159840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42805920095078"/>
              <c:y val="0.10969701789561234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7295073"/>
      </c:valAx>
    </c:plotArea>
    <c:legend>
      <c:legendPos val="b"/>
      <c:legendEntry>
        <c:idx val="0"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Número de Registros Concedidos Por Ano de Submissão</a:t>
            </a:r>
          </a:p>
        </c:rich>
      </c:tx>
      <c:layout>
        <c:manualLayout>
          <c:xMode val="edge"/>
          <c:yMode val="edge"/>
          <c:x val="0.051925858464734694"/>
          <c:y val="0.13901653997981603"/>
        </c:manualLayout>
      </c:layout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8"/>
          </c:dPt>
          <c:dPt>
            <c:idx val="15"/>
          </c:dPt>
          <c:dPt>
            <c:idx val="17"/>
          </c:dPt>
          <c:dPt>
            <c:idx val="22"/>
          </c:dPt>
          <c:dLbls>
            <c:dLbl>
              <c:idx val="15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numFmt formatCode="General" sourceLinked="1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'Tabela Geral 2020 e Outros'!$AD$57:$AD$82</c:f>
            </c:strRef>
          </c:cat>
          <c:val>
            <c:numRef>
              <c:f>'Tabela Geral 2020 e Outros'!$AC$57:$AC$81</c:f>
              <c:numCache/>
            </c:numRef>
          </c:val>
        </c:ser>
        <c:axId val="811146773"/>
        <c:axId val="2038142478"/>
      </c:barChart>
      <c:catAx>
        <c:axId val="8111467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 de Protocolo da Solicitação de Registro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2038142478"/>
      </c:catAx>
      <c:valAx>
        <c:axId val="2038142478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90155440414508"/>
              <c:y val="-0.21314907872696817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8111467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73763"/>
              </a:solidFill>
              <a:latin typeface="Arial"/>
            </a:defRPr>
          </a:pPr>
        </a:p>
      </c:txPr>
    </c:legend>
    <c:plotVisOnly val="1"/>
  </c:chart>
</c:chartSpace>
</file>

<file path=xl/chart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2.jp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199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533400</xdr:colOff>
      <xdr:row>0</xdr:row>
      <xdr:rowOff>133350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556188489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11474406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849751445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595714971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9525</xdr:colOff>
      <xdr:row>1</xdr:row>
      <xdr:rowOff>171450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238125</xdr:colOff>
      <xdr:row>2</xdr:row>
      <xdr:rowOff>38100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1</xdr:row>
      <xdr:rowOff>171450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2</xdr:row>
      <xdr:rowOff>171450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1</xdr:row>
      <xdr:rowOff>123825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200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47625" cy="190500"/>
    <xdr:pic>
      <xdr:nvPicPr>
        <xdr:cNvPr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323850</xdr:colOff>
      <xdr:row>1</xdr:row>
      <xdr:rowOff>-19050</xdr:rowOff>
    </xdr:from>
    <xdr:ext cx="2790825" cy="1304925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1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2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1</xdr:row>
      <xdr:rowOff>123825</xdr:rowOff>
    </xdr:from>
    <xdr:ext cx="5915025" cy="14573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097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381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382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19050</xdr:rowOff>
    </xdr:from>
    <xdr:ext cx="6534150" cy="15240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142875</xdr:colOff>
      <xdr:row>1</xdr:row>
      <xdr:rowOff>76200</xdr:rowOff>
    </xdr:from>
    <xdr:ext cx="6867525" cy="13716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95250</xdr:rowOff>
    </xdr:from>
    <xdr:ext cx="2085975" cy="2076450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514350</xdr:colOff>
      <xdr:row>0</xdr:row>
      <xdr:rowOff>95250</xdr:rowOff>
    </xdr:from>
    <xdr:ext cx="3152775" cy="146685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666750</xdr:colOff>
      <xdr:row>1</xdr:row>
      <xdr:rowOff>200025</xdr:rowOff>
    </xdr:from>
    <xdr:ext cx="7010400" cy="13049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180975</xdr:colOff>
      <xdr:row>1</xdr:row>
      <xdr:rowOff>171450</xdr:rowOff>
    </xdr:from>
    <xdr:ext cx="6686550" cy="6762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123825</xdr:rowOff>
    </xdr:from>
    <xdr:ext cx="6305550" cy="14192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869517397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927714007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453519629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2108036858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830287268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389783274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6.14"/>
    <col customWidth="1" min="2" max="2" width="23.86"/>
    <col customWidth="1" min="3" max="4" width="22.86"/>
    <col customWidth="1" min="5" max="5" width="47.71"/>
    <col customWidth="1" min="6" max="6" width="27.29"/>
    <col customWidth="1" min="7" max="7" width="12.29"/>
    <col customWidth="1" min="8" max="8" width="20.29"/>
    <col customWidth="1" min="9" max="9" width="24.71"/>
    <col customWidth="1" min="10" max="10" width="6.71"/>
    <col customWidth="1" min="11" max="11" width="77.43"/>
    <col customWidth="1" min="12" max="12" width="57.86"/>
    <col customWidth="1" min="13" max="13" width="38.29"/>
    <col customWidth="1" min="14" max="14" width="7.71"/>
    <col customWidth="1" min="15" max="15" width="24.86"/>
    <col customWidth="1" min="16" max="16" width="9.86"/>
    <col customWidth="1" min="17" max="17" width="3.43"/>
    <col customWidth="1" min="18" max="18" width="39.29"/>
    <col customWidth="1" min="19" max="19" width="24.57"/>
    <col customWidth="1" min="20" max="20" width="11.0"/>
    <col customWidth="1" min="21" max="26" width="8.71"/>
  </cols>
  <sheetData>
    <row r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6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13</v>
      </c>
      <c r="B2" s="9" t="s">
        <v>14</v>
      </c>
      <c r="C2" s="9">
        <v>2017.0</v>
      </c>
      <c r="D2" s="10">
        <v>43055.0</v>
      </c>
      <c r="E2" s="11" t="s">
        <v>15</v>
      </c>
      <c r="F2" s="12" t="s">
        <v>16</v>
      </c>
      <c r="G2" s="12" t="s">
        <v>17</v>
      </c>
      <c r="H2" s="11" t="s">
        <v>18</v>
      </c>
      <c r="I2" s="13">
        <v>44956.0</v>
      </c>
      <c r="J2" s="12">
        <v>1.0</v>
      </c>
      <c r="K2" s="12" t="s">
        <v>19</v>
      </c>
      <c r="L2" s="12" t="s">
        <v>20</v>
      </c>
      <c r="M2" s="14">
        <f t="shared" ref="M2:M353" si="1">I2-D2</f>
        <v>1901</v>
      </c>
      <c r="N2" s="15"/>
      <c r="O2" s="16" t="s">
        <v>21</v>
      </c>
      <c r="P2" s="17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8" t="s">
        <v>22</v>
      </c>
      <c r="B3" s="19" t="s">
        <v>23</v>
      </c>
      <c r="C3" s="19">
        <v>2019.0</v>
      </c>
      <c r="D3" s="20">
        <v>43662.0</v>
      </c>
      <c r="E3" s="21" t="s">
        <v>24</v>
      </c>
      <c r="F3" s="21" t="s">
        <v>25</v>
      </c>
      <c r="G3" s="22" t="s">
        <v>17</v>
      </c>
      <c r="H3" s="22" t="s">
        <v>26</v>
      </c>
      <c r="I3" s="23">
        <v>44956.0</v>
      </c>
      <c r="J3" s="21">
        <v>1.0</v>
      </c>
      <c r="K3" s="21" t="s">
        <v>19</v>
      </c>
      <c r="L3" s="21" t="s">
        <v>20</v>
      </c>
      <c r="M3" s="24">
        <f t="shared" si="1"/>
        <v>1294</v>
      </c>
      <c r="N3" s="25"/>
      <c r="O3" s="26" t="s">
        <v>27</v>
      </c>
      <c r="P3" s="27">
        <f>COUNTIF($G$2:$G$351,"PT")</f>
        <v>0</v>
      </c>
      <c r="Q3" s="25"/>
      <c r="R3" s="25"/>
      <c r="S3" s="25"/>
      <c r="T3" s="25"/>
      <c r="U3" s="25"/>
      <c r="V3" s="25"/>
      <c r="W3" s="25"/>
      <c r="X3" s="25"/>
      <c r="Y3" s="25"/>
      <c r="Z3" s="25"/>
    </row>
    <row r="4">
      <c r="A4" s="8" t="s">
        <v>28</v>
      </c>
      <c r="B4" s="9" t="s">
        <v>29</v>
      </c>
      <c r="C4" s="9">
        <v>2022.0</v>
      </c>
      <c r="D4" s="10">
        <v>44764.0</v>
      </c>
      <c r="E4" s="11" t="s">
        <v>30</v>
      </c>
      <c r="F4" s="12" t="s">
        <v>31</v>
      </c>
      <c r="G4" s="12" t="s">
        <v>17</v>
      </c>
      <c r="H4" s="11" t="s">
        <v>32</v>
      </c>
      <c r="I4" s="13">
        <v>44956.0</v>
      </c>
      <c r="J4" s="12">
        <v>1.0</v>
      </c>
      <c r="K4" s="12" t="s">
        <v>19</v>
      </c>
      <c r="L4" s="12" t="s">
        <v>33</v>
      </c>
      <c r="M4" s="28">
        <f t="shared" si="1"/>
        <v>192</v>
      </c>
      <c r="N4" s="25"/>
      <c r="O4" s="29" t="s">
        <v>34</v>
      </c>
      <c r="P4" s="30">
        <f>COUNTIF($G2:$G$351,"PTN")</f>
        <v>2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>
      <c r="A5" s="18" t="s">
        <v>35</v>
      </c>
      <c r="B5" s="19" t="s">
        <v>36</v>
      </c>
      <c r="C5" s="19">
        <v>2019.0</v>
      </c>
      <c r="D5" s="20">
        <v>43578.0</v>
      </c>
      <c r="E5" s="21" t="s">
        <v>37</v>
      </c>
      <c r="F5" s="21" t="s">
        <v>38</v>
      </c>
      <c r="G5" s="22" t="s">
        <v>17</v>
      </c>
      <c r="H5" s="22" t="s">
        <v>39</v>
      </c>
      <c r="I5" s="23">
        <v>44956.0</v>
      </c>
      <c r="J5" s="21">
        <v>1.0</v>
      </c>
      <c r="K5" s="21" t="s">
        <v>19</v>
      </c>
      <c r="L5" s="21" t="s">
        <v>20</v>
      </c>
      <c r="M5" s="31">
        <f t="shared" si="1"/>
        <v>1378</v>
      </c>
      <c r="N5" s="25"/>
      <c r="O5" s="26" t="s">
        <v>40</v>
      </c>
      <c r="P5" s="27">
        <f>COUNTIF($G$2:$G$351,"PTE")</f>
        <v>34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>
      <c r="A6" s="8" t="s">
        <v>41</v>
      </c>
      <c r="B6" s="9" t="s">
        <v>42</v>
      </c>
      <c r="C6" s="9">
        <v>2018.0</v>
      </c>
      <c r="D6" s="10">
        <v>43224.0</v>
      </c>
      <c r="E6" s="11" t="s">
        <v>43</v>
      </c>
      <c r="F6" s="12" t="s">
        <v>44</v>
      </c>
      <c r="G6" s="12" t="s">
        <v>17</v>
      </c>
      <c r="H6" s="11" t="s">
        <v>45</v>
      </c>
      <c r="I6" s="13">
        <v>44956.0</v>
      </c>
      <c r="J6" s="12">
        <v>1.0</v>
      </c>
      <c r="K6" s="12" t="s">
        <v>19</v>
      </c>
      <c r="L6" s="12" t="s">
        <v>33</v>
      </c>
      <c r="M6" s="28">
        <f t="shared" si="1"/>
        <v>1732</v>
      </c>
      <c r="N6" s="25"/>
      <c r="O6" s="29" t="s">
        <v>46</v>
      </c>
      <c r="P6" s="30">
        <f>COUNTIF($G$2:$G$351,"Pré-Mistura")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18" t="s">
        <v>47</v>
      </c>
      <c r="B7" s="19" t="s">
        <v>48</v>
      </c>
      <c r="C7" s="19">
        <v>2017.0</v>
      </c>
      <c r="D7" s="20">
        <v>42807.0</v>
      </c>
      <c r="E7" s="21" t="s">
        <v>49</v>
      </c>
      <c r="F7" s="21" t="s">
        <v>44</v>
      </c>
      <c r="G7" s="22" t="s">
        <v>17</v>
      </c>
      <c r="H7" s="22" t="s">
        <v>50</v>
      </c>
      <c r="I7" s="23">
        <v>44956.0</v>
      </c>
      <c r="J7" s="21">
        <v>1.0</v>
      </c>
      <c r="K7" s="21" t="s">
        <v>19</v>
      </c>
      <c r="L7" s="21" t="s">
        <v>33</v>
      </c>
      <c r="M7" s="31">
        <f t="shared" si="1"/>
        <v>2149</v>
      </c>
      <c r="N7" s="25"/>
      <c r="O7" s="32" t="s">
        <v>51</v>
      </c>
      <c r="P7" s="17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8" t="s">
        <v>52</v>
      </c>
      <c r="B8" s="9" t="s">
        <v>53</v>
      </c>
      <c r="C8" s="9">
        <v>2018.0</v>
      </c>
      <c r="D8" s="10">
        <v>43168.0</v>
      </c>
      <c r="E8" s="11" t="s">
        <v>54</v>
      </c>
      <c r="F8" s="12" t="s">
        <v>55</v>
      </c>
      <c r="G8" s="12" t="s">
        <v>17</v>
      </c>
      <c r="H8" s="11" t="s">
        <v>56</v>
      </c>
      <c r="I8" s="13">
        <v>44956.0</v>
      </c>
      <c r="J8" s="12">
        <v>1.0</v>
      </c>
      <c r="K8" s="12" t="s">
        <v>19</v>
      </c>
      <c r="L8" s="12" t="s">
        <v>20</v>
      </c>
      <c r="M8" s="28">
        <f t="shared" si="1"/>
        <v>1788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>
      <c r="A9" s="18" t="s">
        <v>57</v>
      </c>
      <c r="B9" s="19" t="s">
        <v>58</v>
      </c>
      <c r="C9" s="19">
        <v>2017.0</v>
      </c>
      <c r="D9" s="20">
        <v>42797.0</v>
      </c>
      <c r="E9" s="21" t="s">
        <v>59</v>
      </c>
      <c r="F9" s="21" t="s">
        <v>55</v>
      </c>
      <c r="G9" s="22" t="s">
        <v>17</v>
      </c>
      <c r="H9" s="22" t="s">
        <v>60</v>
      </c>
      <c r="I9" s="23">
        <v>44956.0</v>
      </c>
      <c r="J9" s="21">
        <v>1.0</v>
      </c>
      <c r="K9" s="21" t="s">
        <v>19</v>
      </c>
      <c r="L9" s="21" t="s">
        <v>20</v>
      </c>
      <c r="M9" s="31">
        <f t="shared" si="1"/>
        <v>2159</v>
      </c>
      <c r="N9" s="25"/>
      <c r="O9" s="33" t="s">
        <v>61</v>
      </c>
      <c r="P9" s="34"/>
      <c r="Q9" s="34"/>
      <c r="R9" s="34"/>
      <c r="S9" s="35"/>
      <c r="T9" s="25"/>
      <c r="U9" s="25"/>
      <c r="V9" s="25"/>
      <c r="W9" s="25"/>
      <c r="X9" s="25"/>
      <c r="Y9" s="25"/>
      <c r="Z9" s="25"/>
    </row>
    <row r="10" ht="15.0" customHeight="1">
      <c r="A10" s="8" t="s">
        <v>62</v>
      </c>
      <c r="B10" s="9" t="s">
        <v>63</v>
      </c>
      <c r="C10" s="9">
        <v>2021.0</v>
      </c>
      <c r="D10" s="10">
        <v>44498.0</v>
      </c>
      <c r="E10" s="11" t="s">
        <v>64</v>
      </c>
      <c r="F10" s="12" t="s">
        <v>65</v>
      </c>
      <c r="G10" s="12" t="s">
        <v>17</v>
      </c>
      <c r="H10" s="11" t="s">
        <v>66</v>
      </c>
      <c r="I10" s="13">
        <v>44956.0</v>
      </c>
      <c r="J10" s="12">
        <v>1.0</v>
      </c>
      <c r="K10" s="12" t="s">
        <v>19</v>
      </c>
      <c r="L10" s="12" t="s">
        <v>67</v>
      </c>
      <c r="M10" s="28">
        <f t="shared" si="1"/>
        <v>458</v>
      </c>
      <c r="N10" s="25"/>
      <c r="O10" s="36"/>
      <c r="P10" s="37"/>
      <c r="Q10" s="37"/>
      <c r="R10" s="37"/>
      <c r="S10" s="38"/>
      <c r="T10" s="25"/>
      <c r="U10" s="25"/>
      <c r="V10" s="25"/>
      <c r="W10" s="25"/>
      <c r="X10" s="25"/>
      <c r="Y10" s="25"/>
      <c r="Z10" s="25"/>
    </row>
    <row r="11" ht="15.0" customHeight="1">
      <c r="A11" s="18" t="s">
        <v>68</v>
      </c>
      <c r="B11" s="19" t="s">
        <v>69</v>
      </c>
      <c r="C11" s="19">
        <v>2019.0</v>
      </c>
      <c r="D11" s="20">
        <v>43804.0</v>
      </c>
      <c r="E11" s="21" t="s">
        <v>70</v>
      </c>
      <c r="F11" s="21" t="s">
        <v>71</v>
      </c>
      <c r="G11" s="22" t="s">
        <v>17</v>
      </c>
      <c r="H11" s="22" t="s">
        <v>72</v>
      </c>
      <c r="I11" s="23">
        <v>44957.0</v>
      </c>
      <c r="J11" s="21">
        <v>1.0</v>
      </c>
      <c r="K11" s="21" t="s">
        <v>19</v>
      </c>
      <c r="L11" s="21" t="s">
        <v>33</v>
      </c>
      <c r="M11" s="31">
        <f t="shared" si="1"/>
        <v>1153</v>
      </c>
      <c r="N11" s="25"/>
      <c r="O11" s="39" t="s">
        <v>73</v>
      </c>
      <c r="P11" s="40"/>
      <c r="Q11" s="40"/>
      <c r="R11" s="40"/>
      <c r="S11" s="41"/>
      <c r="T11" s="25"/>
      <c r="U11" s="25"/>
      <c r="V11" s="25"/>
      <c r="W11" s="25"/>
      <c r="X11" s="25"/>
      <c r="Y11" s="25"/>
      <c r="Z11" s="25"/>
    </row>
    <row r="12" ht="15.0" customHeight="1">
      <c r="A12" s="8" t="s">
        <v>74</v>
      </c>
      <c r="B12" s="9" t="s">
        <v>75</v>
      </c>
      <c r="C12" s="9">
        <v>2018.0</v>
      </c>
      <c r="D12" s="10">
        <v>43462.0</v>
      </c>
      <c r="E12" s="11" t="s">
        <v>76</v>
      </c>
      <c r="F12" s="12" t="s">
        <v>55</v>
      </c>
      <c r="G12" s="12" t="s">
        <v>17</v>
      </c>
      <c r="H12" s="11" t="s">
        <v>77</v>
      </c>
      <c r="I12" s="13">
        <v>44957.0</v>
      </c>
      <c r="J12" s="12">
        <v>1.0</v>
      </c>
      <c r="K12" s="12" t="s">
        <v>19</v>
      </c>
      <c r="L12" s="12" t="s">
        <v>20</v>
      </c>
      <c r="M12" s="28">
        <f t="shared" si="1"/>
        <v>1495</v>
      </c>
      <c r="N12" s="42"/>
      <c r="O12" s="43" t="s">
        <v>78</v>
      </c>
      <c r="P12" s="40"/>
      <c r="Q12" s="40"/>
      <c r="R12" s="40"/>
      <c r="S12" s="41"/>
      <c r="T12" s="25"/>
      <c r="U12" s="25"/>
      <c r="V12" s="25"/>
      <c r="W12" s="25"/>
      <c r="X12" s="25"/>
      <c r="Y12" s="25"/>
      <c r="Z12" s="25"/>
    </row>
    <row r="13" ht="15.0" customHeight="1">
      <c r="A13" s="18" t="s">
        <v>79</v>
      </c>
      <c r="B13" s="19" t="s">
        <v>80</v>
      </c>
      <c r="C13" s="19">
        <v>2022.0</v>
      </c>
      <c r="D13" s="20">
        <v>44712.0</v>
      </c>
      <c r="E13" s="21" t="s">
        <v>81</v>
      </c>
      <c r="F13" s="21" t="s">
        <v>16</v>
      </c>
      <c r="G13" s="22" t="s">
        <v>17</v>
      </c>
      <c r="H13" s="22" t="s">
        <v>82</v>
      </c>
      <c r="I13" s="23">
        <v>44957.0</v>
      </c>
      <c r="J13" s="21">
        <v>1.0</v>
      </c>
      <c r="K13" s="21" t="s">
        <v>19</v>
      </c>
      <c r="L13" s="21" t="s">
        <v>20</v>
      </c>
      <c r="M13" s="31">
        <f t="shared" si="1"/>
        <v>245</v>
      </c>
      <c r="N13" s="42"/>
      <c r="O13" s="39" t="s">
        <v>83</v>
      </c>
      <c r="P13" s="40"/>
      <c r="Q13" s="40"/>
      <c r="R13" s="40"/>
      <c r="S13" s="41"/>
      <c r="T13" s="25"/>
      <c r="U13" s="25"/>
      <c r="V13" s="25"/>
      <c r="W13" s="25"/>
      <c r="X13" s="25"/>
      <c r="Y13" s="25"/>
      <c r="Z13" s="25"/>
    </row>
    <row r="14" ht="15.0" customHeight="1">
      <c r="A14" s="8" t="s">
        <v>84</v>
      </c>
      <c r="B14" s="9" t="s">
        <v>85</v>
      </c>
      <c r="C14" s="9">
        <v>2021.0</v>
      </c>
      <c r="D14" s="10">
        <v>44230.0</v>
      </c>
      <c r="E14" s="11" t="s">
        <v>86</v>
      </c>
      <c r="F14" s="12" t="s">
        <v>71</v>
      </c>
      <c r="G14" s="12" t="s">
        <v>17</v>
      </c>
      <c r="H14" s="11" t="s">
        <v>87</v>
      </c>
      <c r="I14" s="13">
        <v>44957.0</v>
      </c>
      <c r="J14" s="12">
        <v>1.0</v>
      </c>
      <c r="K14" s="12" t="s">
        <v>19</v>
      </c>
      <c r="L14" s="12" t="s">
        <v>33</v>
      </c>
      <c r="M14" s="28">
        <f t="shared" si="1"/>
        <v>727</v>
      </c>
      <c r="N14" s="25"/>
      <c r="O14" s="43" t="s">
        <v>88</v>
      </c>
      <c r="P14" s="40"/>
      <c r="Q14" s="40"/>
      <c r="R14" s="40"/>
      <c r="S14" s="41"/>
      <c r="T14" s="25"/>
      <c r="U14" s="25"/>
      <c r="V14" s="25"/>
      <c r="W14" s="25"/>
      <c r="X14" s="25"/>
      <c r="Y14" s="25"/>
      <c r="Z14" s="25"/>
    </row>
    <row r="15" ht="15.0" customHeight="1">
      <c r="A15" s="18" t="s">
        <v>89</v>
      </c>
      <c r="B15" s="19" t="s">
        <v>90</v>
      </c>
      <c r="C15" s="19">
        <v>2020.0</v>
      </c>
      <c r="D15" s="20">
        <v>44186.0</v>
      </c>
      <c r="E15" s="21" t="s">
        <v>91</v>
      </c>
      <c r="F15" s="21" t="s">
        <v>92</v>
      </c>
      <c r="G15" s="22" t="s">
        <v>17</v>
      </c>
      <c r="H15" s="22" t="s">
        <v>93</v>
      </c>
      <c r="I15" s="23">
        <v>44957.0</v>
      </c>
      <c r="J15" s="21">
        <v>1.0</v>
      </c>
      <c r="K15" s="21" t="s">
        <v>19</v>
      </c>
      <c r="L15" s="21" t="s">
        <v>33</v>
      </c>
      <c r="M15" s="31">
        <f t="shared" si="1"/>
        <v>771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8" t="s">
        <v>94</v>
      </c>
      <c r="B16" s="9" t="s">
        <v>95</v>
      </c>
      <c r="C16" s="9">
        <v>2015.0</v>
      </c>
      <c r="D16" s="10">
        <v>42064.0</v>
      </c>
      <c r="E16" s="11" t="s">
        <v>96</v>
      </c>
      <c r="F16" s="12" t="s">
        <v>16</v>
      </c>
      <c r="G16" s="12" t="s">
        <v>17</v>
      </c>
      <c r="H16" s="11" t="s">
        <v>97</v>
      </c>
      <c r="I16" s="13">
        <v>44959.0</v>
      </c>
      <c r="J16" s="12">
        <v>2.0</v>
      </c>
      <c r="K16" s="12" t="s">
        <v>19</v>
      </c>
      <c r="L16" s="12" t="s">
        <v>20</v>
      </c>
      <c r="M16" s="28">
        <f t="shared" si="1"/>
        <v>2895</v>
      </c>
      <c r="N16" s="25"/>
      <c r="O16" s="33" t="s">
        <v>98</v>
      </c>
      <c r="P16" s="34"/>
      <c r="Q16" s="34"/>
      <c r="R16" s="34"/>
      <c r="S16" s="35"/>
      <c r="T16" s="25"/>
      <c r="U16" s="25"/>
      <c r="V16" s="25"/>
      <c r="W16" s="25"/>
      <c r="X16" s="25"/>
      <c r="Y16" s="25"/>
      <c r="Z16" s="25"/>
    </row>
    <row r="17" ht="15.0" customHeight="1">
      <c r="A17" s="18" t="s">
        <v>99</v>
      </c>
      <c r="B17" s="19" t="s">
        <v>100</v>
      </c>
      <c r="C17" s="19">
        <v>2015.0</v>
      </c>
      <c r="D17" s="20">
        <v>42123.0</v>
      </c>
      <c r="E17" s="21" t="s">
        <v>101</v>
      </c>
      <c r="F17" s="21" t="s">
        <v>102</v>
      </c>
      <c r="G17" s="22" t="s">
        <v>17</v>
      </c>
      <c r="H17" s="22" t="s">
        <v>56</v>
      </c>
      <c r="I17" s="44">
        <v>44959.0</v>
      </c>
      <c r="J17" s="21">
        <v>2.0</v>
      </c>
      <c r="K17" s="21" t="s">
        <v>19</v>
      </c>
      <c r="L17" s="21" t="s">
        <v>33</v>
      </c>
      <c r="M17" s="31">
        <f t="shared" si="1"/>
        <v>2836</v>
      </c>
      <c r="N17" s="25"/>
      <c r="O17" s="36"/>
      <c r="P17" s="37"/>
      <c r="Q17" s="37"/>
      <c r="R17" s="37"/>
      <c r="S17" s="38"/>
      <c r="T17" s="25"/>
      <c r="U17" s="25"/>
      <c r="V17" s="25"/>
      <c r="W17" s="25"/>
      <c r="X17" s="25"/>
      <c r="Y17" s="25"/>
      <c r="Z17" s="25"/>
    </row>
    <row r="18" ht="15.75" customHeight="1">
      <c r="A18" s="8" t="s">
        <v>103</v>
      </c>
      <c r="B18" s="9" t="s">
        <v>104</v>
      </c>
      <c r="C18" s="9">
        <v>2015.0</v>
      </c>
      <c r="D18" s="10">
        <v>42191.0</v>
      </c>
      <c r="E18" s="11" t="s">
        <v>105</v>
      </c>
      <c r="F18" s="12" t="s">
        <v>102</v>
      </c>
      <c r="G18" s="12" t="s">
        <v>17</v>
      </c>
      <c r="H18" s="11" t="s">
        <v>77</v>
      </c>
      <c r="I18" s="13">
        <v>44959.0</v>
      </c>
      <c r="J18" s="12">
        <v>2.0</v>
      </c>
      <c r="K18" s="12" t="s">
        <v>19</v>
      </c>
      <c r="L18" s="12" t="s">
        <v>33</v>
      </c>
      <c r="M18" s="28">
        <f t="shared" si="1"/>
        <v>2768</v>
      </c>
      <c r="N18" s="25"/>
      <c r="O18" s="45" t="s">
        <v>106</v>
      </c>
      <c r="P18" s="46" t="s">
        <v>107</v>
      </c>
      <c r="Q18" s="40"/>
      <c r="R18" s="41"/>
      <c r="S18" s="45" t="s">
        <v>108</v>
      </c>
      <c r="T18" s="25"/>
      <c r="U18" s="25"/>
      <c r="V18" s="25"/>
      <c r="W18" s="25"/>
      <c r="X18" s="25"/>
      <c r="Y18" s="25"/>
      <c r="Z18" s="25"/>
    </row>
    <row r="19" ht="15.0" customHeight="1">
      <c r="A19" s="18" t="s">
        <v>109</v>
      </c>
      <c r="B19" s="19" t="s">
        <v>110</v>
      </c>
      <c r="C19" s="19">
        <v>2018.0</v>
      </c>
      <c r="D19" s="20">
        <v>43217.0</v>
      </c>
      <c r="E19" s="21" t="s">
        <v>111</v>
      </c>
      <c r="F19" s="21" t="s">
        <v>102</v>
      </c>
      <c r="G19" s="22" t="s">
        <v>17</v>
      </c>
      <c r="H19" s="22" t="s">
        <v>112</v>
      </c>
      <c r="I19" s="44">
        <v>44959.0</v>
      </c>
      <c r="J19" s="21">
        <v>2.0</v>
      </c>
      <c r="K19" s="21" t="s">
        <v>19</v>
      </c>
      <c r="L19" s="21" t="s">
        <v>33</v>
      </c>
      <c r="M19" s="31">
        <f t="shared" si="1"/>
        <v>1742</v>
      </c>
      <c r="N19" s="25"/>
      <c r="O19" s="47">
        <v>2009.0</v>
      </c>
      <c r="P19" s="39">
        <f>COUNTIF($C$2:$C$351,"2009")</f>
        <v>1</v>
      </c>
      <c r="Q19" s="40"/>
      <c r="R19" s="41"/>
      <c r="S19" s="48">
        <f>(P19/P34)</f>
        <v>0.02777777778</v>
      </c>
      <c r="T19" s="25"/>
      <c r="U19" s="25"/>
      <c r="V19" s="25"/>
      <c r="W19" s="25"/>
      <c r="X19" s="25"/>
      <c r="Y19" s="25"/>
      <c r="Z19" s="25"/>
    </row>
    <row r="20" ht="15.0" customHeight="1">
      <c r="A20" s="8" t="s">
        <v>113</v>
      </c>
      <c r="B20" s="9" t="s">
        <v>114</v>
      </c>
      <c r="C20" s="9">
        <v>2021.0</v>
      </c>
      <c r="D20" s="10">
        <v>44496.0</v>
      </c>
      <c r="E20" s="11" t="s">
        <v>115</v>
      </c>
      <c r="F20" s="12" t="s">
        <v>65</v>
      </c>
      <c r="G20" s="12" t="s">
        <v>17</v>
      </c>
      <c r="H20" s="11" t="s">
        <v>116</v>
      </c>
      <c r="I20" s="13">
        <v>44959.0</v>
      </c>
      <c r="J20" s="12">
        <v>2.0</v>
      </c>
      <c r="K20" s="12" t="s">
        <v>19</v>
      </c>
      <c r="L20" s="12" t="s">
        <v>67</v>
      </c>
      <c r="M20" s="28">
        <f t="shared" si="1"/>
        <v>463</v>
      </c>
      <c r="N20" s="25"/>
      <c r="O20" s="49">
        <v>2010.0</v>
      </c>
      <c r="P20" s="50">
        <f>COUNTIF($C$2:$C$351,"2010")</f>
        <v>0</v>
      </c>
      <c r="Q20" s="40"/>
      <c r="R20" s="41"/>
      <c r="S20" s="51">
        <f>(P20/P34)</f>
        <v>0</v>
      </c>
      <c r="T20" s="25"/>
      <c r="U20" s="25"/>
      <c r="V20" s="25"/>
      <c r="W20" s="25"/>
      <c r="X20" s="25"/>
      <c r="Y20" s="25"/>
      <c r="Z20" s="25"/>
    </row>
    <row r="21" ht="15.0" customHeight="1">
      <c r="A21" s="18" t="s">
        <v>117</v>
      </c>
      <c r="B21" s="19" t="s">
        <v>118</v>
      </c>
      <c r="C21" s="19">
        <v>2018.0</v>
      </c>
      <c r="D21" s="20">
        <v>43354.0</v>
      </c>
      <c r="E21" s="21" t="s">
        <v>119</v>
      </c>
      <c r="F21" s="21" t="s">
        <v>120</v>
      </c>
      <c r="G21" s="22" t="s">
        <v>17</v>
      </c>
      <c r="H21" s="22" t="s">
        <v>39</v>
      </c>
      <c r="I21" s="44">
        <v>44959.0</v>
      </c>
      <c r="J21" s="21">
        <v>2.0</v>
      </c>
      <c r="K21" s="21" t="s">
        <v>19</v>
      </c>
      <c r="L21" s="21" t="s">
        <v>33</v>
      </c>
      <c r="M21" s="31">
        <f t="shared" si="1"/>
        <v>1605</v>
      </c>
      <c r="N21" s="25"/>
      <c r="O21" s="47">
        <v>2011.0</v>
      </c>
      <c r="P21" s="39">
        <f>COUNTIF($C$2:$C$351,"2011")</f>
        <v>1</v>
      </c>
      <c r="Q21" s="40"/>
      <c r="R21" s="41"/>
      <c r="S21" s="48">
        <f>(P21/P34)</f>
        <v>0.02777777778</v>
      </c>
      <c r="T21" s="25"/>
      <c r="U21" s="25"/>
      <c r="V21" s="25"/>
      <c r="W21" s="25"/>
      <c r="X21" s="25"/>
      <c r="Y21" s="25"/>
      <c r="Z21" s="25"/>
    </row>
    <row r="22" ht="15.0" customHeight="1">
      <c r="A22" s="8" t="s">
        <v>121</v>
      </c>
      <c r="B22" s="9" t="s">
        <v>122</v>
      </c>
      <c r="C22" s="9">
        <v>2014.0</v>
      </c>
      <c r="D22" s="10">
        <v>41844.0</v>
      </c>
      <c r="E22" s="11" t="s">
        <v>123</v>
      </c>
      <c r="F22" s="12" t="s">
        <v>124</v>
      </c>
      <c r="G22" s="12" t="s">
        <v>17</v>
      </c>
      <c r="H22" s="11" t="s">
        <v>125</v>
      </c>
      <c r="I22" s="13">
        <v>44959.0</v>
      </c>
      <c r="J22" s="12">
        <v>2.0</v>
      </c>
      <c r="K22" s="12" t="s">
        <v>19</v>
      </c>
      <c r="L22" s="12" t="s">
        <v>33</v>
      </c>
      <c r="M22" s="28">
        <f t="shared" si="1"/>
        <v>3115</v>
      </c>
      <c r="N22" s="25"/>
      <c r="O22" s="49">
        <v>2012.0</v>
      </c>
      <c r="P22" s="50">
        <f>COUNTIF($C$2:$C$351,"2012")</f>
        <v>0</v>
      </c>
      <c r="Q22" s="40"/>
      <c r="R22" s="41"/>
      <c r="S22" s="51">
        <f>(P22/P34)</f>
        <v>0</v>
      </c>
      <c r="T22" s="25"/>
      <c r="U22" s="25"/>
      <c r="V22" s="25"/>
      <c r="W22" s="25"/>
      <c r="X22" s="25"/>
      <c r="Y22" s="25"/>
      <c r="Z22" s="25"/>
    </row>
    <row r="23" ht="15.0" customHeight="1">
      <c r="A23" s="18" t="s">
        <v>126</v>
      </c>
      <c r="B23" s="19" t="s">
        <v>127</v>
      </c>
      <c r="C23" s="19">
        <v>2019.0</v>
      </c>
      <c r="D23" s="20">
        <v>43538.0</v>
      </c>
      <c r="E23" s="21" t="s">
        <v>128</v>
      </c>
      <c r="F23" s="21" t="s">
        <v>129</v>
      </c>
      <c r="G23" s="22" t="s">
        <v>17</v>
      </c>
      <c r="H23" s="22" t="s">
        <v>130</v>
      </c>
      <c r="I23" s="44">
        <v>44959.0</v>
      </c>
      <c r="J23" s="21">
        <v>2.0</v>
      </c>
      <c r="K23" s="21" t="s">
        <v>19</v>
      </c>
      <c r="L23" s="21" t="s">
        <v>33</v>
      </c>
      <c r="M23" s="31">
        <f t="shared" si="1"/>
        <v>1421</v>
      </c>
      <c r="N23" s="25"/>
      <c r="O23" s="47">
        <v>2013.0</v>
      </c>
      <c r="P23" s="39">
        <f>COUNTIF($C$2:$C$351,"2013")</f>
        <v>0</v>
      </c>
      <c r="Q23" s="40"/>
      <c r="R23" s="41"/>
      <c r="S23" s="48">
        <f>(P23/P34)</f>
        <v>0</v>
      </c>
      <c r="T23" s="25"/>
      <c r="U23" s="25"/>
      <c r="V23" s="25"/>
      <c r="W23" s="25"/>
      <c r="X23" s="25"/>
      <c r="Y23" s="25"/>
      <c r="Z23" s="25"/>
    </row>
    <row r="24" ht="15.0" customHeight="1">
      <c r="A24" s="8" t="s">
        <v>131</v>
      </c>
      <c r="B24" s="9" t="s">
        <v>132</v>
      </c>
      <c r="C24" s="9">
        <v>2019.0</v>
      </c>
      <c r="D24" s="10">
        <v>43754.0</v>
      </c>
      <c r="E24" s="11" t="s">
        <v>133</v>
      </c>
      <c r="F24" s="12" t="s">
        <v>134</v>
      </c>
      <c r="G24" s="12" t="s">
        <v>17</v>
      </c>
      <c r="H24" s="11" t="s">
        <v>130</v>
      </c>
      <c r="I24" s="13">
        <v>44959.0</v>
      </c>
      <c r="J24" s="12">
        <v>2.0</v>
      </c>
      <c r="K24" s="12" t="s">
        <v>19</v>
      </c>
      <c r="L24" s="12" t="s">
        <v>20</v>
      </c>
      <c r="M24" s="28">
        <f t="shared" si="1"/>
        <v>1205</v>
      </c>
      <c r="N24" s="25"/>
      <c r="O24" s="49">
        <v>2014.0</v>
      </c>
      <c r="P24" s="50">
        <f>COUNTIF($C$2:$C$351,"2014")</f>
        <v>1</v>
      </c>
      <c r="Q24" s="40"/>
      <c r="R24" s="41"/>
      <c r="S24" s="51">
        <f>(P24/P34)</f>
        <v>0.02777777778</v>
      </c>
      <c r="T24" s="25"/>
      <c r="U24" s="25"/>
      <c r="V24" s="25"/>
      <c r="W24" s="25"/>
      <c r="X24" s="25"/>
      <c r="Y24" s="25"/>
      <c r="Z24" s="25"/>
    </row>
    <row r="25" ht="15.0" customHeight="1">
      <c r="A25" s="18" t="s">
        <v>135</v>
      </c>
      <c r="B25" s="19" t="s">
        <v>136</v>
      </c>
      <c r="C25" s="19">
        <v>2019.0</v>
      </c>
      <c r="D25" s="20">
        <v>43662.0</v>
      </c>
      <c r="E25" s="21" t="s">
        <v>137</v>
      </c>
      <c r="F25" s="21" t="s">
        <v>38</v>
      </c>
      <c r="G25" s="22" t="s">
        <v>17</v>
      </c>
      <c r="H25" s="22" t="s">
        <v>138</v>
      </c>
      <c r="I25" s="44">
        <v>44960.0</v>
      </c>
      <c r="J25" s="21">
        <v>2.0</v>
      </c>
      <c r="K25" s="21" t="s">
        <v>19</v>
      </c>
      <c r="L25" s="21" t="s">
        <v>20</v>
      </c>
      <c r="M25" s="31">
        <f t="shared" si="1"/>
        <v>1298</v>
      </c>
      <c r="N25" s="25"/>
      <c r="O25" s="47">
        <v>2015.0</v>
      </c>
      <c r="P25" s="39">
        <f>COUNTIF($C$2:$C$351,"2015")</f>
        <v>5</v>
      </c>
      <c r="Q25" s="40"/>
      <c r="R25" s="41"/>
      <c r="S25" s="48">
        <f>(P25/P34)</f>
        <v>0.1388888889</v>
      </c>
      <c r="T25" s="25"/>
      <c r="U25" s="25"/>
      <c r="V25" s="25"/>
      <c r="W25" s="25"/>
      <c r="X25" s="25"/>
      <c r="Y25" s="25"/>
      <c r="Z25" s="25"/>
    </row>
    <row r="26" ht="15.0" customHeight="1">
      <c r="A26" s="8" t="s">
        <v>139</v>
      </c>
      <c r="B26" s="9" t="s">
        <v>140</v>
      </c>
      <c r="C26" s="9">
        <v>2009.0</v>
      </c>
      <c r="D26" s="10">
        <v>40149.0</v>
      </c>
      <c r="E26" s="11" t="s">
        <v>141</v>
      </c>
      <c r="F26" s="12" t="s">
        <v>142</v>
      </c>
      <c r="G26" s="12" t="s">
        <v>34</v>
      </c>
      <c r="H26" s="11" t="s">
        <v>143</v>
      </c>
      <c r="I26" s="13">
        <v>44966.0</v>
      </c>
      <c r="J26" s="12">
        <v>2.0</v>
      </c>
      <c r="K26" s="12" t="s">
        <v>144</v>
      </c>
      <c r="L26" s="12" t="s">
        <v>20</v>
      </c>
      <c r="M26" s="28">
        <f t="shared" si="1"/>
        <v>4817</v>
      </c>
      <c r="N26" s="25"/>
      <c r="O26" s="49">
        <v>2016.0</v>
      </c>
      <c r="P26" s="50">
        <f>COUNTIF($C$2:$C$351,"2016")</f>
        <v>3</v>
      </c>
      <c r="Q26" s="40"/>
      <c r="R26" s="41"/>
      <c r="S26" s="51">
        <f>(P26/P34)</f>
        <v>0.08333333333</v>
      </c>
      <c r="T26" s="25"/>
      <c r="U26" s="25"/>
      <c r="V26" s="25"/>
      <c r="W26" s="25"/>
      <c r="X26" s="25"/>
      <c r="Y26" s="25"/>
      <c r="Z26" s="25"/>
    </row>
    <row r="27" ht="15.0" customHeight="1">
      <c r="A27" s="18" t="s">
        <v>145</v>
      </c>
      <c r="B27" s="19" t="s">
        <v>146</v>
      </c>
      <c r="C27" s="19">
        <v>2018.0</v>
      </c>
      <c r="D27" s="20">
        <v>43402.0</v>
      </c>
      <c r="E27" s="21" t="s">
        <v>147</v>
      </c>
      <c r="F27" s="21" t="s">
        <v>148</v>
      </c>
      <c r="G27" s="22" t="s">
        <v>17</v>
      </c>
      <c r="H27" s="22" t="s">
        <v>149</v>
      </c>
      <c r="I27" s="44">
        <v>44993.0</v>
      </c>
      <c r="J27" s="21">
        <v>3.0</v>
      </c>
      <c r="K27" s="21" t="s">
        <v>19</v>
      </c>
      <c r="L27" s="21" t="s">
        <v>20</v>
      </c>
      <c r="M27" s="31">
        <f t="shared" si="1"/>
        <v>1591</v>
      </c>
      <c r="N27" s="25"/>
      <c r="O27" s="47">
        <v>2017.0</v>
      </c>
      <c r="P27" s="39">
        <f>COUNTIF($C$2:$C$351,"2017")</f>
        <v>3</v>
      </c>
      <c r="Q27" s="40"/>
      <c r="R27" s="41"/>
      <c r="S27" s="48">
        <f>(P27/P34)</f>
        <v>0.08333333333</v>
      </c>
      <c r="T27" s="25"/>
      <c r="U27" s="25"/>
      <c r="V27" s="25"/>
      <c r="W27" s="25"/>
      <c r="X27" s="25"/>
      <c r="Y27" s="25"/>
      <c r="Z27" s="25"/>
    </row>
    <row r="28" ht="15.0" customHeight="1">
      <c r="A28" s="8" t="s">
        <v>150</v>
      </c>
      <c r="B28" s="9" t="s">
        <v>151</v>
      </c>
      <c r="C28" s="9">
        <v>2011.0</v>
      </c>
      <c r="D28" s="10">
        <v>40805.0</v>
      </c>
      <c r="E28" s="11" t="s">
        <v>152</v>
      </c>
      <c r="F28" s="12" t="s">
        <v>55</v>
      </c>
      <c r="G28" s="12" t="s">
        <v>17</v>
      </c>
      <c r="H28" s="11" t="s">
        <v>153</v>
      </c>
      <c r="I28" s="13">
        <v>44993.0</v>
      </c>
      <c r="J28" s="12">
        <v>3.0</v>
      </c>
      <c r="K28" s="12" t="s">
        <v>19</v>
      </c>
      <c r="L28" s="12" t="s">
        <v>20</v>
      </c>
      <c r="M28" s="28">
        <f t="shared" si="1"/>
        <v>4188</v>
      </c>
      <c r="N28" s="25"/>
      <c r="O28" s="49">
        <v>2018.0</v>
      </c>
      <c r="P28" s="50">
        <f>COUNTIF($C$2:$C$351,"2018")</f>
        <v>6</v>
      </c>
      <c r="Q28" s="40"/>
      <c r="R28" s="41"/>
      <c r="S28" s="51">
        <f>(P28/P34)</f>
        <v>0.1666666667</v>
      </c>
      <c r="T28" s="25"/>
      <c r="U28" s="25"/>
      <c r="V28" s="25"/>
      <c r="W28" s="25"/>
      <c r="X28" s="25"/>
      <c r="Y28" s="25"/>
      <c r="Z28" s="25"/>
    </row>
    <row r="29" ht="15.0" customHeight="1">
      <c r="A29" s="18" t="s">
        <v>154</v>
      </c>
      <c r="B29" s="19" t="s">
        <v>155</v>
      </c>
      <c r="C29" s="19">
        <v>2019.0</v>
      </c>
      <c r="D29" s="20">
        <v>43815.0</v>
      </c>
      <c r="E29" s="21" t="s">
        <v>156</v>
      </c>
      <c r="F29" s="21" t="s">
        <v>157</v>
      </c>
      <c r="G29" s="22" t="s">
        <v>34</v>
      </c>
      <c r="H29" s="22" t="s">
        <v>158</v>
      </c>
      <c r="I29" s="44">
        <v>44993.0</v>
      </c>
      <c r="J29" s="21">
        <v>3.0</v>
      </c>
      <c r="K29" s="21" t="s">
        <v>144</v>
      </c>
      <c r="L29" s="21" t="s">
        <v>20</v>
      </c>
      <c r="M29" s="31">
        <f t="shared" si="1"/>
        <v>1178</v>
      </c>
      <c r="N29" s="25"/>
      <c r="O29" s="47">
        <v>2019.0</v>
      </c>
      <c r="P29" s="39">
        <f>COUNTIF($C$2:$C$351,"2019")</f>
        <v>10</v>
      </c>
      <c r="Q29" s="40"/>
      <c r="R29" s="41"/>
      <c r="S29" s="48">
        <f>(P29/P34)</f>
        <v>0.2777777778</v>
      </c>
      <c r="T29" s="25"/>
      <c r="U29" s="25"/>
      <c r="V29" s="25"/>
      <c r="W29" s="25"/>
      <c r="X29" s="25"/>
      <c r="Y29" s="25"/>
      <c r="Z29" s="25"/>
    </row>
    <row r="30" ht="15.0" customHeight="1">
      <c r="A30" s="8" t="s">
        <v>159</v>
      </c>
      <c r="B30" s="9" t="s">
        <v>160</v>
      </c>
      <c r="C30" s="9">
        <v>2015.0</v>
      </c>
      <c r="D30" s="10">
        <v>42109.0</v>
      </c>
      <c r="E30" s="11" t="s">
        <v>161</v>
      </c>
      <c r="F30" s="12" t="s">
        <v>162</v>
      </c>
      <c r="G30" s="12" t="s">
        <v>17</v>
      </c>
      <c r="H30" s="11" t="s">
        <v>163</v>
      </c>
      <c r="I30" s="13">
        <v>44993.0</v>
      </c>
      <c r="J30" s="12">
        <v>3.0</v>
      </c>
      <c r="K30" s="12" t="s">
        <v>19</v>
      </c>
      <c r="L30" s="12" t="s">
        <v>20</v>
      </c>
      <c r="M30" s="28">
        <f t="shared" si="1"/>
        <v>2884</v>
      </c>
      <c r="N30" s="25"/>
      <c r="O30" s="49">
        <v>2020.0</v>
      </c>
      <c r="P30" s="50">
        <f>COUNTIF($C$2:$C$351,"2020")</f>
        <v>1</v>
      </c>
      <c r="Q30" s="40"/>
      <c r="R30" s="41"/>
      <c r="S30" s="51">
        <f>(P30/P34)</f>
        <v>0.02777777778</v>
      </c>
      <c r="T30" s="25"/>
      <c r="U30" s="25"/>
      <c r="V30" s="25"/>
      <c r="W30" s="25"/>
      <c r="X30" s="25"/>
      <c r="Y30" s="25"/>
      <c r="Z30" s="25"/>
    </row>
    <row r="31" ht="15.0" customHeight="1">
      <c r="A31" s="18" t="s">
        <v>164</v>
      </c>
      <c r="B31" s="19" t="s">
        <v>165</v>
      </c>
      <c r="C31" s="19">
        <v>2016.0</v>
      </c>
      <c r="D31" s="20">
        <v>42465.0</v>
      </c>
      <c r="E31" s="21" t="s">
        <v>166</v>
      </c>
      <c r="F31" s="21" t="s">
        <v>167</v>
      </c>
      <c r="G31" s="22" t="s">
        <v>17</v>
      </c>
      <c r="H31" s="22" t="s">
        <v>138</v>
      </c>
      <c r="I31" s="44">
        <v>45007.0</v>
      </c>
      <c r="J31" s="21">
        <v>3.0</v>
      </c>
      <c r="K31" s="21" t="s">
        <v>19</v>
      </c>
      <c r="L31" s="21" t="s">
        <v>20</v>
      </c>
      <c r="M31" s="31">
        <f t="shared" si="1"/>
        <v>2542</v>
      </c>
      <c r="N31" s="25"/>
      <c r="O31" s="47">
        <v>2021.0</v>
      </c>
      <c r="P31" s="39">
        <f>COUNTIF($C$2:$C$351,"2021")</f>
        <v>3</v>
      </c>
      <c r="Q31" s="40"/>
      <c r="R31" s="41"/>
      <c r="S31" s="48">
        <f>(P31/P34)</f>
        <v>0.08333333333</v>
      </c>
      <c r="T31" s="25"/>
      <c r="U31" s="25"/>
      <c r="V31" s="25"/>
      <c r="W31" s="25"/>
      <c r="X31" s="25"/>
      <c r="Y31" s="25"/>
      <c r="Z31" s="25"/>
    </row>
    <row r="32" ht="15.0" customHeight="1">
      <c r="A32" s="8" t="s">
        <v>168</v>
      </c>
      <c r="B32" s="9" t="s">
        <v>169</v>
      </c>
      <c r="C32" s="9">
        <v>2019.0</v>
      </c>
      <c r="D32" s="52">
        <v>43818.0</v>
      </c>
      <c r="E32" s="11" t="s">
        <v>170</v>
      </c>
      <c r="F32" s="12" t="s">
        <v>171</v>
      </c>
      <c r="G32" s="12" t="s">
        <v>17</v>
      </c>
      <c r="H32" s="11" t="s">
        <v>130</v>
      </c>
      <c r="I32" s="13">
        <v>45012.0</v>
      </c>
      <c r="J32" s="12">
        <v>3.0</v>
      </c>
      <c r="K32" s="12" t="s">
        <v>19</v>
      </c>
      <c r="L32" s="12" t="s">
        <v>20</v>
      </c>
      <c r="M32" s="28">
        <f t="shared" si="1"/>
        <v>1194</v>
      </c>
      <c r="N32" s="25"/>
      <c r="O32" s="49">
        <v>2022.0</v>
      </c>
      <c r="P32" s="50">
        <f>COUNTIF($C$2:$C$351,"2022")</f>
        <v>2</v>
      </c>
      <c r="Q32" s="40"/>
      <c r="R32" s="41"/>
      <c r="S32" s="51">
        <f>(P32/P34)</f>
        <v>0.05555555556</v>
      </c>
      <c r="T32" s="25"/>
      <c r="U32" s="25"/>
      <c r="V32" s="25"/>
      <c r="W32" s="25"/>
      <c r="X32" s="25"/>
      <c r="Y32" s="25"/>
      <c r="Z32" s="25"/>
    </row>
    <row r="33" ht="15.0" customHeight="1">
      <c r="A33" s="18" t="s">
        <v>172</v>
      </c>
      <c r="B33" s="19" t="s">
        <v>173</v>
      </c>
      <c r="C33" s="19">
        <v>2016.0</v>
      </c>
      <c r="D33" s="23">
        <v>42459.0</v>
      </c>
      <c r="E33" s="21" t="s">
        <v>174</v>
      </c>
      <c r="F33" s="21" t="s">
        <v>167</v>
      </c>
      <c r="G33" s="22" t="s">
        <v>17</v>
      </c>
      <c r="H33" s="22" t="s">
        <v>26</v>
      </c>
      <c r="I33" s="44">
        <v>45012.0</v>
      </c>
      <c r="J33" s="21">
        <v>3.0</v>
      </c>
      <c r="K33" s="21" t="s">
        <v>19</v>
      </c>
      <c r="L33" s="21" t="s">
        <v>20</v>
      </c>
      <c r="M33" s="31">
        <f t="shared" si="1"/>
        <v>2553</v>
      </c>
      <c r="N33" s="25"/>
      <c r="O33" s="53">
        <v>2023.0</v>
      </c>
      <c r="P33" s="54">
        <f>COUNTIF($C$2:$C$351,"2023")</f>
        <v>0</v>
      </c>
      <c r="Q33" s="40"/>
      <c r="R33" s="41"/>
      <c r="S33" s="55">
        <f>(P33/P34)</f>
        <v>0</v>
      </c>
      <c r="T33" s="25"/>
      <c r="U33" s="25"/>
      <c r="V33" s="25"/>
      <c r="W33" s="25"/>
      <c r="X33" s="25"/>
      <c r="Y33" s="25"/>
      <c r="Z33" s="25"/>
    </row>
    <row r="34" ht="15.0" customHeight="1">
      <c r="A34" s="8" t="s">
        <v>175</v>
      </c>
      <c r="B34" s="9" t="s">
        <v>176</v>
      </c>
      <c r="C34" s="9">
        <v>2019.0</v>
      </c>
      <c r="D34" s="13">
        <v>43616.0</v>
      </c>
      <c r="E34" s="11" t="s">
        <v>177</v>
      </c>
      <c r="F34" s="12" t="s">
        <v>178</v>
      </c>
      <c r="G34" s="12" t="s">
        <v>17</v>
      </c>
      <c r="H34" s="11" t="s">
        <v>130</v>
      </c>
      <c r="I34" s="13">
        <v>45012.0</v>
      </c>
      <c r="J34" s="12">
        <v>3.0</v>
      </c>
      <c r="K34" s="12" t="s">
        <v>19</v>
      </c>
      <c r="L34" s="12" t="s">
        <v>20</v>
      </c>
      <c r="M34" s="28">
        <f t="shared" si="1"/>
        <v>1396</v>
      </c>
      <c r="N34" s="25"/>
      <c r="O34" s="45" t="s">
        <v>179</v>
      </c>
      <c r="P34" s="46">
        <f>SUM(P19:R33)</f>
        <v>36</v>
      </c>
      <c r="Q34" s="40"/>
      <c r="R34" s="41"/>
      <c r="S34" s="56">
        <f>SUM(S19:S33)</f>
        <v>1</v>
      </c>
      <c r="T34" s="25"/>
      <c r="U34" s="25"/>
      <c r="V34" s="25"/>
      <c r="W34" s="25"/>
      <c r="X34" s="25"/>
      <c r="Y34" s="25"/>
      <c r="Z34" s="25"/>
    </row>
    <row r="35" ht="15.0" customHeight="1">
      <c r="A35" s="18" t="s">
        <v>180</v>
      </c>
      <c r="B35" s="19" t="s">
        <v>181</v>
      </c>
      <c r="C35" s="19">
        <v>2019.0</v>
      </c>
      <c r="D35" s="23">
        <v>43644.0</v>
      </c>
      <c r="E35" s="21" t="s">
        <v>182</v>
      </c>
      <c r="F35" s="21" t="s">
        <v>38</v>
      </c>
      <c r="G35" s="22" t="s">
        <v>17</v>
      </c>
      <c r="H35" s="22" t="s">
        <v>77</v>
      </c>
      <c r="I35" s="44">
        <v>45012.0</v>
      </c>
      <c r="J35" s="21">
        <v>3.0</v>
      </c>
      <c r="K35" s="21" t="s">
        <v>19</v>
      </c>
      <c r="L35" s="21" t="s">
        <v>20</v>
      </c>
      <c r="M35" s="31">
        <f t="shared" si="1"/>
        <v>1368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15.0" customHeight="1">
      <c r="A36" s="8" t="s">
        <v>183</v>
      </c>
      <c r="B36" s="9" t="s">
        <v>184</v>
      </c>
      <c r="C36" s="9">
        <v>2016.0</v>
      </c>
      <c r="D36" s="13">
        <v>42390.0</v>
      </c>
      <c r="E36" s="11" t="s">
        <v>185</v>
      </c>
      <c r="F36" s="12" t="s">
        <v>186</v>
      </c>
      <c r="G36" s="12" t="s">
        <v>17</v>
      </c>
      <c r="H36" s="11" t="s">
        <v>187</v>
      </c>
      <c r="I36" s="13">
        <v>45013.0</v>
      </c>
      <c r="J36" s="12">
        <v>3.0</v>
      </c>
      <c r="K36" s="12" t="s">
        <v>19</v>
      </c>
      <c r="L36" s="12" t="s">
        <v>20</v>
      </c>
      <c r="M36" s="28">
        <f t="shared" si="1"/>
        <v>2623</v>
      </c>
      <c r="N36" s="25"/>
      <c r="O36" s="33" t="s">
        <v>188</v>
      </c>
      <c r="P36" s="34"/>
      <c r="Q36" s="34"/>
      <c r="R36" s="34"/>
      <c r="S36" s="35"/>
      <c r="T36" s="25"/>
      <c r="U36" s="25"/>
      <c r="V36" s="25"/>
      <c r="W36" s="25"/>
      <c r="X36" s="25"/>
      <c r="Y36" s="25"/>
      <c r="Z36" s="25"/>
    </row>
    <row r="37" ht="15.0" customHeight="1">
      <c r="A37" s="18" t="s">
        <v>189</v>
      </c>
      <c r="B37" s="19" t="s">
        <v>190</v>
      </c>
      <c r="C37" s="19">
        <v>2015.0</v>
      </c>
      <c r="D37" s="20">
        <v>42319.0</v>
      </c>
      <c r="E37" s="21" t="s">
        <v>191</v>
      </c>
      <c r="F37" s="21" t="s">
        <v>167</v>
      </c>
      <c r="G37" s="22" t="s">
        <v>17</v>
      </c>
      <c r="H37" s="22" t="s">
        <v>97</v>
      </c>
      <c r="I37" s="23">
        <v>45013.0</v>
      </c>
      <c r="J37" s="21">
        <v>3.0</v>
      </c>
      <c r="K37" s="21" t="s">
        <v>19</v>
      </c>
      <c r="L37" s="21" t="s">
        <v>33</v>
      </c>
      <c r="M37" s="31">
        <f t="shared" si="1"/>
        <v>2694</v>
      </c>
      <c r="N37" s="25"/>
      <c r="O37" s="36"/>
      <c r="P37" s="37"/>
      <c r="Q37" s="37"/>
      <c r="R37" s="37"/>
      <c r="S37" s="38"/>
      <c r="T37" s="25"/>
      <c r="U37" s="25"/>
      <c r="V37" s="25"/>
      <c r="W37" s="25"/>
      <c r="X37" s="25"/>
      <c r="Y37" s="25"/>
      <c r="Z37" s="25"/>
    </row>
    <row r="38" ht="15.0" customHeight="1">
      <c r="A38" s="8" t="s">
        <v>192</v>
      </c>
      <c r="B38" s="9"/>
      <c r="C38" s="9"/>
      <c r="D38" s="13"/>
      <c r="E38" s="11"/>
      <c r="F38" s="12"/>
      <c r="G38" s="12"/>
      <c r="H38" s="11"/>
      <c r="I38" s="13"/>
      <c r="J38" s="12"/>
      <c r="K38" s="12"/>
      <c r="L38" s="12"/>
      <c r="M38" s="28">
        <f t="shared" si="1"/>
        <v>0</v>
      </c>
      <c r="N38" s="25"/>
      <c r="O38" s="45" t="s">
        <v>193</v>
      </c>
      <c r="P38" s="46" t="s">
        <v>107</v>
      </c>
      <c r="Q38" s="40"/>
      <c r="R38" s="41"/>
      <c r="S38" s="45" t="s">
        <v>108</v>
      </c>
      <c r="T38" s="25"/>
      <c r="U38" s="25"/>
      <c r="V38" s="25"/>
      <c r="W38" s="25"/>
      <c r="X38" s="25"/>
      <c r="Y38" s="25"/>
      <c r="Z38" s="25"/>
    </row>
    <row r="39" ht="15.0" customHeight="1">
      <c r="A39" s="18" t="s">
        <v>194</v>
      </c>
      <c r="B39" s="57"/>
      <c r="C39" s="57"/>
      <c r="D39" s="58"/>
      <c r="E39" s="59"/>
      <c r="F39" s="59"/>
      <c r="G39" s="60"/>
      <c r="H39" s="60"/>
      <c r="I39" s="61"/>
      <c r="J39" s="59"/>
      <c r="K39" s="59"/>
      <c r="L39" s="59"/>
      <c r="M39" s="31">
        <f t="shared" si="1"/>
        <v>0</v>
      </c>
      <c r="N39" s="25"/>
      <c r="O39" s="49" t="s">
        <v>195</v>
      </c>
      <c r="P39" s="50">
        <f>COUNTIF($J$2:$J$351,"1")</f>
        <v>14</v>
      </c>
      <c r="Q39" s="40"/>
      <c r="R39" s="41"/>
      <c r="S39" s="51">
        <f>(P39/P51)</f>
        <v>0.3888888889</v>
      </c>
      <c r="T39" s="25"/>
      <c r="U39" s="25"/>
      <c r="V39" s="25"/>
      <c r="W39" s="25"/>
      <c r="X39" s="25"/>
      <c r="Y39" s="25"/>
      <c r="Z39" s="25"/>
    </row>
    <row r="40" ht="15.0" customHeight="1">
      <c r="A40" s="8" t="s">
        <v>196</v>
      </c>
      <c r="B40" s="62"/>
      <c r="C40" s="62"/>
      <c r="D40" s="63"/>
      <c r="E40" s="64"/>
      <c r="F40" s="65"/>
      <c r="G40" s="65"/>
      <c r="H40" s="64"/>
      <c r="I40" s="66"/>
      <c r="J40" s="65"/>
      <c r="K40" s="12"/>
      <c r="L40" s="12"/>
      <c r="M40" s="28">
        <f t="shared" si="1"/>
        <v>0</v>
      </c>
      <c r="N40" s="25"/>
      <c r="O40" s="47" t="s">
        <v>197</v>
      </c>
      <c r="P40" s="39">
        <f>COUNTIF($J$2:$J$351,"2")</f>
        <v>11</v>
      </c>
      <c r="Q40" s="40"/>
      <c r="R40" s="41"/>
      <c r="S40" s="48">
        <f>(P40/P51)</f>
        <v>0.3055555556</v>
      </c>
      <c r="T40" s="25"/>
      <c r="U40" s="25"/>
      <c r="V40" s="25"/>
      <c r="W40" s="25"/>
      <c r="X40" s="25"/>
      <c r="Y40" s="25"/>
      <c r="Z40" s="25"/>
    </row>
    <row r="41" ht="15.0" customHeight="1">
      <c r="A41" s="18" t="s">
        <v>198</v>
      </c>
      <c r="B41" s="57"/>
      <c r="C41" s="57"/>
      <c r="D41" s="58"/>
      <c r="E41" s="59"/>
      <c r="F41" s="59"/>
      <c r="G41" s="60"/>
      <c r="H41" s="60"/>
      <c r="I41" s="61"/>
      <c r="J41" s="59"/>
      <c r="K41" s="59"/>
      <c r="L41" s="59"/>
      <c r="M41" s="31">
        <f t="shared" si="1"/>
        <v>0</v>
      </c>
      <c r="N41" s="25"/>
      <c r="O41" s="49" t="s">
        <v>199</v>
      </c>
      <c r="P41" s="50">
        <f>COUNTIF($J$2:$J$351,"3")</f>
        <v>11</v>
      </c>
      <c r="Q41" s="40"/>
      <c r="R41" s="41"/>
      <c r="S41" s="51">
        <f>(P41/P51)</f>
        <v>0.3055555556</v>
      </c>
      <c r="T41" s="25"/>
      <c r="U41" s="25"/>
      <c r="V41" s="25"/>
      <c r="W41" s="25"/>
      <c r="X41" s="25"/>
      <c r="Y41" s="25"/>
      <c r="Z41" s="25"/>
    </row>
    <row r="42" ht="15.0" customHeight="1">
      <c r="A42" s="8" t="s">
        <v>200</v>
      </c>
      <c r="B42" s="62"/>
      <c r="C42" s="62"/>
      <c r="D42" s="63"/>
      <c r="E42" s="64"/>
      <c r="F42" s="65"/>
      <c r="G42" s="65"/>
      <c r="H42" s="64"/>
      <c r="I42" s="66"/>
      <c r="J42" s="65"/>
      <c r="K42" s="12"/>
      <c r="L42" s="12"/>
      <c r="M42" s="28">
        <f t="shared" si="1"/>
        <v>0</v>
      </c>
      <c r="N42" s="25"/>
      <c r="O42" s="47" t="s">
        <v>201</v>
      </c>
      <c r="P42" s="39">
        <f>COUNTIF($J$2:$J$351,"4")</f>
        <v>0</v>
      </c>
      <c r="Q42" s="40"/>
      <c r="R42" s="41"/>
      <c r="S42" s="48">
        <f>(P42/P51)</f>
        <v>0</v>
      </c>
      <c r="T42" s="25"/>
      <c r="U42" s="25"/>
      <c r="V42" s="25"/>
      <c r="W42" s="25"/>
      <c r="X42" s="25"/>
      <c r="Y42" s="25"/>
      <c r="Z42" s="25"/>
    </row>
    <row r="43" ht="15.0" customHeight="1">
      <c r="A43" s="18" t="s">
        <v>202</v>
      </c>
      <c r="B43" s="57"/>
      <c r="C43" s="57"/>
      <c r="D43" s="58"/>
      <c r="E43" s="59"/>
      <c r="F43" s="59"/>
      <c r="G43" s="60"/>
      <c r="H43" s="60"/>
      <c r="I43" s="61"/>
      <c r="J43" s="59"/>
      <c r="K43" s="59"/>
      <c r="L43" s="59"/>
      <c r="M43" s="31">
        <f t="shared" si="1"/>
        <v>0</v>
      </c>
      <c r="N43" s="42"/>
      <c r="O43" s="49" t="s">
        <v>203</v>
      </c>
      <c r="P43" s="50">
        <f>COUNTIF($J$2:$J$351,"5")</f>
        <v>0</v>
      </c>
      <c r="Q43" s="40"/>
      <c r="R43" s="41"/>
      <c r="S43" s="51">
        <f>(P43/P51)</f>
        <v>0</v>
      </c>
      <c r="T43" s="25"/>
      <c r="U43" s="25"/>
      <c r="V43" s="25"/>
      <c r="W43" s="25"/>
      <c r="X43" s="25"/>
      <c r="Y43" s="25"/>
      <c r="Z43" s="25"/>
    </row>
    <row r="44" ht="15.0" customHeight="1">
      <c r="A44" s="8" t="s">
        <v>204</v>
      </c>
      <c r="B44" s="62"/>
      <c r="C44" s="62"/>
      <c r="D44" s="63"/>
      <c r="E44" s="64"/>
      <c r="F44" s="65"/>
      <c r="G44" s="65"/>
      <c r="H44" s="64"/>
      <c r="I44" s="66"/>
      <c r="J44" s="65"/>
      <c r="K44" s="12"/>
      <c r="L44" s="12"/>
      <c r="M44" s="28">
        <f t="shared" si="1"/>
        <v>0</v>
      </c>
      <c r="N44" s="25"/>
      <c r="O44" s="47" t="s">
        <v>205</v>
      </c>
      <c r="P44" s="39">
        <f>COUNTIF($J$2:$J$351,"6")</f>
        <v>0</v>
      </c>
      <c r="Q44" s="40"/>
      <c r="R44" s="41"/>
      <c r="S44" s="48">
        <f>(P44/P51)</f>
        <v>0</v>
      </c>
      <c r="T44" s="25"/>
      <c r="U44" s="25"/>
      <c r="V44" s="25"/>
      <c r="W44" s="25"/>
      <c r="X44" s="25"/>
      <c r="Y44" s="25"/>
      <c r="Z44" s="25"/>
    </row>
    <row r="45" ht="15.0" customHeight="1">
      <c r="A45" s="18" t="s">
        <v>206</v>
      </c>
      <c r="B45" s="57"/>
      <c r="C45" s="57"/>
      <c r="D45" s="58"/>
      <c r="E45" s="59"/>
      <c r="F45" s="59"/>
      <c r="G45" s="60"/>
      <c r="H45" s="60"/>
      <c r="I45" s="61"/>
      <c r="J45" s="59"/>
      <c r="K45" s="59"/>
      <c r="L45" s="59"/>
      <c r="M45" s="31">
        <f t="shared" si="1"/>
        <v>0</v>
      </c>
      <c r="N45" s="25"/>
      <c r="O45" s="49" t="s">
        <v>207</v>
      </c>
      <c r="P45" s="50">
        <f>COUNTIF($J$2:$J$351,"7")</f>
        <v>0</v>
      </c>
      <c r="Q45" s="40"/>
      <c r="R45" s="41"/>
      <c r="S45" s="51">
        <f>(P45/P51)</f>
        <v>0</v>
      </c>
      <c r="T45" s="25"/>
      <c r="U45" s="25"/>
      <c r="V45" s="25"/>
      <c r="W45" s="25"/>
      <c r="X45" s="25"/>
      <c r="Y45" s="25"/>
      <c r="Z45" s="25"/>
    </row>
    <row r="46" ht="15.0" customHeight="1">
      <c r="A46" s="8" t="s">
        <v>208</v>
      </c>
      <c r="B46" s="62"/>
      <c r="C46" s="62"/>
      <c r="D46" s="63"/>
      <c r="E46" s="64"/>
      <c r="F46" s="65"/>
      <c r="G46" s="65"/>
      <c r="H46" s="64"/>
      <c r="I46" s="66"/>
      <c r="J46" s="65"/>
      <c r="K46" s="12"/>
      <c r="L46" s="12"/>
      <c r="M46" s="28">
        <f t="shared" si="1"/>
        <v>0</v>
      </c>
      <c r="N46" s="25"/>
      <c r="O46" s="47" t="s">
        <v>209</v>
      </c>
      <c r="P46" s="39">
        <f>COUNTIF($J$2:$J$351,"8")</f>
        <v>0</v>
      </c>
      <c r="Q46" s="40"/>
      <c r="R46" s="41"/>
      <c r="S46" s="48">
        <f>(P46/P51)</f>
        <v>0</v>
      </c>
      <c r="T46" s="25"/>
      <c r="U46" s="25"/>
      <c r="V46" s="25"/>
      <c r="W46" s="25"/>
      <c r="X46" s="25"/>
      <c r="Y46" s="25"/>
      <c r="Z46" s="25"/>
    </row>
    <row r="47" ht="15.0" customHeight="1">
      <c r="A47" s="18" t="s">
        <v>210</v>
      </c>
      <c r="B47" s="57"/>
      <c r="C47" s="57"/>
      <c r="D47" s="58"/>
      <c r="E47" s="59"/>
      <c r="F47" s="59"/>
      <c r="G47" s="60"/>
      <c r="H47" s="60"/>
      <c r="I47" s="61"/>
      <c r="J47" s="59"/>
      <c r="K47" s="59"/>
      <c r="L47" s="59"/>
      <c r="M47" s="31">
        <f t="shared" si="1"/>
        <v>0</v>
      </c>
      <c r="N47" s="25"/>
      <c r="O47" s="49" t="s">
        <v>211</v>
      </c>
      <c r="P47" s="50">
        <f>COUNTIF($J$2:$J$351,"9")</f>
        <v>0</v>
      </c>
      <c r="Q47" s="40"/>
      <c r="R47" s="41"/>
      <c r="S47" s="51">
        <f>(P47/P51)</f>
        <v>0</v>
      </c>
      <c r="T47" s="25"/>
      <c r="U47" s="25"/>
      <c r="V47" s="25"/>
      <c r="W47" s="25"/>
      <c r="X47" s="25"/>
      <c r="Y47" s="25"/>
      <c r="Z47" s="25"/>
    </row>
    <row r="48" ht="15.0" customHeight="1">
      <c r="A48" s="8" t="s">
        <v>212</v>
      </c>
      <c r="B48" s="62"/>
      <c r="C48" s="62"/>
      <c r="D48" s="63"/>
      <c r="E48" s="64"/>
      <c r="F48" s="65"/>
      <c r="G48" s="65"/>
      <c r="H48" s="64"/>
      <c r="I48" s="66"/>
      <c r="J48" s="65"/>
      <c r="K48" s="12"/>
      <c r="L48" s="12"/>
      <c r="M48" s="28">
        <f t="shared" si="1"/>
        <v>0</v>
      </c>
      <c r="N48" s="25"/>
      <c r="O48" s="47" t="s">
        <v>213</v>
      </c>
      <c r="P48" s="39">
        <f>COUNTIF($J$2:$J$351,"10")</f>
        <v>0</v>
      </c>
      <c r="Q48" s="40"/>
      <c r="R48" s="41"/>
      <c r="S48" s="48">
        <f>(P48/P51)</f>
        <v>0</v>
      </c>
      <c r="T48" s="25"/>
      <c r="U48" s="25"/>
      <c r="V48" s="25"/>
      <c r="W48" s="25"/>
      <c r="X48" s="25"/>
      <c r="Y48" s="25"/>
      <c r="Z48" s="25"/>
    </row>
    <row r="49" ht="15.0" customHeight="1">
      <c r="A49" s="18" t="s">
        <v>214</v>
      </c>
      <c r="B49" s="57"/>
      <c r="C49" s="57"/>
      <c r="D49" s="58"/>
      <c r="E49" s="59"/>
      <c r="F49" s="59"/>
      <c r="G49" s="60"/>
      <c r="H49" s="60"/>
      <c r="I49" s="61"/>
      <c r="J49" s="59"/>
      <c r="K49" s="59"/>
      <c r="L49" s="59"/>
      <c r="M49" s="31">
        <f t="shared" si="1"/>
        <v>0</v>
      </c>
      <c r="N49" s="25"/>
      <c r="O49" s="49" t="s">
        <v>215</v>
      </c>
      <c r="P49" s="50">
        <f>COUNTIF($J$2:$J$351,"11")</f>
        <v>0</v>
      </c>
      <c r="Q49" s="40"/>
      <c r="R49" s="41"/>
      <c r="S49" s="51">
        <f>(P49/P51)</f>
        <v>0</v>
      </c>
      <c r="T49" s="25"/>
      <c r="U49" s="25"/>
      <c r="V49" s="25"/>
      <c r="W49" s="25"/>
      <c r="X49" s="25"/>
      <c r="Y49" s="25"/>
      <c r="Z49" s="25"/>
    </row>
    <row r="50" ht="15.0" customHeight="1">
      <c r="A50" s="8" t="s">
        <v>216</v>
      </c>
      <c r="B50" s="62"/>
      <c r="C50" s="62"/>
      <c r="D50" s="63"/>
      <c r="E50" s="64"/>
      <c r="F50" s="65"/>
      <c r="G50" s="65"/>
      <c r="H50" s="64"/>
      <c r="I50" s="66"/>
      <c r="J50" s="65"/>
      <c r="K50" s="12"/>
      <c r="L50" s="12"/>
      <c r="M50" s="28">
        <f t="shared" si="1"/>
        <v>0</v>
      </c>
      <c r="N50" s="25"/>
      <c r="O50" s="47" t="s">
        <v>217</v>
      </c>
      <c r="P50" s="39">
        <f>COUNTIF($J$2:$J$351,"12")</f>
        <v>0</v>
      </c>
      <c r="Q50" s="40"/>
      <c r="R50" s="41"/>
      <c r="S50" s="48">
        <f>(P50/P51)</f>
        <v>0</v>
      </c>
      <c r="T50" s="25"/>
      <c r="U50" s="25"/>
      <c r="V50" s="25"/>
      <c r="W50" s="25"/>
      <c r="X50" s="25"/>
      <c r="Y50" s="25"/>
      <c r="Z50" s="25"/>
    </row>
    <row r="51" ht="15.0" customHeight="1">
      <c r="A51" s="18" t="s">
        <v>218</v>
      </c>
      <c r="B51" s="57"/>
      <c r="C51" s="57"/>
      <c r="D51" s="58"/>
      <c r="E51" s="59"/>
      <c r="F51" s="59"/>
      <c r="G51" s="60"/>
      <c r="H51" s="60"/>
      <c r="I51" s="61"/>
      <c r="J51" s="59"/>
      <c r="K51" s="59"/>
      <c r="L51" s="59"/>
      <c r="M51" s="31">
        <f t="shared" si="1"/>
        <v>0</v>
      </c>
      <c r="N51" s="25"/>
      <c r="O51" s="45" t="s">
        <v>219</v>
      </c>
      <c r="P51" s="46">
        <f>SUM(P39:R50)</f>
        <v>36</v>
      </c>
      <c r="Q51" s="40"/>
      <c r="R51" s="41"/>
      <c r="S51" s="56">
        <f>SUM(S39:S50)</f>
        <v>1</v>
      </c>
      <c r="T51" s="25"/>
      <c r="U51" s="25"/>
      <c r="V51" s="25"/>
      <c r="W51" s="25"/>
      <c r="X51" s="25"/>
      <c r="Y51" s="25"/>
      <c r="Z51" s="25"/>
    </row>
    <row r="52" ht="15.0" customHeight="1">
      <c r="A52" s="8" t="s">
        <v>220</v>
      </c>
      <c r="B52" s="62"/>
      <c r="C52" s="62"/>
      <c r="D52" s="63"/>
      <c r="E52" s="64"/>
      <c r="F52" s="65"/>
      <c r="G52" s="65"/>
      <c r="H52" s="64"/>
      <c r="I52" s="66"/>
      <c r="J52" s="65"/>
      <c r="K52" s="12"/>
      <c r="L52" s="12"/>
      <c r="M52" s="28">
        <f t="shared" si="1"/>
        <v>0</v>
      </c>
      <c r="N52" s="42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5.0" customHeight="1">
      <c r="A53" s="18" t="s">
        <v>221</v>
      </c>
      <c r="B53" s="57"/>
      <c r="C53" s="57"/>
      <c r="D53" s="58"/>
      <c r="E53" s="59"/>
      <c r="F53" s="59"/>
      <c r="G53" s="60"/>
      <c r="H53" s="60"/>
      <c r="I53" s="61"/>
      <c r="J53" s="59"/>
      <c r="K53" s="59"/>
      <c r="L53" s="59"/>
      <c r="M53" s="31">
        <f t="shared" si="1"/>
        <v>0</v>
      </c>
      <c r="N53" s="25"/>
      <c r="O53" s="33" t="s">
        <v>222</v>
      </c>
      <c r="P53" s="34"/>
      <c r="Q53" s="34"/>
      <c r="R53" s="34"/>
      <c r="S53" s="34"/>
      <c r="T53" s="35"/>
      <c r="U53" s="25"/>
      <c r="V53" s="25"/>
      <c r="W53" s="25"/>
      <c r="X53" s="25"/>
      <c r="Y53" s="25"/>
      <c r="Z53" s="25"/>
    </row>
    <row r="54" ht="15.0" customHeight="1">
      <c r="A54" s="8" t="s">
        <v>223</v>
      </c>
      <c r="B54" s="62"/>
      <c r="C54" s="62"/>
      <c r="D54" s="63"/>
      <c r="E54" s="64"/>
      <c r="F54" s="65"/>
      <c r="G54" s="65"/>
      <c r="H54" s="64"/>
      <c r="I54" s="66"/>
      <c r="J54" s="65"/>
      <c r="K54" s="12"/>
      <c r="L54" s="12"/>
      <c r="M54" s="28">
        <f t="shared" si="1"/>
        <v>0</v>
      </c>
      <c r="N54" s="25"/>
      <c r="O54" s="36"/>
      <c r="P54" s="37"/>
      <c r="Q54" s="37"/>
      <c r="R54" s="37"/>
      <c r="S54" s="37"/>
      <c r="T54" s="38"/>
      <c r="U54" s="25"/>
      <c r="V54" s="25"/>
      <c r="W54" s="25"/>
      <c r="X54" s="25"/>
      <c r="Y54" s="25"/>
      <c r="Z54" s="25"/>
    </row>
    <row r="55" ht="15.0" customHeight="1">
      <c r="A55" s="18" t="s">
        <v>224</v>
      </c>
      <c r="B55" s="57"/>
      <c r="C55" s="57"/>
      <c r="D55" s="58"/>
      <c r="E55" s="59"/>
      <c r="F55" s="59"/>
      <c r="G55" s="60"/>
      <c r="H55" s="60"/>
      <c r="I55" s="61"/>
      <c r="J55" s="59"/>
      <c r="K55" s="59"/>
      <c r="L55" s="59"/>
      <c r="M55" s="31">
        <f t="shared" si="1"/>
        <v>0</v>
      </c>
      <c r="N55" s="25"/>
      <c r="O55" s="46" t="s">
        <v>225</v>
      </c>
      <c r="P55" s="40"/>
      <c r="Q55" s="40"/>
      <c r="R55" s="41"/>
      <c r="S55" s="45" t="s">
        <v>226</v>
      </c>
      <c r="T55" s="45" t="s">
        <v>108</v>
      </c>
      <c r="U55" s="25"/>
      <c r="V55" s="25"/>
      <c r="W55" s="25"/>
      <c r="X55" s="25"/>
      <c r="Y55" s="25"/>
      <c r="Z55" s="25"/>
    </row>
    <row r="56" ht="15.0" customHeight="1">
      <c r="A56" s="8" t="s">
        <v>227</v>
      </c>
      <c r="B56" s="62"/>
      <c r="C56" s="62"/>
      <c r="D56" s="63"/>
      <c r="E56" s="64"/>
      <c r="F56" s="65"/>
      <c r="G56" s="65"/>
      <c r="H56" s="64"/>
      <c r="I56" s="66"/>
      <c r="J56" s="65"/>
      <c r="K56" s="12"/>
      <c r="L56" s="12"/>
      <c r="M56" s="28">
        <f t="shared" si="1"/>
        <v>0</v>
      </c>
      <c r="N56" s="25"/>
      <c r="O56" s="67" t="s">
        <v>228</v>
      </c>
      <c r="P56" s="40"/>
      <c r="Q56" s="40"/>
      <c r="R56" s="41"/>
      <c r="S56" s="68">
        <f>COUNTIF($K$2:$K$469,"Classe I - Extremamente tóxico")</f>
        <v>0</v>
      </c>
      <c r="T56" s="69">
        <f>(S56/S67)</f>
        <v>0</v>
      </c>
      <c r="U56" s="25"/>
      <c r="V56" s="25"/>
      <c r="W56" s="25"/>
      <c r="X56" s="25"/>
      <c r="Y56" s="25"/>
      <c r="Z56" s="25"/>
    </row>
    <row r="57" ht="15.0" customHeight="1">
      <c r="A57" s="18" t="s">
        <v>229</v>
      </c>
      <c r="B57" s="57"/>
      <c r="C57" s="57"/>
      <c r="D57" s="58"/>
      <c r="E57" s="59"/>
      <c r="F57" s="59"/>
      <c r="G57" s="60"/>
      <c r="H57" s="60"/>
      <c r="I57" s="61"/>
      <c r="J57" s="59"/>
      <c r="K57" s="59"/>
      <c r="L57" s="59"/>
      <c r="M57" s="31">
        <f t="shared" si="1"/>
        <v>0</v>
      </c>
      <c r="N57" s="25"/>
      <c r="O57" s="67" t="s">
        <v>230</v>
      </c>
      <c r="P57" s="40"/>
      <c r="Q57" s="40"/>
      <c r="R57" s="41"/>
      <c r="S57" s="68">
        <f>COUNTIF($K$2:$K$469,"Categoria 1 - Produto Extremamente Tóxico")</f>
        <v>0</v>
      </c>
      <c r="T57" s="69">
        <f>(S57/S67)</f>
        <v>0</v>
      </c>
      <c r="U57" s="25"/>
      <c r="V57" s="25"/>
      <c r="W57" s="25"/>
      <c r="X57" s="25"/>
      <c r="Y57" s="25"/>
      <c r="Z57" s="25"/>
    </row>
    <row r="58" ht="15.0" customHeight="1">
      <c r="A58" s="8" t="s">
        <v>231</v>
      </c>
      <c r="B58" s="62"/>
      <c r="C58" s="62"/>
      <c r="D58" s="63"/>
      <c r="E58" s="64"/>
      <c r="F58" s="65"/>
      <c r="G58" s="65"/>
      <c r="H58" s="64"/>
      <c r="I58" s="66"/>
      <c r="J58" s="65"/>
      <c r="K58" s="12"/>
      <c r="L58" s="12"/>
      <c r="M58" s="28">
        <f t="shared" si="1"/>
        <v>0</v>
      </c>
      <c r="N58" s="25"/>
      <c r="O58" s="70" t="s">
        <v>232</v>
      </c>
      <c r="P58" s="40"/>
      <c r="Q58" s="40"/>
      <c r="R58" s="41"/>
      <c r="S58" s="71">
        <f>COUNTIF($K$2:$K$469,"Categoria 2 - Produto Altamente Tóxico")</f>
        <v>0</v>
      </c>
      <c r="T58" s="72">
        <f>(S58/S67)</f>
        <v>0</v>
      </c>
      <c r="U58" s="25"/>
      <c r="V58" s="25"/>
      <c r="W58" s="25"/>
      <c r="X58" s="25"/>
      <c r="Y58" s="25"/>
      <c r="Z58" s="25"/>
    </row>
    <row r="59" ht="15.0" customHeight="1">
      <c r="A59" s="18" t="s">
        <v>233</v>
      </c>
      <c r="B59" s="57"/>
      <c r="C59" s="57"/>
      <c r="D59" s="58"/>
      <c r="E59" s="59"/>
      <c r="F59" s="59"/>
      <c r="G59" s="60"/>
      <c r="H59" s="60"/>
      <c r="I59" s="61"/>
      <c r="J59" s="59"/>
      <c r="K59" s="59"/>
      <c r="L59" s="59"/>
      <c r="M59" s="31">
        <f t="shared" si="1"/>
        <v>0</v>
      </c>
      <c r="N59" s="25"/>
      <c r="O59" s="73" t="s">
        <v>234</v>
      </c>
      <c r="P59" s="40"/>
      <c r="Q59" s="40"/>
      <c r="R59" s="41"/>
      <c r="S59" s="74">
        <f>COUNTIF($K$2:$K$469,"Classe II - Altamente tóxico")</f>
        <v>0</v>
      </c>
      <c r="T59" s="75">
        <f>(S59/S67)</f>
        <v>0</v>
      </c>
      <c r="U59" s="25"/>
      <c r="V59" s="25"/>
      <c r="W59" s="25"/>
      <c r="X59" s="25"/>
      <c r="Y59" s="25"/>
      <c r="Z59" s="25"/>
    </row>
    <row r="60" ht="15.0" customHeight="1">
      <c r="A60" s="8" t="s">
        <v>235</v>
      </c>
      <c r="B60" s="62"/>
      <c r="C60" s="62"/>
      <c r="D60" s="63"/>
      <c r="E60" s="64"/>
      <c r="F60" s="65"/>
      <c r="G60" s="65"/>
      <c r="H60" s="64"/>
      <c r="I60" s="66"/>
      <c r="J60" s="65"/>
      <c r="K60" s="12"/>
      <c r="L60" s="12"/>
      <c r="M60" s="28">
        <f t="shared" si="1"/>
        <v>0</v>
      </c>
      <c r="N60" s="25"/>
      <c r="O60" s="76" t="s">
        <v>236</v>
      </c>
      <c r="P60" s="40"/>
      <c r="Q60" s="40"/>
      <c r="R60" s="41"/>
      <c r="S60" s="77">
        <f>COUNTIF($K$2:$K$469,"Categoria 3 - Produto Moderadamente Tóxico")</f>
        <v>0</v>
      </c>
      <c r="T60" s="78">
        <f>(S60/S67)</f>
        <v>0</v>
      </c>
      <c r="U60" s="25"/>
      <c r="V60" s="25"/>
      <c r="W60" s="25"/>
      <c r="X60" s="25"/>
      <c r="Y60" s="25"/>
      <c r="Z60" s="25"/>
    </row>
    <row r="61" ht="15.0" customHeight="1">
      <c r="A61" s="18" t="s">
        <v>237</v>
      </c>
      <c r="B61" s="57"/>
      <c r="C61" s="57"/>
      <c r="D61" s="58"/>
      <c r="E61" s="59"/>
      <c r="F61" s="59"/>
      <c r="G61" s="60"/>
      <c r="H61" s="60"/>
      <c r="I61" s="61"/>
      <c r="J61" s="59"/>
      <c r="K61" s="59"/>
      <c r="L61" s="59"/>
      <c r="M61" s="31">
        <f t="shared" si="1"/>
        <v>0</v>
      </c>
      <c r="N61" s="25"/>
      <c r="O61" s="79" t="s">
        <v>238</v>
      </c>
      <c r="P61" s="40"/>
      <c r="Q61" s="40"/>
      <c r="R61" s="41"/>
      <c r="S61" s="80">
        <f>COUNTIF($K$2:$K$469,"Classe III - Medianamente tóxico")</f>
        <v>0</v>
      </c>
      <c r="T61" s="81">
        <f>(S61/S67)</f>
        <v>0</v>
      </c>
      <c r="U61" s="25"/>
      <c r="V61" s="25"/>
      <c r="W61" s="25"/>
      <c r="X61" s="25"/>
      <c r="Y61" s="25"/>
      <c r="Z61" s="25"/>
    </row>
    <row r="62" ht="15.0" customHeight="1">
      <c r="A62" s="8" t="s">
        <v>239</v>
      </c>
      <c r="B62" s="62"/>
      <c r="C62" s="62"/>
      <c r="D62" s="63"/>
      <c r="E62" s="64"/>
      <c r="F62" s="65"/>
      <c r="G62" s="65"/>
      <c r="H62" s="64"/>
      <c r="I62" s="66"/>
      <c r="J62" s="65"/>
      <c r="K62" s="12"/>
      <c r="L62" s="12"/>
      <c r="M62" s="28">
        <f t="shared" si="1"/>
        <v>0</v>
      </c>
      <c r="N62" s="25"/>
      <c r="O62" s="79" t="s">
        <v>240</v>
      </c>
      <c r="P62" s="40"/>
      <c r="Q62" s="40"/>
      <c r="R62" s="41"/>
      <c r="S62" s="80">
        <f>COUNTIF($K$2:$K$469,"Categoria 4 - Produto Pouco Tóxico")</f>
        <v>0</v>
      </c>
      <c r="T62" s="81">
        <f>(S62/S67)</f>
        <v>0</v>
      </c>
      <c r="U62" s="25"/>
      <c r="V62" s="25"/>
      <c r="W62" s="25"/>
      <c r="X62" s="25"/>
      <c r="Y62" s="25"/>
      <c r="Z62" s="25"/>
    </row>
    <row r="63" ht="15.0" customHeight="1">
      <c r="A63" s="18" t="s">
        <v>241</v>
      </c>
      <c r="B63" s="57"/>
      <c r="C63" s="57"/>
      <c r="D63" s="58"/>
      <c r="E63" s="59"/>
      <c r="F63" s="59"/>
      <c r="G63" s="60"/>
      <c r="H63" s="60"/>
      <c r="I63" s="61"/>
      <c r="J63" s="59"/>
      <c r="K63" s="59"/>
      <c r="L63" s="59"/>
      <c r="M63" s="31">
        <f t="shared" si="1"/>
        <v>0</v>
      </c>
      <c r="N63" s="25"/>
      <c r="O63" s="79" t="s">
        <v>242</v>
      </c>
      <c r="P63" s="40"/>
      <c r="Q63" s="40"/>
      <c r="R63" s="41"/>
      <c r="S63" s="80">
        <f>COUNTIF($K$2:$K$469,"Categoria 5 - Produto Improvável de Causar Dano Agudo")</f>
        <v>0</v>
      </c>
      <c r="T63" s="81">
        <f>(S63/S67)</f>
        <v>0</v>
      </c>
      <c r="U63" s="25"/>
      <c r="V63" s="25"/>
      <c r="W63" s="25"/>
      <c r="X63" s="25"/>
      <c r="Y63" s="25"/>
      <c r="Z63" s="25"/>
    </row>
    <row r="64" ht="15.0" customHeight="1">
      <c r="A64" s="8" t="s">
        <v>243</v>
      </c>
      <c r="B64" s="62"/>
      <c r="C64" s="62"/>
      <c r="D64" s="63"/>
      <c r="E64" s="64"/>
      <c r="F64" s="65"/>
      <c r="G64" s="65"/>
      <c r="H64" s="64"/>
      <c r="I64" s="66"/>
      <c r="J64" s="65"/>
      <c r="K64" s="12"/>
      <c r="L64" s="12"/>
      <c r="M64" s="28">
        <f t="shared" si="1"/>
        <v>0</v>
      </c>
      <c r="N64" s="25"/>
      <c r="O64" s="82" t="s">
        <v>244</v>
      </c>
      <c r="P64" s="40"/>
      <c r="Q64" s="40"/>
      <c r="R64" s="41"/>
      <c r="S64" s="83">
        <f>COUNTIF($K$2:$K$469,"Classe IV - Pouco tóxico")</f>
        <v>0</v>
      </c>
      <c r="T64" s="84">
        <f>(S64/S67)</f>
        <v>0</v>
      </c>
      <c r="U64" s="25"/>
      <c r="V64" s="25"/>
      <c r="W64" s="25"/>
      <c r="X64" s="25"/>
      <c r="Y64" s="25"/>
      <c r="Z64" s="25"/>
    </row>
    <row r="65" ht="15.0" customHeight="1">
      <c r="A65" s="18" t="s">
        <v>245</v>
      </c>
      <c r="B65" s="57"/>
      <c r="C65" s="57"/>
      <c r="D65" s="58"/>
      <c r="E65" s="59"/>
      <c r="F65" s="59"/>
      <c r="G65" s="60"/>
      <c r="H65" s="60"/>
      <c r="I65" s="61"/>
      <c r="J65" s="59"/>
      <c r="K65" s="59"/>
      <c r="L65" s="59"/>
      <c r="M65" s="31">
        <f t="shared" si="1"/>
        <v>0</v>
      </c>
      <c r="N65" s="25"/>
      <c r="O65" s="82" t="s">
        <v>246</v>
      </c>
      <c r="P65" s="40"/>
      <c r="Q65" s="40"/>
      <c r="R65" s="41"/>
      <c r="S65" s="83">
        <f>COUNTIF($K$2:$K$469,"Produto não classificado")</f>
        <v>2</v>
      </c>
      <c r="T65" s="84">
        <f>(S65/S67)</f>
        <v>0.05555555556</v>
      </c>
      <c r="U65" s="25"/>
      <c r="V65" s="25"/>
      <c r="W65" s="25"/>
      <c r="X65" s="25"/>
      <c r="Y65" s="25"/>
      <c r="Z65" s="25"/>
    </row>
    <row r="66" ht="15.0" customHeight="1">
      <c r="A66" s="8" t="s">
        <v>247</v>
      </c>
      <c r="B66" s="62"/>
      <c r="C66" s="62"/>
      <c r="D66" s="63"/>
      <c r="E66" s="64"/>
      <c r="F66" s="65"/>
      <c r="G66" s="65"/>
      <c r="H66" s="64"/>
      <c r="I66" s="66"/>
      <c r="J66" s="65"/>
      <c r="K66" s="12"/>
      <c r="L66" s="12"/>
      <c r="M66" s="28">
        <f t="shared" si="1"/>
        <v>0</v>
      </c>
      <c r="N66" s="25"/>
      <c r="O66" s="85" t="s">
        <v>19</v>
      </c>
      <c r="P66" s="40"/>
      <c r="Q66" s="40"/>
      <c r="R66" s="41"/>
      <c r="S66" s="86">
        <f>COUNTIF($K$2:$K$469,"O perfil toxicológico foi considerado equivalente ao produto técnico de referência")</f>
        <v>34</v>
      </c>
      <c r="T66" s="87">
        <f>(S66/S67)</f>
        <v>0.9444444444</v>
      </c>
      <c r="U66" s="25"/>
      <c r="V66" s="25"/>
      <c r="W66" s="25"/>
      <c r="X66" s="25"/>
      <c r="Y66" s="25"/>
      <c r="Z66" s="25"/>
    </row>
    <row r="67" ht="15.0" customHeight="1">
      <c r="A67" s="18" t="s">
        <v>248</v>
      </c>
      <c r="B67" s="57"/>
      <c r="C67" s="57"/>
      <c r="D67" s="58"/>
      <c r="E67" s="59"/>
      <c r="F67" s="59"/>
      <c r="G67" s="60"/>
      <c r="H67" s="60"/>
      <c r="I67" s="61"/>
      <c r="J67" s="59"/>
      <c r="K67" s="59"/>
      <c r="L67" s="59"/>
      <c r="M67" s="31">
        <f t="shared" si="1"/>
        <v>0</v>
      </c>
      <c r="N67" s="25"/>
      <c r="O67" s="46" t="s">
        <v>219</v>
      </c>
      <c r="P67" s="40"/>
      <c r="Q67" s="40"/>
      <c r="R67" s="41"/>
      <c r="S67" s="45">
        <f>SUM(S56:S66)</f>
        <v>36</v>
      </c>
      <c r="T67" s="88">
        <f>(S67/S67)</f>
        <v>1</v>
      </c>
      <c r="U67" s="25"/>
      <c r="V67" s="25"/>
      <c r="W67" s="25"/>
      <c r="X67" s="25"/>
      <c r="Y67" s="25"/>
      <c r="Z67" s="25"/>
    </row>
    <row r="68" ht="15.0" customHeight="1">
      <c r="A68" s="8" t="s">
        <v>249</v>
      </c>
      <c r="B68" s="62"/>
      <c r="C68" s="62"/>
      <c r="D68" s="63"/>
      <c r="E68" s="64"/>
      <c r="F68" s="65"/>
      <c r="G68" s="65"/>
      <c r="H68" s="64"/>
      <c r="I68" s="66"/>
      <c r="J68" s="65"/>
      <c r="K68" s="12"/>
      <c r="L68" s="12"/>
      <c r="M68" s="28">
        <f t="shared" si="1"/>
        <v>0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0" customHeight="1">
      <c r="A69" s="18" t="s">
        <v>250</v>
      </c>
      <c r="B69" s="57"/>
      <c r="C69" s="57"/>
      <c r="D69" s="58"/>
      <c r="E69" s="59"/>
      <c r="F69" s="59"/>
      <c r="G69" s="60"/>
      <c r="H69" s="60"/>
      <c r="I69" s="61"/>
      <c r="J69" s="59"/>
      <c r="K69" s="59"/>
      <c r="L69" s="59"/>
      <c r="M69" s="31">
        <f t="shared" si="1"/>
        <v>0</v>
      </c>
      <c r="N69" s="25"/>
      <c r="O69" s="33" t="s">
        <v>11</v>
      </c>
      <c r="P69" s="34"/>
      <c r="Q69" s="34"/>
      <c r="R69" s="34"/>
      <c r="S69" s="34"/>
      <c r="T69" s="35"/>
      <c r="U69" s="25"/>
      <c r="V69" s="25"/>
      <c r="W69" s="25"/>
      <c r="X69" s="25"/>
      <c r="Y69" s="25"/>
      <c r="Z69" s="25"/>
    </row>
    <row r="70" ht="15.0" customHeight="1">
      <c r="A70" s="8" t="s">
        <v>251</v>
      </c>
      <c r="B70" s="62"/>
      <c r="C70" s="62"/>
      <c r="D70" s="63"/>
      <c r="E70" s="64"/>
      <c r="F70" s="65"/>
      <c r="G70" s="65"/>
      <c r="H70" s="64"/>
      <c r="I70" s="66"/>
      <c r="J70" s="65"/>
      <c r="K70" s="12"/>
      <c r="L70" s="12"/>
      <c r="M70" s="28">
        <f t="shared" si="1"/>
        <v>0</v>
      </c>
      <c r="N70" s="25"/>
      <c r="O70" s="36"/>
      <c r="P70" s="37"/>
      <c r="Q70" s="37"/>
      <c r="R70" s="37"/>
      <c r="S70" s="37"/>
      <c r="T70" s="38"/>
      <c r="U70" s="25"/>
      <c r="V70" s="25"/>
      <c r="W70" s="25"/>
      <c r="X70" s="25"/>
      <c r="Y70" s="25"/>
      <c r="Z70" s="25"/>
    </row>
    <row r="71" ht="15.0" customHeight="1">
      <c r="A71" s="18" t="s">
        <v>252</v>
      </c>
      <c r="B71" s="57"/>
      <c r="C71" s="57"/>
      <c r="D71" s="58"/>
      <c r="E71" s="59"/>
      <c r="F71" s="59"/>
      <c r="G71" s="60"/>
      <c r="H71" s="60"/>
      <c r="I71" s="61"/>
      <c r="J71" s="59"/>
      <c r="K71" s="59"/>
      <c r="L71" s="59"/>
      <c r="M71" s="31">
        <f t="shared" si="1"/>
        <v>0</v>
      </c>
      <c r="N71" s="25"/>
      <c r="O71" s="46" t="s">
        <v>225</v>
      </c>
      <c r="P71" s="40"/>
      <c r="Q71" s="40"/>
      <c r="R71" s="41"/>
      <c r="S71" s="45" t="s">
        <v>226</v>
      </c>
      <c r="T71" s="45" t="s">
        <v>108</v>
      </c>
      <c r="U71" s="25"/>
      <c r="V71" s="25"/>
      <c r="W71" s="25"/>
      <c r="X71" s="25"/>
      <c r="Y71" s="25"/>
      <c r="Z71" s="25"/>
    </row>
    <row r="72" ht="15.0" customHeight="1">
      <c r="A72" s="8" t="s">
        <v>253</v>
      </c>
      <c r="B72" s="62"/>
      <c r="C72" s="62"/>
      <c r="D72" s="63"/>
      <c r="E72" s="64"/>
      <c r="F72" s="65"/>
      <c r="G72" s="65"/>
      <c r="H72" s="64"/>
      <c r="I72" s="66"/>
      <c r="J72" s="65"/>
      <c r="K72" s="12"/>
      <c r="L72" s="12"/>
      <c r="M72" s="28">
        <f t="shared" si="1"/>
        <v>0</v>
      </c>
      <c r="N72" s="25"/>
      <c r="O72" s="89" t="s">
        <v>254</v>
      </c>
      <c r="P72" s="40"/>
      <c r="Q72" s="40"/>
      <c r="R72" s="41"/>
      <c r="S72" s="90">
        <f>COUNTIF($L$2:$L$351,"Classe I - Produto altamente perigoso ao meio ambiente")</f>
        <v>2</v>
      </c>
      <c r="T72" s="91">
        <f>(S72/S76)</f>
        <v>0.05555555556</v>
      </c>
      <c r="U72" s="25"/>
      <c r="V72" s="25"/>
      <c r="W72" s="25"/>
      <c r="X72" s="25"/>
      <c r="Y72" s="25"/>
      <c r="Z72" s="25"/>
    </row>
    <row r="73" ht="15.0" customHeight="1">
      <c r="A73" s="18" t="s">
        <v>255</v>
      </c>
      <c r="B73" s="57"/>
      <c r="C73" s="57"/>
      <c r="D73" s="58"/>
      <c r="E73" s="59"/>
      <c r="F73" s="59"/>
      <c r="G73" s="60"/>
      <c r="H73" s="60"/>
      <c r="I73" s="61"/>
      <c r="J73" s="59"/>
      <c r="K73" s="59"/>
      <c r="L73" s="59"/>
      <c r="M73" s="31">
        <f t="shared" si="1"/>
        <v>0</v>
      </c>
      <c r="N73" s="25"/>
      <c r="O73" s="92" t="s">
        <v>256</v>
      </c>
      <c r="P73" s="40"/>
      <c r="Q73" s="40"/>
      <c r="R73" s="41"/>
      <c r="S73" s="93">
        <f>COUNTIF($L$2:$L$351,"Classe II - Produto muito perigoso ao meio ambiente")</f>
        <v>21</v>
      </c>
      <c r="T73" s="94">
        <f>(S73/S76)</f>
        <v>0.5833333333</v>
      </c>
      <c r="U73" s="25"/>
      <c r="V73" s="25"/>
      <c r="W73" s="25"/>
      <c r="X73" s="25"/>
      <c r="Y73" s="25"/>
      <c r="Z73" s="25"/>
    </row>
    <row r="74" ht="15.0" customHeight="1">
      <c r="A74" s="8" t="s">
        <v>257</v>
      </c>
      <c r="B74" s="62"/>
      <c r="C74" s="62"/>
      <c r="D74" s="63"/>
      <c r="E74" s="64"/>
      <c r="F74" s="65"/>
      <c r="G74" s="65"/>
      <c r="H74" s="64"/>
      <c r="I74" s="66"/>
      <c r="J74" s="65"/>
      <c r="K74" s="12"/>
      <c r="L74" s="12"/>
      <c r="M74" s="28">
        <f t="shared" si="1"/>
        <v>0</v>
      </c>
      <c r="N74" s="25"/>
      <c r="O74" s="95" t="s">
        <v>258</v>
      </c>
      <c r="P74" s="40"/>
      <c r="Q74" s="40"/>
      <c r="R74" s="41"/>
      <c r="S74" s="96">
        <f>COUNTIF($L$2:$L$351,"Classe III - Produto perigoso ao meio ambiente")</f>
        <v>13</v>
      </c>
      <c r="T74" s="97">
        <f>(S74/S76)</f>
        <v>0.3611111111</v>
      </c>
      <c r="U74" s="25"/>
      <c r="V74" s="25"/>
      <c r="W74" s="25"/>
      <c r="X74" s="25"/>
      <c r="Y74" s="25"/>
      <c r="Z74" s="25"/>
    </row>
    <row r="75" ht="15.0" customHeight="1">
      <c r="A75" s="18" t="s">
        <v>259</v>
      </c>
      <c r="B75" s="57"/>
      <c r="C75" s="57"/>
      <c r="D75" s="58"/>
      <c r="E75" s="59"/>
      <c r="F75" s="59"/>
      <c r="G75" s="60"/>
      <c r="H75" s="60"/>
      <c r="I75" s="61"/>
      <c r="J75" s="59"/>
      <c r="K75" s="59"/>
      <c r="L75" s="59"/>
      <c r="M75" s="31">
        <f t="shared" si="1"/>
        <v>0</v>
      </c>
      <c r="N75" s="25"/>
      <c r="O75" s="98" t="s">
        <v>260</v>
      </c>
      <c r="P75" s="40"/>
      <c r="Q75" s="40"/>
      <c r="R75" s="41"/>
      <c r="S75" s="99">
        <f>COUNTIF($L$2:$L$351,"Classe IV - Produto pouco perigoso ao meio ambiente")</f>
        <v>0</v>
      </c>
      <c r="T75" s="100">
        <f>(S75/S76)</f>
        <v>0</v>
      </c>
      <c r="U75" s="25"/>
      <c r="V75" s="25"/>
      <c r="W75" s="25"/>
      <c r="X75" s="25"/>
      <c r="Y75" s="25"/>
      <c r="Z75" s="25"/>
    </row>
    <row r="76" ht="15.0" customHeight="1">
      <c r="A76" s="8" t="s">
        <v>261</v>
      </c>
      <c r="B76" s="62"/>
      <c r="C76" s="62"/>
      <c r="D76" s="63"/>
      <c r="E76" s="64"/>
      <c r="F76" s="65"/>
      <c r="G76" s="65"/>
      <c r="H76" s="64"/>
      <c r="I76" s="66"/>
      <c r="J76" s="65"/>
      <c r="K76" s="12"/>
      <c r="L76" s="12"/>
      <c r="M76" s="28">
        <f t="shared" si="1"/>
        <v>0</v>
      </c>
      <c r="N76" s="25"/>
      <c r="O76" s="46" t="s">
        <v>219</v>
      </c>
      <c r="P76" s="40"/>
      <c r="Q76" s="40"/>
      <c r="R76" s="41"/>
      <c r="S76" s="45">
        <f>SUM(S72:S75)</f>
        <v>36</v>
      </c>
      <c r="T76" s="88">
        <f>(S76/S76)</f>
        <v>1</v>
      </c>
      <c r="U76" s="25"/>
      <c r="V76" s="25"/>
      <c r="W76" s="25"/>
      <c r="X76" s="25"/>
      <c r="Y76" s="25"/>
      <c r="Z76" s="25"/>
    </row>
    <row r="77" ht="15.0" customHeight="1">
      <c r="A77" s="18" t="s">
        <v>262</v>
      </c>
      <c r="B77" s="57"/>
      <c r="C77" s="57"/>
      <c r="D77" s="58"/>
      <c r="E77" s="59"/>
      <c r="F77" s="59"/>
      <c r="G77" s="60"/>
      <c r="H77" s="60"/>
      <c r="I77" s="61"/>
      <c r="J77" s="59"/>
      <c r="K77" s="59"/>
      <c r="L77" s="59"/>
      <c r="M77" s="31">
        <f t="shared" si="1"/>
        <v>0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0" customHeight="1">
      <c r="A78" s="8" t="s">
        <v>263</v>
      </c>
      <c r="B78" s="62"/>
      <c r="C78" s="62"/>
      <c r="D78" s="63"/>
      <c r="E78" s="64"/>
      <c r="F78" s="65"/>
      <c r="G78" s="65"/>
      <c r="H78" s="64"/>
      <c r="I78" s="66"/>
      <c r="J78" s="65"/>
      <c r="K78" s="12"/>
      <c r="L78" s="12"/>
      <c r="M78" s="28">
        <f t="shared" si="1"/>
        <v>0</v>
      </c>
      <c r="N78" s="25"/>
      <c r="O78" s="101" t="s">
        <v>264</v>
      </c>
      <c r="P78" s="102"/>
      <c r="Q78" s="102"/>
      <c r="R78" s="103"/>
      <c r="S78" s="25"/>
      <c r="T78" s="25"/>
      <c r="U78" s="25"/>
      <c r="V78" s="25"/>
      <c r="W78" s="25"/>
      <c r="X78" s="25"/>
      <c r="Y78" s="25"/>
      <c r="Z78" s="25"/>
    </row>
    <row r="79" ht="15.0" customHeight="1">
      <c r="A79" s="18" t="s">
        <v>265</v>
      </c>
      <c r="B79" s="57"/>
      <c r="C79" s="57"/>
      <c r="D79" s="58"/>
      <c r="E79" s="59"/>
      <c r="F79" s="59"/>
      <c r="G79" s="60"/>
      <c r="H79" s="60"/>
      <c r="I79" s="61"/>
      <c r="J79" s="59"/>
      <c r="K79" s="59"/>
      <c r="L79" s="59"/>
      <c r="M79" s="31">
        <f t="shared" si="1"/>
        <v>0</v>
      </c>
      <c r="N79" s="25"/>
      <c r="O79" s="104"/>
      <c r="P79" s="105"/>
      <c r="Q79" s="105"/>
      <c r="R79" s="106"/>
      <c r="S79" s="25"/>
      <c r="T79" s="25"/>
      <c r="U79" s="25"/>
      <c r="V79" s="25"/>
      <c r="W79" s="25"/>
      <c r="X79" s="25"/>
      <c r="Y79" s="25"/>
      <c r="Z79" s="25"/>
    </row>
    <row r="80" ht="15.0" customHeight="1">
      <c r="A80" s="8" t="s">
        <v>266</v>
      </c>
      <c r="B80" s="62"/>
      <c r="C80" s="62"/>
      <c r="D80" s="63"/>
      <c r="E80" s="64"/>
      <c r="F80" s="65"/>
      <c r="G80" s="65"/>
      <c r="H80" s="64"/>
      <c r="I80" s="66"/>
      <c r="J80" s="65"/>
      <c r="K80" s="12"/>
      <c r="L80" s="12"/>
      <c r="M80" s="28">
        <f t="shared" si="1"/>
        <v>0</v>
      </c>
      <c r="N80" s="25"/>
      <c r="O80" s="107" t="s">
        <v>267</v>
      </c>
      <c r="P80" s="108" t="s">
        <v>268</v>
      </c>
      <c r="Q80" s="109"/>
      <c r="R80" s="110"/>
      <c r="S80" s="25"/>
      <c r="T80" s="25"/>
      <c r="U80" s="25"/>
      <c r="V80" s="25"/>
      <c r="W80" s="25"/>
      <c r="X80" s="25"/>
      <c r="Y80" s="25"/>
      <c r="Z80" s="25"/>
    </row>
    <row r="81" ht="15.0" customHeight="1">
      <c r="A81" s="18" t="s">
        <v>269</v>
      </c>
      <c r="B81" s="57"/>
      <c r="C81" s="57"/>
      <c r="D81" s="58"/>
      <c r="E81" s="59"/>
      <c r="F81" s="59"/>
      <c r="G81" s="60"/>
      <c r="H81" s="60"/>
      <c r="I81" s="61"/>
      <c r="J81" s="59"/>
      <c r="K81" s="59"/>
      <c r="L81" s="59"/>
      <c r="M81" s="31">
        <f t="shared" si="1"/>
        <v>0</v>
      </c>
      <c r="N81" s="25"/>
      <c r="O81" s="111" t="s">
        <v>270</v>
      </c>
      <c r="P81" s="112" t="str">
        <f>IF(AVERAGEIF(G2:G351,"PT",M2:M351), AVERAGEIF(G2:G351,"PT",M2:M351),0)</f>
        <v>#DIV/0!</v>
      </c>
      <c r="Q81" s="113"/>
      <c r="R81" s="114"/>
      <c r="S81" s="25"/>
      <c r="T81" s="25"/>
      <c r="U81" s="25"/>
      <c r="V81" s="25"/>
      <c r="W81" s="25"/>
      <c r="X81" s="25"/>
      <c r="Y81" s="25"/>
      <c r="Z81" s="25"/>
    </row>
    <row r="82" ht="15.0" customHeight="1">
      <c r="A82" s="8" t="s">
        <v>271</v>
      </c>
      <c r="B82" s="62"/>
      <c r="C82" s="62"/>
      <c r="D82" s="63"/>
      <c r="E82" s="64"/>
      <c r="F82" s="65"/>
      <c r="G82" s="65"/>
      <c r="H82" s="64"/>
      <c r="I82" s="66"/>
      <c r="J82" s="65"/>
      <c r="K82" s="12"/>
      <c r="L82" s="12"/>
      <c r="M82" s="28">
        <f t="shared" si="1"/>
        <v>0</v>
      </c>
      <c r="N82" s="25"/>
      <c r="O82" s="115" t="s">
        <v>34</v>
      </c>
      <c r="P82" s="112">
        <f>IF(AVERAGEIF(G3:G352,"PTN",M3:M352), AVERAGEIF(G3:G352,"PTN",M3:M352),0)</f>
        <v>2997.5</v>
      </c>
      <c r="Q82" s="113"/>
      <c r="R82" s="114"/>
      <c r="S82" s="25"/>
      <c r="T82" s="25"/>
      <c r="U82" s="25"/>
      <c r="V82" s="25"/>
      <c r="W82" s="25"/>
      <c r="X82" s="25"/>
      <c r="Y82" s="25"/>
      <c r="Z82" s="25"/>
    </row>
    <row r="83" ht="15.0" customHeight="1">
      <c r="A83" s="18" t="s">
        <v>272</v>
      </c>
      <c r="B83" s="57"/>
      <c r="C83" s="57"/>
      <c r="D83" s="58"/>
      <c r="E83" s="59"/>
      <c r="F83" s="59"/>
      <c r="G83" s="60"/>
      <c r="H83" s="60"/>
      <c r="I83" s="61"/>
      <c r="J83" s="59"/>
      <c r="K83" s="59"/>
      <c r="L83" s="59"/>
      <c r="M83" s="31">
        <f t="shared" si="1"/>
        <v>0</v>
      </c>
      <c r="N83" s="25"/>
      <c r="O83" s="111" t="s">
        <v>17</v>
      </c>
      <c r="P83" s="112">
        <f>IF(AVERAGEIF(G4:G353,"PTE",M4:M353), AVERAGEIF(G4:G353,"PTE",M4:M353),0)</f>
        <v>1769.625</v>
      </c>
      <c r="Q83" s="113"/>
      <c r="R83" s="114"/>
      <c r="S83" s="25"/>
      <c r="T83" s="25"/>
      <c r="U83" s="25"/>
      <c r="V83" s="25"/>
      <c r="W83" s="25"/>
      <c r="X83" s="25"/>
      <c r="Y83" s="25"/>
      <c r="Z83" s="25"/>
    </row>
    <row r="84" ht="15.0" customHeight="1">
      <c r="A84" s="8" t="s">
        <v>273</v>
      </c>
      <c r="B84" s="62"/>
      <c r="C84" s="62"/>
      <c r="D84" s="63"/>
      <c r="E84" s="64"/>
      <c r="F84" s="65"/>
      <c r="G84" s="65"/>
      <c r="H84" s="64"/>
      <c r="I84" s="66"/>
      <c r="J84" s="65"/>
      <c r="K84" s="12"/>
      <c r="L84" s="12"/>
      <c r="M84" s="28">
        <f t="shared" si="1"/>
        <v>0</v>
      </c>
      <c r="N84" s="25"/>
      <c r="O84" s="115" t="s">
        <v>46</v>
      </c>
      <c r="P84" s="112" t="str">
        <f>IF(AVERAGEIF(G5:G354,"PT",M5:M354), AVERAGEIF(G5:G354,"PT",M5:M354),0)</f>
        <v>#DIV/0!</v>
      </c>
      <c r="Q84" s="113"/>
      <c r="R84" s="114"/>
      <c r="S84" s="25"/>
      <c r="T84" s="25"/>
      <c r="U84" s="25"/>
      <c r="V84" s="25"/>
      <c r="W84" s="25"/>
      <c r="X84" s="25"/>
      <c r="Y84" s="25"/>
      <c r="Z84" s="25"/>
    </row>
    <row r="85" ht="15.0" customHeight="1">
      <c r="A85" s="18" t="s">
        <v>274</v>
      </c>
      <c r="B85" s="57"/>
      <c r="C85" s="57"/>
      <c r="D85" s="58"/>
      <c r="E85" s="59"/>
      <c r="F85" s="59"/>
      <c r="G85" s="60"/>
      <c r="H85" s="60"/>
      <c r="I85" s="61"/>
      <c r="J85" s="59"/>
      <c r="K85" s="59"/>
      <c r="L85" s="59"/>
      <c r="M85" s="31">
        <f t="shared" si="1"/>
        <v>0</v>
      </c>
      <c r="N85" s="25"/>
      <c r="O85" s="116" t="s">
        <v>275</v>
      </c>
      <c r="P85" s="117">
        <f>AVERAGEIF(M2:M351,"&gt;0",M2:M351)</f>
        <v>1828.277778</v>
      </c>
      <c r="Q85" s="118"/>
      <c r="R85" s="119"/>
      <c r="S85" s="25"/>
      <c r="T85" s="25"/>
      <c r="U85" s="25"/>
      <c r="V85" s="25"/>
      <c r="W85" s="25"/>
      <c r="X85" s="25"/>
      <c r="Y85" s="25"/>
      <c r="Z85" s="25"/>
    </row>
    <row r="86" ht="15.0" customHeight="1">
      <c r="A86" s="8" t="s">
        <v>276</v>
      </c>
      <c r="B86" s="62"/>
      <c r="C86" s="62"/>
      <c r="D86" s="63"/>
      <c r="E86" s="64"/>
      <c r="F86" s="65"/>
      <c r="G86" s="65"/>
      <c r="H86" s="64"/>
      <c r="I86" s="66"/>
      <c r="J86" s="65"/>
      <c r="K86" s="12"/>
      <c r="L86" s="12"/>
      <c r="M86" s="28">
        <f t="shared" si="1"/>
        <v>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0" customHeight="1">
      <c r="A87" s="18" t="s">
        <v>277</v>
      </c>
      <c r="B87" s="57"/>
      <c r="C87" s="57"/>
      <c r="D87" s="58"/>
      <c r="E87" s="59"/>
      <c r="F87" s="59"/>
      <c r="G87" s="60"/>
      <c r="H87" s="60"/>
      <c r="I87" s="61"/>
      <c r="J87" s="59"/>
      <c r="K87" s="59"/>
      <c r="L87" s="59"/>
      <c r="M87" s="31">
        <f t="shared" si="1"/>
        <v>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8" t="s">
        <v>278</v>
      </c>
      <c r="B88" s="62"/>
      <c r="C88" s="62"/>
      <c r="D88" s="63"/>
      <c r="E88" s="64"/>
      <c r="F88" s="65"/>
      <c r="G88" s="65"/>
      <c r="H88" s="64"/>
      <c r="I88" s="66"/>
      <c r="J88" s="65"/>
      <c r="K88" s="12"/>
      <c r="L88" s="12"/>
      <c r="M88" s="28">
        <f t="shared" si="1"/>
        <v>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18" t="s">
        <v>279</v>
      </c>
      <c r="B89" s="57"/>
      <c r="C89" s="57"/>
      <c r="D89" s="58"/>
      <c r="E89" s="59"/>
      <c r="F89" s="59"/>
      <c r="G89" s="60"/>
      <c r="H89" s="60"/>
      <c r="I89" s="61"/>
      <c r="J89" s="59"/>
      <c r="K89" s="59"/>
      <c r="L89" s="59"/>
      <c r="M89" s="31">
        <f t="shared" si="1"/>
        <v>0</v>
      </c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8" t="s">
        <v>280</v>
      </c>
      <c r="B90" s="62"/>
      <c r="C90" s="62"/>
      <c r="D90" s="63"/>
      <c r="E90" s="64"/>
      <c r="F90" s="65"/>
      <c r="G90" s="65"/>
      <c r="H90" s="64"/>
      <c r="I90" s="66"/>
      <c r="J90" s="65"/>
      <c r="K90" s="12"/>
      <c r="L90" s="12"/>
      <c r="M90" s="28">
        <f t="shared" si="1"/>
        <v>0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18" t="s">
        <v>281</v>
      </c>
      <c r="B91" s="57"/>
      <c r="C91" s="57"/>
      <c r="D91" s="58"/>
      <c r="E91" s="59"/>
      <c r="F91" s="59"/>
      <c r="G91" s="60"/>
      <c r="H91" s="60"/>
      <c r="I91" s="61"/>
      <c r="J91" s="59"/>
      <c r="K91" s="59"/>
      <c r="L91" s="59"/>
      <c r="M91" s="31">
        <f t="shared" si="1"/>
        <v>0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8" t="s">
        <v>282</v>
      </c>
      <c r="B92" s="62"/>
      <c r="C92" s="62"/>
      <c r="D92" s="63"/>
      <c r="E92" s="64"/>
      <c r="F92" s="65"/>
      <c r="G92" s="65"/>
      <c r="H92" s="64"/>
      <c r="I92" s="66"/>
      <c r="J92" s="65"/>
      <c r="K92" s="12"/>
      <c r="L92" s="12"/>
      <c r="M92" s="28">
        <f t="shared" si="1"/>
        <v>0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18" t="s">
        <v>283</v>
      </c>
      <c r="B93" s="57"/>
      <c r="C93" s="57"/>
      <c r="D93" s="58"/>
      <c r="E93" s="59"/>
      <c r="F93" s="59"/>
      <c r="G93" s="60"/>
      <c r="H93" s="60"/>
      <c r="I93" s="61"/>
      <c r="J93" s="59"/>
      <c r="K93" s="59"/>
      <c r="L93" s="59"/>
      <c r="M93" s="31">
        <f t="shared" si="1"/>
        <v>0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8" t="s">
        <v>284</v>
      </c>
      <c r="B94" s="62"/>
      <c r="C94" s="62"/>
      <c r="D94" s="63"/>
      <c r="E94" s="64"/>
      <c r="F94" s="65"/>
      <c r="G94" s="65"/>
      <c r="H94" s="64"/>
      <c r="I94" s="66"/>
      <c r="J94" s="65"/>
      <c r="K94" s="12"/>
      <c r="L94" s="12"/>
      <c r="M94" s="28">
        <f t="shared" si="1"/>
        <v>0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18" t="s">
        <v>285</v>
      </c>
      <c r="B95" s="57"/>
      <c r="C95" s="57"/>
      <c r="D95" s="58"/>
      <c r="E95" s="59"/>
      <c r="F95" s="59"/>
      <c r="G95" s="60"/>
      <c r="H95" s="60"/>
      <c r="I95" s="61"/>
      <c r="J95" s="59"/>
      <c r="K95" s="59"/>
      <c r="L95" s="59"/>
      <c r="M95" s="31">
        <f t="shared" si="1"/>
        <v>0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8" t="s">
        <v>286</v>
      </c>
      <c r="B96" s="62"/>
      <c r="C96" s="62"/>
      <c r="D96" s="63"/>
      <c r="E96" s="64"/>
      <c r="F96" s="65"/>
      <c r="G96" s="65"/>
      <c r="H96" s="64"/>
      <c r="I96" s="66"/>
      <c r="J96" s="65"/>
      <c r="K96" s="12"/>
      <c r="L96" s="12"/>
      <c r="M96" s="28">
        <f t="shared" si="1"/>
        <v>0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18" t="s">
        <v>287</v>
      </c>
      <c r="B97" s="57"/>
      <c r="C97" s="57"/>
      <c r="D97" s="58"/>
      <c r="E97" s="59"/>
      <c r="F97" s="59"/>
      <c r="G97" s="60"/>
      <c r="H97" s="60"/>
      <c r="I97" s="61"/>
      <c r="J97" s="59"/>
      <c r="K97" s="59"/>
      <c r="L97" s="59"/>
      <c r="M97" s="31">
        <f t="shared" si="1"/>
        <v>0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8" t="s">
        <v>288</v>
      </c>
      <c r="B98" s="62"/>
      <c r="C98" s="62"/>
      <c r="D98" s="63"/>
      <c r="E98" s="64"/>
      <c r="F98" s="65"/>
      <c r="G98" s="65"/>
      <c r="H98" s="64"/>
      <c r="I98" s="66"/>
      <c r="J98" s="65"/>
      <c r="K98" s="12"/>
      <c r="L98" s="12"/>
      <c r="M98" s="28">
        <f t="shared" si="1"/>
        <v>0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18" t="s">
        <v>289</v>
      </c>
      <c r="B99" s="57"/>
      <c r="C99" s="57"/>
      <c r="D99" s="58"/>
      <c r="E99" s="59"/>
      <c r="F99" s="59"/>
      <c r="G99" s="60"/>
      <c r="H99" s="60"/>
      <c r="I99" s="61"/>
      <c r="J99" s="59"/>
      <c r="K99" s="59"/>
      <c r="L99" s="59"/>
      <c r="M99" s="31">
        <f t="shared" si="1"/>
        <v>0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8" t="s">
        <v>290</v>
      </c>
      <c r="B100" s="62"/>
      <c r="C100" s="62"/>
      <c r="D100" s="63"/>
      <c r="E100" s="64"/>
      <c r="F100" s="65"/>
      <c r="G100" s="65"/>
      <c r="H100" s="64"/>
      <c r="I100" s="66"/>
      <c r="J100" s="65"/>
      <c r="K100" s="12"/>
      <c r="L100" s="12"/>
      <c r="M100" s="28">
        <f t="shared" si="1"/>
        <v>0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18" t="s">
        <v>291</v>
      </c>
      <c r="B101" s="57"/>
      <c r="C101" s="57"/>
      <c r="D101" s="58"/>
      <c r="E101" s="59"/>
      <c r="F101" s="59"/>
      <c r="G101" s="60"/>
      <c r="H101" s="60"/>
      <c r="I101" s="61"/>
      <c r="J101" s="59"/>
      <c r="K101" s="59"/>
      <c r="L101" s="59"/>
      <c r="M101" s="31">
        <f t="shared" si="1"/>
        <v>0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8" t="s">
        <v>292</v>
      </c>
      <c r="B102" s="62"/>
      <c r="C102" s="62"/>
      <c r="D102" s="63"/>
      <c r="E102" s="64"/>
      <c r="F102" s="65"/>
      <c r="G102" s="65"/>
      <c r="H102" s="64"/>
      <c r="I102" s="66"/>
      <c r="J102" s="65"/>
      <c r="K102" s="12"/>
      <c r="L102" s="12"/>
      <c r="M102" s="28">
        <f t="shared" si="1"/>
        <v>0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18" t="s">
        <v>293</v>
      </c>
      <c r="B103" s="57"/>
      <c r="C103" s="57"/>
      <c r="D103" s="58"/>
      <c r="E103" s="59"/>
      <c r="F103" s="59"/>
      <c r="G103" s="60"/>
      <c r="H103" s="60"/>
      <c r="I103" s="61"/>
      <c r="J103" s="59"/>
      <c r="K103" s="59"/>
      <c r="L103" s="59"/>
      <c r="M103" s="31">
        <f t="shared" si="1"/>
        <v>0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8" t="s">
        <v>294</v>
      </c>
      <c r="B104" s="62"/>
      <c r="C104" s="62"/>
      <c r="D104" s="63"/>
      <c r="E104" s="64"/>
      <c r="F104" s="65"/>
      <c r="G104" s="65"/>
      <c r="H104" s="64"/>
      <c r="I104" s="66"/>
      <c r="J104" s="65"/>
      <c r="K104" s="12"/>
      <c r="L104" s="12"/>
      <c r="M104" s="28">
        <f t="shared" si="1"/>
        <v>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18" t="s">
        <v>295</v>
      </c>
      <c r="B105" s="57"/>
      <c r="C105" s="57"/>
      <c r="D105" s="58"/>
      <c r="E105" s="59"/>
      <c r="F105" s="59"/>
      <c r="G105" s="60"/>
      <c r="H105" s="60"/>
      <c r="I105" s="61"/>
      <c r="J105" s="59"/>
      <c r="K105" s="59"/>
      <c r="L105" s="59"/>
      <c r="M105" s="31">
        <f t="shared" si="1"/>
        <v>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8" t="s">
        <v>296</v>
      </c>
      <c r="B106" s="62"/>
      <c r="C106" s="62"/>
      <c r="D106" s="63"/>
      <c r="E106" s="64"/>
      <c r="F106" s="65"/>
      <c r="G106" s="65"/>
      <c r="H106" s="64"/>
      <c r="I106" s="66"/>
      <c r="J106" s="65"/>
      <c r="K106" s="12"/>
      <c r="L106" s="12"/>
      <c r="M106" s="28">
        <f t="shared" si="1"/>
        <v>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18" t="s">
        <v>297</v>
      </c>
      <c r="B107" s="57"/>
      <c r="C107" s="57"/>
      <c r="D107" s="58"/>
      <c r="E107" s="59"/>
      <c r="F107" s="59"/>
      <c r="G107" s="60"/>
      <c r="H107" s="60"/>
      <c r="I107" s="61"/>
      <c r="J107" s="59"/>
      <c r="K107" s="59"/>
      <c r="L107" s="59"/>
      <c r="M107" s="31">
        <f t="shared" si="1"/>
        <v>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8" t="s">
        <v>298</v>
      </c>
      <c r="B108" s="62"/>
      <c r="C108" s="62"/>
      <c r="D108" s="63"/>
      <c r="E108" s="64"/>
      <c r="F108" s="65"/>
      <c r="G108" s="65"/>
      <c r="H108" s="64"/>
      <c r="I108" s="66"/>
      <c r="J108" s="65"/>
      <c r="K108" s="12"/>
      <c r="L108" s="12"/>
      <c r="M108" s="28">
        <f t="shared" si="1"/>
        <v>0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18" t="s">
        <v>299</v>
      </c>
      <c r="B109" s="57"/>
      <c r="C109" s="57"/>
      <c r="D109" s="58"/>
      <c r="E109" s="59"/>
      <c r="F109" s="59"/>
      <c r="G109" s="60"/>
      <c r="H109" s="60"/>
      <c r="I109" s="61"/>
      <c r="J109" s="59"/>
      <c r="K109" s="59"/>
      <c r="L109" s="59"/>
      <c r="M109" s="31">
        <f t="shared" si="1"/>
        <v>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8" t="s">
        <v>300</v>
      </c>
      <c r="B110" s="62"/>
      <c r="C110" s="62"/>
      <c r="D110" s="63"/>
      <c r="E110" s="64"/>
      <c r="F110" s="65"/>
      <c r="G110" s="65"/>
      <c r="H110" s="64"/>
      <c r="I110" s="66"/>
      <c r="J110" s="65"/>
      <c r="K110" s="12"/>
      <c r="L110" s="12"/>
      <c r="M110" s="28">
        <f t="shared" si="1"/>
        <v>0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18" t="s">
        <v>301</v>
      </c>
      <c r="B111" s="57"/>
      <c r="C111" s="57"/>
      <c r="D111" s="58"/>
      <c r="E111" s="59"/>
      <c r="F111" s="59"/>
      <c r="G111" s="60"/>
      <c r="H111" s="60"/>
      <c r="I111" s="61"/>
      <c r="J111" s="59"/>
      <c r="K111" s="59"/>
      <c r="L111" s="59"/>
      <c r="M111" s="31">
        <f t="shared" si="1"/>
        <v>0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8" t="s">
        <v>302</v>
      </c>
      <c r="B112" s="62"/>
      <c r="C112" s="62"/>
      <c r="D112" s="63"/>
      <c r="E112" s="64"/>
      <c r="F112" s="65"/>
      <c r="G112" s="65"/>
      <c r="H112" s="64"/>
      <c r="I112" s="66"/>
      <c r="J112" s="65"/>
      <c r="K112" s="12"/>
      <c r="L112" s="12"/>
      <c r="M112" s="28">
        <f t="shared" si="1"/>
        <v>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18" t="s">
        <v>303</v>
      </c>
      <c r="B113" s="57"/>
      <c r="C113" s="57"/>
      <c r="D113" s="58"/>
      <c r="E113" s="59"/>
      <c r="F113" s="59"/>
      <c r="G113" s="60"/>
      <c r="H113" s="60"/>
      <c r="I113" s="61"/>
      <c r="J113" s="59"/>
      <c r="K113" s="59"/>
      <c r="L113" s="59"/>
      <c r="M113" s="31">
        <f t="shared" si="1"/>
        <v>0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8" t="s">
        <v>304</v>
      </c>
      <c r="B114" s="62"/>
      <c r="C114" s="62"/>
      <c r="D114" s="63"/>
      <c r="E114" s="64"/>
      <c r="F114" s="65"/>
      <c r="G114" s="65"/>
      <c r="H114" s="64"/>
      <c r="I114" s="66"/>
      <c r="J114" s="65"/>
      <c r="K114" s="12"/>
      <c r="L114" s="12"/>
      <c r="M114" s="28">
        <f t="shared" si="1"/>
        <v>0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18" t="s">
        <v>305</v>
      </c>
      <c r="B115" s="57"/>
      <c r="C115" s="57"/>
      <c r="D115" s="58"/>
      <c r="E115" s="59"/>
      <c r="F115" s="59"/>
      <c r="G115" s="60"/>
      <c r="H115" s="60"/>
      <c r="I115" s="61"/>
      <c r="J115" s="59"/>
      <c r="K115" s="59"/>
      <c r="L115" s="59"/>
      <c r="M115" s="31">
        <f t="shared" si="1"/>
        <v>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8" t="s">
        <v>306</v>
      </c>
      <c r="B116" s="62"/>
      <c r="C116" s="62"/>
      <c r="D116" s="63"/>
      <c r="E116" s="64"/>
      <c r="F116" s="65"/>
      <c r="G116" s="65"/>
      <c r="H116" s="64"/>
      <c r="I116" s="66"/>
      <c r="J116" s="65"/>
      <c r="K116" s="12"/>
      <c r="L116" s="12"/>
      <c r="M116" s="28">
        <f t="shared" si="1"/>
        <v>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18" t="s">
        <v>307</v>
      </c>
      <c r="B117" s="57"/>
      <c r="C117" s="57"/>
      <c r="D117" s="58"/>
      <c r="E117" s="59"/>
      <c r="F117" s="59"/>
      <c r="G117" s="60"/>
      <c r="H117" s="60"/>
      <c r="I117" s="61"/>
      <c r="J117" s="59"/>
      <c r="K117" s="59"/>
      <c r="L117" s="59"/>
      <c r="M117" s="31">
        <f t="shared" si="1"/>
        <v>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8" t="s">
        <v>308</v>
      </c>
      <c r="B118" s="62"/>
      <c r="C118" s="62"/>
      <c r="D118" s="63"/>
      <c r="E118" s="64"/>
      <c r="F118" s="65"/>
      <c r="G118" s="65"/>
      <c r="H118" s="64"/>
      <c r="I118" s="66"/>
      <c r="J118" s="65"/>
      <c r="K118" s="12"/>
      <c r="L118" s="12"/>
      <c r="M118" s="28">
        <f t="shared" si="1"/>
        <v>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18" t="s">
        <v>309</v>
      </c>
      <c r="B119" s="57"/>
      <c r="C119" s="57"/>
      <c r="D119" s="58"/>
      <c r="E119" s="59"/>
      <c r="F119" s="59"/>
      <c r="G119" s="60"/>
      <c r="H119" s="60"/>
      <c r="I119" s="61"/>
      <c r="J119" s="59"/>
      <c r="K119" s="59"/>
      <c r="L119" s="59"/>
      <c r="M119" s="31">
        <f t="shared" si="1"/>
        <v>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8" t="s">
        <v>310</v>
      </c>
      <c r="B120" s="62"/>
      <c r="C120" s="62"/>
      <c r="D120" s="63"/>
      <c r="E120" s="64"/>
      <c r="F120" s="65"/>
      <c r="G120" s="65"/>
      <c r="H120" s="64"/>
      <c r="I120" s="66"/>
      <c r="J120" s="65"/>
      <c r="K120" s="12"/>
      <c r="L120" s="12"/>
      <c r="M120" s="28">
        <f t="shared" si="1"/>
        <v>0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18" t="s">
        <v>311</v>
      </c>
      <c r="B121" s="57"/>
      <c r="C121" s="57"/>
      <c r="D121" s="58"/>
      <c r="E121" s="59"/>
      <c r="F121" s="59"/>
      <c r="G121" s="60"/>
      <c r="H121" s="60"/>
      <c r="I121" s="61"/>
      <c r="J121" s="59"/>
      <c r="K121" s="59"/>
      <c r="L121" s="59"/>
      <c r="M121" s="31">
        <f t="shared" si="1"/>
        <v>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8" t="s">
        <v>312</v>
      </c>
      <c r="B122" s="62"/>
      <c r="C122" s="62"/>
      <c r="D122" s="63"/>
      <c r="E122" s="64"/>
      <c r="F122" s="65"/>
      <c r="G122" s="65"/>
      <c r="H122" s="64"/>
      <c r="I122" s="66"/>
      <c r="J122" s="65"/>
      <c r="K122" s="12"/>
      <c r="L122" s="12"/>
      <c r="M122" s="28">
        <f t="shared" si="1"/>
        <v>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18" t="s">
        <v>313</v>
      </c>
      <c r="B123" s="57"/>
      <c r="C123" s="57"/>
      <c r="D123" s="58"/>
      <c r="E123" s="59"/>
      <c r="F123" s="59"/>
      <c r="G123" s="60"/>
      <c r="H123" s="60"/>
      <c r="I123" s="61"/>
      <c r="J123" s="59"/>
      <c r="K123" s="59"/>
      <c r="L123" s="59"/>
      <c r="M123" s="31">
        <f t="shared" si="1"/>
        <v>0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8" t="s">
        <v>314</v>
      </c>
      <c r="B124" s="62"/>
      <c r="C124" s="62"/>
      <c r="D124" s="63"/>
      <c r="E124" s="64"/>
      <c r="F124" s="65"/>
      <c r="G124" s="65"/>
      <c r="H124" s="64"/>
      <c r="I124" s="66"/>
      <c r="J124" s="65"/>
      <c r="K124" s="12"/>
      <c r="L124" s="12"/>
      <c r="M124" s="28">
        <f t="shared" si="1"/>
        <v>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18" t="s">
        <v>315</v>
      </c>
      <c r="B125" s="57"/>
      <c r="C125" s="57"/>
      <c r="D125" s="58"/>
      <c r="E125" s="59"/>
      <c r="F125" s="59"/>
      <c r="G125" s="60"/>
      <c r="H125" s="60"/>
      <c r="I125" s="61"/>
      <c r="J125" s="59"/>
      <c r="K125" s="59"/>
      <c r="L125" s="59"/>
      <c r="M125" s="31">
        <f t="shared" si="1"/>
        <v>0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8" t="s">
        <v>316</v>
      </c>
      <c r="B126" s="62"/>
      <c r="C126" s="62"/>
      <c r="D126" s="63"/>
      <c r="E126" s="64"/>
      <c r="F126" s="65"/>
      <c r="G126" s="65"/>
      <c r="H126" s="64"/>
      <c r="I126" s="66"/>
      <c r="J126" s="65"/>
      <c r="K126" s="12"/>
      <c r="L126" s="12"/>
      <c r="M126" s="28">
        <f t="shared" si="1"/>
        <v>0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18" t="s">
        <v>317</v>
      </c>
      <c r="B127" s="57"/>
      <c r="C127" s="57"/>
      <c r="D127" s="58"/>
      <c r="E127" s="59"/>
      <c r="F127" s="59"/>
      <c r="G127" s="60"/>
      <c r="H127" s="60"/>
      <c r="I127" s="61"/>
      <c r="J127" s="59"/>
      <c r="K127" s="59"/>
      <c r="L127" s="59"/>
      <c r="M127" s="31">
        <f t="shared" si="1"/>
        <v>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8" t="s">
        <v>318</v>
      </c>
      <c r="B128" s="62"/>
      <c r="C128" s="62"/>
      <c r="D128" s="63"/>
      <c r="E128" s="64"/>
      <c r="F128" s="65"/>
      <c r="G128" s="65"/>
      <c r="H128" s="64"/>
      <c r="I128" s="66"/>
      <c r="J128" s="65"/>
      <c r="K128" s="12"/>
      <c r="L128" s="12"/>
      <c r="M128" s="28">
        <f t="shared" si="1"/>
        <v>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18" t="s">
        <v>319</v>
      </c>
      <c r="B129" s="57"/>
      <c r="C129" s="57"/>
      <c r="D129" s="58"/>
      <c r="E129" s="59"/>
      <c r="F129" s="59"/>
      <c r="G129" s="60"/>
      <c r="H129" s="60"/>
      <c r="I129" s="61"/>
      <c r="J129" s="59"/>
      <c r="K129" s="59"/>
      <c r="L129" s="59"/>
      <c r="M129" s="31">
        <f t="shared" si="1"/>
        <v>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8" t="s">
        <v>320</v>
      </c>
      <c r="B130" s="62"/>
      <c r="C130" s="62"/>
      <c r="D130" s="63"/>
      <c r="E130" s="64"/>
      <c r="F130" s="65"/>
      <c r="G130" s="65"/>
      <c r="H130" s="64"/>
      <c r="I130" s="66"/>
      <c r="J130" s="65"/>
      <c r="K130" s="12"/>
      <c r="L130" s="12"/>
      <c r="M130" s="28">
        <f t="shared" si="1"/>
        <v>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18" t="s">
        <v>321</v>
      </c>
      <c r="B131" s="57"/>
      <c r="C131" s="57"/>
      <c r="D131" s="58"/>
      <c r="E131" s="59"/>
      <c r="F131" s="59"/>
      <c r="G131" s="60"/>
      <c r="H131" s="60"/>
      <c r="I131" s="61"/>
      <c r="J131" s="59"/>
      <c r="K131" s="59"/>
      <c r="L131" s="59"/>
      <c r="M131" s="31">
        <f t="shared" si="1"/>
        <v>0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8" t="s">
        <v>322</v>
      </c>
      <c r="B132" s="62"/>
      <c r="C132" s="62"/>
      <c r="D132" s="63"/>
      <c r="E132" s="64"/>
      <c r="F132" s="65"/>
      <c r="G132" s="65"/>
      <c r="H132" s="64"/>
      <c r="I132" s="66"/>
      <c r="J132" s="65"/>
      <c r="K132" s="12"/>
      <c r="L132" s="12"/>
      <c r="M132" s="28">
        <f t="shared" si="1"/>
        <v>0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18" t="s">
        <v>323</v>
      </c>
      <c r="B133" s="57"/>
      <c r="C133" s="57"/>
      <c r="D133" s="58"/>
      <c r="E133" s="59"/>
      <c r="F133" s="59"/>
      <c r="G133" s="60"/>
      <c r="H133" s="60"/>
      <c r="I133" s="61"/>
      <c r="J133" s="59"/>
      <c r="K133" s="59"/>
      <c r="L133" s="59"/>
      <c r="M133" s="31">
        <f t="shared" si="1"/>
        <v>0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8" t="s">
        <v>324</v>
      </c>
      <c r="B134" s="62"/>
      <c r="C134" s="62"/>
      <c r="D134" s="63"/>
      <c r="E134" s="64"/>
      <c r="F134" s="65"/>
      <c r="G134" s="65"/>
      <c r="H134" s="64"/>
      <c r="I134" s="66"/>
      <c r="J134" s="65"/>
      <c r="K134" s="12"/>
      <c r="L134" s="12"/>
      <c r="M134" s="28">
        <f t="shared" si="1"/>
        <v>0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18" t="s">
        <v>325</v>
      </c>
      <c r="B135" s="57"/>
      <c r="C135" s="57"/>
      <c r="D135" s="58"/>
      <c r="E135" s="59"/>
      <c r="F135" s="59"/>
      <c r="G135" s="60"/>
      <c r="H135" s="60"/>
      <c r="I135" s="61"/>
      <c r="J135" s="59"/>
      <c r="K135" s="59"/>
      <c r="L135" s="59"/>
      <c r="M135" s="31">
        <f t="shared" si="1"/>
        <v>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8" t="s">
        <v>326</v>
      </c>
      <c r="B136" s="62"/>
      <c r="C136" s="62"/>
      <c r="D136" s="63"/>
      <c r="E136" s="64"/>
      <c r="F136" s="65"/>
      <c r="G136" s="65"/>
      <c r="H136" s="64"/>
      <c r="I136" s="66"/>
      <c r="J136" s="65"/>
      <c r="K136" s="12"/>
      <c r="L136" s="12"/>
      <c r="M136" s="28">
        <f t="shared" si="1"/>
        <v>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18" t="s">
        <v>327</v>
      </c>
      <c r="B137" s="57"/>
      <c r="C137" s="57"/>
      <c r="D137" s="58"/>
      <c r="E137" s="59"/>
      <c r="F137" s="59"/>
      <c r="G137" s="60"/>
      <c r="H137" s="60"/>
      <c r="I137" s="61"/>
      <c r="J137" s="59"/>
      <c r="K137" s="59"/>
      <c r="L137" s="59"/>
      <c r="M137" s="31">
        <f t="shared" si="1"/>
        <v>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8" t="s">
        <v>328</v>
      </c>
      <c r="B138" s="62"/>
      <c r="C138" s="62"/>
      <c r="D138" s="63"/>
      <c r="E138" s="64"/>
      <c r="F138" s="65"/>
      <c r="G138" s="65"/>
      <c r="H138" s="64"/>
      <c r="I138" s="66"/>
      <c r="J138" s="65"/>
      <c r="K138" s="12"/>
      <c r="L138" s="12"/>
      <c r="M138" s="28">
        <f t="shared" si="1"/>
        <v>0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18" t="s">
        <v>329</v>
      </c>
      <c r="B139" s="57"/>
      <c r="C139" s="57"/>
      <c r="D139" s="58"/>
      <c r="E139" s="59"/>
      <c r="F139" s="59"/>
      <c r="G139" s="60"/>
      <c r="H139" s="60"/>
      <c r="I139" s="61"/>
      <c r="J139" s="59"/>
      <c r="K139" s="59"/>
      <c r="L139" s="59"/>
      <c r="M139" s="31">
        <f t="shared" si="1"/>
        <v>0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8" t="s">
        <v>330</v>
      </c>
      <c r="B140" s="120"/>
      <c r="C140" s="120"/>
      <c r="D140" s="121"/>
      <c r="E140" s="122"/>
      <c r="F140" s="123"/>
      <c r="G140" s="123"/>
      <c r="H140" s="122"/>
      <c r="I140" s="124"/>
      <c r="J140" s="123"/>
      <c r="K140" s="125"/>
      <c r="L140" s="125"/>
      <c r="M140" s="126">
        <f t="shared" si="1"/>
        <v>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18" t="s">
        <v>331</v>
      </c>
      <c r="B141" s="127"/>
      <c r="C141" s="127"/>
      <c r="D141" s="128"/>
      <c r="E141" s="129"/>
      <c r="F141" s="129"/>
      <c r="G141" s="130"/>
      <c r="H141" s="130"/>
      <c r="I141" s="131"/>
      <c r="J141" s="129"/>
      <c r="K141" s="129"/>
      <c r="L141" s="129"/>
      <c r="M141" s="132">
        <f t="shared" si="1"/>
        <v>0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8" t="s">
        <v>332</v>
      </c>
      <c r="B142" s="120"/>
      <c r="C142" s="120"/>
      <c r="D142" s="121"/>
      <c r="E142" s="122"/>
      <c r="F142" s="123"/>
      <c r="G142" s="123"/>
      <c r="H142" s="122"/>
      <c r="I142" s="124"/>
      <c r="J142" s="123"/>
      <c r="K142" s="125"/>
      <c r="L142" s="125"/>
      <c r="M142" s="126">
        <f t="shared" si="1"/>
        <v>0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18" t="s">
        <v>333</v>
      </c>
      <c r="B143" s="127"/>
      <c r="C143" s="127"/>
      <c r="D143" s="128"/>
      <c r="E143" s="129"/>
      <c r="F143" s="129"/>
      <c r="G143" s="130"/>
      <c r="H143" s="130"/>
      <c r="I143" s="131"/>
      <c r="J143" s="129"/>
      <c r="K143" s="129"/>
      <c r="L143" s="129"/>
      <c r="M143" s="132">
        <f t="shared" si="1"/>
        <v>0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8" t="s">
        <v>334</v>
      </c>
      <c r="B144" s="120"/>
      <c r="C144" s="120"/>
      <c r="D144" s="121"/>
      <c r="E144" s="122"/>
      <c r="F144" s="123"/>
      <c r="G144" s="123"/>
      <c r="H144" s="122"/>
      <c r="I144" s="124"/>
      <c r="J144" s="123"/>
      <c r="K144" s="125"/>
      <c r="L144" s="125"/>
      <c r="M144" s="126">
        <f t="shared" si="1"/>
        <v>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18" t="s">
        <v>335</v>
      </c>
      <c r="B145" s="127"/>
      <c r="C145" s="127"/>
      <c r="D145" s="128"/>
      <c r="E145" s="129"/>
      <c r="F145" s="129"/>
      <c r="G145" s="130"/>
      <c r="H145" s="130"/>
      <c r="I145" s="131"/>
      <c r="J145" s="129"/>
      <c r="K145" s="129"/>
      <c r="L145" s="129"/>
      <c r="M145" s="132">
        <f t="shared" si="1"/>
        <v>0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8" t="s">
        <v>336</v>
      </c>
      <c r="B146" s="120"/>
      <c r="C146" s="120"/>
      <c r="D146" s="121"/>
      <c r="E146" s="122"/>
      <c r="F146" s="123"/>
      <c r="G146" s="123"/>
      <c r="H146" s="122"/>
      <c r="I146" s="124"/>
      <c r="J146" s="123"/>
      <c r="K146" s="125"/>
      <c r="L146" s="125"/>
      <c r="M146" s="126">
        <f t="shared" si="1"/>
        <v>0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18" t="s">
        <v>337</v>
      </c>
      <c r="B147" s="127"/>
      <c r="C147" s="127"/>
      <c r="D147" s="128"/>
      <c r="E147" s="129"/>
      <c r="F147" s="129"/>
      <c r="G147" s="130"/>
      <c r="H147" s="130"/>
      <c r="I147" s="131"/>
      <c r="J147" s="129"/>
      <c r="K147" s="129"/>
      <c r="L147" s="129"/>
      <c r="M147" s="132">
        <f t="shared" si="1"/>
        <v>0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8" t="s">
        <v>338</v>
      </c>
      <c r="B148" s="120"/>
      <c r="C148" s="120"/>
      <c r="D148" s="121"/>
      <c r="E148" s="122"/>
      <c r="F148" s="123"/>
      <c r="G148" s="123"/>
      <c r="H148" s="122"/>
      <c r="I148" s="124"/>
      <c r="J148" s="123"/>
      <c r="K148" s="125"/>
      <c r="L148" s="125"/>
      <c r="M148" s="126">
        <f t="shared" si="1"/>
        <v>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18" t="s">
        <v>339</v>
      </c>
      <c r="B149" s="127"/>
      <c r="C149" s="127"/>
      <c r="D149" s="128"/>
      <c r="E149" s="129"/>
      <c r="F149" s="129"/>
      <c r="G149" s="130"/>
      <c r="H149" s="130"/>
      <c r="I149" s="131"/>
      <c r="J149" s="129"/>
      <c r="K149" s="129"/>
      <c r="L149" s="129"/>
      <c r="M149" s="132">
        <f t="shared" si="1"/>
        <v>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8" t="s">
        <v>340</v>
      </c>
      <c r="B150" s="120"/>
      <c r="C150" s="120"/>
      <c r="D150" s="121"/>
      <c r="E150" s="122"/>
      <c r="F150" s="123"/>
      <c r="G150" s="123"/>
      <c r="H150" s="122"/>
      <c r="I150" s="124"/>
      <c r="J150" s="123"/>
      <c r="K150" s="125"/>
      <c r="L150" s="125"/>
      <c r="M150" s="126">
        <f t="shared" si="1"/>
        <v>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18" t="s">
        <v>341</v>
      </c>
      <c r="B151" s="127"/>
      <c r="C151" s="127"/>
      <c r="D151" s="128"/>
      <c r="E151" s="129"/>
      <c r="F151" s="129"/>
      <c r="G151" s="130"/>
      <c r="H151" s="130"/>
      <c r="I151" s="131"/>
      <c r="J151" s="129"/>
      <c r="K151" s="129"/>
      <c r="L151" s="129"/>
      <c r="M151" s="132">
        <f t="shared" si="1"/>
        <v>0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8" t="s">
        <v>342</v>
      </c>
      <c r="B152" s="120"/>
      <c r="C152" s="120"/>
      <c r="D152" s="121"/>
      <c r="E152" s="122"/>
      <c r="F152" s="123"/>
      <c r="G152" s="123"/>
      <c r="H152" s="122"/>
      <c r="I152" s="124"/>
      <c r="J152" s="123"/>
      <c r="K152" s="125"/>
      <c r="L152" s="125"/>
      <c r="M152" s="126">
        <f t="shared" si="1"/>
        <v>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18" t="s">
        <v>343</v>
      </c>
      <c r="B153" s="127"/>
      <c r="C153" s="127"/>
      <c r="D153" s="128"/>
      <c r="E153" s="129"/>
      <c r="F153" s="129"/>
      <c r="G153" s="130"/>
      <c r="H153" s="130"/>
      <c r="I153" s="131"/>
      <c r="J153" s="129"/>
      <c r="K153" s="129"/>
      <c r="L153" s="129"/>
      <c r="M153" s="132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8" t="s">
        <v>344</v>
      </c>
      <c r="B154" s="120"/>
      <c r="C154" s="120"/>
      <c r="D154" s="121"/>
      <c r="E154" s="122"/>
      <c r="F154" s="123"/>
      <c r="G154" s="123"/>
      <c r="H154" s="122"/>
      <c r="I154" s="124"/>
      <c r="J154" s="123"/>
      <c r="K154" s="125"/>
      <c r="L154" s="125"/>
      <c r="M154" s="126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18" t="s">
        <v>345</v>
      </c>
      <c r="B155" s="127"/>
      <c r="C155" s="127"/>
      <c r="D155" s="128"/>
      <c r="E155" s="129"/>
      <c r="F155" s="129"/>
      <c r="G155" s="130"/>
      <c r="H155" s="130"/>
      <c r="I155" s="131"/>
      <c r="J155" s="129"/>
      <c r="K155" s="129"/>
      <c r="L155" s="129"/>
      <c r="M155" s="132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8" t="s">
        <v>346</v>
      </c>
      <c r="B156" s="120"/>
      <c r="C156" s="120"/>
      <c r="D156" s="121"/>
      <c r="E156" s="122"/>
      <c r="F156" s="123"/>
      <c r="G156" s="123"/>
      <c r="H156" s="122"/>
      <c r="I156" s="124"/>
      <c r="J156" s="123"/>
      <c r="K156" s="125"/>
      <c r="L156" s="125"/>
      <c r="M156" s="126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18" t="s">
        <v>347</v>
      </c>
      <c r="B157" s="127"/>
      <c r="C157" s="127"/>
      <c r="D157" s="128"/>
      <c r="E157" s="129"/>
      <c r="F157" s="129"/>
      <c r="G157" s="130"/>
      <c r="H157" s="130"/>
      <c r="I157" s="131"/>
      <c r="J157" s="129"/>
      <c r="K157" s="129"/>
      <c r="L157" s="129"/>
      <c r="M157" s="132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8" t="s">
        <v>348</v>
      </c>
      <c r="B158" s="120"/>
      <c r="C158" s="120"/>
      <c r="D158" s="121"/>
      <c r="E158" s="122"/>
      <c r="F158" s="123"/>
      <c r="G158" s="123"/>
      <c r="H158" s="122"/>
      <c r="I158" s="124"/>
      <c r="J158" s="123"/>
      <c r="K158" s="125"/>
      <c r="L158" s="125"/>
      <c r="M158" s="126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18" t="s">
        <v>349</v>
      </c>
      <c r="B159" s="127"/>
      <c r="C159" s="127"/>
      <c r="D159" s="128"/>
      <c r="E159" s="129"/>
      <c r="F159" s="129"/>
      <c r="G159" s="130"/>
      <c r="H159" s="130"/>
      <c r="I159" s="131"/>
      <c r="J159" s="129"/>
      <c r="K159" s="129"/>
      <c r="L159" s="129"/>
      <c r="M159" s="132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8" t="s">
        <v>350</v>
      </c>
      <c r="B160" s="120"/>
      <c r="C160" s="120"/>
      <c r="D160" s="121"/>
      <c r="E160" s="122"/>
      <c r="F160" s="123"/>
      <c r="G160" s="123"/>
      <c r="H160" s="122"/>
      <c r="I160" s="124"/>
      <c r="J160" s="123"/>
      <c r="K160" s="125"/>
      <c r="L160" s="125"/>
      <c r="M160" s="126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18" t="s">
        <v>351</v>
      </c>
      <c r="B161" s="127"/>
      <c r="C161" s="127"/>
      <c r="D161" s="128"/>
      <c r="E161" s="129"/>
      <c r="F161" s="129"/>
      <c r="G161" s="130"/>
      <c r="H161" s="130"/>
      <c r="I161" s="131"/>
      <c r="J161" s="129"/>
      <c r="K161" s="129"/>
      <c r="L161" s="129"/>
      <c r="M161" s="132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8" t="s">
        <v>352</v>
      </c>
      <c r="B162" s="120"/>
      <c r="C162" s="120"/>
      <c r="D162" s="121"/>
      <c r="E162" s="122"/>
      <c r="F162" s="123"/>
      <c r="G162" s="123"/>
      <c r="H162" s="122"/>
      <c r="I162" s="124"/>
      <c r="J162" s="123"/>
      <c r="K162" s="125"/>
      <c r="L162" s="125"/>
      <c r="M162" s="126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18" t="s">
        <v>353</v>
      </c>
      <c r="B163" s="127"/>
      <c r="C163" s="127"/>
      <c r="D163" s="128"/>
      <c r="E163" s="129"/>
      <c r="F163" s="129"/>
      <c r="G163" s="130"/>
      <c r="H163" s="130"/>
      <c r="I163" s="131"/>
      <c r="J163" s="129"/>
      <c r="K163" s="129"/>
      <c r="L163" s="129"/>
      <c r="M163" s="132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8" t="s">
        <v>354</v>
      </c>
      <c r="B164" s="120"/>
      <c r="C164" s="120"/>
      <c r="D164" s="121"/>
      <c r="E164" s="122"/>
      <c r="F164" s="123"/>
      <c r="G164" s="123"/>
      <c r="H164" s="122"/>
      <c r="I164" s="124"/>
      <c r="J164" s="123"/>
      <c r="K164" s="125"/>
      <c r="L164" s="125"/>
      <c r="M164" s="126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18" t="s">
        <v>355</v>
      </c>
      <c r="B165" s="127"/>
      <c r="C165" s="127"/>
      <c r="D165" s="128"/>
      <c r="E165" s="129"/>
      <c r="F165" s="129"/>
      <c r="G165" s="130"/>
      <c r="H165" s="130"/>
      <c r="I165" s="131"/>
      <c r="J165" s="129"/>
      <c r="K165" s="129"/>
      <c r="L165" s="129"/>
      <c r="M165" s="132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8" t="s">
        <v>356</v>
      </c>
      <c r="B166" s="120"/>
      <c r="C166" s="120"/>
      <c r="D166" s="121"/>
      <c r="E166" s="122"/>
      <c r="F166" s="123"/>
      <c r="G166" s="123"/>
      <c r="H166" s="122"/>
      <c r="I166" s="124"/>
      <c r="J166" s="123"/>
      <c r="K166" s="125"/>
      <c r="L166" s="125"/>
      <c r="M166" s="126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18" t="s">
        <v>357</v>
      </c>
      <c r="B167" s="127"/>
      <c r="C167" s="127"/>
      <c r="D167" s="128"/>
      <c r="E167" s="129"/>
      <c r="F167" s="129"/>
      <c r="G167" s="130"/>
      <c r="H167" s="130"/>
      <c r="I167" s="131"/>
      <c r="J167" s="129"/>
      <c r="K167" s="129"/>
      <c r="L167" s="129"/>
      <c r="M167" s="132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8" t="s">
        <v>358</v>
      </c>
      <c r="B168" s="120"/>
      <c r="C168" s="120"/>
      <c r="D168" s="121"/>
      <c r="E168" s="122"/>
      <c r="F168" s="123"/>
      <c r="G168" s="123"/>
      <c r="H168" s="122"/>
      <c r="I168" s="124"/>
      <c r="J168" s="123"/>
      <c r="K168" s="125"/>
      <c r="L168" s="125"/>
      <c r="M168" s="126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18" t="s">
        <v>359</v>
      </c>
      <c r="B169" s="127"/>
      <c r="C169" s="127"/>
      <c r="D169" s="128"/>
      <c r="E169" s="129"/>
      <c r="F169" s="129"/>
      <c r="G169" s="130"/>
      <c r="H169" s="130"/>
      <c r="I169" s="131"/>
      <c r="J169" s="129"/>
      <c r="K169" s="129"/>
      <c r="L169" s="129"/>
      <c r="M169" s="132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8" t="s">
        <v>360</v>
      </c>
      <c r="B170" s="120"/>
      <c r="C170" s="120"/>
      <c r="D170" s="121"/>
      <c r="E170" s="122"/>
      <c r="F170" s="123"/>
      <c r="G170" s="123"/>
      <c r="H170" s="122"/>
      <c r="I170" s="124"/>
      <c r="J170" s="123"/>
      <c r="K170" s="125"/>
      <c r="L170" s="125"/>
      <c r="M170" s="126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18" t="s">
        <v>361</v>
      </c>
      <c r="B171" s="127"/>
      <c r="C171" s="127"/>
      <c r="D171" s="128"/>
      <c r="E171" s="129"/>
      <c r="F171" s="129"/>
      <c r="G171" s="130"/>
      <c r="H171" s="130"/>
      <c r="I171" s="131"/>
      <c r="J171" s="129"/>
      <c r="K171" s="129"/>
      <c r="L171" s="129"/>
      <c r="M171" s="132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8" t="s">
        <v>362</v>
      </c>
      <c r="B172" s="120"/>
      <c r="C172" s="120"/>
      <c r="D172" s="121"/>
      <c r="E172" s="122"/>
      <c r="F172" s="123"/>
      <c r="G172" s="123"/>
      <c r="H172" s="122"/>
      <c r="I172" s="124"/>
      <c r="J172" s="123"/>
      <c r="K172" s="125"/>
      <c r="L172" s="125"/>
      <c r="M172" s="126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8.0" customHeight="1">
      <c r="A173" s="18" t="s">
        <v>363</v>
      </c>
      <c r="B173" s="127"/>
      <c r="C173" s="127"/>
      <c r="D173" s="128"/>
      <c r="E173" s="129"/>
      <c r="F173" s="129"/>
      <c r="G173" s="130"/>
      <c r="H173" s="130"/>
      <c r="I173" s="131"/>
      <c r="J173" s="129"/>
      <c r="K173" s="129"/>
      <c r="L173" s="129"/>
      <c r="M173" s="132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0" customHeight="1">
      <c r="A174" s="8" t="s">
        <v>364</v>
      </c>
      <c r="B174" s="120"/>
      <c r="C174" s="120"/>
      <c r="D174" s="121"/>
      <c r="E174" s="122"/>
      <c r="F174" s="123"/>
      <c r="G174" s="123"/>
      <c r="H174" s="122"/>
      <c r="I174" s="124"/>
      <c r="J174" s="123"/>
      <c r="K174" s="125"/>
      <c r="L174" s="125"/>
      <c r="M174" s="126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0" customHeight="1">
      <c r="A175" s="18" t="s">
        <v>365</v>
      </c>
      <c r="B175" s="127"/>
      <c r="C175" s="127"/>
      <c r="D175" s="128"/>
      <c r="E175" s="129"/>
      <c r="F175" s="129"/>
      <c r="G175" s="130"/>
      <c r="H175" s="130"/>
      <c r="I175" s="131"/>
      <c r="J175" s="129"/>
      <c r="K175" s="129"/>
      <c r="L175" s="129"/>
      <c r="M175" s="132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0" customHeight="1">
      <c r="A176" s="8" t="s">
        <v>366</v>
      </c>
      <c r="B176" s="120"/>
      <c r="C176" s="120"/>
      <c r="D176" s="121"/>
      <c r="E176" s="122"/>
      <c r="F176" s="123"/>
      <c r="G176" s="123"/>
      <c r="H176" s="122"/>
      <c r="I176" s="124"/>
      <c r="J176" s="123"/>
      <c r="K176" s="125"/>
      <c r="L176" s="125"/>
      <c r="M176" s="126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customHeight="1">
      <c r="A177" s="18" t="s">
        <v>367</v>
      </c>
      <c r="B177" s="127"/>
      <c r="C177" s="127"/>
      <c r="D177" s="128"/>
      <c r="E177" s="129"/>
      <c r="F177" s="129"/>
      <c r="G177" s="130"/>
      <c r="H177" s="130"/>
      <c r="I177" s="131"/>
      <c r="J177" s="129"/>
      <c r="K177" s="129"/>
      <c r="L177" s="129"/>
      <c r="M177" s="132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8" t="s">
        <v>368</v>
      </c>
      <c r="B178" s="120"/>
      <c r="C178" s="120"/>
      <c r="D178" s="121"/>
      <c r="E178" s="122"/>
      <c r="F178" s="123"/>
      <c r="G178" s="123"/>
      <c r="H178" s="122"/>
      <c r="I178" s="124"/>
      <c r="J178" s="123"/>
      <c r="K178" s="125"/>
      <c r="L178" s="125"/>
      <c r="M178" s="126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18" t="s">
        <v>369</v>
      </c>
      <c r="B179" s="127"/>
      <c r="C179" s="127"/>
      <c r="D179" s="128"/>
      <c r="E179" s="129"/>
      <c r="F179" s="129"/>
      <c r="G179" s="130"/>
      <c r="H179" s="130"/>
      <c r="I179" s="131"/>
      <c r="J179" s="129"/>
      <c r="K179" s="129"/>
      <c r="L179" s="129"/>
      <c r="M179" s="132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8" t="s">
        <v>370</v>
      </c>
      <c r="B180" s="120"/>
      <c r="C180" s="120"/>
      <c r="D180" s="121"/>
      <c r="E180" s="122"/>
      <c r="F180" s="123"/>
      <c r="G180" s="123"/>
      <c r="H180" s="122"/>
      <c r="I180" s="124"/>
      <c r="J180" s="123"/>
      <c r="K180" s="125"/>
      <c r="L180" s="125"/>
      <c r="M180" s="126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0" customHeight="1">
      <c r="A181" s="18" t="s">
        <v>371</v>
      </c>
      <c r="B181" s="127"/>
      <c r="C181" s="127"/>
      <c r="D181" s="128"/>
      <c r="E181" s="129"/>
      <c r="F181" s="129"/>
      <c r="G181" s="130"/>
      <c r="H181" s="130"/>
      <c r="I181" s="131"/>
      <c r="J181" s="129"/>
      <c r="K181" s="129"/>
      <c r="L181" s="129"/>
      <c r="M181" s="132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0" customHeight="1">
      <c r="A182" s="8" t="s">
        <v>372</v>
      </c>
      <c r="B182" s="120"/>
      <c r="C182" s="120"/>
      <c r="D182" s="121"/>
      <c r="E182" s="122"/>
      <c r="F182" s="123"/>
      <c r="G182" s="123"/>
      <c r="H182" s="122"/>
      <c r="I182" s="124"/>
      <c r="J182" s="123"/>
      <c r="K182" s="125"/>
      <c r="L182" s="125"/>
      <c r="M182" s="126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0" customHeight="1">
      <c r="A183" s="18" t="s">
        <v>373</v>
      </c>
      <c r="B183" s="127"/>
      <c r="C183" s="127"/>
      <c r="D183" s="128"/>
      <c r="E183" s="129"/>
      <c r="F183" s="129"/>
      <c r="G183" s="130"/>
      <c r="H183" s="130"/>
      <c r="I183" s="131"/>
      <c r="J183" s="129"/>
      <c r="K183" s="129"/>
      <c r="L183" s="129"/>
      <c r="M183" s="132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0" customHeight="1">
      <c r="A184" s="8" t="s">
        <v>374</v>
      </c>
      <c r="B184" s="120"/>
      <c r="C184" s="120"/>
      <c r="D184" s="121"/>
      <c r="E184" s="122"/>
      <c r="F184" s="123"/>
      <c r="G184" s="123"/>
      <c r="H184" s="122"/>
      <c r="I184" s="124"/>
      <c r="J184" s="123"/>
      <c r="K184" s="125"/>
      <c r="L184" s="125"/>
      <c r="M184" s="126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0" customHeight="1">
      <c r="A185" s="18" t="s">
        <v>375</v>
      </c>
      <c r="B185" s="127"/>
      <c r="C185" s="127"/>
      <c r="D185" s="128"/>
      <c r="E185" s="129"/>
      <c r="F185" s="129"/>
      <c r="G185" s="130"/>
      <c r="H185" s="130"/>
      <c r="I185" s="131"/>
      <c r="J185" s="129"/>
      <c r="K185" s="129"/>
      <c r="L185" s="129"/>
      <c r="M185" s="132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0" customHeight="1">
      <c r="A186" s="8" t="s">
        <v>376</v>
      </c>
      <c r="B186" s="120"/>
      <c r="C186" s="120"/>
      <c r="D186" s="121"/>
      <c r="E186" s="122"/>
      <c r="F186" s="123"/>
      <c r="G186" s="123"/>
      <c r="H186" s="122"/>
      <c r="I186" s="124"/>
      <c r="J186" s="123"/>
      <c r="K186" s="125"/>
      <c r="L186" s="125"/>
      <c r="M186" s="126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0" customHeight="1">
      <c r="A187" s="18" t="s">
        <v>377</v>
      </c>
      <c r="B187" s="127"/>
      <c r="C187" s="127"/>
      <c r="D187" s="128"/>
      <c r="E187" s="129"/>
      <c r="F187" s="129"/>
      <c r="G187" s="130"/>
      <c r="H187" s="130"/>
      <c r="I187" s="131"/>
      <c r="J187" s="129"/>
      <c r="K187" s="129"/>
      <c r="L187" s="129"/>
      <c r="M187" s="132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0" customHeight="1">
      <c r="A188" s="8" t="s">
        <v>378</v>
      </c>
      <c r="B188" s="120"/>
      <c r="C188" s="120"/>
      <c r="D188" s="121"/>
      <c r="E188" s="122"/>
      <c r="F188" s="123"/>
      <c r="G188" s="123"/>
      <c r="H188" s="122"/>
      <c r="I188" s="124"/>
      <c r="J188" s="123"/>
      <c r="K188" s="125"/>
      <c r="L188" s="125"/>
      <c r="M188" s="126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0" customHeight="1">
      <c r="A189" s="18" t="s">
        <v>379</v>
      </c>
      <c r="B189" s="127"/>
      <c r="C189" s="127"/>
      <c r="D189" s="128"/>
      <c r="E189" s="129"/>
      <c r="F189" s="129"/>
      <c r="G189" s="130"/>
      <c r="H189" s="130"/>
      <c r="I189" s="131"/>
      <c r="J189" s="129"/>
      <c r="K189" s="129"/>
      <c r="L189" s="129"/>
      <c r="M189" s="132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0" customHeight="1">
      <c r="A190" s="8" t="s">
        <v>380</v>
      </c>
      <c r="B190" s="120"/>
      <c r="C190" s="120"/>
      <c r="D190" s="121"/>
      <c r="E190" s="122"/>
      <c r="F190" s="123"/>
      <c r="G190" s="123"/>
      <c r="H190" s="122"/>
      <c r="I190" s="124"/>
      <c r="J190" s="123"/>
      <c r="K190" s="125"/>
      <c r="L190" s="125"/>
      <c r="M190" s="126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customHeight="1">
      <c r="A191" s="18" t="s">
        <v>381</v>
      </c>
      <c r="B191" s="127"/>
      <c r="C191" s="127"/>
      <c r="D191" s="128"/>
      <c r="E191" s="129"/>
      <c r="F191" s="129"/>
      <c r="G191" s="130"/>
      <c r="H191" s="130"/>
      <c r="I191" s="131"/>
      <c r="J191" s="129"/>
      <c r="K191" s="129"/>
      <c r="L191" s="129"/>
      <c r="M191" s="132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customHeight="1">
      <c r="A192" s="8" t="s">
        <v>382</v>
      </c>
      <c r="B192" s="120"/>
      <c r="C192" s="120"/>
      <c r="D192" s="121"/>
      <c r="E192" s="122"/>
      <c r="F192" s="123"/>
      <c r="G192" s="123"/>
      <c r="H192" s="122"/>
      <c r="I192" s="124"/>
      <c r="J192" s="123"/>
      <c r="K192" s="125"/>
      <c r="L192" s="125"/>
      <c r="M192" s="126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18" t="s">
        <v>383</v>
      </c>
      <c r="B193" s="127"/>
      <c r="C193" s="127"/>
      <c r="D193" s="128"/>
      <c r="E193" s="129"/>
      <c r="F193" s="129"/>
      <c r="G193" s="130"/>
      <c r="H193" s="130"/>
      <c r="I193" s="131"/>
      <c r="J193" s="129"/>
      <c r="K193" s="129"/>
      <c r="L193" s="129"/>
      <c r="M193" s="132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0" customHeight="1">
      <c r="A194" s="8" t="s">
        <v>384</v>
      </c>
      <c r="B194" s="120"/>
      <c r="C194" s="120"/>
      <c r="D194" s="121"/>
      <c r="E194" s="122"/>
      <c r="F194" s="123"/>
      <c r="G194" s="123"/>
      <c r="H194" s="122"/>
      <c r="I194" s="124"/>
      <c r="J194" s="123"/>
      <c r="K194" s="125"/>
      <c r="L194" s="125"/>
      <c r="M194" s="126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0" customHeight="1">
      <c r="A195" s="18" t="s">
        <v>385</v>
      </c>
      <c r="B195" s="127"/>
      <c r="C195" s="127"/>
      <c r="D195" s="128"/>
      <c r="E195" s="129"/>
      <c r="F195" s="129"/>
      <c r="G195" s="130"/>
      <c r="H195" s="130"/>
      <c r="I195" s="131"/>
      <c r="J195" s="129"/>
      <c r="K195" s="129"/>
      <c r="L195" s="129"/>
      <c r="M195" s="132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0" customHeight="1">
      <c r="A196" s="8" t="s">
        <v>386</v>
      </c>
      <c r="B196" s="120"/>
      <c r="C196" s="120"/>
      <c r="D196" s="121"/>
      <c r="E196" s="122"/>
      <c r="F196" s="123"/>
      <c r="G196" s="123"/>
      <c r="H196" s="122"/>
      <c r="I196" s="124"/>
      <c r="J196" s="123"/>
      <c r="K196" s="125"/>
      <c r="L196" s="125"/>
      <c r="M196" s="126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0" customHeight="1">
      <c r="A197" s="18" t="s">
        <v>387</v>
      </c>
      <c r="B197" s="127"/>
      <c r="C197" s="127"/>
      <c r="D197" s="128"/>
      <c r="E197" s="129"/>
      <c r="F197" s="129"/>
      <c r="G197" s="130"/>
      <c r="H197" s="130"/>
      <c r="I197" s="131"/>
      <c r="J197" s="129"/>
      <c r="K197" s="129"/>
      <c r="L197" s="129"/>
      <c r="M197" s="132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0" customHeight="1">
      <c r="A198" s="8" t="s">
        <v>388</v>
      </c>
      <c r="B198" s="120"/>
      <c r="C198" s="120"/>
      <c r="D198" s="121"/>
      <c r="E198" s="122"/>
      <c r="F198" s="123"/>
      <c r="G198" s="123"/>
      <c r="H198" s="122"/>
      <c r="I198" s="124"/>
      <c r="J198" s="123"/>
      <c r="K198" s="125"/>
      <c r="L198" s="125"/>
      <c r="M198" s="126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0" customHeight="1">
      <c r="A199" s="18" t="s">
        <v>389</v>
      </c>
      <c r="B199" s="127"/>
      <c r="C199" s="127"/>
      <c r="D199" s="128"/>
      <c r="E199" s="129"/>
      <c r="F199" s="129"/>
      <c r="G199" s="130"/>
      <c r="H199" s="130"/>
      <c r="I199" s="131"/>
      <c r="J199" s="129"/>
      <c r="K199" s="129"/>
      <c r="L199" s="129"/>
      <c r="M199" s="132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0" customHeight="1">
      <c r="A200" s="8" t="s">
        <v>390</v>
      </c>
      <c r="B200" s="120"/>
      <c r="C200" s="120"/>
      <c r="D200" s="121"/>
      <c r="E200" s="122"/>
      <c r="F200" s="123"/>
      <c r="G200" s="123"/>
      <c r="H200" s="122"/>
      <c r="I200" s="124"/>
      <c r="J200" s="123"/>
      <c r="K200" s="125"/>
      <c r="L200" s="125"/>
      <c r="M200" s="126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0" customHeight="1">
      <c r="A201" s="18" t="s">
        <v>391</v>
      </c>
      <c r="B201" s="127"/>
      <c r="C201" s="127"/>
      <c r="D201" s="128"/>
      <c r="E201" s="129"/>
      <c r="F201" s="129"/>
      <c r="G201" s="130"/>
      <c r="H201" s="130"/>
      <c r="I201" s="131"/>
      <c r="J201" s="129"/>
      <c r="K201" s="129"/>
      <c r="L201" s="129"/>
      <c r="M201" s="132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0" customHeight="1">
      <c r="A202" s="8" t="s">
        <v>392</v>
      </c>
      <c r="B202" s="120"/>
      <c r="C202" s="120"/>
      <c r="D202" s="121"/>
      <c r="E202" s="122"/>
      <c r="F202" s="123"/>
      <c r="G202" s="123"/>
      <c r="H202" s="122"/>
      <c r="I202" s="124"/>
      <c r="J202" s="123"/>
      <c r="K202" s="125"/>
      <c r="L202" s="125"/>
      <c r="M202" s="126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0" customHeight="1">
      <c r="A203" s="18" t="s">
        <v>393</v>
      </c>
      <c r="B203" s="127"/>
      <c r="C203" s="127"/>
      <c r="D203" s="128"/>
      <c r="E203" s="129"/>
      <c r="F203" s="129"/>
      <c r="G203" s="130"/>
      <c r="H203" s="130"/>
      <c r="I203" s="131"/>
      <c r="J203" s="129"/>
      <c r="K203" s="129"/>
      <c r="L203" s="129"/>
      <c r="M203" s="132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0" customHeight="1">
      <c r="A204" s="8" t="s">
        <v>394</v>
      </c>
      <c r="B204" s="120"/>
      <c r="C204" s="120"/>
      <c r="D204" s="121"/>
      <c r="E204" s="122"/>
      <c r="F204" s="123"/>
      <c r="G204" s="123"/>
      <c r="H204" s="122"/>
      <c r="I204" s="124"/>
      <c r="J204" s="123"/>
      <c r="K204" s="125"/>
      <c r="L204" s="125"/>
      <c r="M204" s="126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0" customHeight="1">
      <c r="A205" s="18" t="s">
        <v>395</v>
      </c>
      <c r="B205" s="127"/>
      <c r="C205" s="127"/>
      <c r="D205" s="128"/>
      <c r="E205" s="129"/>
      <c r="F205" s="129"/>
      <c r="G205" s="130"/>
      <c r="H205" s="130"/>
      <c r="I205" s="131"/>
      <c r="J205" s="129"/>
      <c r="K205" s="129"/>
      <c r="L205" s="129"/>
      <c r="M205" s="132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0" customHeight="1">
      <c r="A206" s="8" t="s">
        <v>396</v>
      </c>
      <c r="B206" s="120"/>
      <c r="C206" s="120"/>
      <c r="D206" s="121"/>
      <c r="E206" s="122"/>
      <c r="F206" s="123"/>
      <c r="G206" s="123"/>
      <c r="H206" s="122"/>
      <c r="I206" s="124"/>
      <c r="J206" s="123"/>
      <c r="K206" s="125"/>
      <c r="L206" s="125"/>
      <c r="M206" s="126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0" customHeight="1">
      <c r="A207" s="18" t="s">
        <v>397</v>
      </c>
      <c r="B207" s="127"/>
      <c r="C207" s="127"/>
      <c r="D207" s="128"/>
      <c r="E207" s="129"/>
      <c r="F207" s="129"/>
      <c r="G207" s="130"/>
      <c r="H207" s="130"/>
      <c r="I207" s="131"/>
      <c r="J207" s="129"/>
      <c r="K207" s="129"/>
      <c r="L207" s="129"/>
      <c r="M207" s="132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0" customHeight="1">
      <c r="A208" s="8" t="s">
        <v>398</v>
      </c>
      <c r="B208" s="120"/>
      <c r="C208" s="120"/>
      <c r="D208" s="121"/>
      <c r="E208" s="122"/>
      <c r="F208" s="123"/>
      <c r="G208" s="123"/>
      <c r="H208" s="122"/>
      <c r="I208" s="124"/>
      <c r="J208" s="123"/>
      <c r="K208" s="125"/>
      <c r="L208" s="125"/>
      <c r="M208" s="126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0" customHeight="1">
      <c r="A209" s="18" t="s">
        <v>399</v>
      </c>
      <c r="B209" s="127"/>
      <c r="C209" s="127"/>
      <c r="D209" s="128"/>
      <c r="E209" s="129"/>
      <c r="F209" s="129"/>
      <c r="G209" s="130"/>
      <c r="H209" s="130"/>
      <c r="I209" s="131"/>
      <c r="J209" s="129"/>
      <c r="K209" s="129"/>
      <c r="L209" s="129"/>
      <c r="M209" s="132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0" customHeight="1">
      <c r="A210" s="8" t="s">
        <v>400</v>
      </c>
      <c r="B210" s="120"/>
      <c r="C210" s="120"/>
      <c r="D210" s="121"/>
      <c r="E210" s="122"/>
      <c r="F210" s="123"/>
      <c r="G210" s="123"/>
      <c r="H210" s="122"/>
      <c r="I210" s="124"/>
      <c r="J210" s="123"/>
      <c r="K210" s="125"/>
      <c r="L210" s="125"/>
      <c r="M210" s="126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0" customHeight="1">
      <c r="A211" s="18" t="s">
        <v>401</v>
      </c>
      <c r="B211" s="127"/>
      <c r="C211" s="127"/>
      <c r="D211" s="128"/>
      <c r="E211" s="129"/>
      <c r="F211" s="129"/>
      <c r="G211" s="130"/>
      <c r="H211" s="130"/>
      <c r="I211" s="131"/>
      <c r="J211" s="129"/>
      <c r="K211" s="129"/>
      <c r="L211" s="129"/>
      <c r="M211" s="132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0" customHeight="1">
      <c r="A212" s="8" t="s">
        <v>402</v>
      </c>
      <c r="B212" s="120"/>
      <c r="C212" s="120"/>
      <c r="D212" s="121"/>
      <c r="E212" s="122"/>
      <c r="F212" s="123"/>
      <c r="G212" s="123"/>
      <c r="H212" s="122"/>
      <c r="I212" s="124"/>
      <c r="J212" s="123"/>
      <c r="K212" s="125"/>
      <c r="L212" s="125"/>
      <c r="M212" s="126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0" customHeight="1">
      <c r="A213" s="18" t="s">
        <v>403</v>
      </c>
      <c r="B213" s="127"/>
      <c r="C213" s="127"/>
      <c r="D213" s="128"/>
      <c r="E213" s="129"/>
      <c r="F213" s="129"/>
      <c r="G213" s="130"/>
      <c r="H213" s="130"/>
      <c r="I213" s="131"/>
      <c r="J213" s="129"/>
      <c r="K213" s="129"/>
      <c r="L213" s="129"/>
      <c r="M213" s="132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0" customHeight="1">
      <c r="A214" s="8" t="s">
        <v>404</v>
      </c>
      <c r="B214" s="120"/>
      <c r="C214" s="120"/>
      <c r="D214" s="121"/>
      <c r="E214" s="122"/>
      <c r="F214" s="123"/>
      <c r="G214" s="123"/>
      <c r="H214" s="122"/>
      <c r="I214" s="124"/>
      <c r="J214" s="123"/>
      <c r="K214" s="125"/>
      <c r="L214" s="125"/>
      <c r="M214" s="126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0" customHeight="1">
      <c r="A215" s="18" t="s">
        <v>405</v>
      </c>
      <c r="B215" s="127"/>
      <c r="C215" s="127"/>
      <c r="D215" s="128"/>
      <c r="E215" s="129"/>
      <c r="F215" s="129"/>
      <c r="G215" s="130"/>
      <c r="H215" s="130"/>
      <c r="I215" s="131"/>
      <c r="J215" s="129"/>
      <c r="K215" s="129"/>
      <c r="L215" s="129"/>
      <c r="M215" s="132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0" customHeight="1">
      <c r="A216" s="8" t="s">
        <v>406</v>
      </c>
      <c r="B216" s="120"/>
      <c r="C216" s="120"/>
      <c r="D216" s="121"/>
      <c r="E216" s="122"/>
      <c r="F216" s="123"/>
      <c r="G216" s="123"/>
      <c r="H216" s="122"/>
      <c r="I216" s="124"/>
      <c r="J216" s="123"/>
      <c r="K216" s="125"/>
      <c r="L216" s="125"/>
      <c r="M216" s="126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0" customHeight="1">
      <c r="A217" s="18" t="s">
        <v>407</v>
      </c>
      <c r="B217" s="127"/>
      <c r="C217" s="127"/>
      <c r="D217" s="128"/>
      <c r="E217" s="129"/>
      <c r="F217" s="129"/>
      <c r="G217" s="130"/>
      <c r="H217" s="130"/>
      <c r="I217" s="131"/>
      <c r="J217" s="129"/>
      <c r="K217" s="129"/>
      <c r="L217" s="129"/>
      <c r="M217" s="132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0" customHeight="1">
      <c r="A218" s="8" t="s">
        <v>408</v>
      </c>
      <c r="B218" s="120"/>
      <c r="C218" s="120"/>
      <c r="D218" s="121"/>
      <c r="E218" s="122"/>
      <c r="F218" s="123"/>
      <c r="G218" s="123"/>
      <c r="H218" s="122"/>
      <c r="I218" s="124"/>
      <c r="J218" s="123"/>
      <c r="K218" s="125"/>
      <c r="L218" s="125"/>
      <c r="M218" s="126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>
      <c r="A219" s="18" t="s">
        <v>409</v>
      </c>
      <c r="B219" s="127"/>
      <c r="C219" s="127"/>
      <c r="D219" s="128"/>
      <c r="E219" s="129"/>
      <c r="F219" s="129"/>
      <c r="G219" s="130"/>
      <c r="H219" s="130"/>
      <c r="I219" s="131"/>
      <c r="J219" s="129"/>
      <c r="K219" s="129"/>
      <c r="L219" s="129"/>
      <c r="M219" s="132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0" customHeight="1">
      <c r="A220" s="8" t="s">
        <v>410</v>
      </c>
      <c r="B220" s="120"/>
      <c r="C220" s="120"/>
      <c r="D220" s="121"/>
      <c r="E220" s="122"/>
      <c r="F220" s="123"/>
      <c r="G220" s="123"/>
      <c r="H220" s="122"/>
      <c r="I220" s="124"/>
      <c r="J220" s="123"/>
      <c r="K220" s="125"/>
      <c r="L220" s="125"/>
      <c r="M220" s="126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0" customHeight="1">
      <c r="A221" s="18" t="s">
        <v>411</v>
      </c>
      <c r="B221" s="127"/>
      <c r="C221" s="127"/>
      <c r="D221" s="128"/>
      <c r="E221" s="129"/>
      <c r="F221" s="129"/>
      <c r="G221" s="130"/>
      <c r="H221" s="130"/>
      <c r="I221" s="131"/>
      <c r="J221" s="129"/>
      <c r="K221" s="129"/>
      <c r="L221" s="129"/>
      <c r="M221" s="132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customHeight="1">
      <c r="A222" s="8" t="s">
        <v>412</v>
      </c>
      <c r="B222" s="120"/>
      <c r="C222" s="120"/>
      <c r="D222" s="121"/>
      <c r="E222" s="122"/>
      <c r="F222" s="123"/>
      <c r="G222" s="123"/>
      <c r="H222" s="122"/>
      <c r="I222" s="124"/>
      <c r="J222" s="123"/>
      <c r="K222" s="125"/>
      <c r="L222" s="125"/>
      <c r="M222" s="126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18" t="s">
        <v>413</v>
      </c>
      <c r="B223" s="127"/>
      <c r="C223" s="127"/>
      <c r="D223" s="128"/>
      <c r="E223" s="129"/>
      <c r="F223" s="129"/>
      <c r="G223" s="130"/>
      <c r="H223" s="130"/>
      <c r="I223" s="131"/>
      <c r="J223" s="129"/>
      <c r="K223" s="129"/>
      <c r="L223" s="129"/>
      <c r="M223" s="132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8" t="s">
        <v>414</v>
      </c>
      <c r="B224" s="120"/>
      <c r="C224" s="120"/>
      <c r="D224" s="121"/>
      <c r="E224" s="122"/>
      <c r="F224" s="123"/>
      <c r="G224" s="123"/>
      <c r="H224" s="122"/>
      <c r="I224" s="124"/>
      <c r="J224" s="123"/>
      <c r="K224" s="125"/>
      <c r="L224" s="125"/>
      <c r="M224" s="126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0" customHeight="1">
      <c r="A225" s="18" t="s">
        <v>415</v>
      </c>
      <c r="B225" s="127"/>
      <c r="C225" s="127"/>
      <c r="D225" s="128"/>
      <c r="E225" s="129"/>
      <c r="F225" s="129"/>
      <c r="G225" s="130"/>
      <c r="H225" s="130"/>
      <c r="I225" s="131"/>
      <c r="J225" s="129"/>
      <c r="K225" s="129"/>
      <c r="L225" s="129"/>
      <c r="M225" s="132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0" customHeight="1">
      <c r="A226" s="8" t="s">
        <v>416</v>
      </c>
      <c r="B226" s="120"/>
      <c r="C226" s="120"/>
      <c r="D226" s="121"/>
      <c r="E226" s="122"/>
      <c r="F226" s="123"/>
      <c r="G226" s="123"/>
      <c r="H226" s="122"/>
      <c r="I226" s="124"/>
      <c r="J226" s="123"/>
      <c r="K226" s="125"/>
      <c r="L226" s="125"/>
      <c r="M226" s="126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0" customHeight="1">
      <c r="A227" s="18" t="s">
        <v>417</v>
      </c>
      <c r="B227" s="127"/>
      <c r="C227" s="127"/>
      <c r="D227" s="128"/>
      <c r="E227" s="129"/>
      <c r="F227" s="129"/>
      <c r="G227" s="130"/>
      <c r="H227" s="130"/>
      <c r="I227" s="131"/>
      <c r="J227" s="129"/>
      <c r="K227" s="129"/>
      <c r="L227" s="129"/>
      <c r="M227" s="132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customHeight="1">
      <c r="A228" s="8" t="s">
        <v>418</v>
      </c>
      <c r="B228" s="120"/>
      <c r="C228" s="120"/>
      <c r="D228" s="121"/>
      <c r="E228" s="122"/>
      <c r="F228" s="123"/>
      <c r="G228" s="123"/>
      <c r="H228" s="122"/>
      <c r="I228" s="124"/>
      <c r="J228" s="123"/>
      <c r="K228" s="125"/>
      <c r="L228" s="125"/>
      <c r="M228" s="126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customHeight="1">
      <c r="A229" s="18" t="s">
        <v>419</v>
      </c>
      <c r="B229" s="127"/>
      <c r="C229" s="127"/>
      <c r="D229" s="128"/>
      <c r="E229" s="129"/>
      <c r="F229" s="129"/>
      <c r="G229" s="130"/>
      <c r="H229" s="130"/>
      <c r="I229" s="131"/>
      <c r="J229" s="129"/>
      <c r="K229" s="129"/>
      <c r="L229" s="129"/>
      <c r="M229" s="132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8" t="s">
        <v>420</v>
      </c>
      <c r="B230" s="120"/>
      <c r="C230" s="120"/>
      <c r="D230" s="121"/>
      <c r="E230" s="122"/>
      <c r="F230" s="123"/>
      <c r="G230" s="123"/>
      <c r="H230" s="122"/>
      <c r="I230" s="124"/>
      <c r="J230" s="123"/>
      <c r="K230" s="125"/>
      <c r="L230" s="125"/>
      <c r="M230" s="126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0" customHeight="1">
      <c r="A231" s="18" t="s">
        <v>421</v>
      </c>
      <c r="B231" s="127"/>
      <c r="C231" s="127"/>
      <c r="D231" s="128"/>
      <c r="E231" s="129"/>
      <c r="F231" s="129"/>
      <c r="G231" s="130"/>
      <c r="H231" s="130"/>
      <c r="I231" s="131"/>
      <c r="J231" s="129"/>
      <c r="K231" s="129"/>
      <c r="L231" s="129"/>
      <c r="M231" s="132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0" customHeight="1">
      <c r="A232" s="8" t="s">
        <v>422</v>
      </c>
      <c r="B232" s="120"/>
      <c r="C232" s="120"/>
      <c r="D232" s="121"/>
      <c r="E232" s="122"/>
      <c r="F232" s="123"/>
      <c r="G232" s="123"/>
      <c r="H232" s="122"/>
      <c r="I232" s="124"/>
      <c r="J232" s="123"/>
      <c r="K232" s="125"/>
      <c r="L232" s="125"/>
      <c r="M232" s="126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0" customHeight="1">
      <c r="A233" s="18" t="s">
        <v>423</v>
      </c>
      <c r="B233" s="127"/>
      <c r="C233" s="127"/>
      <c r="D233" s="128"/>
      <c r="E233" s="129"/>
      <c r="F233" s="129"/>
      <c r="G233" s="130"/>
      <c r="H233" s="130"/>
      <c r="I233" s="131"/>
      <c r="J233" s="129"/>
      <c r="K233" s="129"/>
      <c r="L233" s="129"/>
      <c r="M233" s="132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0" customHeight="1">
      <c r="A234" s="8" t="s">
        <v>424</v>
      </c>
      <c r="B234" s="120"/>
      <c r="C234" s="120"/>
      <c r="D234" s="121"/>
      <c r="E234" s="122"/>
      <c r="F234" s="123"/>
      <c r="G234" s="123"/>
      <c r="H234" s="122"/>
      <c r="I234" s="124"/>
      <c r="J234" s="123"/>
      <c r="K234" s="125"/>
      <c r="L234" s="125"/>
      <c r="M234" s="126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0" customHeight="1">
      <c r="A235" s="18" t="s">
        <v>425</v>
      </c>
      <c r="B235" s="127"/>
      <c r="C235" s="127"/>
      <c r="D235" s="128"/>
      <c r="E235" s="129"/>
      <c r="F235" s="129"/>
      <c r="G235" s="130"/>
      <c r="H235" s="130"/>
      <c r="I235" s="131"/>
      <c r="J235" s="129"/>
      <c r="K235" s="129"/>
      <c r="L235" s="129"/>
      <c r="M235" s="132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0" customHeight="1">
      <c r="A236" s="8" t="s">
        <v>426</v>
      </c>
      <c r="B236" s="120"/>
      <c r="C236" s="120"/>
      <c r="D236" s="121"/>
      <c r="E236" s="122"/>
      <c r="F236" s="123"/>
      <c r="G236" s="123"/>
      <c r="H236" s="122"/>
      <c r="I236" s="124"/>
      <c r="J236" s="123"/>
      <c r="K236" s="125"/>
      <c r="L236" s="125"/>
      <c r="M236" s="126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0" customHeight="1">
      <c r="A237" s="18" t="s">
        <v>427</v>
      </c>
      <c r="B237" s="127"/>
      <c r="C237" s="127"/>
      <c r="D237" s="128"/>
      <c r="E237" s="129"/>
      <c r="F237" s="129"/>
      <c r="G237" s="130"/>
      <c r="H237" s="130"/>
      <c r="I237" s="131"/>
      <c r="J237" s="129"/>
      <c r="K237" s="129"/>
      <c r="L237" s="129"/>
      <c r="M237" s="132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0" customHeight="1">
      <c r="A238" s="8" t="s">
        <v>428</v>
      </c>
      <c r="B238" s="120"/>
      <c r="C238" s="120"/>
      <c r="D238" s="121"/>
      <c r="E238" s="122"/>
      <c r="F238" s="123"/>
      <c r="G238" s="123"/>
      <c r="H238" s="122"/>
      <c r="I238" s="124"/>
      <c r="J238" s="123"/>
      <c r="K238" s="125"/>
      <c r="L238" s="125"/>
      <c r="M238" s="126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0" customHeight="1">
      <c r="A239" s="18" t="s">
        <v>429</v>
      </c>
      <c r="B239" s="127"/>
      <c r="C239" s="127"/>
      <c r="D239" s="128"/>
      <c r="E239" s="129"/>
      <c r="F239" s="129"/>
      <c r="G239" s="130"/>
      <c r="H239" s="130"/>
      <c r="I239" s="131"/>
      <c r="J239" s="129"/>
      <c r="K239" s="129"/>
      <c r="L239" s="129"/>
      <c r="M239" s="132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0" customHeight="1">
      <c r="A240" s="8" t="s">
        <v>430</v>
      </c>
      <c r="B240" s="120"/>
      <c r="C240" s="120"/>
      <c r="D240" s="121"/>
      <c r="E240" s="122"/>
      <c r="F240" s="123"/>
      <c r="G240" s="123"/>
      <c r="H240" s="122"/>
      <c r="I240" s="124"/>
      <c r="J240" s="123"/>
      <c r="K240" s="125"/>
      <c r="L240" s="125"/>
      <c r="M240" s="126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0" customHeight="1">
      <c r="A241" s="18" t="s">
        <v>431</v>
      </c>
      <c r="B241" s="127"/>
      <c r="C241" s="127"/>
      <c r="D241" s="128"/>
      <c r="E241" s="129"/>
      <c r="F241" s="129"/>
      <c r="G241" s="130"/>
      <c r="H241" s="130"/>
      <c r="I241" s="131"/>
      <c r="J241" s="129"/>
      <c r="K241" s="129"/>
      <c r="L241" s="129"/>
      <c r="M241" s="132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0" customHeight="1">
      <c r="A242" s="8" t="s">
        <v>432</v>
      </c>
      <c r="B242" s="120"/>
      <c r="C242" s="120"/>
      <c r="D242" s="121"/>
      <c r="E242" s="122"/>
      <c r="F242" s="123"/>
      <c r="G242" s="123"/>
      <c r="H242" s="122"/>
      <c r="I242" s="124"/>
      <c r="J242" s="123"/>
      <c r="K242" s="125"/>
      <c r="L242" s="125"/>
      <c r="M242" s="126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0" customHeight="1">
      <c r="A243" s="18" t="s">
        <v>433</v>
      </c>
      <c r="B243" s="127"/>
      <c r="C243" s="127"/>
      <c r="D243" s="128"/>
      <c r="E243" s="129"/>
      <c r="F243" s="129"/>
      <c r="G243" s="130"/>
      <c r="H243" s="130"/>
      <c r="I243" s="131"/>
      <c r="J243" s="129"/>
      <c r="K243" s="129"/>
      <c r="L243" s="129"/>
      <c r="M243" s="132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0" customHeight="1">
      <c r="A244" s="8" t="s">
        <v>434</v>
      </c>
      <c r="B244" s="120"/>
      <c r="C244" s="120"/>
      <c r="D244" s="121"/>
      <c r="E244" s="122"/>
      <c r="F244" s="123"/>
      <c r="G244" s="123"/>
      <c r="H244" s="122"/>
      <c r="I244" s="124"/>
      <c r="J244" s="123"/>
      <c r="K244" s="125"/>
      <c r="L244" s="125"/>
      <c r="M244" s="126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0" customHeight="1">
      <c r="A245" s="18" t="s">
        <v>435</v>
      </c>
      <c r="B245" s="127"/>
      <c r="C245" s="127"/>
      <c r="D245" s="128"/>
      <c r="E245" s="129"/>
      <c r="F245" s="129"/>
      <c r="G245" s="130"/>
      <c r="H245" s="130"/>
      <c r="I245" s="131"/>
      <c r="J245" s="129"/>
      <c r="K245" s="129"/>
      <c r="L245" s="129"/>
      <c r="M245" s="132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0" customHeight="1">
      <c r="A246" s="8" t="s">
        <v>436</v>
      </c>
      <c r="B246" s="120"/>
      <c r="C246" s="120"/>
      <c r="D246" s="121"/>
      <c r="E246" s="122"/>
      <c r="F246" s="123"/>
      <c r="G246" s="123"/>
      <c r="H246" s="122"/>
      <c r="I246" s="124"/>
      <c r="J246" s="123"/>
      <c r="K246" s="125"/>
      <c r="L246" s="125"/>
      <c r="M246" s="126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0" customHeight="1">
      <c r="A247" s="18" t="s">
        <v>437</v>
      </c>
      <c r="B247" s="127"/>
      <c r="C247" s="127"/>
      <c r="D247" s="128"/>
      <c r="E247" s="129"/>
      <c r="F247" s="129"/>
      <c r="G247" s="130"/>
      <c r="H247" s="130"/>
      <c r="I247" s="131"/>
      <c r="J247" s="129"/>
      <c r="K247" s="129"/>
      <c r="L247" s="129"/>
      <c r="M247" s="132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0" customHeight="1">
      <c r="A248" s="8" t="s">
        <v>438</v>
      </c>
      <c r="B248" s="120"/>
      <c r="C248" s="120"/>
      <c r="D248" s="121"/>
      <c r="E248" s="122"/>
      <c r="F248" s="123"/>
      <c r="G248" s="123"/>
      <c r="H248" s="122"/>
      <c r="I248" s="124"/>
      <c r="J248" s="123"/>
      <c r="K248" s="125"/>
      <c r="L248" s="125"/>
      <c r="M248" s="126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0" customHeight="1">
      <c r="A249" s="18" t="s">
        <v>439</v>
      </c>
      <c r="B249" s="127"/>
      <c r="C249" s="127"/>
      <c r="D249" s="128"/>
      <c r="E249" s="129"/>
      <c r="F249" s="129"/>
      <c r="G249" s="130"/>
      <c r="H249" s="130"/>
      <c r="I249" s="131"/>
      <c r="J249" s="129"/>
      <c r="K249" s="129"/>
      <c r="L249" s="129"/>
      <c r="M249" s="132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0" customHeight="1">
      <c r="A250" s="8" t="s">
        <v>440</v>
      </c>
      <c r="B250" s="120"/>
      <c r="C250" s="120"/>
      <c r="D250" s="121"/>
      <c r="E250" s="122"/>
      <c r="F250" s="123"/>
      <c r="G250" s="123"/>
      <c r="H250" s="122"/>
      <c r="I250" s="124"/>
      <c r="J250" s="123"/>
      <c r="K250" s="125"/>
      <c r="L250" s="125"/>
      <c r="M250" s="126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0" customHeight="1">
      <c r="A251" s="18" t="s">
        <v>441</v>
      </c>
      <c r="B251" s="127"/>
      <c r="C251" s="127"/>
      <c r="D251" s="128"/>
      <c r="E251" s="129"/>
      <c r="F251" s="129"/>
      <c r="G251" s="130"/>
      <c r="H251" s="130"/>
      <c r="I251" s="131"/>
      <c r="J251" s="129"/>
      <c r="K251" s="129"/>
      <c r="L251" s="129"/>
      <c r="M251" s="132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0" customHeight="1">
      <c r="A252" s="8" t="s">
        <v>442</v>
      </c>
      <c r="B252" s="120"/>
      <c r="C252" s="120"/>
      <c r="D252" s="121"/>
      <c r="E252" s="122"/>
      <c r="F252" s="123"/>
      <c r="G252" s="123"/>
      <c r="H252" s="122"/>
      <c r="I252" s="124"/>
      <c r="J252" s="123"/>
      <c r="K252" s="125"/>
      <c r="L252" s="125"/>
      <c r="M252" s="126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0" customHeight="1">
      <c r="A253" s="18" t="s">
        <v>443</v>
      </c>
      <c r="B253" s="127"/>
      <c r="C253" s="127"/>
      <c r="D253" s="128"/>
      <c r="E253" s="129"/>
      <c r="F253" s="129"/>
      <c r="G253" s="130"/>
      <c r="H253" s="130"/>
      <c r="I253" s="131"/>
      <c r="J253" s="129"/>
      <c r="K253" s="129"/>
      <c r="L253" s="129"/>
      <c r="M253" s="132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0" customHeight="1">
      <c r="A254" s="8" t="s">
        <v>444</v>
      </c>
      <c r="B254" s="120"/>
      <c r="C254" s="120"/>
      <c r="D254" s="121"/>
      <c r="E254" s="122"/>
      <c r="F254" s="123"/>
      <c r="G254" s="123"/>
      <c r="H254" s="122"/>
      <c r="I254" s="124"/>
      <c r="J254" s="123"/>
      <c r="K254" s="125"/>
      <c r="L254" s="125"/>
      <c r="M254" s="126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0" customHeight="1">
      <c r="A255" s="18" t="s">
        <v>445</v>
      </c>
      <c r="B255" s="127"/>
      <c r="C255" s="127"/>
      <c r="D255" s="128"/>
      <c r="E255" s="129"/>
      <c r="F255" s="129"/>
      <c r="G255" s="130"/>
      <c r="H255" s="130"/>
      <c r="I255" s="131"/>
      <c r="J255" s="129"/>
      <c r="K255" s="129"/>
      <c r="L255" s="129"/>
      <c r="M255" s="132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0" customHeight="1">
      <c r="A256" s="8" t="s">
        <v>446</v>
      </c>
      <c r="B256" s="120"/>
      <c r="C256" s="120"/>
      <c r="D256" s="121"/>
      <c r="E256" s="122"/>
      <c r="F256" s="123"/>
      <c r="G256" s="123"/>
      <c r="H256" s="122"/>
      <c r="I256" s="124"/>
      <c r="J256" s="123"/>
      <c r="K256" s="125"/>
      <c r="L256" s="125"/>
      <c r="M256" s="126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0" customHeight="1">
      <c r="A257" s="18" t="s">
        <v>447</v>
      </c>
      <c r="B257" s="127"/>
      <c r="C257" s="127"/>
      <c r="D257" s="128"/>
      <c r="E257" s="129"/>
      <c r="F257" s="129"/>
      <c r="G257" s="130"/>
      <c r="H257" s="130"/>
      <c r="I257" s="131"/>
      <c r="J257" s="129"/>
      <c r="K257" s="129"/>
      <c r="L257" s="129"/>
      <c r="M257" s="132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0" customHeight="1">
      <c r="A258" s="8" t="s">
        <v>448</v>
      </c>
      <c r="B258" s="120"/>
      <c r="C258" s="120"/>
      <c r="D258" s="121"/>
      <c r="E258" s="122"/>
      <c r="F258" s="123"/>
      <c r="G258" s="123"/>
      <c r="H258" s="122"/>
      <c r="I258" s="124"/>
      <c r="J258" s="123"/>
      <c r="K258" s="125"/>
      <c r="L258" s="125"/>
      <c r="M258" s="126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0" customHeight="1">
      <c r="A259" s="18" t="s">
        <v>449</v>
      </c>
      <c r="B259" s="127"/>
      <c r="C259" s="127"/>
      <c r="D259" s="128"/>
      <c r="E259" s="129"/>
      <c r="F259" s="129"/>
      <c r="G259" s="130"/>
      <c r="H259" s="130"/>
      <c r="I259" s="131"/>
      <c r="J259" s="129"/>
      <c r="K259" s="129"/>
      <c r="L259" s="129"/>
      <c r="M259" s="132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0" customHeight="1">
      <c r="A260" s="8" t="s">
        <v>450</v>
      </c>
      <c r="B260" s="120"/>
      <c r="C260" s="120"/>
      <c r="D260" s="121"/>
      <c r="E260" s="122"/>
      <c r="F260" s="123"/>
      <c r="G260" s="123"/>
      <c r="H260" s="122"/>
      <c r="I260" s="124"/>
      <c r="J260" s="123"/>
      <c r="K260" s="125"/>
      <c r="L260" s="125"/>
      <c r="M260" s="126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0" customHeight="1">
      <c r="A261" s="18" t="s">
        <v>451</v>
      </c>
      <c r="B261" s="127"/>
      <c r="C261" s="127"/>
      <c r="D261" s="128"/>
      <c r="E261" s="129"/>
      <c r="F261" s="129"/>
      <c r="G261" s="130"/>
      <c r="H261" s="130"/>
      <c r="I261" s="131"/>
      <c r="J261" s="129"/>
      <c r="K261" s="129"/>
      <c r="L261" s="129"/>
      <c r="M261" s="132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0" customHeight="1">
      <c r="A262" s="8" t="s">
        <v>452</v>
      </c>
      <c r="B262" s="120"/>
      <c r="C262" s="120"/>
      <c r="D262" s="121"/>
      <c r="E262" s="122"/>
      <c r="F262" s="123"/>
      <c r="G262" s="123"/>
      <c r="H262" s="122"/>
      <c r="I262" s="124"/>
      <c r="J262" s="123"/>
      <c r="K262" s="125"/>
      <c r="L262" s="125"/>
      <c r="M262" s="126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0" customHeight="1">
      <c r="A263" s="18" t="s">
        <v>453</v>
      </c>
      <c r="B263" s="127"/>
      <c r="C263" s="127"/>
      <c r="D263" s="128"/>
      <c r="E263" s="129"/>
      <c r="F263" s="129"/>
      <c r="G263" s="130"/>
      <c r="H263" s="130"/>
      <c r="I263" s="131"/>
      <c r="J263" s="129"/>
      <c r="K263" s="129"/>
      <c r="L263" s="129"/>
      <c r="M263" s="132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0" customHeight="1">
      <c r="A264" s="8" t="s">
        <v>454</v>
      </c>
      <c r="B264" s="120"/>
      <c r="C264" s="120"/>
      <c r="D264" s="121"/>
      <c r="E264" s="122"/>
      <c r="F264" s="123"/>
      <c r="G264" s="123"/>
      <c r="H264" s="122"/>
      <c r="I264" s="124"/>
      <c r="J264" s="123"/>
      <c r="K264" s="125"/>
      <c r="L264" s="125"/>
      <c r="M264" s="126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0" customHeight="1">
      <c r="A265" s="18" t="s">
        <v>455</v>
      </c>
      <c r="B265" s="127"/>
      <c r="C265" s="127"/>
      <c r="D265" s="128"/>
      <c r="E265" s="129"/>
      <c r="F265" s="129"/>
      <c r="G265" s="130"/>
      <c r="H265" s="130"/>
      <c r="I265" s="131"/>
      <c r="J265" s="129"/>
      <c r="K265" s="129"/>
      <c r="L265" s="129"/>
      <c r="M265" s="132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0" customHeight="1">
      <c r="A266" s="8" t="s">
        <v>456</v>
      </c>
      <c r="B266" s="120"/>
      <c r="C266" s="120"/>
      <c r="D266" s="121"/>
      <c r="E266" s="122"/>
      <c r="F266" s="123"/>
      <c r="G266" s="123"/>
      <c r="H266" s="122"/>
      <c r="I266" s="124"/>
      <c r="J266" s="123"/>
      <c r="K266" s="125"/>
      <c r="L266" s="125"/>
      <c r="M266" s="126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0" customHeight="1">
      <c r="A267" s="18" t="s">
        <v>457</v>
      </c>
      <c r="B267" s="127"/>
      <c r="C267" s="127"/>
      <c r="D267" s="128"/>
      <c r="E267" s="129"/>
      <c r="F267" s="129"/>
      <c r="G267" s="130"/>
      <c r="H267" s="130"/>
      <c r="I267" s="131"/>
      <c r="J267" s="129"/>
      <c r="K267" s="129"/>
      <c r="L267" s="129"/>
      <c r="M267" s="132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customHeight="1">
      <c r="A268" s="8" t="s">
        <v>458</v>
      </c>
      <c r="B268" s="120"/>
      <c r="C268" s="120"/>
      <c r="D268" s="121"/>
      <c r="E268" s="122"/>
      <c r="F268" s="123"/>
      <c r="G268" s="123"/>
      <c r="H268" s="122"/>
      <c r="I268" s="124"/>
      <c r="J268" s="123"/>
      <c r="K268" s="125"/>
      <c r="L268" s="125"/>
      <c r="M268" s="126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customHeight="1">
      <c r="A269" s="18" t="s">
        <v>459</v>
      </c>
      <c r="B269" s="127"/>
      <c r="C269" s="127"/>
      <c r="D269" s="128"/>
      <c r="E269" s="129"/>
      <c r="F269" s="129"/>
      <c r="G269" s="130"/>
      <c r="H269" s="130"/>
      <c r="I269" s="131"/>
      <c r="J269" s="129"/>
      <c r="K269" s="129"/>
      <c r="L269" s="129"/>
      <c r="M269" s="132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8" t="s">
        <v>460</v>
      </c>
      <c r="B270" s="120"/>
      <c r="C270" s="120"/>
      <c r="D270" s="121"/>
      <c r="E270" s="122"/>
      <c r="F270" s="123"/>
      <c r="G270" s="123"/>
      <c r="H270" s="122"/>
      <c r="I270" s="124"/>
      <c r="J270" s="123"/>
      <c r="K270" s="125"/>
      <c r="L270" s="125"/>
      <c r="M270" s="126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0" customHeight="1">
      <c r="A271" s="18" t="s">
        <v>461</v>
      </c>
      <c r="B271" s="127"/>
      <c r="C271" s="127"/>
      <c r="D271" s="128"/>
      <c r="E271" s="129"/>
      <c r="F271" s="129"/>
      <c r="G271" s="130"/>
      <c r="H271" s="130"/>
      <c r="I271" s="131"/>
      <c r="J271" s="129"/>
      <c r="K271" s="129"/>
      <c r="L271" s="129"/>
      <c r="M271" s="132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0" customHeight="1">
      <c r="A272" s="8" t="s">
        <v>462</v>
      </c>
      <c r="B272" s="120"/>
      <c r="C272" s="120"/>
      <c r="D272" s="121"/>
      <c r="E272" s="122"/>
      <c r="F272" s="123"/>
      <c r="G272" s="123"/>
      <c r="H272" s="122"/>
      <c r="I272" s="124"/>
      <c r="J272" s="123"/>
      <c r="K272" s="125"/>
      <c r="L272" s="125"/>
      <c r="M272" s="126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0" customHeight="1">
      <c r="A273" s="18" t="s">
        <v>463</v>
      </c>
      <c r="B273" s="127"/>
      <c r="C273" s="127"/>
      <c r="D273" s="128"/>
      <c r="E273" s="129"/>
      <c r="F273" s="129"/>
      <c r="G273" s="130"/>
      <c r="H273" s="130"/>
      <c r="I273" s="131"/>
      <c r="J273" s="129"/>
      <c r="K273" s="129"/>
      <c r="L273" s="129"/>
      <c r="M273" s="132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customHeight="1">
      <c r="A274" s="8" t="s">
        <v>464</v>
      </c>
      <c r="B274" s="120"/>
      <c r="C274" s="120"/>
      <c r="D274" s="121"/>
      <c r="E274" s="122"/>
      <c r="F274" s="123"/>
      <c r="G274" s="123"/>
      <c r="H274" s="122"/>
      <c r="I274" s="124"/>
      <c r="J274" s="123"/>
      <c r="K274" s="125"/>
      <c r="L274" s="125"/>
      <c r="M274" s="126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customHeight="1">
      <c r="A275" s="18" t="s">
        <v>465</v>
      </c>
      <c r="B275" s="127"/>
      <c r="C275" s="127"/>
      <c r="D275" s="128"/>
      <c r="E275" s="129"/>
      <c r="F275" s="129"/>
      <c r="G275" s="130"/>
      <c r="H275" s="130"/>
      <c r="I275" s="131"/>
      <c r="J275" s="129"/>
      <c r="K275" s="129"/>
      <c r="L275" s="129"/>
      <c r="M275" s="132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8" t="s">
        <v>466</v>
      </c>
      <c r="B276" s="120"/>
      <c r="C276" s="120"/>
      <c r="D276" s="121"/>
      <c r="E276" s="122"/>
      <c r="F276" s="123"/>
      <c r="G276" s="123"/>
      <c r="H276" s="122"/>
      <c r="I276" s="124"/>
      <c r="J276" s="123"/>
      <c r="K276" s="125"/>
      <c r="L276" s="125"/>
      <c r="M276" s="126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0" customHeight="1">
      <c r="A277" s="18" t="s">
        <v>467</v>
      </c>
      <c r="B277" s="127"/>
      <c r="C277" s="127"/>
      <c r="D277" s="128"/>
      <c r="E277" s="129"/>
      <c r="F277" s="129"/>
      <c r="G277" s="130"/>
      <c r="H277" s="130"/>
      <c r="I277" s="131"/>
      <c r="J277" s="129"/>
      <c r="K277" s="129"/>
      <c r="L277" s="129"/>
      <c r="M277" s="132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0" customHeight="1">
      <c r="A278" s="8" t="s">
        <v>468</v>
      </c>
      <c r="B278" s="120"/>
      <c r="C278" s="120"/>
      <c r="D278" s="121"/>
      <c r="E278" s="122"/>
      <c r="F278" s="123"/>
      <c r="G278" s="123"/>
      <c r="H278" s="122"/>
      <c r="I278" s="124"/>
      <c r="J278" s="123"/>
      <c r="K278" s="125"/>
      <c r="L278" s="125"/>
      <c r="M278" s="126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0" customHeight="1">
      <c r="A279" s="18" t="s">
        <v>469</v>
      </c>
      <c r="B279" s="127"/>
      <c r="C279" s="127"/>
      <c r="D279" s="128"/>
      <c r="E279" s="129"/>
      <c r="F279" s="129"/>
      <c r="G279" s="130"/>
      <c r="H279" s="130"/>
      <c r="I279" s="131"/>
      <c r="J279" s="129"/>
      <c r="K279" s="129"/>
      <c r="L279" s="129"/>
      <c r="M279" s="132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0" customHeight="1">
      <c r="A280" s="8" t="s">
        <v>470</v>
      </c>
      <c r="B280" s="120"/>
      <c r="C280" s="120"/>
      <c r="D280" s="121"/>
      <c r="E280" s="122"/>
      <c r="F280" s="123"/>
      <c r="G280" s="123"/>
      <c r="H280" s="122"/>
      <c r="I280" s="124"/>
      <c r="J280" s="123"/>
      <c r="K280" s="125"/>
      <c r="L280" s="125"/>
      <c r="M280" s="126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0" customHeight="1">
      <c r="A281" s="18" t="s">
        <v>471</v>
      </c>
      <c r="B281" s="127"/>
      <c r="C281" s="127"/>
      <c r="D281" s="128"/>
      <c r="E281" s="129"/>
      <c r="F281" s="129"/>
      <c r="G281" s="130"/>
      <c r="H281" s="130"/>
      <c r="I281" s="131"/>
      <c r="J281" s="129"/>
      <c r="K281" s="129"/>
      <c r="L281" s="129"/>
      <c r="M281" s="132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0" customHeight="1">
      <c r="A282" s="8" t="s">
        <v>472</v>
      </c>
      <c r="B282" s="120"/>
      <c r="C282" s="120"/>
      <c r="D282" s="121"/>
      <c r="E282" s="122"/>
      <c r="F282" s="123"/>
      <c r="G282" s="123"/>
      <c r="H282" s="122"/>
      <c r="I282" s="124"/>
      <c r="J282" s="123"/>
      <c r="K282" s="125"/>
      <c r="L282" s="125"/>
      <c r="M282" s="126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0" customHeight="1">
      <c r="A283" s="18" t="s">
        <v>473</v>
      </c>
      <c r="B283" s="127"/>
      <c r="C283" s="127"/>
      <c r="D283" s="128"/>
      <c r="E283" s="129"/>
      <c r="F283" s="129"/>
      <c r="G283" s="130"/>
      <c r="H283" s="130"/>
      <c r="I283" s="131"/>
      <c r="J283" s="129"/>
      <c r="K283" s="129"/>
      <c r="L283" s="129"/>
      <c r="M283" s="132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0" customHeight="1">
      <c r="A284" s="8" t="s">
        <v>474</v>
      </c>
      <c r="B284" s="120"/>
      <c r="C284" s="120"/>
      <c r="D284" s="121"/>
      <c r="E284" s="122"/>
      <c r="F284" s="123"/>
      <c r="G284" s="123"/>
      <c r="H284" s="122"/>
      <c r="I284" s="124"/>
      <c r="J284" s="123"/>
      <c r="K284" s="125"/>
      <c r="L284" s="125"/>
      <c r="M284" s="126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0" customHeight="1">
      <c r="A285" s="18" t="s">
        <v>475</v>
      </c>
      <c r="B285" s="127"/>
      <c r="C285" s="127"/>
      <c r="D285" s="128"/>
      <c r="E285" s="129"/>
      <c r="F285" s="129"/>
      <c r="G285" s="130"/>
      <c r="H285" s="130"/>
      <c r="I285" s="131"/>
      <c r="J285" s="129"/>
      <c r="K285" s="129"/>
      <c r="L285" s="129"/>
      <c r="M285" s="132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0" customHeight="1">
      <c r="A286" s="8" t="s">
        <v>476</v>
      </c>
      <c r="B286" s="120"/>
      <c r="C286" s="120"/>
      <c r="D286" s="121"/>
      <c r="E286" s="122"/>
      <c r="F286" s="123"/>
      <c r="G286" s="123"/>
      <c r="H286" s="122"/>
      <c r="I286" s="124"/>
      <c r="J286" s="123"/>
      <c r="K286" s="125"/>
      <c r="L286" s="125"/>
      <c r="M286" s="126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0" customHeight="1">
      <c r="A287" s="18" t="s">
        <v>477</v>
      </c>
      <c r="B287" s="127"/>
      <c r="C287" s="127"/>
      <c r="D287" s="128"/>
      <c r="E287" s="129"/>
      <c r="F287" s="129"/>
      <c r="G287" s="130"/>
      <c r="H287" s="130"/>
      <c r="I287" s="131"/>
      <c r="J287" s="129"/>
      <c r="K287" s="129"/>
      <c r="L287" s="129"/>
      <c r="M287" s="132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0" customHeight="1">
      <c r="A288" s="8" t="s">
        <v>478</v>
      </c>
      <c r="B288" s="120"/>
      <c r="C288" s="120"/>
      <c r="D288" s="121"/>
      <c r="E288" s="122"/>
      <c r="F288" s="123"/>
      <c r="G288" s="123"/>
      <c r="H288" s="122"/>
      <c r="I288" s="124"/>
      <c r="J288" s="123"/>
      <c r="K288" s="125"/>
      <c r="L288" s="125"/>
      <c r="M288" s="126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0" customHeight="1">
      <c r="A289" s="18" t="s">
        <v>479</v>
      </c>
      <c r="B289" s="127"/>
      <c r="C289" s="127"/>
      <c r="D289" s="128"/>
      <c r="E289" s="129"/>
      <c r="F289" s="129"/>
      <c r="G289" s="130"/>
      <c r="H289" s="130"/>
      <c r="I289" s="131"/>
      <c r="J289" s="129"/>
      <c r="K289" s="129"/>
      <c r="L289" s="129"/>
      <c r="M289" s="132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0" customHeight="1">
      <c r="A290" s="8" t="s">
        <v>480</v>
      </c>
      <c r="B290" s="120"/>
      <c r="C290" s="120"/>
      <c r="D290" s="121"/>
      <c r="E290" s="122"/>
      <c r="F290" s="123"/>
      <c r="G290" s="123"/>
      <c r="H290" s="122"/>
      <c r="I290" s="124"/>
      <c r="J290" s="123"/>
      <c r="K290" s="125"/>
      <c r="L290" s="125"/>
      <c r="M290" s="126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0" customHeight="1">
      <c r="A291" s="18" t="s">
        <v>481</v>
      </c>
      <c r="B291" s="127"/>
      <c r="C291" s="127"/>
      <c r="D291" s="128"/>
      <c r="E291" s="129"/>
      <c r="F291" s="129"/>
      <c r="G291" s="130"/>
      <c r="H291" s="130"/>
      <c r="I291" s="131"/>
      <c r="J291" s="129"/>
      <c r="K291" s="129"/>
      <c r="L291" s="129"/>
      <c r="M291" s="132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0" customHeight="1">
      <c r="A292" s="8" t="s">
        <v>482</v>
      </c>
      <c r="B292" s="120"/>
      <c r="C292" s="120"/>
      <c r="D292" s="121"/>
      <c r="E292" s="122"/>
      <c r="F292" s="123"/>
      <c r="G292" s="123"/>
      <c r="H292" s="122"/>
      <c r="I292" s="124"/>
      <c r="J292" s="123"/>
      <c r="K292" s="125"/>
      <c r="L292" s="125"/>
      <c r="M292" s="126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0" customHeight="1">
      <c r="A293" s="18" t="s">
        <v>483</v>
      </c>
      <c r="B293" s="127"/>
      <c r="C293" s="127"/>
      <c r="D293" s="128"/>
      <c r="E293" s="129"/>
      <c r="F293" s="129"/>
      <c r="G293" s="130"/>
      <c r="H293" s="130"/>
      <c r="I293" s="131"/>
      <c r="J293" s="129"/>
      <c r="K293" s="129"/>
      <c r="L293" s="129"/>
      <c r="M293" s="132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0" customHeight="1">
      <c r="A294" s="8" t="s">
        <v>484</v>
      </c>
      <c r="B294" s="120"/>
      <c r="C294" s="120"/>
      <c r="D294" s="121"/>
      <c r="E294" s="122"/>
      <c r="F294" s="123"/>
      <c r="G294" s="123"/>
      <c r="H294" s="122"/>
      <c r="I294" s="124"/>
      <c r="J294" s="123"/>
      <c r="K294" s="125"/>
      <c r="L294" s="125"/>
      <c r="M294" s="126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0" customHeight="1">
      <c r="A295" s="18" t="s">
        <v>485</v>
      </c>
      <c r="B295" s="127"/>
      <c r="C295" s="127"/>
      <c r="D295" s="128"/>
      <c r="E295" s="129"/>
      <c r="F295" s="129"/>
      <c r="G295" s="130"/>
      <c r="H295" s="130"/>
      <c r="I295" s="131"/>
      <c r="J295" s="129"/>
      <c r="K295" s="129"/>
      <c r="L295" s="129"/>
      <c r="M295" s="132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0" customHeight="1">
      <c r="A296" s="8" t="s">
        <v>486</v>
      </c>
      <c r="B296" s="120"/>
      <c r="C296" s="120"/>
      <c r="D296" s="121"/>
      <c r="E296" s="122"/>
      <c r="F296" s="123"/>
      <c r="G296" s="123"/>
      <c r="H296" s="122"/>
      <c r="I296" s="124"/>
      <c r="J296" s="123"/>
      <c r="K296" s="125"/>
      <c r="L296" s="125"/>
      <c r="M296" s="126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0" customHeight="1">
      <c r="A297" s="18" t="s">
        <v>487</v>
      </c>
      <c r="B297" s="127"/>
      <c r="C297" s="127"/>
      <c r="D297" s="128"/>
      <c r="E297" s="129"/>
      <c r="F297" s="129"/>
      <c r="G297" s="130"/>
      <c r="H297" s="130"/>
      <c r="I297" s="131"/>
      <c r="J297" s="129"/>
      <c r="K297" s="129"/>
      <c r="L297" s="129"/>
      <c r="M297" s="132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0" customHeight="1">
      <c r="A298" s="8" t="s">
        <v>488</v>
      </c>
      <c r="B298" s="120"/>
      <c r="C298" s="120"/>
      <c r="D298" s="121"/>
      <c r="E298" s="122"/>
      <c r="F298" s="123"/>
      <c r="G298" s="123"/>
      <c r="H298" s="122"/>
      <c r="I298" s="124"/>
      <c r="J298" s="123"/>
      <c r="K298" s="125"/>
      <c r="L298" s="125"/>
      <c r="M298" s="126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0" customHeight="1">
      <c r="A299" s="18" t="s">
        <v>489</v>
      </c>
      <c r="B299" s="127"/>
      <c r="C299" s="127"/>
      <c r="D299" s="128"/>
      <c r="E299" s="129"/>
      <c r="F299" s="129"/>
      <c r="G299" s="130"/>
      <c r="H299" s="130"/>
      <c r="I299" s="131"/>
      <c r="J299" s="129"/>
      <c r="K299" s="129"/>
      <c r="L299" s="129"/>
      <c r="M299" s="132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0" customHeight="1">
      <c r="A300" s="8" t="s">
        <v>490</v>
      </c>
      <c r="B300" s="120"/>
      <c r="C300" s="120"/>
      <c r="D300" s="121"/>
      <c r="E300" s="122"/>
      <c r="F300" s="123"/>
      <c r="G300" s="123"/>
      <c r="H300" s="122"/>
      <c r="I300" s="124"/>
      <c r="J300" s="123"/>
      <c r="K300" s="125"/>
      <c r="L300" s="125"/>
      <c r="M300" s="126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18" t="s">
        <v>491</v>
      </c>
      <c r="B301" s="127"/>
      <c r="C301" s="127"/>
      <c r="D301" s="128"/>
      <c r="E301" s="129"/>
      <c r="F301" s="129"/>
      <c r="G301" s="130"/>
      <c r="H301" s="130"/>
      <c r="I301" s="131"/>
      <c r="J301" s="129"/>
      <c r="K301" s="129"/>
      <c r="L301" s="129"/>
      <c r="M301" s="132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0" customHeight="1">
      <c r="A302" s="8" t="s">
        <v>492</v>
      </c>
      <c r="B302" s="120"/>
      <c r="C302" s="120"/>
      <c r="D302" s="121"/>
      <c r="E302" s="122"/>
      <c r="F302" s="123"/>
      <c r="G302" s="123"/>
      <c r="H302" s="122"/>
      <c r="I302" s="124"/>
      <c r="J302" s="123"/>
      <c r="K302" s="125"/>
      <c r="L302" s="125"/>
      <c r="M302" s="126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0" customHeight="1">
      <c r="A303" s="18" t="s">
        <v>493</v>
      </c>
      <c r="B303" s="127"/>
      <c r="C303" s="127"/>
      <c r="D303" s="128"/>
      <c r="E303" s="129"/>
      <c r="F303" s="129"/>
      <c r="G303" s="130"/>
      <c r="H303" s="130"/>
      <c r="I303" s="131"/>
      <c r="J303" s="129"/>
      <c r="K303" s="129"/>
      <c r="L303" s="129"/>
      <c r="M303" s="132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0" customHeight="1">
      <c r="A304" s="8" t="s">
        <v>494</v>
      </c>
      <c r="B304" s="120"/>
      <c r="C304" s="120"/>
      <c r="D304" s="121"/>
      <c r="E304" s="122"/>
      <c r="F304" s="123"/>
      <c r="G304" s="123"/>
      <c r="H304" s="122"/>
      <c r="I304" s="124"/>
      <c r="J304" s="123"/>
      <c r="K304" s="125"/>
      <c r="L304" s="125"/>
      <c r="M304" s="126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0" customHeight="1">
      <c r="A305" s="18" t="s">
        <v>495</v>
      </c>
      <c r="B305" s="127"/>
      <c r="C305" s="127"/>
      <c r="D305" s="128"/>
      <c r="E305" s="129"/>
      <c r="F305" s="129"/>
      <c r="G305" s="130"/>
      <c r="H305" s="130"/>
      <c r="I305" s="131"/>
      <c r="J305" s="129"/>
      <c r="K305" s="129"/>
      <c r="L305" s="129"/>
      <c r="M305" s="132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0" customHeight="1">
      <c r="A306" s="8" t="s">
        <v>496</v>
      </c>
      <c r="B306" s="120"/>
      <c r="C306" s="120"/>
      <c r="D306" s="121"/>
      <c r="E306" s="122"/>
      <c r="F306" s="123"/>
      <c r="G306" s="123"/>
      <c r="H306" s="122"/>
      <c r="I306" s="124"/>
      <c r="J306" s="123"/>
      <c r="K306" s="125"/>
      <c r="L306" s="125"/>
      <c r="M306" s="126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0" customHeight="1">
      <c r="A307" s="18" t="s">
        <v>497</v>
      </c>
      <c r="B307" s="127"/>
      <c r="C307" s="127"/>
      <c r="D307" s="128"/>
      <c r="E307" s="129"/>
      <c r="F307" s="129"/>
      <c r="G307" s="130"/>
      <c r="H307" s="130"/>
      <c r="I307" s="131"/>
      <c r="J307" s="129"/>
      <c r="K307" s="129"/>
      <c r="L307" s="129"/>
      <c r="M307" s="132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0" customHeight="1">
      <c r="A308" s="8" t="s">
        <v>498</v>
      </c>
      <c r="B308" s="120"/>
      <c r="C308" s="120"/>
      <c r="D308" s="121"/>
      <c r="E308" s="122"/>
      <c r="F308" s="123"/>
      <c r="G308" s="123"/>
      <c r="H308" s="122"/>
      <c r="I308" s="124"/>
      <c r="J308" s="123"/>
      <c r="K308" s="125"/>
      <c r="L308" s="125"/>
      <c r="M308" s="126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0" customHeight="1">
      <c r="A309" s="18" t="s">
        <v>499</v>
      </c>
      <c r="B309" s="127"/>
      <c r="C309" s="127"/>
      <c r="D309" s="128"/>
      <c r="E309" s="129"/>
      <c r="F309" s="129"/>
      <c r="G309" s="130"/>
      <c r="H309" s="130"/>
      <c r="I309" s="131"/>
      <c r="J309" s="129"/>
      <c r="K309" s="129"/>
      <c r="L309" s="129"/>
      <c r="M309" s="132">
        <f t="shared" si="1"/>
        <v>0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0" customHeight="1">
      <c r="A310" s="8" t="s">
        <v>500</v>
      </c>
      <c r="B310" s="120"/>
      <c r="C310" s="120"/>
      <c r="D310" s="121"/>
      <c r="E310" s="122"/>
      <c r="F310" s="123"/>
      <c r="G310" s="123"/>
      <c r="H310" s="122"/>
      <c r="I310" s="124"/>
      <c r="J310" s="123"/>
      <c r="K310" s="125"/>
      <c r="L310" s="125"/>
      <c r="M310" s="126">
        <f t="shared" si="1"/>
        <v>0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0" customHeight="1">
      <c r="A311" s="18" t="s">
        <v>501</v>
      </c>
      <c r="B311" s="127"/>
      <c r="C311" s="127"/>
      <c r="D311" s="128"/>
      <c r="E311" s="129"/>
      <c r="F311" s="129"/>
      <c r="G311" s="130"/>
      <c r="H311" s="130"/>
      <c r="I311" s="131"/>
      <c r="J311" s="129"/>
      <c r="K311" s="129"/>
      <c r="L311" s="129"/>
      <c r="M311" s="132">
        <f t="shared" si="1"/>
        <v>0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0" customHeight="1">
      <c r="A312" s="8" t="s">
        <v>502</v>
      </c>
      <c r="B312" s="120"/>
      <c r="C312" s="120"/>
      <c r="D312" s="121"/>
      <c r="E312" s="122"/>
      <c r="F312" s="123"/>
      <c r="G312" s="123"/>
      <c r="H312" s="122"/>
      <c r="I312" s="124"/>
      <c r="J312" s="123"/>
      <c r="K312" s="125"/>
      <c r="L312" s="125"/>
      <c r="M312" s="126">
        <f t="shared" si="1"/>
        <v>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0" customHeight="1">
      <c r="A313" s="18" t="s">
        <v>503</v>
      </c>
      <c r="B313" s="127"/>
      <c r="C313" s="127"/>
      <c r="D313" s="128"/>
      <c r="E313" s="129"/>
      <c r="F313" s="129"/>
      <c r="G313" s="130"/>
      <c r="H313" s="130"/>
      <c r="I313" s="131"/>
      <c r="J313" s="129"/>
      <c r="K313" s="129"/>
      <c r="L313" s="129"/>
      <c r="M313" s="132">
        <f t="shared" si="1"/>
        <v>0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0" customHeight="1">
      <c r="A314" s="8" t="s">
        <v>504</v>
      </c>
      <c r="B314" s="120"/>
      <c r="C314" s="120"/>
      <c r="D314" s="121"/>
      <c r="E314" s="122"/>
      <c r="F314" s="123"/>
      <c r="G314" s="123"/>
      <c r="H314" s="122"/>
      <c r="I314" s="124"/>
      <c r="J314" s="123"/>
      <c r="K314" s="125"/>
      <c r="L314" s="125"/>
      <c r="M314" s="126">
        <f t="shared" si="1"/>
        <v>0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0" customHeight="1">
      <c r="A315" s="18" t="s">
        <v>505</v>
      </c>
      <c r="B315" s="127"/>
      <c r="C315" s="127"/>
      <c r="D315" s="128"/>
      <c r="E315" s="129"/>
      <c r="F315" s="129"/>
      <c r="G315" s="130"/>
      <c r="H315" s="130"/>
      <c r="I315" s="131"/>
      <c r="J315" s="129"/>
      <c r="K315" s="129"/>
      <c r="L315" s="129"/>
      <c r="M315" s="132">
        <f t="shared" si="1"/>
        <v>0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0" customHeight="1">
      <c r="A316" s="8" t="s">
        <v>506</v>
      </c>
      <c r="B316" s="120"/>
      <c r="C316" s="120"/>
      <c r="D316" s="121"/>
      <c r="E316" s="122"/>
      <c r="F316" s="123"/>
      <c r="G316" s="123"/>
      <c r="H316" s="122"/>
      <c r="I316" s="124"/>
      <c r="J316" s="123"/>
      <c r="K316" s="125"/>
      <c r="L316" s="125"/>
      <c r="M316" s="126">
        <f t="shared" si="1"/>
        <v>0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18" t="s">
        <v>507</v>
      </c>
      <c r="B317" s="127"/>
      <c r="C317" s="127"/>
      <c r="D317" s="128"/>
      <c r="E317" s="129"/>
      <c r="F317" s="129"/>
      <c r="G317" s="130"/>
      <c r="H317" s="130"/>
      <c r="I317" s="131"/>
      <c r="J317" s="129"/>
      <c r="K317" s="129"/>
      <c r="L317" s="129"/>
      <c r="M317" s="132">
        <f t="shared" si="1"/>
        <v>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0" customHeight="1">
      <c r="A318" s="8" t="s">
        <v>508</v>
      </c>
      <c r="B318" s="120"/>
      <c r="C318" s="120"/>
      <c r="D318" s="121"/>
      <c r="E318" s="122"/>
      <c r="F318" s="123"/>
      <c r="G318" s="123"/>
      <c r="H318" s="122"/>
      <c r="I318" s="124"/>
      <c r="J318" s="123"/>
      <c r="K318" s="125"/>
      <c r="L318" s="125"/>
      <c r="M318" s="126">
        <f t="shared" si="1"/>
        <v>0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0" customHeight="1">
      <c r="A319" s="18" t="s">
        <v>509</v>
      </c>
      <c r="B319" s="127"/>
      <c r="C319" s="127"/>
      <c r="D319" s="128"/>
      <c r="E319" s="129"/>
      <c r="F319" s="129"/>
      <c r="G319" s="130"/>
      <c r="H319" s="130"/>
      <c r="I319" s="131"/>
      <c r="J319" s="129"/>
      <c r="K319" s="129"/>
      <c r="L319" s="129"/>
      <c r="M319" s="132">
        <f t="shared" si="1"/>
        <v>0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0" customHeight="1">
      <c r="A320" s="8" t="s">
        <v>510</v>
      </c>
      <c r="B320" s="120"/>
      <c r="C320" s="120"/>
      <c r="D320" s="121"/>
      <c r="E320" s="122"/>
      <c r="F320" s="123"/>
      <c r="G320" s="123"/>
      <c r="H320" s="122"/>
      <c r="I320" s="124"/>
      <c r="J320" s="123"/>
      <c r="K320" s="125"/>
      <c r="L320" s="125"/>
      <c r="M320" s="126">
        <f t="shared" si="1"/>
        <v>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0" customHeight="1">
      <c r="A321" s="18" t="s">
        <v>511</v>
      </c>
      <c r="B321" s="127"/>
      <c r="C321" s="127"/>
      <c r="D321" s="128"/>
      <c r="E321" s="129"/>
      <c r="F321" s="129"/>
      <c r="G321" s="130"/>
      <c r="H321" s="130"/>
      <c r="I321" s="131"/>
      <c r="J321" s="129"/>
      <c r="K321" s="129"/>
      <c r="L321" s="129"/>
      <c r="M321" s="132">
        <f t="shared" si="1"/>
        <v>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8" t="s">
        <v>512</v>
      </c>
      <c r="B322" s="120"/>
      <c r="C322" s="120"/>
      <c r="D322" s="121"/>
      <c r="E322" s="122"/>
      <c r="F322" s="123"/>
      <c r="G322" s="123"/>
      <c r="H322" s="122"/>
      <c r="I322" s="124"/>
      <c r="J322" s="123"/>
      <c r="K322" s="125"/>
      <c r="L322" s="125"/>
      <c r="M322" s="126">
        <f t="shared" si="1"/>
        <v>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0" customHeight="1">
      <c r="A323" s="18" t="s">
        <v>513</v>
      </c>
      <c r="B323" s="127"/>
      <c r="C323" s="127"/>
      <c r="D323" s="128"/>
      <c r="E323" s="129"/>
      <c r="F323" s="129"/>
      <c r="G323" s="130"/>
      <c r="H323" s="130"/>
      <c r="I323" s="131"/>
      <c r="J323" s="129"/>
      <c r="K323" s="129"/>
      <c r="L323" s="129"/>
      <c r="M323" s="132">
        <f t="shared" si="1"/>
        <v>0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0" customHeight="1">
      <c r="A324" s="8" t="s">
        <v>514</v>
      </c>
      <c r="B324" s="120"/>
      <c r="C324" s="120"/>
      <c r="D324" s="121"/>
      <c r="E324" s="122"/>
      <c r="F324" s="123"/>
      <c r="G324" s="123"/>
      <c r="H324" s="122"/>
      <c r="I324" s="124"/>
      <c r="J324" s="123"/>
      <c r="K324" s="125"/>
      <c r="L324" s="125"/>
      <c r="M324" s="126">
        <f t="shared" si="1"/>
        <v>0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0" customHeight="1">
      <c r="A325" s="18" t="s">
        <v>515</v>
      </c>
      <c r="B325" s="127"/>
      <c r="C325" s="127"/>
      <c r="D325" s="128"/>
      <c r="E325" s="129"/>
      <c r="F325" s="129"/>
      <c r="G325" s="130"/>
      <c r="H325" s="130"/>
      <c r="I325" s="131"/>
      <c r="J325" s="129"/>
      <c r="K325" s="129"/>
      <c r="L325" s="129"/>
      <c r="M325" s="132">
        <f t="shared" si="1"/>
        <v>0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0" customHeight="1">
      <c r="A326" s="8" t="s">
        <v>516</v>
      </c>
      <c r="B326" s="120"/>
      <c r="C326" s="120"/>
      <c r="D326" s="121"/>
      <c r="E326" s="122"/>
      <c r="F326" s="123"/>
      <c r="G326" s="123"/>
      <c r="H326" s="122"/>
      <c r="I326" s="124"/>
      <c r="J326" s="123"/>
      <c r="K326" s="125"/>
      <c r="L326" s="125"/>
      <c r="M326" s="126">
        <f t="shared" si="1"/>
        <v>0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0" customHeight="1">
      <c r="A327" s="18" t="s">
        <v>517</v>
      </c>
      <c r="B327" s="127"/>
      <c r="C327" s="127"/>
      <c r="D327" s="128"/>
      <c r="E327" s="129"/>
      <c r="F327" s="129"/>
      <c r="G327" s="130"/>
      <c r="H327" s="130"/>
      <c r="I327" s="131"/>
      <c r="J327" s="129"/>
      <c r="K327" s="129"/>
      <c r="L327" s="129"/>
      <c r="M327" s="132">
        <f t="shared" si="1"/>
        <v>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0" customHeight="1">
      <c r="A328" s="8" t="s">
        <v>518</v>
      </c>
      <c r="B328" s="120"/>
      <c r="C328" s="120"/>
      <c r="D328" s="121"/>
      <c r="E328" s="122"/>
      <c r="F328" s="123"/>
      <c r="G328" s="123"/>
      <c r="H328" s="122"/>
      <c r="I328" s="124"/>
      <c r="J328" s="123"/>
      <c r="K328" s="125"/>
      <c r="L328" s="125"/>
      <c r="M328" s="126">
        <f t="shared" si="1"/>
        <v>0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0" customHeight="1">
      <c r="A329" s="18" t="s">
        <v>519</v>
      </c>
      <c r="B329" s="127"/>
      <c r="C329" s="127"/>
      <c r="D329" s="128"/>
      <c r="E329" s="129"/>
      <c r="F329" s="129"/>
      <c r="G329" s="130"/>
      <c r="H329" s="130"/>
      <c r="I329" s="131"/>
      <c r="J329" s="129"/>
      <c r="K329" s="129"/>
      <c r="L329" s="129"/>
      <c r="M329" s="132">
        <f t="shared" si="1"/>
        <v>0</v>
      </c>
      <c r="N329" s="25"/>
      <c r="O329" s="133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0" customHeight="1">
      <c r="A330" s="8" t="s">
        <v>520</v>
      </c>
      <c r="B330" s="120"/>
      <c r="C330" s="120"/>
      <c r="D330" s="121"/>
      <c r="E330" s="122"/>
      <c r="F330" s="123"/>
      <c r="G330" s="123"/>
      <c r="H330" s="122"/>
      <c r="I330" s="124"/>
      <c r="J330" s="123"/>
      <c r="K330" s="125"/>
      <c r="L330" s="125"/>
      <c r="M330" s="126">
        <f t="shared" si="1"/>
        <v>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0" customHeight="1">
      <c r="A331" s="18" t="s">
        <v>521</v>
      </c>
      <c r="B331" s="127"/>
      <c r="C331" s="127"/>
      <c r="D331" s="128"/>
      <c r="E331" s="129"/>
      <c r="F331" s="129"/>
      <c r="G331" s="130"/>
      <c r="H331" s="130"/>
      <c r="I331" s="131"/>
      <c r="J331" s="129"/>
      <c r="K331" s="129"/>
      <c r="L331" s="129"/>
      <c r="M331" s="132">
        <f t="shared" si="1"/>
        <v>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0" customHeight="1">
      <c r="A332" s="8" t="s">
        <v>522</v>
      </c>
      <c r="B332" s="120"/>
      <c r="C332" s="120"/>
      <c r="D332" s="121"/>
      <c r="E332" s="122"/>
      <c r="F332" s="123"/>
      <c r="G332" s="123"/>
      <c r="H332" s="122"/>
      <c r="I332" s="124"/>
      <c r="J332" s="123"/>
      <c r="K332" s="125"/>
      <c r="L332" s="125"/>
      <c r="M332" s="126">
        <f t="shared" si="1"/>
        <v>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0" customHeight="1">
      <c r="A333" s="18" t="s">
        <v>523</v>
      </c>
      <c r="B333" s="127"/>
      <c r="C333" s="127"/>
      <c r="D333" s="128"/>
      <c r="E333" s="129"/>
      <c r="F333" s="129"/>
      <c r="G333" s="130"/>
      <c r="H333" s="130"/>
      <c r="I333" s="131"/>
      <c r="J333" s="129"/>
      <c r="K333" s="129"/>
      <c r="L333" s="129"/>
      <c r="M333" s="132">
        <f t="shared" si="1"/>
        <v>0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0" customHeight="1">
      <c r="A334" s="8" t="s">
        <v>524</v>
      </c>
      <c r="B334" s="120"/>
      <c r="C334" s="120"/>
      <c r="D334" s="121"/>
      <c r="E334" s="122"/>
      <c r="F334" s="123"/>
      <c r="G334" s="123"/>
      <c r="H334" s="122"/>
      <c r="I334" s="124"/>
      <c r="J334" s="123"/>
      <c r="K334" s="125"/>
      <c r="L334" s="125"/>
      <c r="M334" s="126">
        <f t="shared" si="1"/>
        <v>0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0" customHeight="1">
      <c r="A335" s="18" t="s">
        <v>525</v>
      </c>
      <c r="B335" s="127"/>
      <c r="C335" s="127"/>
      <c r="D335" s="128"/>
      <c r="E335" s="129"/>
      <c r="F335" s="129"/>
      <c r="G335" s="130"/>
      <c r="H335" s="130"/>
      <c r="I335" s="131"/>
      <c r="J335" s="129"/>
      <c r="K335" s="129"/>
      <c r="L335" s="129"/>
      <c r="M335" s="132">
        <f t="shared" si="1"/>
        <v>0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0" customHeight="1">
      <c r="A336" s="8" t="s">
        <v>526</v>
      </c>
      <c r="B336" s="120"/>
      <c r="C336" s="120"/>
      <c r="D336" s="121"/>
      <c r="E336" s="122"/>
      <c r="F336" s="123"/>
      <c r="G336" s="123"/>
      <c r="H336" s="122"/>
      <c r="I336" s="124"/>
      <c r="J336" s="123"/>
      <c r="K336" s="125"/>
      <c r="L336" s="125"/>
      <c r="M336" s="126">
        <f t="shared" si="1"/>
        <v>0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0" customHeight="1">
      <c r="A337" s="18" t="s">
        <v>527</v>
      </c>
      <c r="B337" s="127"/>
      <c r="C337" s="127"/>
      <c r="D337" s="128"/>
      <c r="E337" s="129"/>
      <c r="F337" s="129"/>
      <c r="G337" s="130"/>
      <c r="H337" s="130"/>
      <c r="I337" s="131"/>
      <c r="J337" s="129"/>
      <c r="K337" s="129"/>
      <c r="L337" s="129"/>
      <c r="M337" s="132">
        <f t="shared" si="1"/>
        <v>0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0" customHeight="1">
      <c r="A338" s="8" t="s">
        <v>528</v>
      </c>
      <c r="B338" s="120"/>
      <c r="C338" s="120"/>
      <c r="D338" s="121"/>
      <c r="E338" s="122"/>
      <c r="F338" s="123"/>
      <c r="G338" s="123"/>
      <c r="H338" s="122"/>
      <c r="I338" s="124"/>
      <c r="J338" s="123"/>
      <c r="K338" s="125"/>
      <c r="L338" s="125"/>
      <c r="M338" s="126">
        <f t="shared" si="1"/>
        <v>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0" customHeight="1">
      <c r="A339" s="18" t="s">
        <v>529</v>
      </c>
      <c r="B339" s="127"/>
      <c r="C339" s="127"/>
      <c r="D339" s="128"/>
      <c r="E339" s="129"/>
      <c r="F339" s="129"/>
      <c r="G339" s="130"/>
      <c r="H339" s="130"/>
      <c r="I339" s="131"/>
      <c r="J339" s="129"/>
      <c r="K339" s="129"/>
      <c r="L339" s="129"/>
      <c r="M339" s="132">
        <f t="shared" si="1"/>
        <v>0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8" t="s">
        <v>530</v>
      </c>
      <c r="B340" s="120"/>
      <c r="C340" s="120"/>
      <c r="D340" s="121"/>
      <c r="E340" s="122"/>
      <c r="F340" s="123"/>
      <c r="G340" s="123"/>
      <c r="H340" s="122"/>
      <c r="I340" s="124"/>
      <c r="J340" s="123"/>
      <c r="K340" s="125"/>
      <c r="L340" s="125"/>
      <c r="M340" s="126">
        <f t="shared" si="1"/>
        <v>0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0" customHeight="1">
      <c r="A341" s="18" t="s">
        <v>531</v>
      </c>
      <c r="B341" s="127"/>
      <c r="C341" s="127"/>
      <c r="D341" s="128"/>
      <c r="E341" s="129"/>
      <c r="F341" s="129"/>
      <c r="G341" s="130"/>
      <c r="H341" s="130"/>
      <c r="I341" s="131"/>
      <c r="J341" s="129"/>
      <c r="K341" s="129"/>
      <c r="L341" s="129"/>
      <c r="M341" s="132">
        <f t="shared" si="1"/>
        <v>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0" customHeight="1">
      <c r="A342" s="8" t="s">
        <v>532</v>
      </c>
      <c r="B342" s="120"/>
      <c r="C342" s="120"/>
      <c r="D342" s="121"/>
      <c r="E342" s="122"/>
      <c r="F342" s="123"/>
      <c r="G342" s="123"/>
      <c r="H342" s="122"/>
      <c r="I342" s="124"/>
      <c r="J342" s="123"/>
      <c r="K342" s="125"/>
      <c r="L342" s="125"/>
      <c r="M342" s="126">
        <f t="shared" si="1"/>
        <v>0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0" customHeight="1">
      <c r="A343" s="18" t="s">
        <v>533</v>
      </c>
      <c r="B343" s="127"/>
      <c r="C343" s="127"/>
      <c r="D343" s="128"/>
      <c r="E343" s="129"/>
      <c r="F343" s="129"/>
      <c r="G343" s="130"/>
      <c r="H343" s="130"/>
      <c r="I343" s="131"/>
      <c r="J343" s="129"/>
      <c r="K343" s="129"/>
      <c r="L343" s="129"/>
      <c r="M343" s="132">
        <f t="shared" si="1"/>
        <v>0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0" customHeight="1">
      <c r="A344" s="8" t="s">
        <v>534</v>
      </c>
      <c r="B344" s="120"/>
      <c r="C344" s="120"/>
      <c r="D344" s="121"/>
      <c r="E344" s="122"/>
      <c r="F344" s="123"/>
      <c r="G344" s="123"/>
      <c r="H344" s="122"/>
      <c r="I344" s="124"/>
      <c r="J344" s="123"/>
      <c r="K344" s="125"/>
      <c r="L344" s="125"/>
      <c r="M344" s="126">
        <f t="shared" si="1"/>
        <v>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18" t="s">
        <v>535</v>
      </c>
      <c r="B345" s="127"/>
      <c r="C345" s="127"/>
      <c r="D345" s="128"/>
      <c r="E345" s="129"/>
      <c r="F345" s="129"/>
      <c r="G345" s="130"/>
      <c r="H345" s="130"/>
      <c r="I345" s="131"/>
      <c r="J345" s="129"/>
      <c r="K345" s="129"/>
      <c r="L345" s="129"/>
      <c r="M345" s="132">
        <f t="shared" si="1"/>
        <v>0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8" t="s">
        <v>536</v>
      </c>
      <c r="B346" s="120"/>
      <c r="C346" s="120"/>
      <c r="D346" s="121"/>
      <c r="E346" s="122"/>
      <c r="F346" s="123"/>
      <c r="G346" s="123"/>
      <c r="H346" s="122"/>
      <c r="I346" s="124"/>
      <c r="J346" s="123"/>
      <c r="K346" s="125"/>
      <c r="L346" s="125"/>
      <c r="M346" s="126">
        <f t="shared" si="1"/>
        <v>0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18" t="s">
        <v>537</v>
      </c>
      <c r="B347" s="127"/>
      <c r="C347" s="127"/>
      <c r="D347" s="128"/>
      <c r="E347" s="129"/>
      <c r="F347" s="129"/>
      <c r="G347" s="130"/>
      <c r="H347" s="130"/>
      <c r="I347" s="131"/>
      <c r="J347" s="129"/>
      <c r="K347" s="129"/>
      <c r="L347" s="129"/>
      <c r="M347" s="132">
        <f t="shared" si="1"/>
        <v>0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8" t="s">
        <v>538</v>
      </c>
      <c r="B348" s="120"/>
      <c r="C348" s="120"/>
      <c r="D348" s="121"/>
      <c r="E348" s="122"/>
      <c r="F348" s="123"/>
      <c r="G348" s="123"/>
      <c r="H348" s="122"/>
      <c r="I348" s="124"/>
      <c r="J348" s="123"/>
      <c r="K348" s="125"/>
      <c r="L348" s="125"/>
      <c r="M348" s="126">
        <f t="shared" si="1"/>
        <v>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18" t="s">
        <v>539</v>
      </c>
      <c r="B349" s="127"/>
      <c r="C349" s="127"/>
      <c r="D349" s="128"/>
      <c r="E349" s="129"/>
      <c r="F349" s="129"/>
      <c r="G349" s="130"/>
      <c r="H349" s="130"/>
      <c r="I349" s="131"/>
      <c r="J349" s="129"/>
      <c r="K349" s="129"/>
      <c r="L349" s="129"/>
      <c r="M349" s="132">
        <f t="shared" si="1"/>
        <v>0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0" customHeight="1">
      <c r="A350" s="8" t="s">
        <v>540</v>
      </c>
      <c r="B350" s="120"/>
      <c r="C350" s="120"/>
      <c r="D350" s="121"/>
      <c r="E350" s="122"/>
      <c r="F350" s="123"/>
      <c r="G350" s="123"/>
      <c r="H350" s="122"/>
      <c r="I350" s="124"/>
      <c r="J350" s="123"/>
      <c r="K350" s="125"/>
      <c r="L350" s="125"/>
      <c r="M350" s="126">
        <f t="shared" si="1"/>
        <v>0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0" customHeight="1">
      <c r="A351" s="18" t="s">
        <v>541</v>
      </c>
      <c r="B351" s="127"/>
      <c r="C351" s="127"/>
      <c r="D351" s="128"/>
      <c r="E351" s="129"/>
      <c r="F351" s="129"/>
      <c r="G351" s="130"/>
      <c r="H351" s="130"/>
      <c r="I351" s="131"/>
      <c r="J351" s="129"/>
      <c r="K351" s="129"/>
      <c r="L351" s="129"/>
      <c r="M351" s="132">
        <f t="shared" si="1"/>
        <v>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0" customHeight="1">
      <c r="A352" s="8" t="s">
        <v>542</v>
      </c>
      <c r="B352" s="120"/>
      <c r="C352" s="120"/>
      <c r="D352" s="121"/>
      <c r="E352" s="122"/>
      <c r="F352" s="123"/>
      <c r="G352" s="123"/>
      <c r="H352" s="122"/>
      <c r="I352" s="124"/>
      <c r="J352" s="123"/>
      <c r="K352" s="125"/>
      <c r="L352" s="125"/>
      <c r="M352" s="126">
        <f t="shared" si="1"/>
        <v>0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0" customHeight="1">
      <c r="A353" s="18" t="s">
        <v>543</v>
      </c>
      <c r="B353" s="127"/>
      <c r="C353" s="127"/>
      <c r="D353" s="128"/>
      <c r="E353" s="129"/>
      <c r="F353" s="129"/>
      <c r="G353" s="130"/>
      <c r="H353" s="130"/>
      <c r="I353" s="131"/>
      <c r="J353" s="129"/>
      <c r="K353" s="129"/>
      <c r="L353" s="129"/>
      <c r="M353" s="132">
        <f t="shared" si="1"/>
        <v>0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hidden="1" customHeight="1">
      <c r="A355" s="134"/>
      <c r="B355" s="135"/>
      <c r="C355" s="135"/>
      <c r="D355" s="136"/>
      <c r="E355" s="135"/>
      <c r="F355" s="135"/>
      <c r="G355" s="135"/>
      <c r="H355" s="135"/>
      <c r="I355" s="136"/>
      <c r="J355" s="135"/>
      <c r="K355" s="135"/>
      <c r="L355" s="135"/>
      <c r="M355" s="137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2.75" hidden="1" customHeight="1">
      <c r="A356" s="134"/>
      <c r="B356" s="135"/>
      <c r="C356" s="135"/>
      <c r="D356" s="136"/>
      <c r="E356" s="135"/>
      <c r="F356" s="135"/>
      <c r="G356" s="135"/>
      <c r="H356" s="135"/>
      <c r="I356" s="136"/>
      <c r="J356" s="135"/>
      <c r="K356" s="135"/>
      <c r="L356" s="135"/>
      <c r="M356" s="137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2.75" hidden="1" customHeight="1">
      <c r="A357" s="134"/>
      <c r="B357" s="135"/>
      <c r="C357" s="135"/>
      <c r="D357" s="136"/>
      <c r="E357" s="135"/>
      <c r="F357" s="135"/>
      <c r="G357" s="135"/>
      <c r="H357" s="135"/>
      <c r="I357" s="136"/>
      <c r="J357" s="135"/>
      <c r="K357" s="135"/>
      <c r="L357" s="135"/>
      <c r="M357" s="137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2.75" hidden="1" customHeight="1">
      <c r="A358" s="134"/>
      <c r="B358" s="135"/>
      <c r="C358" s="135"/>
      <c r="D358" s="136"/>
      <c r="E358" s="135"/>
      <c r="F358" s="135"/>
      <c r="G358" s="135"/>
      <c r="H358" s="135"/>
      <c r="I358" s="136"/>
      <c r="J358" s="135"/>
      <c r="K358" s="135"/>
      <c r="L358" s="135"/>
      <c r="M358" s="137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2.75" hidden="1" customHeight="1">
      <c r="A359" s="134"/>
      <c r="B359" s="135"/>
      <c r="C359" s="135"/>
      <c r="D359" s="136"/>
      <c r="E359" s="135"/>
      <c r="F359" s="135"/>
      <c r="G359" s="135"/>
      <c r="H359" s="135"/>
      <c r="I359" s="136"/>
      <c r="J359" s="135"/>
      <c r="K359" s="135"/>
      <c r="L359" s="135"/>
      <c r="M359" s="137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2.75" hidden="1" customHeight="1">
      <c r="A360" s="134"/>
      <c r="B360" s="135"/>
      <c r="C360" s="135"/>
      <c r="D360" s="136"/>
      <c r="E360" s="135"/>
      <c r="F360" s="135"/>
      <c r="G360" s="135"/>
      <c r="H360" s="135"/>
      <c r="I360" s="136"/>
      <c r="J360" s="135"/>
      <c r="K360" s="135"/>
      <c r="L360" s="135"/>
      <c r="M360" s="137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2.75" hidden="1" customHeight="1">
      <c r="A361" s="134"/>
      <c r="B361" s="135"/>
      <c r="C361" s="135"/>
      <c r="D361" s="136"/>
      <c r="E361" s="135"/>
      <c r="F361" s="135"/>
      <c r="G361" s="135"/>
      <c r="H361" s="135"/>
      <c r="I361" s="136"/>
      <c r="J361" s="135"/>
      <c r="K361" s="135"/>
      <c r="L361" s="135"/>
      <c r="M361" s="137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2.75" hidden="1" customHeight="1">
      <c r="A362" s="134"/>
      <c r="B362" s="135"/>
      <c r="C362" s="135"/>
      <c r="D362" s="136"/>
      <c r="E362" s="135"/>
      <c r="F362" s="135"/>
      <c r="G362" s="135"/>
      <c r="H362" s="135"/>
      <c r="I362" s="136"/>
      <c r="J362" s="135"/>
      <c r="K362" s="135"/>
      <c r="L362" s="135"/>
      <c r="M362" s="137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2.75" hidden="1" customHeight="1">
      <c r="A363" s="134"/>
      <c r="B363" s="135"/>
      <c r="C363" s="135"/>
      <c r="D363" s="136"/>
      <c r="E363" s="135"/>
      <c r="F363" s="135"/>
      <c r="G363" s="135"/>
      <c r="H363" s="135"/>
      <c r="I363" s="136"/>
      <c r="J363" s="135"/>
      <c r="K363" s="135"/>
      <c r="L363" s="135"/>
      <c r="M363" s="137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2.75" hidden="1" customHeight="1">
      <c r="A364" s="134"/>
      <c r="B364" s="135"/>
      <c r="C364" s="135"/>
      <c r="D364" s="136"/>
      <c r="E364" s="135"/>
      <c r="F364" s="135"/>
      <c r="G364" s="135"/>
      <c r="H364" s="135"/>
      <c r="I364" s="136"/>
      <c r="J364" s="135"/>
      <c r="K364" s="135"/>
      <c r="L364" s="135"/>
      <c r="M364" s="137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2.75" hidden="1" customHeight="1">
      <c r="A365" s="134"/>
      <c r="B365" s="135"/>
      <c r="C365" s="135"/>
      <c r="D365" s="136"/>
      <c r="E365" s="135"/>
      <c r="F365" s="135"/>
      <c r="G365" s="135"/>
      <c r="H365" s="135"/>
      <c r="I365" s="136"/>
      <c r="J365" s="135"/>
      <c r="K365" s="135"/>
      <c r="L365" s="135"/>
      <c r="M365" s="137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2.75" hidden="1" customHeight="1">
      <c r="A366" s="134"/>
      <c r="B366" s="135"/>
      <c r="C366" s="135"/>
      <c r="D366" s="136"/>
      <c r="E366" s="135"/>
      <c r="F366" s="135"/>
      <c r="G366" s="135"/>
      <c r="H366" s="135"/>
      <c r="I366" s="136"/>
      <c r="J366" s="135"/>
      <c r="K366" s="135"/>
      <c r="L366" s="135"/>
      <c r="M366" s="137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2.75" hidden="1" customHeight="1">
      <c r="A367" s="134"/>
      <c r="B367" s="135"/>
      <c r="C367" s="135"/>
      <c r="D367" s="136"/>
      <c r="E367" s="135"/>
      <c r="F367" s="135"/>
      <c r="G367" s="135"/>
      <c r="H367" s="135"/>
      <c r="I367" s="136"/>
      <c r="J367" s="135"/>
      <c r="K367" s="135"/>
      <c r="L367" s="135"/>
      <c r="M367" s="137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2.75" hidden="1" customHeight="1">
      <c r="A368" s="134"/>
      <c r="B368" s="135"/>
      <c r="C368" s="135"/>
      <c r="D368" s="136"/>
      <c r="E368" s="135"/>
      <c r="F368" s="135"/>
      <c r="G368" s="135"/>
      <c r="H368" s="135"/>
      <c r="I368" s="136"/>
      <c r="J368" s="135"/>
      <c r="K368" s="135"/>
      <c r="L368" s="135"/>
      <c r="M368" s="137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2.75" hidden="1" customHeight="1">
      <c r="A369" s="134"/>
      <c r="B369" s="135"/>
      <c r="C369" s="135"/>
      <c r="D369" s="136"/>
      <c r="E369" s="135"/>
      <c r="F369" s="135"/>
      <c r="G369" s="135"/>
      <c r="H369" s="135"/>
      <c r="I369" s="136"/>
      <c r="J369" s="135"/>
      <c r="K369" s="135"/>
      <c r="L369" s="135"/>
      <c r="M369" s="137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2.75" hidden="1" customHeight="1">
      <c r="A370" s="134"/>
      <c r="B370" s="135"/>
      <c r="C370" s="135"/>
      <c r="D370" s="136"/>
      <c r="E370" s="135"/>
      <c r="F370" s="135"/>
      <c r="G370" s="135"/>
      <c r="H370" s="135"/>
      <c r="I370" s="136"/>
      <c r="J370" s="135"/>
      <c r="K370" s="135"/>
      <c r="L370" s="135"/>
      <c r="M370" s="137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2.75" hidden="1" customHeight="1">
      <c r="A371" s="134"/>
      <c r="B371" s="135"/>
      <c r="C371" s="135"/>
      <c r="D371" s="136"/>
      <c r="E371" s="135"/>
      <c r="F371" s="135"/>
      <c r="G371" s="135"/>
      <c r="H371" s="135"/>
      <c r="I371" s="136"/>
      <c r="J371" s="135"/>
      <c r="K371" s="135"/>
      <c r="L371" s="135"/>
      <c r="M371" s="137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2.75" hidden="1" customHeight="1">
      <c r="A372" s="134"/>
      <c r="B372" s="135"/>
      <c r="C372" s="135"/>
      <c r="D372" s="136"/>
      <c r="E372" s="135"/>
      <c r="F372" s="135"/>
      <c r="G372" s="135"/>
      <c r="H372" s="135"/>
      <c r="I372" s="136"/>
      <c r="J372" s="135"/>
      <c r="K372" s="135"/>
      <c r="L372" s="135"/>
      <c r="M372" s="137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2.75" hidden="1" customHeight="1">
      <c r="A373" s="134"/>
      <c r="B373" s="135"/>
      <c r="C373" s="135"/>
      <c r="D373" s="136"/>
      <c r="E373" s="135"/>
      <c r="F373" s="135"/>
      <c r="G373" s="135"/>
      <c r="H373" s="135"/>
      <c r="I373" s="136"/>
      <c r="J373" s="135"/>
      <c r="K373" s="135"/>
      <c r="L373" s="135"/>
      <c r="M373" s="137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2.75" hidden="1" customHeight="1">
      <c r="A374" s="134"/>
      <c r="B374" s="135"/>
      <c r="C374" s="135"/>
      <c r="D374" s="136"/>
      <c r="E374" s="135"/>
      <c r="F374" s="135"/>
      <c r="G374" s="135"/>
      <c r="H374" s="135"/>
      <c r="I374" s="136"/>
      <c r="J374" s="135"/>
      <c r="K374" s="135"/>
      <c r="L374" s="135"/>
      <c r="M374" s="137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2.75" hidden="1" customHeight="1">
      <c r="A375" s="134"/>
      <c r="B375" s="135"/>
      <c r="C375" s="135"/>
      <c r="D375" s="136"/>
      <c r="E375" s="135"/>
      <c r="F375" s="135"/>
      <c r="G375" s="135"/>
      <c r="H375" s="135"/>
      <c r="I375" s="136"/>
      <c r="J375" s="135"/>
      <c r="K375" s="135"/>
      <c r="L375" s="135"/>
      <c r="M375" s="137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2.75" hidden="1" customHeight="1">
      <c r="A376" s="134"/>
      <c r="B376" s="135"/>
      <c r="C376" s="135"/>
      <c r="D376" s="136"/>
      <c r="E376" s="135"/>
      <c r="F376" s="135"/>
      <c r="G376" s="135"/>
      <c r="H376" s="135"/>
      <c r="I376" s="136"/>
      <c r="J376" s="135"/>
      <c r="K376" s="135"/>
      <c r="L376" s="135"/>
      <c r="M376" s="137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2.75" hidden="1" customHeight="1">
      <c r="A377" s="134"/>
      <c r="B377" s="135"/>
      <c r="C377" s="135"/>
      <c r="D377" s="136"/>
      <c r="E377" s="135"/>
      <c r="F377" s="135"/>
      <c r="G377" s="135"/>
      <c r="H377" s="135"/>
      <c r="I377" s="136"/>
      <c r="J377" s="135"/>
      <c r="K377" s="135"/>
      <c r="L377" s="135"/>
      <c r="M377" s="137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2.75" hidden="1" customHeight="1">
      <c r="A378" s="134"/>
      <c r="B378" s="135"/>
      <c r="C378" s="135"/>
      <c r="D378" s="136"/>
      <c r="E378" s="135"/>
      <c r="F378" s="135"/>
      <c r="G378" s="135"/>
      <c r="H378" s="135"/>
      <c r="I378" s="136"/>
      <c r="J378" s="135"/>
      <c r="K378" s="135"/>
      <c r="L378" s="135"/>
      <c r="M378" s="137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2.75" hidden="1" customHeight="1">
      <c r="A379" s="134"/>
      <c r="B379" s="135"/>
      <c r="C379" s="135"/>
      <c r="D379" s="136"/>
      <c r="E379" s="135"/>
      <c r="F379" s="135"/>
      <c r="G379" s="135"/>
      <c r="H379" s="135"/>
      <c r="I379" s="136"/>
      <c r="J379" s="135"/>
      <c r="K379" s="135"/>
      <c r="L379" s="135"/>
      <c r="M379" s="137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2.75" hidden="1" customHeight="1">
      <c r="A380" s="134"/>
      <c r="B380" s="135"/>
      <c r="C380" s="135"/>
      <c r="D380" s="136"/>
      <c r="E380" s="135"/>
      <c r="F380" s="135"/>
      <c r="G380" s="135"/>
      <c r="H380" s="135"/>
      <c r="I380" s="136"/>
      <c r="J380" s="135"/>
      <c r="K380" s="135"/>
      <c r="L380" s="135"/>
      <c r="M380" s="137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2.75" hidden="1" customHeight="1">
      <c r="A381" s="134"/>
      <c r="B381" s="135"/>
      <c r="C381" s="135"/>
      <c r="D381" s="136"/>
      <c r="E381" s="135"/>
      <c r="F381" s="135"/>
      <c r="G381" s="135"/>
      <c r="H381" s="135"/>
      <c r="I381" s="136"/>
      <c r="J381" s="135"/>
      <c r="K381" s="135"/>
      <c r="L381" s="135"/>
      <c r="M381" s="137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2.75" hidden="1" customHeight="1">
      <c r="A382" s="134"/>
      <c r="B382" s="135"/>
      <c r="C382" s="135"/>
      <c r="D382" s="136"/>
      <c r="E382" s="135"/>
      <c r="F382" s="135"/>
      <c r="G382" s="135"/>
      <c r="H382" s="135"/>
      <c r="I382" s="136"/>
      <c r="J382" s="135"/>
      <c r="K382" s="135"/>
      <c r="L382" s="135"/>
      <c r="M382" s="137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2.75" hidden="1" customHeight="1">
      <c r="A383" s="134"/>
      <c r="B383" s="135"/>
      <c r="C383" s="135"/>
      <c r="D383" s="136"/>
      <c r="E383" s="135"/>
      <c r="F383" s="135"/>
      <c r="G383" s="135"/>
      <c r="H383" s="135"/>
      <c r="I383" s="136"/>
      <c r="J383" s="135"/>
      <c r="K383" s="135"/>
      <c r="L383" s="135"/>
      <c r="M383" s="137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2.75" hidden="1" customHeight="1">
      <c r="A384" s="134"/>
      <c r="B384" s="135"/>
      <c r="C384" s="135"/>
      <c r="D384" s="136"/>
      <c r="E384" s="135"/>
      <c r="F384" s="135"/>
      <c r="G384" s="135"/>
      <c r="H384" s="135"/>
      <c r="I384" s="136"/>
      <c r="J384" s="135"/>
      <c r="K384" s="135"/>
      <c r="L384" s="135"/>
      <c r="M384" s="137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2.75" hidden="1" customHeight="1">
      <c r="A385" s="134"/>
      <c r="B385" s="135"/>
      <c r="C385" s="135"/>
      <c r="D385" s="136"/>
      <c r="E385" s="135"/>
      <c r="F385" s="135"/>
      <c r="G385" s="135"/>
      <c r="H385" s="135"/>
      <c r="I385" s="136"/>
      <c r="J385" s="135"/>
      <c r="K385" s="135"/>
      <c r="L385" s="135"/>
      <c r="M385" s="137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2.75" hidden="1" customHeight="1">
      <c r="A386" s="134"/>
      <c r="B386" s="135"/>
      <c r="C386" s="135"/>
      <c r="D386" s="136"/>
      <c r="E386" s="135"/>
      <c r="F386" s="135"/>
      <c r="G386" s="135"/>
      <c r="H386" s="135"/>
      <c r="I386" s="136"/>
      <c r="J386" s="135"/>
      <c r="K386" s="135"/>
      <c r="L386" s="135"/>
      <c r="M386" s="137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2.75" hidden="1" customHeight="1">
      <c r="A387" s="134"/>
      <c r="B387" s="135"/>
      <c r="C387" s="135"/>
      <c r="D387" s="136"/>
      <c r="E387" s="135"/>
      <c r="F387" s="135"/>
      <c r="G387" s="135"/>
      <c r="H387" s="135"/>
      <c r="I387" s="136"/>
      <c r="J387" s="135"/>
      <c r="K387" s="135"/>
      <c r="L387" s="135"/>
      <c r="M387" s="137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2.75" hidden="1" customHeight="1">
      <c r="A388" s="134"/>
      <c r="B388" s="135"/>
      <c r="C388" s="135"/>
      <c r="D388" s="136"/>
      <c r="E388" s="135"/>
      <c r="F388" s="135"/>
      <c r="G388" s="135"/>
      <c r="H388" s="135"/>
      <c r="I388" s="136"/>
      <c r="J388" s="135"/>
      <c r="K388" s="135"/>
      <c r="L388" s="135"/>
      <c r="M388" s="137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2.75" hidden="1" customHeight="1">
      <c r="A389" s="134"/>
      <c r="B389" s="135"/>
      <c r="C389" s="135"/>
      <c r="D389" s="136"/>
      <c r="E389" s="135"/>
      <c r="F389" s="135"/>
      <c r="G389" s="135"/>
      <c r="H389" s="135"/>
      <c r="I389" s="136"/>
      <c r="J389" s="135"/>
      <c r="K389" s="135"/>
      <c r="L389" s="135"/>
      <c r="M389" s="137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2.75" hidden="1" customHeight="1">
      <c r="A390" s="134"/>
      <c r="B390" s="135"/>
      <c r="C390" s="135"/>
      <c r="D390" s="136"/>
      <c r="E390" s="135"/>
      <c r="F390" s="135"/>
      <c r="G390" s="135"/>
      <c r="H390" s="135"/>
      <c r="I390" s="136"/>
      <c r="J390" s="135"/>
      <c r="K390" s="135"/>
      <c r="L390" s="135"/>
      <c r="M390" s="137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2.75" hidden="1" customHeight="1">
      <c r="A391" s="134"/>
      <c r="B391" s="135"/>
      <c r="C391" s="135"/>
      <c r="D391" s="136"/>
      <c r="E391" s="135"/>
      <c r="F391" s="135"/>
      <c r="G391" s="135"/>
      <c r="H391" s="135"/>
      <c r="I391" s="136"/>
      <c r="J391" s="135"/>
      <c r="K391" s="135"/>
      <c r="L391" s="135"/>
      <c r="M391" s="137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2.75" hidden="1" customHeight="1">
      <c r="A392" s="134"/>
      <c r="B392" s="135"/>
      <c r="C392" s="135"/>
      <c r="D392" s="136"/>
      <c r="E392" s="135"/>
      <c r="F392" s="135"/>
      <c r="G392" s="135"/>
      <c r="H392" s="135"/>
      <c r="I392" s="136"/>
      <c r="J392" s="135"/>
      <c r="K392" s="135"/>
      <c r="L392" s="135"/>
      <c r="M392" s="137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2.75" hidden="1" customHeight="1">
      <c r="A393" s="134"/>
      <c r="B393" s="135"/>
      <c r="C393" s="135"/>
      <c r="D393" s="136"/>
      <c r="E393" s="135"/>
      <c r="F393" s="135"/>
      <c r="G393" s="135"/>
      <c r="H393" s="135"/>
      <c r="I393" s="136"/>
      <c r="J393" s="135"/>
      <c r="K393" s="135"/>
      <c r="L393" s="135"/>
      <c r="M393" s="137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2.75" hidden="1" customHeight="1">
      <c r="A394" s="134"/>
      <c r="B394" s="135"/>
      <c r="C394" s="135"/>
      <c r="D394" s="136"/>
      <c r="E394" s="135"/>
      <c r="F394" s="135"/>
      <c r="G394" s="135"/>
      <c r="H394" s="135"/>
      <c r="I394" s="136"/>
      <c r="J394" s="135"/>
      <c r="K394" s="135"/>
      <c r="L394" s="135"/>
      <c r="M394" s="137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2.75" hidden="1" customHeight="1">
      <c r="A395" s="134"/>
      <c r="B395" s="135"/>
      <c r="C395" s="135"/>
      <c r="D395" s="136"/>
      <c r="E395" s="135"/>
      <c r="F395" s="135"/>
      <c r="G395" s="135"/>
      <c r="H395" s="135"/>
      <c r="I395" s="136"/>
      <c r="J395" s="135"/>
      <c r="K395" s="135"/>
      <c r="L395" s="135"/>
      <c r="M395" s="137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2.75" hidden="1" customHeight="1">
      <c r="A396" s="134"/>
      <c r="B396" s="135"/>
      <c r="C396" s="135"/>
      <c r="D396" s="136"/>
      <c r="E396" s="135"/>
      <c r="F396" s="135"/>
      <c r="G396" s="135"/>
      <c r="H396" s="135"/>
      <c r="I396" s="136"/>
      <c r="J396" s="135"/>
      <c r="K396" s="135"/>
      <c r="L396" s="135"/>
      <c r="M396" s="137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2.75" hidden="1" customHeight="1">
      <c r="A397" s="134"/>
      <c r="B397" s="135"/>
      <c r="C397" s="135"/>
      <c r="D397" s="136"/>
      <c r="E397" s="135"/>
      <c r="F397" s="135"/>
      <c r="G397" s="135"/>
      <c r="H397" s="135"/>
      <c r="I397" s="136"/>
      <c r="J397" s="135"/>
      <c r="K397" s="135"/>
      <c r="L397" s="135"/>
      <c r="M397" s="137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2.75" hidden="1" customHeight="1">
      <c r="A398" s="134"/>
      <c r="B398" s="135"/>
      <c r="C398" s="135"/>
      <c r="D398" s="136"/>
      <c r="E398" s="135"/>
      <c r="F398" s="135"/>
      <c r="G398" s="135"/>
      <c r="H398" s="135"/>
      <c r="I398" s="136"/>
      <c r="J398" s="135"/>
      <c r="K398" s="135"/>
      <c r="L398" s="135"/>
      <c r="M398" s="137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2.75" hidden="1" customHeight="1">
      <c r="A399" s="134"/>
      <c r="B399" s="135"/>
      <c r="C399" s="135"/>
      <c r="D399" s="136"/>
      <c r="E399" s="135"/>
      <c r="F399" s="135"/>
      <c r="G399" s="135"/>
      <c r="H399" s="135"/>
      <c r="I399" s="136"/>
      <c r="J399" s="135"/>
      <c r="K399" s="135"/>
      <c r="L399" s="135"/>
      <c r="M399" s="137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2.75" hidden="1" customHeight="1">
      <c r="A400" s="134"/>
      <c r="B400" s="135"/>
      <c r="C400" s="135"/>
      <c r="D400" s="136"/>
      <c r="E400" s="135"/>
      <c r="F400" s="135"/>
      <c r="G400" s="135"/>
      <c r="H400" s="135"/>
      <c r="I400" s="136"/>
      <c r="J400" s="135"/>
      <c r="K400" s="135"/>
      <c r="L400" s="135"/>
      <c r="M400" s="137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2.75" hidden="1" customHeight="1">
      <c r="A401" s="134"/>
      <c r="B401" s="135"/>
      <c r="C401" s="135"/>
      <c r="D401" s="136"/>
      <c r="E401" s="135"/>
      <c r="F401" s="135"/>
      <c r="G401" s="135"/>
      <c r="H401" s="135"/>
      <c r="I401" s="136"/>
      <c r="J401" s="135"/>
      <c r="K401" s="135"/>
      <c r="L401" s="135"/>
      <c r="M401" s="137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2.75" hidden="1" customHeight="1">
      <c r="A402" s="134"/>
      <c r="B402" s="135"/>
      <c r="C402" s="135"/>
      <c r="D402" s="136"/>
      <c r="E402" s="135"/>
      <c r="F402" s="135"/>
      <c r="G402" s="135"/>
      <c r="H402" s="135"/>
      <c r="I402" s="136"/>
      <c r="J402" s="135"/>
      <c r="K402" s="135"/>
      <c r="L402" s="135"/>
      <c r="M402" s="137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2.75" hidden="1" customHeight="1">
      <c r="A403" s="134"/>
      <c r="B403" s="135"/>
      <c r="C403" s="135"/>
      <c r="D403" s="136"/>
      <c r="E403" s="135"/>
      <c r="F403" s="135"/>
      <c r="G403" s="135"/>
      <c r="H403" s="135"/>
      <c r="I403" s="136"/>
      <c r="J403" s="135"/>
      <c r="K403" s="135"/>
      <c r="L403" s="135"/>
      <c r="M403" s="137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2.75" hidden="1" customHeight="1">
      <c r="A404" s="134"/>
      <c r="B404" s="135"/>
      <c r="C404" s="135"/>
      <c r="D404" s="136"/>
      <c r="E404" s="135"/>
      <c r="F404" s="135"/>
      <c r="G404" s="135"/>
      <c r="H404" s="135"/>
      <c r="I404" s="136"/>
      <c r="J404" s="135"/>
      <c r="K404" s="135"/>
      <c r="L404" s="135"/>
      <c r="M404" s="137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2.75" hidden="1" customHeight="1">
      <c r="A405" s="134"/>
      <c r="B405" s="135"/>
      <c r="C405" s="135"/>
      <c r="D405" s="136"/>
      <c r="E405" s="135"/>
      <c r="F405" s="135"/>
      <c r="G405" s="135"/>
      <c r="H405" s="135"/>
      <c r="I405" s="136"/>
      <c r="J405" s="135"/>
      <c r="K405" s="135"/>
      <c r="L405" s="135"/>
      <c r="M405" s="137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2.75" hidden="1" customHeight="1">
      <c r="A406" s="134"/>
      <c r="B406" s="135"/>
      <c r="C406" s="135"/>
      <c r="D406" s="136"/>
      <c r="E406" s="135"/>
      <c r="F406" s="135"/>
      <c r="G406" s="135"/>
      <c r="H406" s="135"/>
      <c r="I406" s="136"/>
      <c r="J406" s="135"/>
      <c r="K406" s="135"/>
      <c r="L406" s="135"/>
      <c r="M406" s="137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2.75" hidden="1" customHeight="1">
      <c r="A407" s="134"/>
      <c r="B407" s="135"/>
      <c r="C407" s="135"/>
      <c r="D407" s="136"/>
      <c r="E407" s="135"/>
      <c r="F407" s="135"/>
      <c r="G407" s="135"/>
      <c r="H407" s="135"/>
      <c r="I407" s="136"/>
      <c r="J407" s="135"/>
      <c r="K407" s="135"/>
      <c r="L407" s="135"/>
      <c r="M407" s="137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2.75" hidden="1" customHeight="1">
      <c r="A408" s="134"/>
      <c r="B408" s="135"/>
      <c r="C408" s="135"/>
      <c r="D408" s="136"/>
      <c r="E408" s="135"/>
      <c r="F408" s="135"/>
      <c r="G408" s="135"/>
      <c r="H408" s="135"/>
      <c r="I408" s="136"/>
      <c r="J408" s="135"/>
      <c r="K408" s="135"/>
      <c r="L408" s="135"/>
      <c r="M408" s="137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2.75" hidden="1" customHeight="1">
      <c r="A409" s="134"/>
      <c r="B409" s="135"/>
      <c r="C409" s="135"/>
      <c r="D409" s="136"/>
      <c r="E409" s="135"/>
      <c r="F409" s="135"/>
      <c r="G409" s="135"/>
      <c r="H409" s="135"/>
      <c r="I409" s="136"/>
      <c r="J409" s="135"/>
      <c r="K409" s="135"/>
      <c r="L409" s="135"/>
      <c r="M409" s="137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2.75" hidden="1" customHeight="1">
      <c r="A410" s="134"/>
      <c r="B410" s="135"/>
      <c r="C410" s="135"/>
      <c r="D410" s="136"/>
      <c r="E410" s="135"/>
      <c r="F410" s="135"/>
      <c r="G410" s="135"/>
      <c r="H410" s="135"/>
      <c r="I410" s="136"/>
      <c r="J410" s="135"/>
      <c r="K410" s="135"/>
      <c r="L410" s="135"/>
      <c r="M410" s="137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2.75" hidden="1" customHeight="1">
      <c r="A411" s="134"/>
      <c r="B411" s="135"/>
      <c r="C411" s="135"/>
      <c r="D411" s="136"/>
      <c r="E411" s="135"/>
      <c r="F411" s="135"/>
      <c r="G411" s="135"/>
      <c r="H411" s="135"/>
      <c r="I411" s="136"/>
      <c r="J411" s="135"/>
      <c r="K411" s="135"/>
      <c r="L411" s="135"/>
      <c r="M411" s="137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2.75" hidden="1" customHeight="1">
      <c r="A412" s="134"/>
      <c r="B412" s="135"/>
      <c r="C412" s="135"/>
      <c r="D412" s="136"/>
      <c r="E412" s="135"/>
      <c r="F412" s="135"/>
      <c r="G412" s="135"/>
      <c r="H412" s="135"/>
      <c r="I412" s="136"/>
      <c r="J412" s="135"/>
      <c r="K412" s="135"/>
      <c r="L412" s="135"/>
      <c r="M412" s="137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2.75" hidden="1" customHeight="1">
      <c r="A413" s="134"/>
      <c r="B413" s="135"/>
      <c r="C413" s="135"/>
      <c r="D413" s="136"/>
      <c r="E413" s="135"/>
      <c r="F413" s="135"/>
      <c r="G413" s="135"/>
      <c r="H413" s="135"/>
      <c r="I413" s="136"/>
      <c r="J413" s="135"/>
      <c r="K413" s="135"/>
      <c r="L413" s="135"/>
      <c r="M413" s="137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2.75" hidden="1" customHeight="1">
      <c r="A414" s="134"/>
      <c r="B414" s="135"/>
      <c r="C414" s="135"/>
      <c r="D414" s="136"/>
      <c r="E414" s="135"/>
      <c r="F414" s="135"/>
      <c r="G414" s="135"/>
      <c r="H414" s="135"/>
      <c r="I414" s="136"/>
      <c r="J414" s="135"/>
      <c r="K414" s="135"/>
      <c r="L414" s="135"/>
      <c r="M414" s="137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2.75" hidden="1" customHeight="1">
      <c r="A415" s="134"/>
      <c r="B415" s="135"/>
      <c r="C415" s="135"/>
      <c r="D415" s="136"/>
      <c r="E415" s="135"/>
      <c r="F415" s="135"/>
      <c r="G415" s="135"/>
      <c r="H415" s="135"/>
      <c r="I415" s="136"/>
      <c r="J415" s="135"/>
      <c r="K415" s="135"/>
      <c r="L415" s="135"/>
      <c r="M415" s="137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2.75" hidden="1" customHeight="1">
      <c r="A416" s="134"/>
      <c r="B416" s="135"/>
      <c r="C416" s="135"/>
      <c r="D416" s="136"/>
      <c r="E416" s="135"/>
      <c r="F416" s="135"/>
      <c r="G416" s="135"/>
      <c r="H416" s="135"/>
      <c r="I416" s="136"/>
      <c r="J416" s="135"/>
      <c r="K416" s="135"/>
      <c r="L416" s="135"/>
      <c r="M416" s="137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2.75" hidden="1" customHeight="1">
      <c r="A417" s="134"/>
      <c r="B417" s="135"/>
      <c r="C417" s="135"/>
      <c r="D417" s="136"/>
      <c r="E417" s="135"/>
      <c r="F417" s="135"/>
      <c r="G417" s="135"/>
      <c r="H417" s="135"/>
      <c r="I417" s="136"/>
      <c r="J417" s="135"/>
      <c r="K417" s="135"/>
      <c r="L417" s="135"/>
      <c r="M417" s="137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2.75" hidden="1" customHeight="1">
      <c r="A418" s="134"/>
      <c r="B418" s="135"/>
      <c r="C418" s="135"/>
      <c r="D418" s="136"/>
      <c r="E418" s="135"/>
      <c r="F418" s="135"/>
      <c r="G418" s="135"/>
      <c r="H418" s="135"/>
      <c r="I418" s="136"/>
      <c r="J418" s="135"/>
      <c r="K418" s="135"/>
      <c r="L418" s="135"/>
      <c r="M418" s="137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2.75" hidden="1" customHeight="1">
      <c r="A419" s="134"/>
      <c r="B419" s="135"/>
      <c r="C419" s="135"/>
      <c r="D419" s="136"/>
      <c r="E419" s="135"/>
      <c r="F419" s="135"/>
      <c r="G419" s="135"/>
      <c r="H419" s="135"/>
      <c r="I419" s="136"/>
      <c r="J419" s="135"/>
      <c r="K419" s="135"/>
      <c r="L419" s="135"/>
      <c r="M419" s="137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2.75" hidden="1" customHeight="1">
      <c r="A420" s="134"/>
      <c r="B420" s="135"/>
      <c r="C420" s="135"/>
      <c r="D420" s="136"/>
      <c r="E420" s="135"/>
      <c r="F420" s="135"/>
      <c r="G420" s="135"/>
      <c r="H420" s="135"/>
      <c r="I420" s="136"/>
      <c r="J420" s="135"/>
      <c r="K420" s="135"/>
      <c r="L420" s="135"/>
      <c r="M420" s="137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2.75" hidden="1" customHeight="1">
      <c r="A421" s="134"/>
      <c r="B421" s="135"/>
      <c r="C421" s="135"/>
      <c r="D421" s="136"/>
      <c r="E421" s="135"/>
      <c r="F421" s="135"/>
      <c r="G421" s="135"/>
      <c r="H421" s="135"/>
      <c r="I421" s="136"/>
      <c r="J421" s="135"/>
      <c r="K421" s="135"/>
      <c r="L421" s="135"/>
      <c r="M421" s="137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2.75" hidden="1" customHeight="1">
      <c r="A422" s="134"/>
      <c r="B422" s="135"/>
      <c r="C422" s="135"/>
      <c r="D422" s="136"/>
      <c r="E422" s="135"/>
      <c r="F422" s="135"/>
      <c r="G422" s="135"/>
      <c r="H422" s="135"/>
      <c r="I422" s="136"/>
      <c r="J422" s="135"/>
      <c r="K422" s="135"/>
      <c r="L422" s="135"/>
      <c r="M422" s="137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2.75" hidden="1" customHeight="1">
      <c r="A423" s="134"/>
      <c r="B423" s="135"/>
      <c r="C423" s="135"/>
      <c r="D423" s="136"/>
      <c r="E423" s="135"/>
      <c r="F423" s="135"/>
      <c r="G423" s="135"/>
      <c r="H423" s="135"/>
      <c r="I423" s="136"/>
      <c r="J423" s="135"/>
      <c r="K423" s="135"/>
      <c r="L423" s="135"/>
      <c r="M423" s="137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2.75" hidden="1" customHeight="1">
      <c r="A424" s="134"/>
      <c r="B424" s="135"/>
      <c r="C424" s="135"/>
      <c r="D424" s="136"/>
      <c r="E424" s="135"/>
      <c r="F424" s="135"/>
      <c r="G424" s="135"/>
      <c r="H424" s="135"/>
      <c r="I424" s="136"/>
      <c r="J424" s="135"/>
      <c r="K424" s="135"/>
      <c r="L424" s="135"/>
      <c r="M424" s="137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2.75" hidden="1" customHeight="1">
      <c r="A425" s="134"/>
      <c r="B425" s="135"/>
      <c r="C425" s="135"/>
      <c r="D425" s="136"/>
      <c r="E425" s="135"/>
      <c r="F425" s="135"/>
      <c r="G425" s="135"/>
      <c r="H425" s="135"/>
      <c r="I425" s="136"/>
      <c r="J425" s="135"/>
      <c r="K425" s="135"/>
      <c r="L425" s="135"/>
      <c r="M425" s="137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2.75" hidden="1" customHeight="1">
      <c r="A426" s="134"/>
      <c r="B426" s="135"/>
      <c r="C426" s="135"/>
      <c r="D426" s="136"/>
      <c r="E426" s="135"/>
      <c r="F426" s="135"/>
      <c r="G426" s="135"/>
      <c r="H426" s="135"/>
      <c r="I426" s="136"/>
      <c r="J426" s="135"/>
      <c r="K426" s="135"/>
      <c r="L426" s="135"/>
      <c r="M426" s="137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hidden="1" customHeight="1">
      <c r="A427" s="134"/>
      <c r="B427" s="135"/>
      <c r="C427" s="135"/>
      <c r="D427" s="136"/>
      <c r="E427" s="135"/>
      <c r="F427" s="135"/>
      <c r="G427" s="135"/>
      <c r="H427" s="135"/>
      <c r="I427" s="136"/>
      <c r="J427" s="135"/>
      <c r="K427" s="135"/>
      <c r="L427" s="135"/>
      <c r="M427" s="137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hidden="1" customHeight="1">
      <c r="A428" s="134"/>
      <c r="B428" s="135"/>
      <c r="C428" s="135"/>
      <c r="D428" s="136"/>
      <c r="E428" s="135"/>
      <c r="F428" s="135"/>
      <c r="G428" s="135"/>
      <c r="H428" s="135"/>
      <c r="I428" s="136"/>
      <c r="J428" s="135"/>
      <c r="K428" s="135"/>
      <c r="L428" s="135"/>
      <c r="M428" s="137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hidden="1" customHeight="1">
      <c r="A429" s="134"/>
      <c r="B429" s="135"/>
      <c r="C429" s="135"/>
      <c r="D429" s="136"/>
      <c r="E429" s="135"/>
      <c r="F429" s="135"/>
      <c r="G429" s="135"/>
      <c r="H429" s="135"/>
      <c r="I429" s="136"/>
      <c r="J429" s="135"/>
      <c r="K429" s="135"/>
      <c r="L429" s="135"/>
      <c r="M429" s="137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hidden="1" customHeight="1">
      <c r="A430" s="134"/>
      <c r="B430" s="135"/>
      <c r="C430" s="135"/>
      <c r="D430" s="136"/>
      <c r="E430" s="135"/>
      <c r="F430" s="135"/>
      <c r="G430" s="135"/>
      <c r="H430" s="135"/>
      <c r="I430" s="136"/>
      <c r="J430" s="135"/>
      <c r="K430" s="135"/>
      <c r="L430" s="135"/>
      <c r="M430" s="137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hidden="1" customHeight="1">
      <c r="A431" s="134"/>
      <c r="B431" s="135"/>
      <c r="C431" s="135"/>
      <c r="D431" s="136"/>
      <c r="E431" s="135"/>
      <c r="F431" s="135"/>
      <c r="G431" s="135"/>
      <c r="H431" s="135"/>
      <c r="I431" s="136"/>
      <c r="J431" s="135"/>
      <c r="K431" s="135"/>
      <c r="L431" s="135"/>
      <c r="M431" s="137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hidden="1" customHeight="1">
      <c r="A432" s="134"/>
      <c r="B432" s="135"/>
      <c r="C432" s="135"/>
      <c r="D432" s="136"/>
      <c r="E432" s="135"/>
      <c r="F432" s="135"/>
      <c r="G432" s="135"/>
      <c r="H432" s="135"/>
      <c r="I432" s="136"/>
      <c r="J432" s="135"/>
      <c r="K432" s="135"/>
      <c r="L432" s="135"/>
      <c r="M432" s="137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hidden="1" customHeight="1">
      <c r="A433" s="134"/>
      <c r="B433" s="135"/>
      <c r="C433" s="135"/>
      <c r="D433" s="136"/>
      <c r="E433" s="135"/>
      <c r="F433" s="135"/>
      <c r="G433" s="135"/>
      <c r="H433" s="135"/>
      <c r="I433" s="136"/>
      <c r="J433" s="135"/>
      <c r="K433" s="135"/>
      <c r="L433" s="135"/>
      <c r="M433" s="137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hidden="1" customHeight="1">
      <c r="A434" s="134"/>
      <c r="B434" s="135"/>
      <c r="C434" s="135"/>
      <c r="D434" s="136"/>
      <c r="E434" s="135"/>
      <c r="F434" s="135"/>
      <c r="G434" s="135"/>
      <c r="H434" s="135"/>
      <c r="I434" s="136"/>
      <c r="J434" s="135"/>
      <c r="K434" s="135"/>
      <c r="L434" s="135"/>
      <c r="M434" s="137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hidden="1" customHeight="1">
      <c r="A435" s="134"/>
      <c r="B435" s="135"/>
      <c r="C435" s="135"/>
      <c r="D435" s="136"/>
      <c r="E435" s="135"/>
      <c r="F435" s="135"/>
      <c r="G435" s="135"/>
      <c r="H435" s="135"/>
      <c r="I435" s="136"/>
      <c r="J435" s="135"/>
      <c r="K435" s="135"/>
      <c r="L435" s="135"/>
      <c r="M435" s="137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hidden="1" customHeight="1">
      <c r="A436" s="134"/>
      <c r="B436" s="135"/>
      <c r="C436" s="135"/>
      <c r="D436" s="136"/>
      <c r="E436" s="135"/>
      <c r="F436" s="135"/>
      <c r="G436" s="135"/>
      <c r="H436" s="135"/>
      <c r="I436" s="136"/>
      <c r="J436" s="135"/>
      <c r="K436" s="135"/>
      <c r="L436" s="135"/>
      <c r="M436" s="137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hidden="1" customHeight="1">
      <c r="A437" s="134"/>
      <c r="B437" s="135"/>
      <c r="C437" s="135"/>
      <c r="D437" s="136"/>
      <c r="E437" s="135"/>
      <c r="F437" s="135"/>
      <c r="G437" s="135"/>
      <c r="H437" s="135"/>
      <c r="I437" s="136"/>
      <c r="J437" s="135"/>
      <c r="K437" s="135"/>
      <c r="L437" s="135"/>
      <c r="M437" s="137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hidden="1" customHeight="1">
      <c r="A438" s="134"/>
      <c r="B438" s="135"/>
      <c r="C438" s="135"/>
      <c r="D438" s="136"/>
      <c r="E438" s="135"/>
      <c r="F438" s="135"/>
      <c r="G438" s="135"/>
      <c r="H438" s="135"/>
      <c r="I438" s="136"/>
      <c r="J438" s="135"/>
      <c r="K438" s="135"/>
      <c r="L438" s="135"/>
      <c r="M438" s="137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hidden="1" customHeight="1">
      <c r="A439" s="134"/>
      <c r="B439" s="135"/>
      <c r="C439" s="135"/>
      <c r="D439" s="136"/>
      <c r="E439" s="135"/>
      <c r="F439" s="135"/>
      <c r="G439" s="135"/>
      <c r="H439" s="135"/>
      <c r="I439" s="136"/>
      <c r="J439" s="135"/>
      <c r="K439" s="135"/>
      <c r="L439" s="135"/>
      <c r="M439" s="137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hidden="1" customHeight="1">
      <c r="A440" s="134"/>
      <c r="B440" s="135"/>
      <c r="C440" s="135"/>
      <c r="D440" s="136"/>
      <c r="E440" s="135"/>
      <c r="F440" s="135"/>
      <c r="G440" s="135"/>
      <c r="H440" s="135"/>
      <c r="I440" s="136"/>
      <c r="J440" s="135"/>
      <c r="K440" s="135"/>
      <c r="L440" s="135"/>
      <c r="M440" s="137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hidden="1" customHeight="1">
      <c r="A441" s="134"/>
      <c r="B441" s="135"/>
      <c r="C441" s="135"/>
      <c r="D441" s="136"/>
      <c r="E441" s="135"/>
      <c r="F441" s="135"/>
      <c r="G441" s="135"/>
      <c r="H441" s="135"/>
      <c r="I441" s="136"/>
      <c r="J441" s="135"/>
      <c r="K441" s="135"/>
      <c r="L441" s="135"/>
      <c r="M441" s="137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hidden="1" customHeight="1">
      <c r="A442" s="134"/>
      <c r="B442" s="135"/>
      <c r="C442" s="135"/>
      <c r="D442" s="136"/>
      <c r="E442" s="135"/>
      <c r="F442" s="135"/>
      <c r="G442" s="135"/>
      <c r="H442" s="135"/>
      <c r="I442" s="136"/>
      <c r="J442" s="135"/>
      <c r="K442" s="135"/>
      <c r="L442" s="135"/>
      <c r="M442" s="137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hidden="1" customHeight="1">
      <c r="A443" s="134"/>
      <c r="B443" s="135"/>
      <c r="C443" s="135"/>
      <c r="D443" s="136"/>
      <c r="E443" s="135"/>
      <c r="F443" s="135"/>
      <c r="G443" s="135"/>
      <c r="H443" s="135"/>
      <c r="I443" s="136"/>
      <c r="J443" s="135"/>
      <c r="K443" s="135"/>
      <c r="L443" s="135"/>
      <c r="M443" s="137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hidden="1" customHeight="1">
      <c r="A444" s="134"/>
      <c r="B444" s="135"/>
      <c r="C444" s="135"/>
      <c r="D444" s="136"/>
      <c r="E444" s="135"/>
      <c r="F444" s="135"/>
      <c r="G444" s="135"/>
      <c r="H444" s="135"/>
      <c r="I444" s="136"/>
      <c r="J444" s="135"/>
      <c r="K444" s="135"/>
      <c r="L444" s="135"/>
      <c r="M444" s="137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2.75" hidden="1" customHeight="1">
      <c r="A445" s="134"/>
      <c r="B445" s="135"/>
      <c r="C445" s="135"/>
      <c r="D445" s="136"/>
      <c r="E445" s="135"/>
      <c r="F445" s="135"/>
      <c r="G445" s="135"/>
      <c r="H445" s="135"/>
      <c r="I445" s="136"/>
      <c r="J445" s="135"/>
      <c r="K445" s="135"/>
      <c r="L445" s="135"/>
      <c r="M445" s="137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hidden="1" customHeight="1">
      <c r="A446" s="134"/>
      <c r="B446" s="135"/>
      <c r="C446" s="135"/>
      <c r="D446" s="136"/>
      <c r="E446" s="135"/>
      <c r="F446" s="135"/>
      <c r="G446" s="135"/>
      <c r="H446" s="135"/>
      <c r="I446" s="136"/>
      <c r="J446" s="135"/>
      <c r="K446" s="135"/>
      <c r="L446" s="135"/>
      <c r="M446" s="137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hidden="1" customHeight="1">
      <c r="A447" s="134"/>
      <c r="B447" s="135"/>
      <c r="C447" s="135"/>
      <c r="D447" s="136"/>
      <c r="E447" s="135"/>
      <c r="F447" s="135"/>
      <c r="G447" s="135"/>
      <c r="H447" s="135"/>
      <c r="I447" s="136"/>
      <c r="J447" s="135"/>
      <c r="K447" s="135"/>
      <c r="L447" s="135"/>
      <c r="M447" s="137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hidden="1" customHeight="1">
      <c r="A448" s="134"/>
      <c r="B448" s="135"/>
      <c r="C448" s="135"/>
      <c r="D448" s="136"/>
      <c r="E448" s="135"/>
      <c r="F448" s="135"/>
      <c r="G448" s="135"/>
      <c r="H448" s="135"/>
      <c r="I448" s="136"/>
      <c r="J448" s="135"/>
      <c r="K448" s="135"/>
      <c r="L448" s="135"/>
      <c r="M448" s="137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2.75" hidden="1" customHeight="1">
      <c r="A449" s="134"/>
      <c r="B449" s="135"/>
      <c r="C449" s="135"/>
      <c r="D449" s="136"/>
      <c r="E449" s="135"/>
      <c r="F449" s="135"/>
      <c r="G449" s="135"/>
      <c r="H449" s="135"/>
      <c r="I449" s="136"/>
      <c r="J449" s="135"/>
      <c r="K449" s="135"/>
      <c r="L449" s="135"/>
      <c r="M449" s="137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hidden="1" customHeight="1">
      <c r="A450" s="134"/>
      <c r="B450" s="135"/>
      <c r="C450" s="135"/>
      <c r="D450" s="136"/>
      <c r="E450" s="135"/>
      <c r="F450" s="135"/>
      <c r="G450" s="135"/>
      <c r="H450" s="135"/>
      <c r="I450" s="136"/>
      <c r="J450" s="135"/>
      <c r="K450" s="135"/>
      <c r="L450" s="135"/>
      <c r="M450" s="137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hidden="1" customHeight="1">
      <c r="A451" s="134"/>
      <c r="B451" s="135"/>
      <c r="C451" s="135"/>
      <c r="D451" s="136"/>
      <c r="E451" s="135"/>
      <c r="F451" s="135"/>
      <c r="G451" s="135"/>
      <c r="H451" s="135"/>
      <c r="I451" s="136"/>
      <c r="J451" s="135"/>
      <c r="K451" s="135"/>
      <c r="L451" s="135"/>
      <c r="M451" s="137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hidden="1" customHeight="1">
      <c r="A452" s="134"/>
      <c r="B452" s="135"/>
      <c r="C452" s="135"/>
      <c r="D452" s="136"/>
      <c r="E452" s="135"/>
      <c r="F452" s="135"/>
      <c r="G452" s="135"/>
      <c r="H452" s="135"/>
      <c r="I452" s="136"/>
      <c r="J452" s="135"/>
      <c r="K452" s="135"/>
      <c r="L452" s="135"/>
      <c r="M452" s="137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hidden="1" customHeight="1">
      <c r="A453" s="134"/>
      <c r="B453" s="135"/>
      <c r="C453" s="135"/>
      <c r="D453" s="136"/>
      <c r="E453" s="135"/>
      <c r="F453" s="135"/>
      <c r="G453" s="135"/>
      <c r="H453" s="135"/>
      <c r="I453" s="136"/>
      <c r="J453" s="135"/>
      <c r="K453" s="135"/>
      <c r="L453" s="135"/>
      <c r="M453" s="137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hidden="1" customHeight="1">
      <c r="A454" s="134"/>
      <c r="B454" s="135"/>
      <c r="C454" s="135"/>
      <c r="D454" s="136"/>
      <c r="E454" s="135"/>
      <c r="F454" s="135"/>
      <c r="G454" s="135"/>
      <c r="H454" s="135"/>
      <c r="I454" s="136"/>
      <c r="J454" s="135"/>
      <c r="K454" s="135"/>
      <c r="L454" s="135"/>
      <c r="M454" s="137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hidden="1" customHeight="1">
      <c r="A455" s="134"/>
      <c r="B455" s="135"/>
      <c r="C455" s="135"/>
      <c r="D455" s="136"/>
      <c r="E455" s="135"/>
      <c r="F455" s="135"/>
      <c r="G455" s="135"/>
      <c r="H455" s="135"/>
      <c r="I455" s="136"/>
      <c r="J455" s="135"/>
      <c r="K455" s="135"/>
      <c r="L455" s="135"/>
      <c r="M455" s="137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hidden="1" customHeight="1">
      <c r="A456" s="134"/>
      <c r="B456" s="135"/>
      <c r="C456" s="135"/>
      <c r="D456" s="136"/>
      <c r="E456" s="135"/>
      <c r="F456" s="135"/>
      <c r="G456" s="135"/>
      <c r="H456" s="135"/>
      <c r="I456" s="136"/>
      <c r="J456" s="135"/>
      <c r="K456" s="135"/>
      <c r="L456" s="135"/>
      <c r="M456" s="137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hidden="1" customHeight="1">
      <c r="A457" s="134"/>
      <c r="B457" s="135"/>
      <c r="C457" s="135"/>
      <c r="D457" s="136"/>
      <c r="E457" s="135"/>
      <c r="F457" s="135"/>
      <c r="G457" s="135"/>
      <c r="H457" s="135"/>
      <c r="I457" s="136"/>
      <c r="J457" s="135"/>
      <c r="K457" s="135"/>
      <c r="L457" s="135"/>
      <c r="M457" s="137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hidden="1" customHeight="1">
      <c r="A458" s="134"/>
      <c r="B458" s="135"/>
      <c r="C458" s="135"/>
      <c r="D458" s="136"/>
      <c r="E458" s="135"/>
      <c r="F458" s="135"/>
      <c r="G458" s="135"/>
      <c r="H458" s="135"/>
      <c r="I458" s="136"/>
      <c r="J458" s="135"/>
      <c r="K458" s="135"/>
      <c r="L458" s="135"/>
      <c r="M458" s="137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hidden="1" customHeight="1">
      <c r="A459" s="134"/>
      <c r="B459" s="135"/>
      <c r="C459" s="135"/>
      <c r="D459" s="136"/>
      <c r="E459" s="135"/>
      <c r="F459" s="135"/>
      <c r="G459" s="135"/>
      <c r="H459" s="135"/>
      <c r="I459" s="136"/>
      <c r="J459" s="135"/>
      <c r="K459" s="135"/>
      <c r="L459" s="135"/>
      <c r="M459" s="137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hidden="1" customHeight="1">
      <c r="A460" s="134"/>
      <c r="B460" s="135"/>
      <c r="C460" s="135"/>
      <c r="D460" s="136"/>
      <c r="E460" s="135"/>
      <c r="F460" s="135"/>
      <c r="G460" s="135"/>
      <c r="H460" s="135"/>
      <c r="I460" s="136"/>
      <c r="J460" s="135"/>
      <c r="K460" s="135"/>
      <c r="L460" s="135"/>
      <c r="M460" s="137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hidden="1" customHeight="1">
      <c r="A461" s="134"/>
      <c r="B461" s="135"/>
      <c r="C461" s="135"/>
      <c r="D461" s="136"/>
      <c r="E461" s="135"/>
      <c r="F461" s="135"/>
      <c r="G461" s="135"/>
      <c r="H461" s="135"/>
      <c r="I461" s="136"/>
      <c r="J461" s="135"/>
      <c r="K461" s="135"/>
      <c r="L461" s="135"/>
      <c r="M461" s="137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hidden="1" customHeight="1">
      <c r="A462" s="134"/>
      <c r="B462" s="135"/>
      <c r="C462" s="135"/>
      <c r="D462" s="136"/>
      <c r="E462" s="135"/>
      <c r="F462" s="135"/>
      <c r="G462" s="135"/>
      <c r="H462" s="135"/>
      <c r="I462" s="136"/>
      <c r="J462" s="135"/>
      <c r="K462" s="135"/>
      <c r="L462" s="135"/>
      <c r="M462" s="137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hidden="1" customHeight="1">
      <c r="A463" s="134"/>
      <c r="B463" s="135"/>
      <c r="C463" s="135"/>
      <c r="D463" s="136"/>
      <c r="E463" s="135"/>
      <c r="F463" s="135"/>
      <c r="G463" s="135"/>
      <c r="H463" s="135"/>
      <c r="I463" s="136"/>
      <c r="J463" s="135"/>
      <c r="K463" s="135"/>
      <c r="L463" s="135"/>
      <c r="M463" s="137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hidden="1" customHeight="1">
      <c r="A464" s="134"/>
      <c r="B464" s="135"/>
      <c r="C464" s="135"/>
      <c r="D464" s="136"/>
      <c r="E464" s="135"/>
      <c r="F464" s="135"/>
      <c r="G464" s="135"/>
      <c r="H464" s="135"/>
      <c r="I464" s="136"/>
      <c r="J464" s="135"/>
      <c r="K464" s="135"/>
      <c r="L464" s="135"/>
      <c r="M464" s="137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hidden="1" customHeight="1">
      <c r="A465" s="134"/>
      <c r="B465" s="135"/>
      <c r="C465" s="135"/>
      <c r="D465" s="136"/>
      <c r="E465" s="135"/>
      <c r="F465" s="135"/>
      <c r="G465" s="135"/>
      <c r="H465" s="135"/>
      <c r="I465" s="136"/>
      <c r="J465" s="135"/>
      <c r="K465" s="135"/>
      <c r="L465" s="135"/>
      <c r="M465" s="137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hidden="1" customHeight="1">
      <c r="A466" s="134"/>
      <c r="B466" s="135"/>
      <c r="C466" s="135"/>
      <c r="D466" s="136"/>
      <c r="E466" s="135"/>
      <c r="F466" s="135"/>
      <c r="G466" s="135"/>
      <c r="H466" s="135"/>
      <c r="I466" s="136"/>
      <c r="J466" s="135"/>
      <c r="K466" s="135"/>
      <c r="L466" s="135"/>
      <c r="M466" s="137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hidden="1" customHeight="1">
      <c r="A467" s="134"/>
      <c r="B467" s="135"/>
      <c r="C467" s="135"/>
      <c r="D467" s="136"/>
      <c r="E467" s="135"/>
      <c r="F467" s="135"/>
      <c r="G467" s="135"/>
      <c r="H467" s="135"/>
      <c r="I467" s="136"/>
      <c r="J467" s="135"/>
      <c r="K467" s="135"/>
      <c r="L467" s="135"/>
      <c r="M467" s="137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hidden="1" customHeight="1">
      <c r="A468" s="134"/>
      <c r="B468" s="135"/>
      <c r="C468" s="135"/>
      <c r="D468" s="136"/>
      <c r="E468" s="135"/>
      <c r="F468" s="135"/>
      <c r="G468" s="135"/>
      <c r="H468" s="135"/>
      <c r="I468" s="136"/>
      <c r="J468" s="135"/>
      <c r="K468" s="135"/>
      <c r="L468" s="135"/>
      <c r="M468" s="137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hidden="1" customHeight="1">
      <c r="A469" s="134"/>
      <c r="B469" s="135"/>
      <c r="C469" s="135"/>
      <c r="D469" s="136"/>
      <c r="E469" s="135"/>
      <c r="F469" s="135"/>
      <c r="G469" s="135"/>
      <c r="H469" s="135"/>
      <c r="I469" s="136"/>
      <c r="J469" s="135"/>
      <c r="K469" s="135"/>
      <c r="L469" s="135"/>
      <c r="M469" s="137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2.75" hidden="1" customHeight="1">
      <c r="A470" s="134"/>
      <c r="B470" s="135"/>
      <c r="C470" s="135"/>
      <c r="D470" s="136"/>
      <c r="E470" s="135"/>
      <c r="F470" s="135"/>
      <c r="G470" s="135"/>
      <c r="H470" s="135"/>
      <c r="I470" s="136"/>
      <c r="J470" s="135"/>
      <c r="K470" s="135"/>
      <c r="L470" s="135"/>
      <c r="M470" s="137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hidden="1" customHeight="1">
      <c r="A471" s="134"/>
      <c r="B471" s="135"/>
      <c r="C471" s="135"/>
      <c r="D471" s="136"/>
      <c r="E471" s="135"/>
      <c r="F471" s="135"/>
      <c r="G471" s="135"/>
      <c r="H471" s="135"/>
      <c r="I471" s="136"/>
      <c r="J471" s="135"/>
      <c r="K471" s="135"/>
      <c r="L471" s="135"/>
      <c r="M471" s="137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2.75" hidden="1" customHeight="1">
      <c r="A472" s="134"/>
      <c r="B472" s="135"/>
      <c r="C472" s="135"/>
      <c r="D472" s="136"/>
      <c r="E472" s="135"/>
      <c r="F472" s="135"/>
      <c r="G472" s="135"/>
      <c r="H472" s="135"/>
      <c r="I472" s="136"/>
      <c r="J472" s="135"/>
      <c r="K472" s="135"/>
      <c r="L472" s="135"/>
      <c r="M472" s="137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hidden="1" customHeight="1">
      <c r="A473" s="134"/>
      <c r="B473" s="135"/>
      <c r="C473" s="135"/>
      <c r="D473" s="136"/>
      <c r="E473" s="135"/>
      <c r="F473" s="135"/>
      <c r="G473" s="135"/>
      <c r="H473" s="135"/>
      <c r="I473" s="136"/>
      <c r="J473" s="135"/>
      <c r="K473" s="135"/>
      <c r="L473" s="135"/>
      <c r="M473" s="137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hidden="1" customHeight="1">
      <c r="A474" s="134"/>
      <c r="B474" s="135"/>
      <c r="C474" s="135"/>
      <c r="D474" s="136"/>
      <c r="E474" s="135"/>
      <c r="F474" s="135"/>
      <c r="G474" s="135"/>
      <c r="H474" s="135"/>
      <c r="I474" s="136"/>
      <c r="J474" s="135"/>
      <c r="K474" s="135"/>
      <c r="L474" s="135"/>
      <c r="M474" s="137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hidden="1" customHeight="1">
      <c r="A475" s="134"/>
      <c r="B475" s="135"/>
      <c r="C475" s="135"/>
      <c r="D475" s="136"/>
      <c r="E475" s="135"/>
      <c r="F475" s="135"/>
      <c r="G475" s="135"/>
      <c r="H475" s="135"/>
      <c r="I475" s="136"/>
      <c r="J475" s="135"/>
      <c r="K475" s="135"/>
      <c r="L475" s="135"/>
      <c r="M475" s="137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hidden="1" customHeight="1">
      <c r="A476" s="134"/>
      <c r="B476" s="135"/>
      <c r="C476" s="135"/>
      <c r="D476" s="136"/>
      <c r="E476" s="135"/>
      <c r="F476" s="135"/>
      <c r="G476" s="135"/>
      <c r="H476" s="135"/>
      <c r="I476" s="136"/>
      <c r="J476" s="135"/>
      <c r="K476" s="135"/>
      <c r="L476" s="135"/>
      <c r="M476" s="137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hidden="1" customHeight="1">
      <c r="A477" s="134"/>
      <c r="B477" s="135"/>
      <c r="C477" s="135"/>
      <c r="D477" s="136"/>
      <c r="E477" s="135"/>
      <c r="F477" s="135"/>
      <c r="G477" s="135"/>
      <c r="H477" s="135"/>
      <c r="I477" s="136"/>
      <c r="J477" s="135"/>
      <c r="K477" s="135"/>
      <c r="L477" s="135"/>
      <c r="M477" s="137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hidden="1" customHeight="1">
      <c r="A478" s="134"/>
      <c r="B478" s="135"/>
      <c r="C478" s="135"/>
      <c r="D478" s="136"/>
      <c r="E478" s="135"/>
      <c r="F478" s="135"/>
      <c r="G478" s="135"/>
      <c r="H478" s="135"/>
      <c r="I478" s="136"/>
      <c r="J478" s="135"/>
      <c r="K478" s="135"/>
      <c r="L478" s="135"/>
      <c r="M478" s="137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hidden="1" customHeight="1">
      <c r="A479" s="134"/>
      <c r="B479" s="135"/>
      <c r="C479" s="135"/>
      <c r="D479" s="136"/>
      <c r="E479" s="135"/>
      <c r="F479" s="135"/>
      <c r="G479" s="135"/>
      <c r="H479" s="135"/>
      <c r="I479" s="136"/>
      <c r="J479" s="135"/>
      <c r="K479" s="135"/>
      <c r="L479" s="135"/>
      <c r="M479" s="137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hidden="1" customHeight="1">
      <c r="A480" s="134"/>
      <c r="B480" s="135"/>
      <c r="C480" s="135"/>
      <c r="D480" s="136"/>
      <c r="E480" s="135"/>
      <c r="F480" s="135"/>
      <c r="G480" s="135"/>
      <c r="H480" s="135"/>
      <c r="I480" s="136"/>
      <c r="J480" s="135"/>
      <c r="K480" s="135"/>
      <c r="L480" s="135"/>
      <c r="M480" s="137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hidden="1" customHeight="1">
      <c r="A481" s="134"/>
      <c r="B481" s="135"/>
      <c r="C481" s="135"/>
      <c r="D481" s="136"/>
      <c r="E481" s="135"/>
      <c r="F481" s="135"/>
      <c r="G481" s="135"/>
      <c r="H481" s="135"/>
      <c r="I481" s="136"/>
      <c r="J481" s="135"/>
      <c r="K481" s="135"/>
      <c r="L481" s="135"/>
      <c r="M481" s="137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hidden="1" customHeight="1">
      <c r="A482" s="134"/>
      <c r="B482" s="135"/>
      <c r="C482" s="135"/>
      <c r="D482" s="136"/>
      <c r="E482" s="135"/>
      <c r="F482" s="135"/>
      <c r="G482" s="135"/>
      <c r="H482" s="135"/>
      <c r="I482" s="136"/>
      <c r="J482" s="135"/>
      <c r="K482" s="135"/>
      <c r="L482" s="135"/>
      <c r="M482" s="137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hidden="1" customHeight="1">
      <c r="A483" s="134"/>
      <c r="B483" s="135"/>
      <c r="C483" s="135"/>
      <c r="D483" s="136"/>
      <c r="E483" s="135"/>
      <c r="F483" s="135"/>
      <c r="G483" s="135"/>
      <c r="H483" s="135"/>
      <c r="I483" s="136"/>
      <c r="J483" s="135"/>
      <c r="K483" s="135"/>
      <c r="L483" s="135"/>
      <c r="M483" s="137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hidden="1" customHeight="1">
      <c r="A484" s="134"/>
      <c r="B484" s="135"/>
      <c r="C484" s="135"/>
      <c r="D484" s="136"/>
      <c r="E484" s="135"/>
      <c r="F484" s="135"/>
      <c r="G484" s="135"/>
      <c r="H484" s="135"/>
      <c r="I484" s="136"/>
      <c r="J484" s="135"/>
      <c r="K484" s="135"/>
      <c r="L484" s="135"/>
      <c r="M484" s="137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hidden="1" customHeight="1">
      <c r="A485" s="134"/>
      <c r="B485" s="135"/>
      <c r="C485" s="135"/>
      <c r="D485" s="136"/>
      <c r="E485" s="135"/>
      <c r="F485" s="135"/>
      <c r="G485" s="135"/>
      <c r="H485" s="135"/>
      <c r="I485" s="136"/>
      <c r="J485" s="135"/>
      <c r="K485" s="135"/>
      <c r="L485" s="135"/>
      <c r="M485" s="137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hidden="1" customHeight="1">
      <c r="A486" s="134"/>
      <c r="B486" s="135"/>
      <c r="C486" s="135"/>
      <c r="D486" s="136"/>
      <c r="E486" s="135"/>
      <c r="F486" s="135"/>
      <c r="G486" s="135"/>
      <c r="H486" s="135"/>
      <c r="I486" s="136"/>
      <c r="J486" s="135"/>
      <c r="K486" s="135"/>
      <c r="L486" s="135"/>
      <c r="M486" s="137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hidden="1" customHeight="1">
      <c r="A487" s="134"/>
      <c r="B487" s="135"/>
      <c r="C487" s="135"/>
      <c r="D487" s="136"/>
      <c r="E487" s="135"/>
      <c r="F487" s="135"/>
      <c r="G487" s="135"/>
      <c r="H487" s="135"/>
      <c r="I487" s="136"/>
      <c r="J487" s="135"/>
      <c r="K487" s="135"/>
      <c r="L487" s="135"/>
      <c r="M487" s="137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hidden="1" customHeight="1">
      <c r="A488" s="134"/>
      <c r="B488" s="135"/>
      <c r="C488" s="135"/>
      <c r="D488" s="136"/>
      <c r="E488" s="135"/>
      <c r="F488" s="135"/>
      <c r="G488" s="135"/>
      <c r="H488" s="135"/>
      <c r="I488" s="136"/>
      <c r="J488" s="135"/>
      <c r="K488" s="135"/>
      <c r="L488" s="135"/>
      <c r="M488" s="137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hidden="1" customHeight="1">
      <c r="A489" s="134"/>
      <c r="B489" s="135"/>
      <c r="C489" s="135"/>
      <c r="D489" s="136"/>
      <c r="E489" s="135"/>
      <c r="F489" s="135"/>
      <c r="G489" s="135"/>
      <c r="H489" s="135"/>
      <c r="I489" s="136"/>
      <c r="J489" s="135"/>
      <c r="K489" s="135"/>
      <c r="L489" s="135"/>
      <c r="M489" s="137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hidden="1" customHeight="1">
      <c r="A490" s="134"/>
      <c r="B490" s="135"/>
      <c r="C490" s="135"/>
      <c r="D490" s="136"/>
      <c r="E490" s="135"/>
      <c r="F490" s="135"/>
      <c r="G490" s="135"/>
      <c r="H490" s="135"/>
      <c r="I490" s="136"/>
      <c r="J490" s="135"/>
      <c r="K490" s="135"/>
      <c r="L490" s="135"/>
      <c r="M490" s="137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hidden="1" customHeight="1">
      <c r="A491" s="134"/>
      <c r="B491" s="135"/>
      <c r="C491" s="135"/>
      <c r="D491" s="136"/>
      <c r="E491" s="135"/>
      <c r="F491" s="135"/>
      <c r="G491" s="135"/>
      <c r="H491" s="135"/>
      <c r="I491" s="136"/>
      <c r="J491" s="135"/>
      <c r="K491" s="135"/>
      <c r="L491" s="135"/>
      <c r="M491" s="137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hidden="1" customHeight="1">
      <c r="A492" s="134"/>
      <c r="B492" s="135"/>
      <c r="C492" s="135"/>
      <c r="D492" s="136"/>
      <c r="E492" s="135"/>
      <c r="F492" s="135"/>
      <c r="G492" s="135"/>
      <c r="H492" s="135"/>
      <c r="I492" s="136"/>
      <c r="J492" s="135"/>
      <c r="K492" s="135"/>
      <c r="L492" s="135"/>
      <c r="M492" s="137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hidden="1" customHeight="1">
      <c r="A493" s="134"/>
      <c r="B493" s="135"/>
      <c r="C493" s="135"/>
      <c r="D493" s="136"/>
      <c r="E493" s="135"/>
      <c r="F493" s="135"/>
      <c r="G493" s="135"/>
      <c r="H493" s="135"/>
      <c r="I493" s="136"/>
      <c r="J493" s="135"/>
      <c r="K493" s="135"/>
      <c r="L493" s="135"/>
      <c r="M493" s="137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hidden="1" customHeight="1">
      <c r="A494" s="134"/>
      <c r="B494" s="135"/>
      <c r="C494" s="135"/>
      <c r="D494" s="136"/>
      <c r="E494" s="135"/>
      <c r="F494" s="135"/>
      <c r="G494" s="135"/>
      <c r="H494" s="135"/>
      <c r="I494" s="136"/>
      <c r="J494" s="135"/>
      <c r="K494" s="135"/>
      <c r="L494" s="135"/>
      <c r="M494" s="137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hidden="1" customHeight="1">
      <c r="A495" s="134"/>
      <c r="B495" s="135"/>
      <c r="C495" s="135"/>
      <c r="D495" s="136"/>
      <c r="E495" s="135"/>
      <c r="F495" s="135"/>
      <c r="G495" s="135"/>
      <c r="H495" s="135"/>
      <c r="I495" s="136"/>
      <c r="J495" s="135"/>
      <c r="K495" s="135"/>
      <c r="L495" s="135"/>
      <c r="M495" s="137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hidden="1" customHeight="1">
      <c r="A496" s="134"/>
      <c r="B496" s="135"/>
      <c r="C496" s="135"/>
      <c r="D496" s="136"/>
      <c r="E496" s="135"/>
      <c r="F496" s="135"/>
      <c r="G496" s="135"/>
      <c r="H496" s="135"/>
      <c r="I496" s="136"/>
      <c r="J496" s="135"/>
      <c r="K496" s="135"/>
      <c r="L496" s="135"/>
      <c r="M496" s="137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hidden="1" customHeight="1">
      <c r="A497" s="134"/>
      <c r="B497" s="135"/>
      <c r="C497" s="135"/>
      <c r="D497" s="136"/>
      <c r="E497" s="135"/>
      <c r="F497" s="135"/>
      <c r="G497" s="135"/>
      <c r="H497" s="135"/>
      <c r="I497" s="136"/>
      <c r="J497" s="135"/>
      <c r="K497" s="135"/>
      <c r="L497" s="135"/>
      <c r="M497" s="137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hidden="1" customHeight="1">
      <c r="A498" s="134"/>
      <c r="B498" s="135"/>
      <c r="C498" s="135"/>
      <c r="D498" s="136"/>
      <c r="E498" s="135"/>
      <c r="F498" s="135"/>
      <c r="G498" s="135"/>
      <c r="H498" s="135"/>
      <c r="I498" s="136"/>
      <c r="J498" s="135"/>
      <c r="K498" s="135"/>
      <c r="L498" s="135"/>
      <c r="M498" s="137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hidden="1" customHeight="1">
      <c r="A499" s="134"/>
      <c r="B499" s="135"/>
      <c r="C499" s="135"/>
      <c r="D499" s="136"/>
      <c r="E499" s="135"/>
      <c r="F499" s="135"/>
      <c r="G499" s="135"/>
      <c r="H499" s="135"/>
      <c r="I499" s="136"/>
      <c r="J499" s="135"/>
      <c r="K499" s="135"/>
      <c r="L499" s="135"/>
      <c r="M499" s="137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hidden="1" customHeight="1">
      <c r="A500" s="134"/>
      <c r="B500" s="135"/>
      <c r="C500" s="135"/>
      <c r="D500" s="136"/>
      <c r="E500" s="135"/>
      <c r="F500" s="135"/>
      <c r="G500" s="135"/>
      <c r="H500" s="135"/>
      <c r="I500" s="136"/>
      <c r="J500" s="135"/>
      <c r="K500" s="135"/>
      <c r="L500" s="135"/>
      <c r="M500" s="137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hidden="1" customHeight="1">
      <c r="A501" s="134"/>
      <c r="B501" s="135"/>
      <c r="C501" s="135"/>
      <c r="D501" s="136"/>
      <c r="E501" s="135"/>
      <c r="F501" s="135"/>
      <c r="G501" s="135"/>
      <c r="H501" s="135"/>
      <c r="I501" s="136"/>
      <c r="J501" s="135"/>
      <c r="K501" s="135"/>
      <c r="L501" s="135"/>
      <c r="M501" s="137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2.75" hidden="1" customHeight="1">
      <c r="A502" s="134"/>
      <c r="B502" s="135"/>
      <c r="C502" s="135"/>
      <c r="D502" s="136"/>
      <c r="E502" s="135"/>
      <c r="F502" s="135"/>
      <c r="G502" s="135"/>
      <c r="H502" s="135"/>
      <c r="I502" s="136"/>
      <c r="J502" s="135"/>
      <c r="K502" s="135"/>
      <c r="L502" s="135"/>
      <c r="M502" s="137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hidden="1" customHeight="1">
      <c r="A503" s="134"/>
      <c r="B503" s="135"/>
      <c r="C503" s="135"/>
      <c r="D503" s="136"/>
      <c r="E503" s="135"/>
      <c r="F503" s="135"/>
      <c r="G503" s="135"/>
      <c r="H503" s="135"/>
      <c r="I503" s="136"/>
      <c r="J503" s="135"/>
      <c r="K503" s="135"/>
      <c r="L503" s="135"/>
      <c r="M503" s="137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hidden="1" customHeight="1">
      <c r="A504" s="134"/>
      <c r="B504" s="135"/>
      <c r="C504" s="135"/>
      <c r="D504" s="136"/>
      <c r="E504" s="135"/>
      <c r="F504" s="135"/>
      <c r="G504" s="135"/>
      <c r="H504" s="135"/>
      <c r="I504" s="136"/>
      <c r="J504" s="135"/>
      <c r="K504" s="135"/>
      <c r="L504" s="135"/>
      <c r="M504" s="137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hidden="1" customHeight="1">
      <c r="A505" s="134"/>
      <c r="B505" s="135"/>
      <c r="C505" s="135"/>
      <c r="D505" s="136"/>
      <c r="E505" s="135"/>
      <c r="F505" s="135"/>
      <c r="G505" s="135"/>
      <c r="H505" s="135"/>
      <c r="I505" s="136"/>
      <c r="J505" s="135"/>
      <c r="K505" s="135"/>
      <c r="L505" s="135"/>
      <c r="M505" s="137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hidden="1" customHeight="1">
      <c r="A506" s="134"/>
      <c r="B506" s="135"/>
      <c r="C506" s="135"/>
      <c r="D506" s="136"/>
      <c r="E506" s="135"/>
      <c r="F506" s="135"/>
      <c r="G506" s="135"/>
      <c r="H506" s="135"/>
      <c r="I506" s="136"/>
      <c r="J506" s="135"/>
      <c r="K506" s="135"/>
      <c r="L506" s="135"/>
      <c r="M506" s="137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hidden="1" customHeight="1">
      <c r="A507" s="134"/>
      <c r="B507" s="135"/>
      <c r="C507" s="135"/>
      <c r="D507" s="136"/>
      <c r="E507" s="135"/>
      <c r="F507" s="135"/>
      <c r="G507" s="135"/>
      <c r="H507" s="135"/>
      <c r="I507" s="136"/>
      <c r="J507" s="135"/>
      <c r="K507" s="135"/>
      <c r="L507" s="135"/>
      <c r="M507" s="137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hidden="1" customHeight="1">
      <c r="A508" s="134"/>
      <c r="B508" s="135"/>
      <c r="C508" s="135"/>
      <c r="D508" s="136"/>
      <c r="E508" s="135"/>
      <c r="F508" s="135"/>
      <c r="G508" s="135"/>
      <c r="H508" s="135"/>
      <c r="I508" s="136"/>
      <c r="J508" s="135"/>
      <c r="K508" s="135"/>
      <c r="L508" s="135"/>
      <c r="M508" s="137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hidden="1" customHeight="1">
      <c r="A509" s="134"/>
      <c r="B509" s="135"/>
      <c r="C509" s="135"/>
      <c r="D509" s="136"/>
      <c r="E509" s="135"/>
      <c r="F509" s="135"/>
      <c r="G509" s="135"/>
      <c r="H509" s="135"/>
      <c r="I509" s="136"/>
      <c r="J509" s="135"/>
      <c r="K509" s="135"/>
      <c r="L509" s="135"/>
      <c r="M509" s="137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hidden="1" customHeight="1">
      <c r="A510" s="134"/>
      <c r="B510" s="135"/>
      <c r="C510" s="135"/>
      <c r="D510" s="136"/>
      <c r="E510" s="135"/>
      <c r="F510" s="135"/>
      <c r="G510" s="135"/>
      <c r="H510" s="135"/>
      <c r="I510" s="136"/>
      <c r="J510" s="135"/>
      <c r="K510" s="135"/>
      <c r="L510" s="135"/>
      <c r="M510" s="137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hidden="1" customHeight="1">
      <c r="A511" s="134"/>
      <c r="B511" s="135"/>
      <c r="C511" s="135"/>
      <c r="D511" s="136"/>
      <c r="E511" s="135"/>
      <c r="F511" s="135"/>
      <c r="G511" s="135"/>
      <c r="H511" s="135"/>
      <c r="I511" s="136"/>
      <c r="J511" s="135"/>
      <c r="K511" s="135"/>
      <c r="L511" s="135"/>
      <c r="M511" s="137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hidden="1" customHeight="1">
      <c r="A512" s="134"/>
      <c r="B512" s="135"/>
      <c r="C512" s="135"/>
      <c r="D512" s="136"/>
      <c r="E512" s="135"/>
      <c r="F512" s="135"/>
      <c r="G512" s="135"/>
      <c r="H512" s="135"/>
      <c r="I512" s="136"/>
      <c r="J512" s="135"/>
      <c r="K512" s="135"/>
      <c r="L512" s="135"/>
      <c r="M512" s="137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hidden="1" customHeight="1">
      <c r="A513" s="134"/>
      <c r="B513" s="135"/>
      <c r="C513" s="135"/>
      <c r="D513" s="136"/>
      <c r="E513" s="135"/>
      <c r="F513" s="135"/>
      <c r="G513" s="135"/>
      <c r="H513" s="135"/>
      <c r="I513" s="136"/>
      <c r="J513" s="135"/>
      <c r="K513" s="135"/>
      <c r="L513" s="135"/>
      <c r="M513" s="137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hidden="1" customHeight="1">
      <c r="A514" s="134"/>
      <c r="B514" s="135"/>
      <c r="C514" s="135"/>
      <c r="D514" s="136"/>
      <c r="E514" s="135"/>
      <c r="F514" s="135"/>
      <c r="G514" s="135"/>
      <c r="H514" s="135"/>
      <c r="I514" s="136"/>
      <c r="J514" s="135"/>
      <c r="K514" s="135"/>
      <c r="L514" s="135"/>
      <c r="M514" s="137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hidden="1" customHeight="1">
      <c r="A515" s="134"/>
      <c r="B515" s="135"/>
      <c r="C515" s="135"/>
      <c r="D515" s="136"/>
      <c r="E515" s="135"/>
      <c r="F515" s="135"/>
      <c r="G515" s="135"/>
      <c r="H515" s="135"/>
      <c r="I515" s="136"/>
      <c r="J515" s="135"/>
      <c r="K515" s="135"/>
      <c r="L515" s="135"/>
      <c r="M515" s="137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hidden="1" customHeight="1">
      <c r="A516" s="134"/>
      <c r="B516" s="135"/>
      <c r="C516" s="135"/>
      <c r="D516" s="136"/>
      <c r="E516" s="135"/>
      <c r="F516" s="135"/>
      <c r="G516" s="135"/>
      <c r="H516" s="135"/>
      <c r="I516" s="136"/>
      <c r="J516" s="135"/>
      <c r="K516" s="135"/>
      <c r="L516" s="135"/>
      <c r="M516" s="137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hidden="1" customHeight="1">
      <c r="A517" s="134"/>
      <c r="B517" s="135"/>
      <c r="C517" s="135"/>
      <c r="D517" s="136"/>
      <c r="E517" s="135"/>
      <c r="F517" s="135"/>
      <c r="G517" s="135"/>
      <c r="H517" s="135"/>
      <c r="I517" s="136"/>
      <c r="J517" s="135"/>
      <c r="K517" s="135"/>
      <c r="L517" s="135"/>
      <c r="M517" s="137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hidden="1" customHeight="1">
      <c r="A518" s="134"/>
      <c r="B518" s="135"/>
      <c r="C518" s="135"/>
      <c r="D518" s="136"/>
      <c r="E518" s="135"/>
      <c r="F518" s="135"/>
      <c r="G518" s="135"/>
      <c r="H518" s="135"/>
      <c r="I518" s="136"/>
      <c r="J518" s="135"/>
      <c r="K518" s="135"/>
      <c r="L518" s="135"/>
      <c r="M518" s="137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hidden="1" customHeight="1">
      <c r="A519" s="134"/>
      <c r="B519" s="135"/>
      <c r="C519" s="135"/>
      <c r="D519" s="136"/>
      <c r="E519" s="135"/>
      <c r="F519" s="135"/>
      <c r="G519" s="135"/>
      <c r="H519" s="135"/>
      <c r="I519" s="136"/>
      <c r="J519" s="135"/>
      <c r="K519" s="135"/>
      <c r="L519" s="135"/>
      <c r="M519" s="137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hidden="1" customHeight="1">
      <c r="A520" s="134"/>
      <c r="B520" s="135"/>
      <c r="C520" s="135"/>
      <c r="D520" s="136"/>
      <c r="E520" s="135"/>
      <c r="F520" s="135"/>
      <c r="G520" s="135"/>
      <c r="H520" s="135"/>
      <c r="I520" s="136"/>
      <c r="J520" s="135"/>
      <c r="K520" s="135"/>
      <c r="L520" s="135"/>
      <c r="M520" s="137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hidden="1" customHeight="1">
      <c r="A521" s="134"/>
      <c r="B521" s="135"/>
      <c r="C521" s="135"/>
      <c r="D521" s="136"/>
      <c r="E521" s="135"/>
      <c r="F521" s="135"/>
      <c r="G521" s="135"/>
      <c r="H521" s="135"/>
      <c r="I521" s="136"/>
      <c r="J521" s="135"/>
      <c r="K521" s="135"/>
      <c r="L521" s="135"/>
      <c r="M521" s="137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hidden="1" customHeight="1">
      <c r="A522" s="134"/>
      <c r="B522" s="135"/>
      <c r="C522" s="135"/>
      <c r="D522" s="136"/>
      <c r="E522" s="135"/>
      <c r="F522" s="135"/>
      <c r="G522" s="135"/>
      <c r="H522" s="135"/>
      <c r="I522" s="136"/>
      <c r="J522" s="135"/>
      <c r="K522" s="135"/>
      <c r="L522" s="135"/>
      <c r="M522" s="137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hidden="1" customHeight="1">
      <c r="A523" s="134"/>
      <c r="B523" s="135"/>
      <c r="C523" s="135"/>
      <c r="D523" s="136"/>
      <c r="E523" s="135"/>
      <c r="F523" s="135"/>
      <c r="G523" s="135"/>
      <c r="H523" s="135"/>
      <c r="I523" s="136"/>
      <c r="J523" s="135"/>
      <c r="K523" s="135"/>
      <c r="L523" s="135"/>
      <c r="M523" s="137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hidden="1" customHeight="1">
      <c r="A524" s="134"/>
      <c r="B524" s="135"/>
      <c r="C524" s="135"/>
      <c r="D524" s="136"/>
      <c r="E524" s="135"/>
      <c r="F524" s="135"/>
      <c r="G524" s="135"/>
      <c r="H524" s="135"/>
      <c r="I524" s="136"/>
      <c r="J524" s="135"/>
      <c r="K524" s="135"/>
      <c r="L524" s="135"/>
      <c r="M524" s="137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hidden="1" customHeight="1">
      <c r="A525" s="134"/>
      <c r="B525" s="135"/>
      <c r="C525" s="135"/>
      <c r="D525" s="136"/>
      <c r="E525" s="135"/>
      <c r="F525" s="135"/>
      <c r="G525" s="135"/>
      <c r="H525" s="135"/>
      <c r="I525" s="136"/>
      <c r="J525" s="135"/>
      <c r="K525" s="135"/>
      <c r="L525" s="135"/>
      <c r="M525" s="137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hidden="1" customHeight="1">
      <c r="A526" s="134"/>
      <c r="B526" s="135"/>
      <c r="C526" s="135"/>
      <c r="D526" s="136"/>
      <c r="E526" s="135"/>
      <c r="F526" s="135"/>
      <c r="G526" s="135"/>
      <c r="H526" s="135"/>
      <c r="I526" s="136"/>
      <c r="J526" s="135"/>
      <c r="K526" s="135"/>
      <c r="L526" s="135"/>
      <c r="M526" s="137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hidden="1" customHeight="1">
      <c r="A527" s="134"/>
      <c r="B527" s="135"/>
      <c r="C527" s="135"/>
      <c r="D527" s="136"/>
      <c r="E527" s="135"/>
      <c r="F527" s="135"/>
      <c r="G527" s="135"/>
      <c r="H527" s="135"/>
      <c r="I527" s="136"/>
      <c r="J527" s="135"/>
      <c r="K527" s="135"/>
      <c r="L527" s="135"/>
      <c r="M527" s="137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hidden="1" customHeight="1">
      <c r="A528" s="134"/>
      <c r="B528" s="135"/>
      <c r="C528" s="135"/>
      <c r="D528" s="136"/>
      <c r="E528" s="135"/>
      <c r="F528" s="135"/>
      <c r="G528" s="135"/>
      <c r="H528" s="135"/>
      <c r="I528" s="136"/>
      <c r="J528" s="135"/>
      <c r="K528" s="135"/>
      <c r="L528" s="135"/>
      <c r="M528" s="137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hidden="1" customHeight="1">
      <c r="A529" s="134"/>
      <c r="B529" s="135"/>
      <c r="C529" s="135"/>
      <c r="D529" s="136"/>
      <c r="E529" s="135"/>
      <c r="F529" s="135"/>
      <c r="G529" s="135"/>
      <c r="H529" s="135"/>
      <c r="I529" s="136"/>
      <c r="J529" s="135"/>
      <c r="K529" s="135"/>
      <c r="L529" s="135"/>
      <c r="M529" s="137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hidden="1" customHeight="1">
      <c r="A530" s="134"/>
      <c r="B530" s="135"/>
      <c r="C530" s="135"/>
      <c r="D530" s="136"/>
      <c r="E530" s="135"/>
      <c r="F530" s="135"/>
      <c r="G530" s="135"/>
      <c r="H530" s="135"/>
      <c r="I530" s="136"/>
      <c r="J530" s="135"/>
      <c r="K530" s="135"/>
      <c r="L530" s="135"/>
      <c r="M530" s="137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hidden="1" customHeight="1">
      <c r="A531" s="134"/>
      <c r="B531" s="135"/>
      <c r="C531" s="135"/>
      <c r="D531" s="136"/>
      <c r="E531" s="135"/>
      <c r="F531" s="135"/>
      <c r="G531" s="135"/>
      <c r="H531" s="135"/>
      <c r="I531" s="136"/>
      <c r="J531" s="135"/>
      <c r="K531" s="135"/>
      <c r="L531" s="135"/>
      <c r="M531" s="137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hidden="1" customHeight="1">
      <c r="A532" s="134"/>
      <c r="B532" s="135"/>
      <c r="C532" s="135"/>
      <c r="D532" s="136"/>
      <c r="E532" s="135"/>
      <c r="F532" s="135"/>
      <c r="G532" s="135"/>
      <c r="H532" s="135"/>
      <c r="I532" s="136"/>
      <c r="J532" s="135"/>
      <c r="K532" s="135"/>
      <c r="L532" s="135"/>
      <c r="M532" s="137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hidden="1" customHeight="1">
      <c r="A533" s="134"/>
      <c r="B533" s="135"/>
      <c r="C533" s="135"/>
      <c r="D533" s="136"/>
      <c r="E533" s="135"/>
      <c r="F533" s="135"/>
      <c r="G533" s="135"/>
      <c r="H533" s="135"/>
      <c r="I533" s="136"/>
      <c r="J533" s="135"/>
      <c r="K533" s="135"/>
      <c r="L533" s="135"/>
      <c r="M533" s="137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hidden="1" customHeight="1">
      <c r="A534" s="134"/>
      <c r="B534" s="135"/>
      <c r="C534" s="135"/>
      <c r="D534" s="136"/>
      <c r="E534" s="135"/>
      <c r="F534" s="135"/>
      <c r="G534" s="135"/>
      <c r="H534" s="135"/>
      <c r="I534" s="136"/>
      <c r="J534" s="135"/>
      <c r="K534" s="135"/>
      <c r="L534" s="135"/>
      <c r="M534" s="137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hidden="1" customHeight="1">
      <c r="A535" s="138"/>
      <c r="B535" s="139"/>
      <c r="C535" s="139"/>
      <c r="D535" s="140"/>
      <c r="E535" s="141"/>
      <c r="F535" s="142"/>
      <c r="G535" s="141"/>
      <c r="H535" s="142"/>
      <c r="I535" s="140"/>
      <c r="J535" s="141"/>
      <c r="K535" s="141"/>
      <c r="L535" s="141"/>
      <c r="M535" s="143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hidden="1" customHeight="1">
      <c r="A536" s="138"/>
      <c r="B536" s="139"/>
      <c r="C536" s="139"/>
      <c r="D536" s="140"/>
      <c r="E536" s="141"/>
      <c r="F536" s="142"/>
      <c r="G536" s="141"/>
      <c r="H536" s="142"/>
      <c r="I536" s="140"/>
      <c r="J536" s="141"/>
      <c r="K536" s="141"/>
      <c r="L536" s="141"/>
      <c r="M536" s="143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hidden="1" customHeight="1">
      <c r="A537" s="138"/>
      <c r="B537" s="139"/>
      <c r="C537" s="139"/>
      <c r="D537" s="140"/>
      <c r="E537" s="141"/>
      <c r="F537" s="142"/>
      <c r="G537" s="141"/>
      <c r="H537" s="142"/>
      <c r="I537" s="140"/>
      <c r="J537" s="141"/>
      <c r="K537" s="141"/>
      <c r="L537" s="141"/>
      <c r="M537" s="143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hidden="1" customHeight="1">
      <c r="A538" s="138"/>
      <c r="B538" s="139"/>
      <c r="C538" s="139"/>
      <c r="D538" s="140"/>
      <c r="E538" s="141"/>
      <c r="F538" s="142"/>
      <c r="G538" s="141"/>
      <c r="H538" s="142"/>
      <c r="I538" s="140"/>
      <c r="J538" s="141"/>
      <c r="K538" s="141"/>
      <c r="L538" s="141"/>
      <c r="M538" s="143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hidden="1" customHeight="1">
      <c r="A539" s="138"/>
      <c r="B539" s="139"/>
      <c r="C539" s="139"/>
      <c r="D539" s="140"/>
      <c r="E539" s="141"/>
      <c r="F539" s="142"/>
      <c r="G539" s="141"/>
      <c r="H539" s="142"/>
      <c r="I539" s="140"/>
      <c r="J539" s="141"/>
      <c r="K539" s="141"/>
      <c r="L539" s="141"/>
      <c r="M539" s="143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hidden="1" customHeight="1">
      <c r="A540" s="138"/>
      <c r="B540" s="139"/>
      <c r="C540" s="139"/>
      <c r="D540" s="140"/>
      <c r="E540" s="141"/>
      <c r="F540" s="142"/>
      <c r="G540" s="141"/>
      <c r="H540" s="142"/>
      <c r="I540" s="140"/>
      <c r="J540" s="141"/>
      <c r="K540" s="141"/>
      <c r="L540" s="141"/>
      <c r="M540" s="143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hidden="1" customHeight="1">
      <c r="A541" s="138"/>
      <c r="B541" s="139"/>
      <c r="C541" s="139"/>
      <c r="D541" s="140"/>
      <c r="E541" s="141"/>
      <c r="F541" s="142"/>
      <c r="G541" s="141"/>
      <c r="H541" s="142"/>
      <c r="I541" s="140"/>
      <c r="J541" s="141"/>
      <c r="K541" s="141"/>
      <c r="L541" s="141"/>
      <c r="M541" s="143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hidden="1" customHeight="1">
      <c r="A542" s="138"/>
      <c r="B542" s="139"/>
      <c r="C542" s="139"/>
      <c r="D542" s="140"/>
      <c r="E542" s="141"/>
      <c r="F542" s="142"/>
      <c r="G542" s="141"/>
      <c r="H542" s="142"/>
      <c r="I542" s="140"/>
      <c r="J542" s="141"/>
      <c r="K542" s="141"/>
      <c r="L542" s="141"/>
      <c r="M542" s="143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hidden="1" customHeight="1">
      <c r="A543" s="138"/>
      <c r="B543" s="139"/>
      <c r="C543" s="139"/>
      <c r="D543" s="140"/>
      <c r="E543" s="141"/>
      <c r="F543" s="142"/>
      <c r="G543" s="141"/>
      <c r="H543" s="142"/>
      <c r="I543" s="140"/>
      <c r="J543" s="141"/>
      <c r="K543" s="141"/>
      <c r="L543" s="141"/>
      <c r="M543" s="143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hidden="1" customHeight="1">
      <c r="A544" s="138"/>
      <c r="B544" s="139"/>
      <c r="C544" s="139"/>
      <c r="D544" s="140"/>
      <c r="E544" s="141"/>
      <c r="F544" s="142"/>
      <c r="G544" s="141"/>
      <c r="H544" s="142"/>
      <c r="I544" s="140"/>
      <c r="J544" s="141"/>
      <c r="K544" s="141"/>
      <c r="L544" s="141"/>
      <c r="M544" s="143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hidden="1" customHeight="1">
      <c r="A545" s="138"/>
      <c r="B545" s="139"/>
      <c r="C545" s="139"/>
      <c r="D545" s="140"/>
      <c r="E545" s="141"/>
      <c r="F545" s="142"/>
      <c r="G545" s="141"/>
      <c r="H545" s="142"/>
      <c r="I545" s="140"/>
      <c r="J545" s="141"/>
      <c r="K545" s="141"/>
      <c r="L545" s="141"/>
      <c r="M545" s="143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hidden="1" customHeight="1">
      <c r="A546" s="138"/>
      <c r="B546" s="139"/>
      <c r="C546" s="139"/>
      <c r="D546" s="140"/>
      <c r="E546" s="141"/>
      <c r="F546" s="142"/>
      <c r="G546" s="141"/>
      <c r="H546" s="142"/>
      <c r="I546" s="140"/>
      <c r="J546" s="141"/>
      <c r="K546" s="141"/>
      <c r="L546" s="141"/>
      <c r="M546" s="143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hidden="1" customHeight="1">
      <c r="A547" s="138"/>
      <c r="B547" s="139"/>
      <c r="C547" s="139"/>
      <c r="D547" s="140"/>
      <c r="E547" s="141"/>
      <c r="F547" s="142"/>
      <c r="G547" s="141"/>
      <c r="H547" s="142"/>
      <c r="I547" s="140"/>
      <c r="J547" s="141"/>
      <c r="K547" s="141"/>
      <c r="L547" s="141"/>
      <c r="M547" s="143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hidden="1" customHeight="1">
      <c r="A548" s="138"/>
      <c r="B548" s="139"/>
      <c r="C548" s="139"/>
      <c r="D548" s="140"/>
      <c r="E548" s="141"/>
      <c r="F548" s="142"/>
      <c r="G548" s="141"/>
      <c r="H548" s="142"/>
      <c r="I548" s="140"/>
      <c r="J548" s="141"/>
      <c r="K548" s="141"/>
      <c r="L548" s="141"/>
      <c r="M548" s="143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hidden="1" customHeight="1">
      <c r="A549" s="138"/>
      <c r="B549" s="139"/>
      <c r="C549" s="139"/>
      <c r="D549" s="140"/>
      <c r="E549" s="141"/>
      <c r="F549" s="142"/>
      <c r="G549" s="141"/>
      <c r="H549" s="142"/>
      <c r="I549" s="140"/>
      <c r="J549" s="141"/>
      <c r="K549" s="141"/>
      <c r="L549" s="141"/>
      <c r="M549" s="143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hidden="1" customHeight="1">
      <c r="A550" s="138"/>
      <c r="B550" s="139"/>
      <c r="C550" s="139"/>
      <c r="D550" s="140"/>
      <c r="E550" s="141"/>
      <c r="F550" s="142"/>
      <c r="G550" s="141"/>
      <c r="H550" s="142"/>
      <c r="I550" s="140"/>
      <c r="J550" s="141"/>
      <c r="K550" s="141"/>
      <c r="L550" s="141"/>
      <c r="M550" s="143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hidden="1" customHeight="1">
      <c r="A551" s="138"/>
      <c r="B551" s="139"/>
      <c r="C551" s="139"/>
      <c r="D551" s="140"/>
      <c r="E551" s="141"/>
      <c r="F551" s="142"/>
      <c r="G551" s="141"/>
      <c r="H551" s="142"/>
      <c r="I551" s="140"/>
      <c r="J551" s="141"/>
      <c r="K551" s="141"/>
      <c r="L551" s="141"/>
      <c r="M551" s="143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hidden="1" customHeight="1">
      <c r="A552" s="138"/>
      <c r="B552" s="139"/>
      <c r="C552" s="139"/>
      <c r="D552" s="140"/>
      <c r="E552" s="141"/>
      <c r="F552" s="142"/>
      <c r="G552" s="141"/>
      <c r="H552" s="142"/>
      <c r="I552" s="140"/>
      <c r="J552" s="141"/>
      <c r="K552" s="141"/>
      <c r="L552" s="141"/>
      <c r="M552" s="143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hidden="1" customHeight="1">
      <c r="A553" s="138"/>
      <c r="B553" s="139"/>
      <c r="C553" s="139"/>
      <c r="D553" s="140"/>
      <c r="E553" s="141"/>
      <c r="F553" s="142"/>
      <c r="G553" s="141"/>
      <c r="H553" s="142"/>
      <c r="I553" s="140"/>
      <c r="J553" s="141"/>
      <c r="K553" s="141"/>
      <c r="L553" s="141"/>
      <c r="M553" s="143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hidden="1" customHeight="1">
      <c r="A554" s="138"/>
      <c r="B554" s="139"/>
      <c r="C554" s="139"/>
      <c r="D554" s="140"/>
      <c r="E554" s="141"/>
      <c r="F554" s="142"/>
      <c r="G554" s="141"/>
      <c r="H554" s="142"/>
      <c r="I554" s="140"/>
      <c r="J554" s="141"/>
      <c r="K554" s="141"/>
      <c r="L554" s="141"/>
      <c r="M554" s="143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hidden="1" customHeight="1">
      <c r="A555" s="138"/>
      <c r="B555" s="139"/>
      <c r="C555" s="139"/>
      <c r="D555" s="140"/>
      <c r="E555" s="141"/>
      <c r="F555" s="142"/>
      <c r="G555" s="141"/>
      <c r="H555" s="142"/>
      <c r="I555" s="140"/>
      <c r="J555" s="141"/>
      <c r="K555" s="141"/>
      <c r="L555" s="141"/>
      <c r="M555" s="143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hidden="1" customHeight="1">
      <c r="A556" s="138"/>
      <c r="B556" s="139"/>
      <c r="C556" s="139"/>
      <c r="D556" s="140"/>
      <c r="E556" s="141"/>
      <c r="F556" s="142"/>
      <c r="G556" s="141"/>
      <c r="H556" s="142"/>
      <c r="I556" s="140"/>
      <c r="J556" s="141"/>
      <c r="K556" s="141"/>
      <c r="L556" s="141"/>
      <c r="M556" s="143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hidden="1" customHeight="1">
      <c r="A557" s="138"/>
      <c r="B557" s="139"/>
      <c r="C557" s="139"/>
      <c r="D557" s="140"/>
      <c r="E557" s="141"/>
      <c r="F557" s="142"/>
      <c r="G557" s="141"/>
      <c r="H557" s="142"/>
      <c r="I557" s="140"/>
      <c r="J557" s="141"/>
      <c r="K557" s="141"/>
      <c r="L557" s="141"/>
      <c r="M557" s="143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hidden="1" customHeight="1">
      <c r="A558" s="138"/>
      <c r="B558" s="139"/>
      <c r="C558" s="139"/>
      <c r="D558" s="140"/>
      <c r="E558" s="141"/>
      <c r="F558" s="142"/>
      <c r="G558" s="141"/>
      <c r="H558" s="142"/>
      <c r="I558" s="140"/>
      <c r="J558" s="141"/>
      <c r="K558" s="141"/>
      <c r="L558" s="141"/>
      <c r="M558" s="143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hidden="1" customHeight="1">
      <c r="A559" s="138"/>
      <c r="B559" s="139"/>
      <c r="C559" s="139"/>
      <c r="D559" s="140"/>
      <c r="E559" s="141"/>
      <c r="F559" s="142"/>
      <c r="G559" s="141"/>
      <c r="H559" s="142"/>
      <c r="I559" s="140"/>
      <c r="J559" s="141"/>
      <c r="K559" s="141"/>
      <c r="L559" s="141"/>
      <c r="M559" s="143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hidden="1" customHeight="1">
      <c r="A560" s="138"/>
      <c r="B560" s="139"/>
      <c r="C560" s="139"/>
      <c r="D560" s="140"/>
      <c r="E560" s="141"/>
      <c r="F560" s="142"/>
      <c r="G560" s="141"/>
      <c r="H560" s="142"/>
      <c r="I560" s="140"/>
      <c r="J560" s="141"/>
      <c r="K560" s="141"/>
      <c r="L560" s="141"/>
      <c r="M560" s="143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hidden="1" customHeight="1">
      <c r="A561" s="138"/>
      <c r="B561" s="139"/>
      <c r="C561" s="139"/>
      <c r="D561" s="140"/>
      <c r="E561" s="141"/>
      <c r="F561" s="142"/>
      <c r="G561" s="141"/>
      <c r="H561" s="142"/>
      <c r="I561" s="140"/>
      <c r="J561" s="141"/>
      <c r="K561" s="141"/>
      <c r="L561" s="141"/>
      <c r="M561" s="143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hidden="1" customHeight="1">
      <c r="A562" s="138"/>
      <c r="B562" s="139"/>
      <c r="C562" s="139"/>
      <c r="D562" s="140"/>
      <c r="E562" s="141"/>
      <c r="F562" s="142"/>
      <c r="G562" s="141"/>
      <c r="H562" s="142"/>
      <c r="I562" s="140"/>
      <c r="J562" s="141"/>
      <c r="K562" s="141"/>
      <c r="L562" s="141"/>
      <c r="M562" s="143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hidden="1" customHeight="1">
      <c r="A563" s="138"/>
      <c r="B563" s="139"/>
      <c r="C563" s="139"/>
      <c r="D563" s="140"/>
      <c r="E563" s="141"/>
      <c r="F563" s="142"/>
      <c r="G563" s="141"/>
      <c r="H563" s="142"/>
      <c r="I563" s="140"/>
      <c r="J563" s="141"/>
      <c r="K563" s="141"/>
      <c r="L563" s="141"/>
      <c r="M563" s="143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hidden="1" customHeight="1">
      <c r="A564" s="138"/>
      <c r="B564" s="139"/>
      <c r="C564" s="139"/>
      <c r="D564" s="140"/>
      <c r="E564" s="141"/>
      <c r="F564" s="142"/>
      <c r="G564" s="141"/>
      <c r="H564" s="142"/>
      <c r="I564" s="140"/>
      <c r="J564" s="141"/>
      <c r="K564" s="141"/>
      <c r="L564" s="141"/>
      <c r="M564" s="143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hidden="1" customHeight="1">
      <c r="A565" s="138"/>
      <c r="B565" s="139"/>
      <c r="C565" s="139"/>
      <c r="D565" s="140"/>
      <c r="E565" s="141"/>
      <c r="F565" s="142"/>
      <c r="G565" s="141"/>
      <c r="H565" s="142"/>
      <c r="I565" s="140"/>
      <c r="J565" s="141"/>
      <c r="K565" s="141"/>
      <c r="L565" s="141"/>
      <c r="M565" s="143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hidden="1" customHeight="1">
      <c r="A566" s="138"/>
      <c r="B566" s="139"/>
      <c r="C566" s="139"/>
      <c r="D566" s="140"/>
      <c r="E566" s="141"/>
      <c r="F566" s="142"/>
      <c r="G566" s="141"/>
      <c r="H566" s="142"/>
      <c r="I566" s="140"/>
      <c r="J566" s="141"/>
      <c r="K566" s="141"/>
      <c r="L566" s="141"/>
      <c r="M566" s="143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hidden="1" customHeight="1">
      <c r="A567" s="138"/>
      <c r="B567" s="139"/>
      <c r="C567" s="139"/>
      <c r="D567" s="140"/>
      <c r="E567" s="141"/>
      <c r="F567" s="142"/>
      <c r="G567" s="141"/>
      <c r="H567" s="142"/>
      <c r="I567" s="140"/>
      <c r="J567" s="141"/>
      <c r="K567" s="141"/>
      <c r="L567" s="141"/>
      <c r="M567" s="143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hidden="1" customHeight="1">
      <c r="A568" s="138"/>
      <c r="B568" s="139"/>
      <c r="C568" s="139"/>
      <c r="D568" s="140"/>
      <c r="E568" s="141"/>
      <c r="F568" s="142"/>
      <c r="G568" s="141"/>
      <c r="H568" s="142"/>
      <c r="I568" s="140"/>
      <c r="J568" s="141"/>
      <c r="K568" s="141"/>
      <c r="L568" s="141"/>
      <c r="M568" s="143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hidden="1" customHeight="1">
      <c r="A569" s="138"/>
      <c r="B569" s="139"/>
      <c r="C569" s="139"/>
      <c r="D569" s="140"/>
      <c r="E569" s="141"/>
      <c r="F569" s="142"/>
      <c r="G569" s="141"/>
      <c r="H569" s="142"/>
      <c r="I569" s="140"/>
      <c r="J569" s="141"/>
      <c r="K569" s="141"/>
      <c r="L569" s="141"/>
      <c r="M569" s="143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hidden="1" customHeight="1">
      <c r="A570" s="138"/>
      <c r="B570" s="139"/>
      <c r="C570" s="139"/>
      <c r="D570" s="140"/>
      <c r="E570" s="141"/>
      <c r="F570" s="142"/>
      <c r="G570" s="141"/>
      <c r="H570" s="142"/>
      <c r="I570" s="140"/>
      <c r="J570" s="141"/>
      <c r="K570" s="141"/>
      <c r="L570" s="141"/>
      <c r="M570" s="143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hidden="1" customHeight="1">
      <c r="A571" s="138"/>
      <c r="B571" s="139"/>
      <c r="C571" s="139"/>
      <c r="D571" s="140"/>
      <c r="E571" s="141"/>
      <c r="F571" s="142"/>
      <c r="G571" s="141"/>
      <c r="H571" s="142"/>
      <c r="I571" s="140"/>
      <c r="J571" s="141"/>
      <c r="K571" s="141"/>
      <c r="L571" s="141"/>
      <c r="M571" s="143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hidden="1" customHeight="1">
      <c r="A572" s="138"/>
      <c r="B572" s="139"/>
      <c r="C572" s="139"/>
      <c r="D572" s="140"/>
      <c r="E572" s="141"/>
      <c r="F572" s="142"/>
      <c r="G572" s="141"/>
      <c r="H572" s="142"/>
      <c r="I572" s="140"/>
      <c r="J572" s="141"/>
      <c r="K572" s="141"/>
      <c r="L572" s="141"/>
      <c r="M572" s="143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hidden="1" customHeight="1">
      <c r="A573" s="138"/>
      <c r="B573" s="139"/>
      <c r="C573" s="139"/>
      <c r="D573" s="140"/>
      <c r="E573" s="141"/>
      <c r="F573" s="142"/>
      <c r="G573" s="141"/>
      <c r="H573" s="142"/>
      <c r="I573" s="140"/>
      <c r="J573" s="141"/>
      <c r="K573" s="141"/>
      <c r="L573" s="141"/>
      <c r="M573" s="143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hidden="1" customHeight="1">
      <c r="A574" s="138"/>
      <c r="B574" s="139"/>
      <c r="C574" s="139"/>
      <c r="D574" s="140"/>
      <c r="E574" s="141"/>
      <c r="F574" s="142"/>
      <c r="G574" s="141"/>
      <c r="H574" s="142"/>
      <c r="I574" s="140"/>
      <c r="J574" s="141"/>
      <c r="K574" s="141"/>
      <c r="L574" s="141"/>
      <c r="M574" s="143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hidden="1" customHeight="1">
      <c r="A575" s="138"/>
      <c r="B575" s="139"/>
      <c r="C575" s="139"/>
      <c r="D575" s="140"/>
      <c r="E575" s="141"/>
      <c r="F575" s="142"/>
      <c r="G575" s="141"/>
      <c r="H575" s="142"/>
      <c r="I575" s="140"/>
      <c r="J575" s="141"/>
      <c r="K575" s="141"/>
      <c r="L575" s="141"/>
      <c r="M575" s="143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hidden="1" customHeight="1">
      <c r="A576" s="138"/>
      <c r="B576" s="139"/>
      <c r="C576" s="139"/>
      <c r="D576" s="140"/>
      <c r="E576" s="141"/>
      <c r="F576" s="142"/>
      <c r="G576" s="141"/>
      <c r="H576" s="142"/>
      <c r="I576" s="140"/>
      <c r="J576" s="141"/>
      <c r="K576" s="141"/>
      <c r="L576" s="141"/>
      <c r="M576" s="143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hidden="1" customHeight="1">
      <c r="A577" s="138"/>
      <c r="B577" s="139"/>
      <c r="C577" s="139"/>
      <c r="D577" s="140"/>
      <c r="E577" s="141"/>
      <c r="F577" s="142"/>
      <c r="G577" s="141"/>
      <c r="H577" s="142"/>
      <c r="I577" s="140"/>
      <c r="J577" s="141"/>
      <c r="K577" s="141"/>
      <c r="L577" s="141"/>
      <c r="M577" s="143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hidden="1" customHeight="1">
      <c r="A578" s="138"/>
      <c r="B578" s="139"/>
      <c r="C578" s="139"/>
      <c r="D578" s="140"/>
      <c r="E578" s="141"/>
      <c r="F578" s="142"/>
      <c r="G578" s="141"/>
      <c r="H578" s="142"/>
      <c r="I578" s="140"/>
      <c r="J578" s="141"/>
      <c r="K578" s="141"/>
      <c r="L578" s="141"/>
      <c r="M578" s="143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hidden="1" customHeight="1">
      <c r="A579" s="138"/>
      <c r="B579" s="139"/>
      <c r="C579" s="139"/>
      <c r="D579" s="140"/>
      <c r="E579" s="141"/>
      <c r="F579" s="142"/>
      <c r="G579" s="141"/>
      <c r="H579" s="142"/>
      <c r="I579" s="140"/>
      <c r="J579" s="141"/>
      <c r="K579" s="141"/>
      <c r="L579" s="141"/>
      <c r="M579" s="143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hidden="1" customHeight="1">
      <c r="A580" s="138"/>
      <c r="B580" s="139"/>
      <c r="C580" s="139"/>
      <c r="D580" s="140"/>
      <c r="E580" s="141"/>
      <c r="F580" s="142"/>
      <c r="G580" s="141"/>
      <c r="H580" s="142"/>
      <c r="I580" s="140"/>
      <c r="J580" s="141"/>
      <c r="K580" s="141"/>
      <c r="L580" s="141"/>
      <c r="M580" s="143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hidden="1" customHeight="1">
      <c r="A581" s="138"/>
      <c r="B581" s="139"/>
      <c r="C581" s="139"/>
      <c r="D581" s="140"/>
      <c r="E581" s="141"/>
      <c r="F581" s="142"/>
      <c r="G581" s="141"/>
      <c r="H581" s="142"/>
      <c r="I581" s="140"/>
      <c r="J581" s="141"/>
      <c r="K581" s="141"/>
      <c r="L581" s="141"/>
      <c r="M581" s="143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hidden="1" customHeight="1">
      <c r="A582" s="138"/>
      <c r="B582" s="139"/>
      <c r="C582" s="139"/>
      <c r="D582" s="140"/>
      <c r="E582" s="141"/>
      <c r="F582" s="142"/>
      <c r="G582" s="141"/>
      <c r="H582" s="142"/>
      <c r="I582" s="140"/>
      <c r="J582" s="141"/>
      <c r="K582" s="141"/>
      <c r="L582" s="141"/>
      <c r="M582" s="143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hidden="1" customHeight="1">
      <c r="A583" s="138"/>
      <c r="B583" s="139"/>
      <c r="C583" s="139"/>
      <c r="D583" s="140"/>
      <c r="E583" s="141"/>
      <c r="F583" s="142"/>
      <c r="G583" s="141"/>
      <c r="H583" s="142"/>
      <c r="I583" s="140"/>
      <c r="J583" s="141"/>
      <c r="K583" s="141"/>
      <c r="L583" s="141"/>
      <c r="M583" s="143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hidden="1" customHeight="1">
      <c r="A584" s="138"/>
      <c r="B584" s="139"/>
      <c r="C584" s="139"/>
      <c r="D584" s="140"/>
      <c r="E584" s="141"/>
      <c r="F584" s="142"/>
      <c r="G584" s="141"/>
      <c r="H584" s="142"/>
      <c r="I584" s="140"/>
      <c r="J584" s="141"/>
      <c r="K584" s="141"/>
      <c r="L584" s="141"/>
      <c r="M584" s="143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hidden="1" customHeight="1">
      <c r="A585" s="138"/>
      <c r="B585" s="139"/>
      <c r="C585" s="139"/>
      <c r="D585" s="140"/>
      <c r="E585" s="141"/>
      <c r="F585" s="142"/>
      <c r="G585" s="141"/>
      <c r="H585" s="142"/>
      <c r="I585" s="140"/>
      <c r="J585" s="141"/>
      <c r="K585" s="141"/>
      <c r="L585" s="141"/>
      <c r="M585" s="143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hidden="1" customHeight="1">
      <c r="A586" s="138"/>
      <c r="B586" s="139"/>
      <c r="C586" s="139"/>
      <c r="D586" s="140"/>
      <c r="E586" s="141"/>
      <c r="F586" s="142"/>
      <c r="G586" s="141"/>
      <c r="H586" s="142"/>
      <c r="I586" s="140"/>
      <c r="J586" s="141"/>
      <c r="K586" s="141"/>
      <c r="L586" s="141"/>
      <c r="M586" s="143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hidden="1" customHeight="1">
      <c r="A587" s="138"/>
      <c r="B587" s="139"/>
      <c r="C587" s="139"/>
      <c r="D587" s="140"/>
      <c r="E587" s="141"/>
      <c r="F587" s="142"/>
      <c r="G587" s="141"/>
      <c r="H587" s="142"/>
      <c r="I587" s="140"/>
      <c r="J587" s="141"/>
      <c r="K587" s="141"/>
      <c r="L587" s="141"/>
      <c r="M587" s="143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hidden="1" customHeight="1">
      <c r="A588" s="138"/>
      <c r="B588" s="139"/>
      <c r="C588" s="139"/>
      <c r="D588" s="140"/>
      <c r="E588" s="141"/>
      <c r="F588" s="142"/>
      <c r="G588" s="141"/>
      <c r="H588" s="142"/>
      <c r="I588" s="140"/>
      <c r="J588" s="141"/>
      <c r="K588" s="141"/>
      <c r="L588" s="141"/>
      <c r="M588" s="143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hidden="1" customHeight="1">
      <c r="A589" s="138"/>
      <c r="B589" s="139"/>
      <c r="C589" s="139"/>
      <c r="D589" s="140"/>
      <c r="E589" s="141"/>
      <c r="F589" s="142"/>
      <c r="G589" s="141"/>
      <c r="H589" s="142"/>
      <c r="I589" s="140"/>
      <c r="J589" s="141"/>
      <c r="K589" s="141"/>
      <c r="L589" s="141"/>
      <c r="M589" s="143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hidden="1" customHeight="1">
      <c r="A590" s="138"/>
      <c r="B590" s="139"/>
      <c r="C590" s="139"/>
      <c r="D590" s="140"/>
      <c r="E590" s="141"/>
      <c r="F590" s="142"/>
      <c r="G590" s="141"/>
      <c r="H590" s="142"/>
      <c r="I590" s="140"/>
      <c r="J590" s="141"/>
      <c r="K590" s="141"/>
      <c r="L590" s="141"/>
      <c r="M590" s="143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hidden="1" customHeight="1">
      <c r="A591" s="138"/>
      <c r="B591" s="139"/>
      <c r="C591" s="139"/>
      <c r="D591" s="140"/>
      <c r="E591" s="141"/>
      <c r="F591" s="142"/>
      <c r="G591" s="141"/>
      <c r="H591" s="142"/>
      <c r="I591" s="140"/>
      <c r="J591" s="141"/>
      <c r="K591" s="141"/>
      <c r="L591" s="141"/>
      <c r="M591" s="143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hidden="1" customHeight="1">
      <c r="A592" s="138"/>
      <c r="B592" s="139"/>
      <c r="C592" s="139"/>
      <c r="D592" s="140"/>
      <c r="E592" s="141"/>
      <c r="F592" s="142"/>
      <c r="G592" s="141"/>
      <c r="H592" s="142"/>
      <c r="I592" s="140"/>
      <c r="J592" s="141"/>
      <c r="K592" s="141"/>
      <c r="L592" s="141"/>
      <c r="M592" s="143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hidden="1" customHeight="1">
      <c r="A593" s="138"/>
      <c r="B593" s="139"/>
      <c r="C593" s="139"/>
      <c r="D593" s="140"/>
      <c r="E593" s="141"/>
      <c r="F593" s="142"/>
      <c r="G593" s="141"/>
      <c r="H593" s="142"/>
      <c r="I593" s="140"/>
      <c r="J593" s="141"/>
      <c r="K593" s="141"/>
      <c r="L593" s="141"/>
      <c r="M593" s="143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hidden="1" customHeight="1">
      <c r="A594" s="138"/>
      <c r="B594" s="139"/>
      <c r="C594" s="139"/>
      <c r="D594" s="140"/>
      <c r="E594" s="141"/>
      <c r="F594" s="142"/>
      <c r="G594" s="141"/>
      <c r="H594" s="142"/>
      <c r="I594" s="140"/>
      <c r="J594" s="141"/>
      <c r="K594" s="141"/>
      <c r="L594" s="141"/>
      <c r="M594" s="143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hidden="1" customHeight="1">
      <c r="A595" s="138"/>
      <c r="B595" s="139"/>
      <c r="C595" s="139"/>
      <c r="D595" s="140"/>
      <c r="E595" s="141"/>
      <c r="F595" s="142"/>
      <c r="G595" s="141"/>
      <c r="H595" s="142"/>
      <c r="I595" s="140"/>
      <c r="J595" s="141"/>
      <c r="K595" s="141"/>
      <c r="L595" s="141"/>
      <c r="M595" s="143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hidden="1" customHeight="1">
      <c r="A596" s="138"/>
      <c r="B596" s="139"/>
      <c r="C596" s="139"/>
      <c r="D596" s="140"/>
      <c r="E596" s="141"/>
      <c r="F596" s="142"/>
      <c r="G596" s="141"/>
      <c r="H596" s="142"/>
      <c r="I596" s="140"/>
      <c r="J596" s="141"/>
      <c r="K596" s="141"/>
      <c r="L596" s="141"/>
      <c r="M596" s="143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hidden="1" customHeight="1">
      <c r="A597" s="138"/>
      <c r="B597" s="139"/>
      <c r="C597" s="139"/>
      <c r="D597" s="140"/>
      <c r="E597" s="141"/>
      <c r="F597" s="142"/>
      <c r="G597" s="141"/>
      <c r="H597" s="142"/>
      <c r="I597" s="140"/>
      <c r="J597" s="141"/>
      <c r="K597" s="141"/>
      <c r="L597" s="141"/>
      <c r="M597" s="143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hidden="1" customHeight="1">
      <c r="A598" s="138"/>
      <c r="B598" s="139"/>
      <c r="C598" s="139"/>
      <c r="D598" s="140"/>
      <c r="E598" s="141"/>
      <c r="F598" s="142"/>
      <c r="G598" s="141"/>
      <c r="H598" s="142"/>
      <c r="I598" s="140"/>
      <c r="J598" s="141"/>
      <c r="K598" s="141"/>
      <c r="L598" s="141"/>
      <c r="M598" s="143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hidden="1" customHeight="1">
      <c r="A599" s="138"/>
      <c r="B599" s="139"/>
      <c r="C599" s="139"/>
      <c r="D599" s="140"/>
      <c r="E599" s="141"/>
      <c r="F599" s="142"/>
      <c r="G599" s="141"/>
      <c r="H599" s="142"/>
      <c r="I599" s="140"/>
      <c r="J599" s="141"/>
      <c r="K599" s="141"/>
      <c r="L599" s="141"/>
      <c r="M599" s="143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hidden="1" customHeight="1">
      <c r="A600" s="138"/>
      <c r="B600" s="139"/>
      <c r="C600" s="139"/>
      <c r="D600" s="140"/>
      <c r="E600" s="141"/>
      <c r="F600" s="142"/>
      <c r="G600" s="141"/>
      <c r="H600" s="142"/>
      <c r="I600" s="140"/>
      <c r="J600" s="141"/>
      <c r="K600" s="141"/>
      <c r="L600" s="141"/>
      <c r="M600" s="143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hidden="1" customHeight="1">
      <c r="A601" s="138"/>
      <c r="B601" s="139"/>
      <c r="C601" s="139"/>
      <c r="D601" s="140"/>
      <c r="E601" s="141"/>
      <c r="F601" s="142"/>
      <c r="G601" s="141"/>
      <c r="H601" s="142"/>
      <c r="I601" s="140"/>
      <c r="J601" s="141"/>
      <c r="K601" s="141"/>
      <c r="L601" s="141"/>
      <c r="M601" s="143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hidden="1" customHeight="1">
      <c r="A602" s="138"/>
      <c r="B602" s="139"/>
      <c r="C602" s="139"/>
      <c r="D602" s="140"/>
      <c r="E602" s="141"/>
      <c r="F602" s="142"/>
      <c r="G602" s="141"/>
      <c r="H602" s="142"/>
      <c r="I602" s="140"/>
      <c r="J602" s="141"/>
      <c r="K602" s="141"/>
      <c r="L602" s="141"/>
      <c r="M602" s="143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hidden="1" customHeight="1">
      <c r="A603" s="138"/>
      <c r="B603" s="139"/>
      <c r="C603" s="139"/>
      <c r="D603" s="140"/>
      <c r="E603" s="141"/>
      <c r="F603" s="142"/>
      <c r="G603" s="141"/>
      <c r="H603" s="142"/>
      <c r="I603" s="140"/>
      <c r="J603" s="141"/>
      <c r="K603" s="141"/>
      <c r="L603" s="141"/>
      <c r="M603" s="143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hidden="1" customHeight="1">
      <c r="A604" s="138"/>
      <c r="B604" s="139"/>
      <c r="C604" s="139"/>
      <c r="D604" s="140"/>
      <c r="E604" s="141"/>
      <c r="F604" s="142"/>
      <c r="G604" s="141"/>
      <c r="H604" s="142"/>
      <c r="I604" s="140"/>
      <c r="J604" s="141"/>
      <c r="K604" s="141"/>
      <c r="L604" s="141"/>
      <c r="M604" s="143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hidden="1" customHeight="1">
      <c r="A605" s="138"/>
      <c r="B605" s="139"/>
      <c r="C605" s="139"/>
      <c r="D605" s="140"/>
      <c r="E605" s="141"/>
      <c r="F605" s="142"/>
      <c r="G605" s="141"/>
      <c r="H605" s="142"/>
      <c r="I605" s="140"/>
      <c r="J605" s="141"/>
      <c r="K605" s="141"/>
      <c r="L605" s="141"/>
      <c r="M605" s="143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hidden="1" customHeight="1">
      <c r="A606" s="138"/>
      <c r="B606" s="139"/>
      <c r="C606" s="139"/>
      <c r="D606" s="140"/>
      <c r="E606" s="141"/>
      <c r="F606" s="142"/>
      <c r="G606" s="141"/>
      <c r="H606" s="142"/>
      <c r="I606" s="140"/>
      <c r="J606" s="141"/>
      <c r="K606" s="141"/>
      <c r="L606" s="141"/>
      <c r="M606" s="143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hidden="1" customHeight="1">
      <c r="A607" s="138"/>
      <c r="B607" s="139"/>
      <c r="C607" s="139"/>
      <c r="D607" s="140"/>
      <c r="E607" s="141"/>
      <c r="F607" s="142"/>
      <c r="G607" s="141"/>
      <c r="H607" s="142"/>
      <c r="I607" s="140"/>
      <c r="J607" s="141"/>
      <c r="K607" s="141"/>
      <c r="L607" s="141"/>
      <c r="M607" s="143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hidden="1" customHeight="1">
      <c r="A608" s="138"/>
      <c r="B608" s="139"/>
      <c r="C608" s="139"/>
      <c r="D608" s="140"/>
      <c r="E608" s="141"/>
      <c r="F608" s="142"/>
      <c r="G608" s="141"/>
      <c r="H608" s="142"/>
      <c r="I608" s="140"/>
      <c r="J608" s="141"/>
      <c r="K608" s="141"/>
      <c r="L608" s="141"/>
      <c r="M608" s="143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hidden="1" customHeight="1">
      <c r="A609" s="138"/>
      <c r="B609" s="139"/>
      <c r="C609" s="139"/>
      <c r="D609" s="140"/>
      <c r="E609" s="141"/>
      <c r="F609" s="142"/>
      <c r="G609" s="141"/>
      <c r="H609" s="142"/>
      <c r="I609" s="140"/>
      <c r="J609" s="141"/>
      <c r="K609" s="141"/>
      <c r="L609" s="141"/>
      <c r="M609" s="143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hidden="1" customHeight="1">
      <c r="A610" s="138"/>
      <c r="B610" s="139"/>
      <c r="C610" s="139"/>
      <c r="D610" s="140"/>
      <c r="E610" s="141"/>
      <c r="F610" s="142"/>
      <c r="G610" s="141"/>
      <c r="H610" s="142"/>
      <c r="I610" s="140"/>
      <c r="J610" s="141"/>
      <c r="K610" s="141"/>
      <c r="L610" s="141"/>
      <c r="M610" s="143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hidden="1" customHeight="1">
      <c r="A611" s="138"/>
      <c r="B611" s="139"/>
      <c r="C611" s="139"/>
      <c r="D611" s="140"/>
      <c r="E611" s="141"/>
      <c r="F611" s="142"/>
      <c r="G611" s="141"/>
      <c r="H611" s="142"/>
      <c r="I611" s="140"/>
      <c r="J611" s="141"/>
      <c r="K611" s="141"/>
      <c r="L611" s="141"/>
      <c r="M611" s="143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hidden="1" customHeight="1">
      <c r="A612" s="138"/>
      <c r="B612" s="139"/>
      <c r="C612" s="139"/>
      <c r="D612" s="140"/>
      <c r="E612" s="141"/>
      <c r="F612" s="142"/>
      <c r="G612" s="141"/>
      <c r="H612" s="142"/>
      <c r="I612" s="140"/>
      <c r="J612" s="141"/>
      <c r="K612" s="141"/>
      <c r="L612" s="141"/>
      <c r="M612" s="143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hidden="1" customHeight="1">
      <c r="A613" s="138"/>
      <c r="B613" s="139"/>
      <c r="C613" s="139"/>
      <c r="D613" s="140"/>
      <c r="E613" s="141"/>
      <c r="F613" s="142"/>
      <c r="G613" s="141"/>
      <c r="H613" s="142"/>
      <c r="I613" s="140"/>
      <c r="J613" s="141"/>
      <c r="K613" s="141"/>
      <c r="L613" s="141"/>
      <c r="M613" s="143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hidden="1" customHeight="1">
      <c r="A614" s="138"/>
      <c r="B614" s="139"/>
      <c r="C614" s="139"/>
      <c r="D614" s="140"/>
      <c r="E614" s="141"/>
      <c r="F614" s="142"/>
      <c r="G614" s="141"/>
      <c r="H614" s="142"/>
      <c r="I614" s="140"/>
      <c r="J614" s="141"/>
      <c r="K614" s="141"/>
      <c r="L614" s="141"/>
      <c r="M614" s="143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hidden="1" customHeight="1">
      <c r="A615" s="138"/>
      <c r="B615" s="139"/>
      <c r="C615" s="139"/>
      <c r="D615" s="140"/>
      <c r="E615" s="141"/>
      <c r="F615" s="142"/>
      <c r="G615" s="141"/>
      <c r="H615" s="142"/>
      <c r="I615" s="140"/>
      <c r="J615" s="141"/>
      <c r="K615" s="141"/>
      <c r="L615" s="141"/>
      <c r="M615" s="143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hidden="1" customHeight="1">
      <c r="A616" s="138"/>
      <c r="B616" s="139"/>
      <c r="C616" s="139"/>
      <c r="D616" s="140"/>
      <c r="E616" s="141"/>
      <c r="F616" s="142"/>
      <c r="G616" s="141"/>
      <c r="H616" s="142"/>
      <c r="I616" s="140"/>
      <c r="J616" s="141"/>
      <c r="K616" s="141"/>
      <c r="L616" s="141"/>
      <c r="M616" s="143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hidden="1" customHeight="1">
      <c r="A617" s="138"/>
      <c r="B617" s="139"/>
      <c r="C617" s="139"/>
      <c r="D617" s="140"/>
      <c r="E617" s="141"/>
      <c r="F617" s="142"/>
      <c r="G617" s="141"/>
      <c r="H617" s="142"/>
      <c r="I617" s="140"/>
      <c r="J617" s="141"/>
      <c r="K617" s="141"/>
      <c r="L617" s="141"/>
      <c r="M617" s="143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hidden="1" customHeight="1">
      <c r="A618" s="138"/>
      <c r="B618" s="139"/>
      <c r="C618" s="139"/>
      <c r="D618" s="140"/>
      <c r="E618" s="141"/>
      <c r="F618" s="142"/>
      <c r="G618" s="141"/>
      <c r="H618" s="142"/>
      <c r="I618" s="140"/>
      <c r="J618" s="141"/>
      <c r="K618" s="141"/>
      <c r="L618" s="141"/>
      <c r="M618" s="143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hidden="1" customHeight="1">
      <c r="A619" s="138"/>
      <c r="B619" s="139"/>
      <c r="C619" s="139"/>
      <c r="D619" s="140"/>
      <c r="E619" s="141"/>
      <c r="F619" s="142"/>
      <c r="G619" s="141"/>
      <c r="H619" s="142"/>
      <c r="I619" s="140"/>
      <c r="J619" s="141"/>
      <c r="K619" s="141"/>
      <c r="L619" s="141"/>
      <c r="M619" s="143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hidden="1" customHeight="1">
      <c r="A620" s="138"/>
      <c r="B620" s="139"/>
      <c r="C620" s="139"/>
      <c r="D620" s="140"/>
      <c r="E620" s="141"/>
      <c r="F620" s="142"/>
      <c r="G620" s="141"/>
      <c r="H620" s="142"/>
      <c r="I620" s="140"/>
      <c r="J620" s="141"/>
      <c r="K620" s="141"/>
      <c r="L620" s="141"/>
      <c r="M620" s="143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hidden="1" customHeight="1">
      <c r="A621" s="138"/>
      <c r="B621" s="139"/>
      <c r="C621" s="139"/>
      <c r="D621" s="140"/>
      <c r="E621" s="141"/>
      <c r="F621" s="142"/>
      <c r="G621" s="141"/>
      <c r="H621" s="142"/>
      <c r="I621" s="140"/>
      <c r="J621" s="141"/>
      <c r="K621" s="141"/>
      <c r="L621" s="141"/>
      <c r="M621" s="143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hidden="1" customHeight="1">
      <c r="A622" s="138"/>
      <c r="B622" s="139"/>
      <c r="C622" s="139"/>
      <c r="D622" s="140"/>
      <c r="E622" s="141"/>
      <c r="F622" s="142"/>
      <c r="G622" s="141"/>
      <c r="H622" s="142"/>
      <c r="I622" s="140"/>
      <c r="J622" s="141"/>
      <c r="K622" s="141"/>
      <c r="L622" s="141"/>
      <c r="M622" s="143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hidden="1" customHeight="1">
      <c r="A623" s="138"/>
      <c r="B623" s="139"/>
      <c r="C623" s="139"/>
      <c r="D623" s="140"/>
      <c r="E623" s="141"/>
      <c r="F623" s="142"/>
      <c r="G623" s="141"/>
      <c r="H623" s="142"/>
      <c r="I623" s="140"/>
      <c r="J623" s="141"/>
      <c r="K623" s="141"/>
      <c r="L623" s="141"/>
      <c r="M623" s="143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hidden="1" customHeight="1">
      <c r="A624" s="138"/>
      <c r="B624" s="139"/>
      <c r="C624" s="139"/>
      <c r="D624" s="140"/>
      <c r="E624" s="141"/>
      <c r="F624" s="142"/>
      <c r="G624" s="141"/>
      <c r="H624" s="142"/>
      <c r="I624" s="140"/>
      <c r="J624" s="141"/>
      <c r="K624" s="141"/>
      <c r="L624" s="141"/>
      <c r="M624" s="143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hidden="1" customHeight="1">
      <c r="A625" s="138"/>
      <c r="B625" s="139"/>
      <c r="C625" s="139"/>
      <c r="D625" s="140"/>
      <c r="E625" s="141"/>
      <c r="F625" s="142"/>
      <c r="G625" s="141"/>
      <c r="H625" s="142"/>
      <c r="I625" s="140"/>
      <c r="J625" s="141"/>
      <c r="K625" s="141"/>
      <c r="L625" s="141"/>
      <c r="M625" s="143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hidden="1" customHeight="1">
      <c r="A626" s="138"/>
      <c r="B626" s="139"/>
      <c r="C626" s="139"/>
      <c r="D626" s="140"/>
      <c r="E626" s="141"/>
      <c r="F626" s="142"/>
      <c r="G626" s="141"/>
      <c r="H626" s="142"/>
      <c r="I626" s="140"/>
      <c r="J626" s="141"/>
      <c r="K626" s="141"/>
      <c r="L626" s="141"/>
      <c r="M626" s="143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hidden="1" customHeight="1">
      <c r="A627" s="138"/>
      <c r="B627" s="139"/>
      <c r="C627" s="139"/>
      <c r="D627" s="140"/>
      <c r="E627" s="141"/>
      <c r="F627" s="142"/>
      <c r="G627" s="141"/>
      <c r="H627" s="142"/>
      <c r="I627" s="140"/>
      <c r="J627" s="141"/>
      <c r="K627" s="141"/>
      <c r="L627" s="141"/>
      <c r="M627" s="143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hidden="1" customHeight="1">
      <c r="A628" s="138"/>
      <c r="B628" s="139"/>
      <c r="C628" s="139"/>
      <c r="D628" s="140"/>
      <c r="E628" s="141"/>
      <c r="F628" s="142"/>
      <c r="G628" s="141"/>
      <c r="H628" s="142"/>
      <c r="I628" s="140"/>
      <c r="J628" s="141"/>
      <c r="K628" s="141"/>
      <c r="L628" s="141"/>
      <c r="M628" s="143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hidden="1" customHeight="1">
      <c r="A629" s="138"/>
      <c r="B629" s="139"/>
      <c r="C629" s="139"/>
      <c r="D629" s="140"/>
      <c r="E629" s="141"/>
      <c r="F629" s="142"/>
      <c r="G629" s="141"/>
      <c r="H629" s="142"/>
      <c r="I629" s="140"/>
      <c r="J629" s="141"/>
      <c r="K629" s="141"/>
      <c r="L629" s="141"/>
      <c r="M629" s="143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hidden="1" customHeight="1">
      <c r="A630" s="138"/>
      <c r="B630" s="139"/>
      <c r="C630" s="139"/>
      <c r="D630" s="140"/>
      <c r="E630" s="141"/>
      <c r="F630" s="142"/>
      <c r="G630" s="141"/>
      <c r="H630" s="142"/>
      <c r="I630" s="140"/>
      <c r="J630" s="141"/>
      <c r="K630" s="141"/>
      <c r="L630" s="141"/>
      <c r="M630" s="143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hidden="1" customHeight="1">
      <c r="A631" s="138"/>
      <c r="B631" s="139"/>
      <c r="C631" s="139"/>
      <c r="D631" s="140"/>
      <c r="E631" s="141"/>
      <c r="F631" s="142"/>
      <c r="G631" s="141"/>
      <c r="H631" s="142"/>
      <c r="I631" s="140"/>
      <c r="J631" s="141"/>
      <c r="K631" s="141"/>
      <c r="L631" s="141"/>
      <c r="M631" s="143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hidden="1" customHeight="1">
      <c r="A632" s="138"/>
      <c r="B632" s="139"/>
      <c r="C632" s="139"/>
      <c r="D632" s="140"/>
      <c r="E632" s="141"/>
      <c r="F632" s="142"/>
      <c r="G632" s="141"/>
      <c r="H632" s="142"/>
      <c r="I632" s="140"/>
      <c r="J632" s="141"/>
      <c r="K632" s="141"/>
      <c r="L632" s="141"/>
      <c r="M632" s="143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hidden="1" customHeight="1">
      <c r="A633" s="138"/>
      <c r="B633" s="139"/>
      <c r="C633" s="139"/>
      <c r="D633" s="140"/>
      <c r="E633" s="141"/>
      <c r="F633" s="142"/>
      <c r="G633" s="141"/>
      <c r="H633" s="142"/>
      <c r="I633" s="140"/>
      <c r="J633" s="141"/>
      <c r="K633" s="141"/>
      <c r="L633" s="141"/>
      <c r="M633" s="143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hidden="1" customHeight="1">
      <c r="A634" s="138"/>
      <c r="B634" s="139"/>
      <c r="C634" s="139"/>
      <c r="D634" s="140"/>
      <c r="E634" s="141"/>
      <c r="F634" s="142"/>
      <c r="G634" s="141"/>
      <c r="H634" s="142"/>
      <c r="I634" s="140"/>
      <c r="J634" s="141"/>
      <c r="K634" s="141"/>
      <c r="L634" s="141"/>
      <c r="M634" s="143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hidden="1" customHeight="1">
      <c r="A635" s="138"/>
      <c r="B635" s="139"/>
      <c r="C635" s="139"/>
      <c r="D635" s="140"/>
      <c r="E635" s="141"/>
      <c r="F635" s="142"/>
      <c r="G635" s="141"/>
      <c r="H635" s="142"/>
      <c r="I635" s="140"/>
      <c r="J635" s="141"/>
      <c r="K635" s="141"/>
      <c r="L635" s="141"/>
      <c r="M635" s="143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hidden="1" customHeight="1">
      <c r="A636" s="138"/>
      <c r="B636" s="139"/>
      <c r="C636" s="139"/>
      <c r="D636" s="140"/>
      <c r="E636" s="141"/>
      <c r="F636" s="142"/>
      <c r="G636" s="141"/>
      <c r="H636" s="142"/>
      <c r="I636" s="140"/>
      <c r="J636" s="141"/>
      <c r="K636" s="141"/>
      <c r="L636" s="141"/>
      <c r="M636" s="143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hidden="1" customHeight="1">
      <c r="A637" s="138"/>
      <c r="B637" s="139"/>
      <c r="C637" s="139"/>
      <c r="D637" s="140"/>
      <c r="E637" s="141"/>
      <c r="F637" s="142"/>
      <c r="G637" s="141"/>
      <c r="H637" s="142"/>
      <c r="I637" s="140"/>
      <c r="J637" s="141"/>
      <c r="K637" s="141"/>
      <c r="L637" s="141"/>
      <c r="M637" s="143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hidden="1" customHeight="1">
      <c r="A638" s="138"/>
      <c r="B638" s="139"/>
      <c r="C638" s="139"/>
      <c r="D638" s="140"/>
      <c r="E638" s="141"/>
      <c r="F638" s="142"/>
      <c r="G638" s="141"/>
      <c r="H638" s="142"/>
      <c r="I638" s="140"/>
      <c r="J638" s="141"/>
      <c r="K638" s="141"/>
      <c r="L638" s="141"/>
      <c r="M638" s="143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hidden="1" customHeight="1">
      <c r="A639" s="138"/>
      <c r="B639" s="139"/>
      <c r="C639" s="139"/>
      <c r="D639" s="140"/>
      <c r="E639" s="141"/>
      <c r="F639" s="142"/>
      <c r="G639" s="141"/>
      <c r="H639" s="142"/>
      <c r="I639" s="140"/>
      <c r="J639" s="141"/>
      <c r="K639" s="141"/>
      <c r="L639" s="141"/>
      <c r="M639" s="143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hidden="1" customHeight="1">
      <c r="A640" s="138"/>
      <c r="B640" s="139"/>
      <c r="C640" s="139"/>
      <c r="D640" s="140"/>
      <c r="E640" s="141"/>
      <c r="F640" s="142"/>
      <c r="G640" s="141"/>
      <c r="H640" s="142"/>
      <c r="I640" s="140"/>
      <c r="J640" s="141"/>
      <c r="K640" s="141"/>
      <c r="L640" s="141"/>
      <c r="M640" s="143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hidden="1" customHeight="1">
      <c r="A641" s="138"/>
      <c r="B641" s="139"/>
      <c r="C641" s="139"/>
      <c r="D641" s="140"/>
      <c r="E641" s="141"/>
      <c r="F641" s="142"/>
      <c r="G641" s="141"/>
      <c r="H641" s="142"/>
      <c r="I641" s="140"/>
      <c r="J641" s="141"/>
      <c r="K641" s="141"/>
      <c r="L641" s="141"/>
      <c r="M641" s="143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hidden="1" customHeight="1">
      <c r="A642" s="138"/>
      <c r="B642" s="139"/>
      <c r="C642" s="139"/>
      <c r="D642" s="140"/>
      <c r="E642" s="141"/>
      <c r="F642" s="142"/>
      <c r="G642" s="141"/>
      <c r="H642" s="142"/>
      <c r="I642" s="140"/>
      <c r="J642" s="141"/>
      <c r="K642" s="141"/>
      <c r="L642" s="141"/>
      <c r="M642" s="143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hidden="1" customHeight="1">
      <c r="A643" s="138"/>
      <c r="B643" s="139"/>
      <c r="C643" s="139"/>
      <c r="D643" s="140"/>
      <c r="E643" s="141"/>
      <c r="F643" s="142"/>
      <c r="G643" s="141"/>
      <c r="H643" s="142"/>
      <c r="I643" s="140"/>
      <c r="J643" s="141"/>
      <c r="K643" s="141"/>
      <c r="L643" s="141"/>
      <c r="M643" s="143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hidden="1" customHeight="1">
      <c r="A644" s="138"/>
      <c r="B644" s="139"/>
      <c r="C644" s="139"/>
      <c r="D644" s="140"/>
      <c r="E644" s="141"/>
      <c r="F644" s="142"/>
      <c r="G644" s="141"/>
      <c r="H644" s="142"/>
      <c r="I644" s="140"/>
      <c r="J644" s="141"/>
      <c r="K644" s="141"/>
      <c r="L644" s="141"/>
      <c r="M644" s="143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hidden="1" customHeight="1">
      <c r="A645" s="138"/>
      <c r="B645" s="139"/>
      <c r="C645" s="139"/>
      <c r="D645" s="140"/>
      <c r="E645" s="141"/>
      <c r="F645" s="142"/>
      <c r="G645" s="141"/>
      <c r="H645" s="142"/>
      <c r="I645" s="140"/>
      <c r="J645" s="141"/>
      <c r="K645" s="141"/>
      <c r="L645" s="141"/>
      <c r="M645" s="143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hidden="1" customHeight="1">
      <c r="A646" s="138"/>
      <c r="B646" s="139"/>
      <c r="C646" s="139"/>
      <c r="D646" s="140"/>
      <c r="E646" s="141"/>
      <c r="F646" s="142"/>
      <c r="G646" s="141"/>
      <c r="H646" s="142"/>
      <c r="I646" s="140"/>
      <c r="J646" s="141"/>
      <c r="K646" s="141"/>
      <c r="L646" s="141"/>
      <c r="M646" s="143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hidden="1" customHeight="1">
      <c r="A647" s="138"/>
      <c r="B647" s="139"/>
      <c r="C647" s="139"/>
      <c r="D647" s="140"/>
      <c r="E647" s="141"/>
      <c r="F647" s="142"/>
      <c r="G647" s="141"/>
      <c r="H647" s="142"/>
      <c r="I647" s="140"/>
      <c r="J647" s="141"/>
      <c r="K647" s="141"/>
      <c r="L647" s="141"/>
      <c r="M647" s="143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hidden="1" customHeight="1">
      <c r="A648" s="138"/>
      <c r="B648" s="139"/>
      <c r="C648" s="139"/>
      <c r="D648" s="140"/>
      <c r="E648" s="141"/>
      <c r="F648" s="142"/>
      <c r="G648" s="141"/>
      <c r="H648" s="142"/>
      <c r="I648" s="140"/>
      <c r="J648" s="141"/>
      <c r="K648" s="141"/>
      <c r="L648" s="141"/>
      <c r="M648" s="143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hidden="1" customHeight="1">
      <c r="A649" s="138"/>
      <c r="B649" s="139"/>
      <c r="C649" s="139"/>
      <c r="D649" s="140"/>
      <c r="E649" s="141"/>
      <c r="F649" s="142"/>
      <c r="G649" s="141"/>
      <c r="H649" s="142"/>
      <c r="I649" s="140"/>
      <c r="J649" s="141"/>
      <c r="K649" s="141"/>
      <c r="L649" s="141"/>
      <c r="M649" s="143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hidden="1" customHeight="1">
      <c r="A650" s="138"/>
      <c r="B650" s="139"/>
      <c r="C650" s="139"/>
      <c r="D650" s="140"/>
      <c r="E650" s="141"/>
      <c r="F650" s="142"/>
      <c r="G650" s="141"/>
      <c r="H650" s="142"/>
      <c r="I650" s="140"/>
      <c r="J650" s="141"/>
      <c r="K650" s="141"/>
      <c r="L650" s="141"/>
      <c r="M650" s="143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hidden="1" customHeight="1">
      <c r="A651" s="138"/>
      <c r="B651" s="139"/>
      <c r="C651" s="139"/>
      <c r="D651" s="140"/>
      <c r="E651" s="141"/>
      <c r="F651" s="142"/>
      <c r="G651" s="141"/>
      <c r="H651" s="142"/>
      <c r="I651" s="140"/>
      <c r="J651" s="141"/>
      <c r="K651" s="141"/>
      <c r="L651" s="141"/>
      <c r="M651" s="143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hidden="1" customHeight="1">
      <c r="A652" s="138"/>
      <c r="B652" s="139"/>
      <c r="C652" s="139"/>
      <c r="D652" s="140"/>
      <c r="E652" s="141"/>
      <c r="F652" s="142"/>
      <c r="G652" s="141"/>
      <c r="H652" s="142"/>
      <c r="I652" s="140"/>
      <c r="J652" s="141"/>
      <c r="K652" s="141"/>
      <c r="L652" s="141"/>
      <c r="M652" s="143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hidden="1" customHeight="1">
      <c r="A653" s="138"/>
      <c r="B653" s="139"/>
      <c r="C653" s="139"/>
      <c r="D653" s="140"/>
      <c r="E653" s="141"/>
      <c r="F653" s="142"/>
      <c r="G653" s="141"/>
      <c r="H653" s="142"/>
      <c r="I653" s="140"/>
      <c r="J653" s="141"/>
      <c r="K653" s="141"/>
      <c r="L653" s="141"/>
      <c r="M653" s="143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hidden="1" customHeight="1">
      <c r="A654" s="138"/>
      <c r="B654" s="139"/>
      <c r="C654" s="139"/>
      <c r="D654" s="140"/>
      <c r="E654" s="141"/>
      <c r="F654" s="142"/>
      <c r="G654" s="141"/>
      <c r="H654" s="142"/>
      <c r="I654" s="140"/>
      <c r="J654" s="141"/>
      <c r="K654" s="141"/>
      <c r="L654" s="141"/>
      <c r="M654" s="143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8"/>
      <c r="B655" s="139"/>
      <c r="C655" s="139"/>
      <c r="D655" s="140"/>
      <c r="E655" s="141"/>
      <c r="F655" s="142"/>
      <c r="G655" s="141"/>
      <c r="H655" s="142"/>
      <c r="I655" s="140"/>
      <c r="J655" s="141"/>
      <c r="K655" s="141"/>
      <c r="L655" s="141"/>
      <c r="M655" s="143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8"/>
      <c r="B656" s="139"/>
      <c r="C656" s="139"/>
      <c r="D656" s="140"/>
      <c r="E656" s="141"/>
      <c r="F656" s="142"/>
      <c r="G656" s="141"/>
      <c r="H656" s="142"/>
      <c r="I656" s="140"/>
      <c r="J656" s="141"/>
      <c r="K656" s="141"/>
      <c r="L656" s="141"/>
      <c r="M656" s="143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8"/>
      <c r="B657" s="139"/>
      <c r="C657" s="139"/>
      <c r="D657" s="140"/>
      <c r="E657" s="141"/>
      <c r="F657" s="142"/>
      <c r="G657" s="141"/>
      <c r="H657" s="142"/>
      <c r="I657" s="140"/>
      <c r="J657" s="141"/>
      <c r="K657" s="141"/>
      <c r="L657" s="141"/>
      <c r="M657" s="143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8"/>
      <c r="B658" s="139"/>
      <c r="C658" s="139"/>
      <c r="D658" s="140"/>
      <c r="E658" s="141"/>
      <c r="F658" s="142"/>
      <c r="G658" s="141"/>
      <c r="H658" s="142"/>
      <c r="I658" s="140"/>
      <c r="J658" s="141"/>
      <c r="K658" s="141"/>
      <c r="L658" s="141"/>
      <c r="M658" s="143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8"/>
      <c r="B659" s="139"/>
      <c r="C659" s="139"/>
      <c r="D659" s="140"/>
      <c r="E659" s="141"/>
      <c r="F659" s="142"/>
      <c r="G659" s="141"/>
      <c r="H659" s="142"/>
      <c r="I659" s="140"/>
      <c r="J659" s="141"/>
      <c r="K659" s="141"/>
      <c r="L659" s="141"/>
      <c r="M659" s="143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8"/>
      <c r="B660" s="139"/>
      <c r="C660" s="139"/>
      <c r="D660" s="140"/>
      <c r="E660" s="141"/>
      <c r="F660" s="142"/>
      <c r="G660" s="141"/>
      <c r="H660" s="142"/>
      <c r="I660" s="140"/>
      <c r="J660" s="141"/>
      <c r="K660" s="141"/>
      <c r="L660" s="141"/>
      <c r="M660" s="143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8"/>
      <c r="B661" s="139"/>
      <c r="C661" s="139"/>
      <c r="D661" s="140"/>
      <c r="E661" s="141"/>
      <c r="F661" s="142"/>
      <c r="G661" s="141"/>
      <c r="H661" s="142"/>
      <c r="I661" s="140"/>
      <c r="J661" s="141"/>
      <c r="K661" s="141"/>
      <c r="L661" s="141"/>
      <c r="M661" s="143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8"/>
      <c r="B662" s="139"/>
      <c r="C662" s="139"/>
      <c r="D662" s="140"/>
      <c r="E662" s="141"/>
      <c r="F662" s="142"/>
      <c r="G662" s="141"/>
      <c r="H662" s="142"/>
      <c r="I662" s="140"/>
      <c r="J662" s="141"/>
      <c r="K662" s="141"/>
      <c r="L662" s="141"/>
      <c r="M662" s="143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8"/>
      <c r="B663" s="139"/>
      <c r="C663" s="139"/>
      <c r="D663" s="140"/>
      <c r="E663" s="141"/>
      <c r="F663" s="142"/>
      <c r="G663" s="141"/>
      <c r="H663" s="142"/>
      <c r="I663" s="140"/>
      <c r="J663" s="141"/>
      <c r="K663" s="141"/>
      <c r="L663" s="141"/>
      <c r="M663" s="143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8"/>
      <c r="B664" s="139"/>
      <c r="C664" s="139"/>
      <c r="D664" s="140"/>
      <c r="E664" s="141"/>
      <c r="F664" s="142"/>
      <c r="G664" s="141"/>
      <c r="H664" s="142"/>
      <c r="I664" s="140"/>
      <c r="J664" s="141"/>
      <c r="K664" s="141"/>
      <c r="L664" s="141"/>
      <c r="M664" s="143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8"/>
      <c r="B665" s="139"/>
      <c r="C665" s="139"/>
      <c r="D665" s="140"/>
      <c r="E665" s="141"/>
      <c r="F665" s="142"/>
      <c r="G665" s="141"/>
      <c r="H665" s="142"/>
      <c r="I665" s="140"/>
      <c r="J665" s="141"/>
      <c r="K665" s="141"/>
      <c r="L665" s="141"/>
      <c r="M665" s="143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8"/>
      <c r="B666" s="139"/>
      <c r="C666" s="139"/>
      <c r="D666" s="140"/>
      <c r="E666" s="141"/>
      <c r="F666" s="142"/>
      <c r="G666" s="141"/>
      <c r="H666" s="142"/>
      <c r="I666" s="140"/>
      <c r="J666" s="141"/>
      <c r="K666" s="141"/>
      <c r="L666" s="141"/>
      <c r="M666" s="143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8"/>
      <c r="B667" s="139"/>
      <c r="C667" s="139"/>
      <c r="D667" s="140"/>
      <c r="E667" s="141"/>
      <c r="F667" s="142"/>
      <c r="G667" s="141"/>
      <c r="H667" s="142"/>
      <c r="I667" s="140"/>
      <c r="J667" s="141"/>
      <c r="K667" s="141"/>
      <c r="L667" s="141"/>
      <c r="M667" s="143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8"/>
      <c r="B668" s="139"/>
      <c r="C668" s="139"/>
      <c r="D668" s="140"/>
      <c r="E668" s="141"/>
      <c r="F668" s="142"/>
      <c r="G668" s="141"/>
      <c r="H668" s="142"/>
      <c r="I668" s="140"/>
      <c r="J668" s="141"/>
      <c r="K668" s="141"/>
      <c r="L668" s="141"/>
      <c r="M668" s="143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8"/>
      <c r="B669" s="139"/>
      <c r="C669" s="139"/>
      <c r="D669" s="140"/>
      <c r="E669" s="141"/>
      <c r="F669" s="142"/>
      <c r="G669" s="141"/>
      <c r="H669" s="142"/>
      <c r="I669" s="140"/>
      <c r="J669" s="141"/>
      <c r="K669" s="141"/>
      <c r="L669" s="141"/>
      <c r="M669" s="143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8"/>
      <c r="B670" s="139"/>
      <c r="C670" s="139"/>
      <c r="D670" s="140"/>
      <c r="E670" s="141"/>
      <c r="F670" s="142"/>
      <c r="G670" s="141"/>
      <c r="H670" s="142"/>
      <c r="I670" s="140"/>
      <c r="J670" s="141"/>
      <c r="K670" s="141"/>
      <c r="L670" s="141"/>
      <c r="M670" s="143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8"/>
      <c r="B671" s="139"/>
      <c r="C671" s="139"/>
      <c r="D671" s="140"/>
      <c r="E671" s="141"/>
      <c r="F671" s="142"/>
      <c r="G671" s="141"/>
      <c r="H671" s="142"/>
      <c r="I671" s="140"/>
      <c r="J671" s="141"/>
      <c r="K671" s="141"/>
      <c r="L671" s="141"/>
      <c r="M671" s="143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8"/>
      <c r="B672" s="139"/>
      <c r="C672" s="139"/>
      <c r="D672" s="140"/>
      <c r="E672" s="141"/>
      <c r="F672" s="142"/>
      <c r="G672" s="141"/>
      <c r="H672" s="142"/>
      <c r="I672" s="140"/>
      <c r="J672" s="141"/>
      <c r="K672" s="141"/>
      <c r="L672" s="141"/>
      <c r="M672" s="143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8"/>
      <c r="B673" s="139"/>
      <c r="C673" s="139"/>
      <c r="D673" s="140"/>
      <c r="E673" s="141"/>
      <c r="F673" s="142"/>
      <c r="G673" s="141"/>
      <c r="H673" s="142"/>
      <c r="I673" s="140"/>
      <c r="J673" s="141"/>
      <c r="K673" s="141"/>
      <c r="L673" s="141"/>
      <c r="M673" s="143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8"/>
      <c r="B674" s="139"/>
      <c r="C674" s="139"/>
      <c r="D674" s="140"/>
      <c r="E674" s="141"/>
      <c r="F674" s="142"/>
      <c r="G674" s="141"/>
      <c r="H674" s="142"/>
      <c r="I674" s="140"/>
      <c r="J674" s="141"/>
      <c r="K674" s="141"/>
      <c r="L674" s="141"/>
      <c r="M674" s="143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8"/>
      <c r="B675" s="139"/>
      <c r="C675" s="139"/>
      <c r="D675" s="140"/>
      <c r="E675" s="141"/>
      <c r="F675" s="142"/>
      <c r="G675" s="141"/>
      <c r="H675" s="142"/>
      <c r="I675" s="140"/>
      <c r="J675" s="141"/>
      <c r="K675" s="141"/>
      <c r="L675" s="141"/>
      <c r="M675" s="143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8"/>
      <c r="B676" s="139"/>
      <c r="C676" s="139"/>
      <c r="D676" s="140"/>
      <c r="E676" s="141"/>
      <c r="F676" s="142"/>
      <c r="G676" s="141"/>
      <c r="H676" s="142"/>
      <c r="I676" s="140"/>
      <c r="J676" s="141"/>
      <c r="K676" s="141"/>
      <c r="L676" s="141"/>
      <c r="M676" s="143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38"/>
      <c r="B677" s="139"/>
      <c r="C677" s="139"/>
      <c r="D677" s="140"/>
      <c r="E677" s="141"/>
      <c r="F677" s="142"/>
      <c r="G677" s="141"/>
      <c r="H677" s="142"/>
      <c r="I677" s="140"/>
      <c r="J677" s="141"/>
      <c r="K677" s="141"/>
      <c r="L677" s="141"/>
      <c r="M677" s="143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38"/>
      <c r="B678" s="139"/>
      <c r="C678" s="139"/>
      <c r="D678" s="140"/>
      <c r="E678" s="141"/>
      <c r="F678" s="142"/>
      <c r="G678" s="141"/>
      <c r="H678" s="142"/>
      <c r="I678" s="140"/>
      <c r="J678" s="141"/>
      <c r="K678" s="141"/>
      <c r="L678" s="141"/>
      <c r="M678" s="143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38"/>
      <c r="B679" s="139"/>
      <c r="C679" s="139"/>
      <c r="D679" s="140"/>
      <c r="E679" s="141"/>
      <c r="F679" s="142"/>
      <c r="G679" s="141"/>
      <c r="H679" s="142"/>
      <c r="I679" s="140"/>
      <c r="J679" s="141"/>
      <c r="K679" s="141"/>
      <c r="L679" s="141"/>
      <c r="M679" s="143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38"/>
      <c r="B680" s="139"/>
      <c r="C680" s="139"/>
      <c r="D680" s="140"/>
      <c r="E680" s="141"/>
      <c r="F680" s="142"/>
      <c r="G680" s="141"/>
      <c r="H680" s="142"/>
      <c r="I680" s="140"/>
      <c r="J680" s="141"/>
      <c r="K680" s="141"/>
      <c r="L680" s="141"/>
      <c r="M680" s="143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38"/>
      <c r="B681" s="139"/>
      <c r="C681" s="139"/>
      <c r="D681" s="140"/>
      <c r="E681" s="141"/>
      <c r="F681" s="142"/>
      <c r="G681" s="141"/>
      <c r="H681" s="142"/>
      <c r="I681" s="140"/>
      <c r="J681" s="141"/>
      <c r="K681" s="141"/>
      <c r="L681" s="141"/>
      <c r="M681" s="143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38"/>
      <c r="B682" s="139"/>
      <c r="C682" s="139"/>
      <c r="D682" s="140"/>
      <c r="E682" s="141"/>
      <c r="F682" s="142"/>
      <c r="G682" s="141"/>
      <c r="H682" s="142"/>
      <c r="I682" s="140"/>
      <c r="J682" s="141"/>
      <c r="K682" s="141"/>
      <c r="L682" s="141"/>
      <c r="M682" s="143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38"/>
      <c r="B683" s="139"/>
      <c r="C683" s="139"/>
      <c r="D683" s="140"/>
      <c r="E683" s="141"/>
      <c r="F683" s="142"/>
      <c r="G683" s="141"/>
      <c r="H683" s="142"/>
      <c r="I683" s="140"/>
      <c r="J683" s="141"/>
      <c r="K683" s="141"/>
      <c r="L683" s="141"/>
      <c r="M683" s="143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38"/>
      <c r="B684" s="139"/>
      <c r="C684" s="139"/>
      <c r="D684" s="140"/>
      <c r="E684" s="141"/>
      <c r="F684" s="142"/>
      <c r="G684" s="141"/>
      <c r="H684" s="142"/>
      <c r="I684" s="140"/>
      <c r="J684" s="141"/>
      <c r="K684" s="141"/>
      <c r="L684" s="141"/>
      <c r="M684" s="143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38"/>
      <c r="B685" s="139"/>
      <c r="C685" s="139"/>
      <c r="D685" s="140"/>
      <c r="E685" s="141"/>
      <c r="F685" s="142"/>
      <c r="G685" s="141"/>
      <c r="H685" s="142"/>
      <c r="I685" s="140"/>
      <c r="J685" s="141"/>
      <c r="K685" s="141"/>
      <c r="L685" s="141"/>
      <c r="M685" s="143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38"/>
      <c r="B686" s="139"/>
      <c r="C686" s="139"/>
      <c r="D686" s="140"/>
      <c r="E686" s="141"/>
      <c r="F686" s="142"/>
      <c r="G686" s="141"/>
      <c r="H686" s="142"/>
      <c r="I686" s="140"/>
      <c r="J686" s="141"/>
      <c r="K686" s="141"/>
      <c r="L686" s="141"/>
      <c r="M686" s="143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38"/>
      <c r="B687" s="139"/>
      <c r="C687" s="139"/>
      <c r="D687" s="140"/>
      <c r="E687" s="141"/>
      <c r="F687" s="142"/>
      <c r="G687" s="141"/>
      <c r="H687" s="142"/>
      <c r="I687" s="140"/>
      <c r="J687" s="141"/>
      <c r="K687" s="141"/>
      <c r="L687" s="141"/>
      <c r="M687" s="143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38"/>
      <c r="B688" s="139"/>
      <c r="C688" s="139"/>
      <c r="D688" s="140"/>
      <c r="E688" s="141"/>
      <c r="F688" s="142"/>
      <c r="G688" s="141"/>
      <c r="H688" s="142"/>
      <c r="I688" s="140"/>
      <c r="J688" s="141"/>
      <c r="K688" s="141"/>
      <c r="L688" s="141"/>
      <c r="M688" s="143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38"/>
      <c r="B689" s="139"/>
      <c r="C689" s="139"/>
      <c r="D689" s="140"/>
      <c r="E689" s="141"/>
      <c r="F689" s="142"/>
      <c r="G689" s="141"/>
      <c r="H689" s="142"/>
      <c r="I689" s="140"/>
      <c r="J689" s="141"/>
      <c r="K689" s="141"/>
      <c r="L689" s="141"/>
      <c r="M689" s="143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38"/>
      <c r="B690" s="139"/>
      <c r="C690" s="139"/>
      <c r="D690" s="140"/>
      <c r="E690" s="141"/>
      <c r="F690" s="142"/>
      <c r="G690" s="141"/>
      <c r="H690" s="142"/>
      <c r="I690" s="140"/>
      <c r="J690" s="141"/>
      <c r="K690" s="141"/>
      <c r="L690" s="141"/>
      <c r="M690" s="143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38"/>
      <c r="B691" s="139"/>
      <c r="C691" s="139"/>
      <c r="D691" s="140"/>
      <c r="E691" s="141"/>
      <c r="F691" s="142"/>
      <c r="G691" s="141"/>
      <c r="H691" s="142"/>
      <c r="I691" s="140"/>
      <c r="J691" s="141"/>
      <c r="K691" s="141"/>
      <c r="L691" s="141"/>
      <c r="M691" s="143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38"/>
      <c r="B692" s="139"/>
      <c r="C692" s="139"/>
      <c r="D692" s="140"/>
      <c r="E692" s="141"/>
      <c r="F692" s="142"/>
      <c r="G692" s="141"/>
      <c r="H692" s="142"/>
      <c r="I692" s="140"/>
      <c r="J692" s="141"/>
      <c r="K692" s="141"/>
      <c r="L692" s="141"/>
      <c r="M692" s="143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38"/>
      <c r="B693" s="139"/>
      <c r="C693" s="139"/>
      <c r="D693" s="140"/>
      <c r="E693" s="141"/>
      <c r="F693" s="142"/>
      <c r="G693" s="141"/>
      <c r="H693" s="142"/>
      <c r="I693" s="140"/>
      <c r="J693" s="141"/>
      <c r="K693" s="141"/>
      <c r="L693" s="141"/>
      <c r="M693" s="143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38"/>
      <c r="B694" s="139"/>
      <c r="C694" s="139"/>
      <c r="D694" s="140"/>
      <c r="E694" s="141"/>
      <c r="F694" s="142"/>
      <c r="G694" s="141"/>
      <c r="H694" s="142"/>
      <c r="I694" s="140"/>
      <c r="J694" s="141"/>
      <c r="K694" s="141"/>
      <c r="L694" s="141"/>
      <c r="M694" s="143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38"/>
      <c r="B695" s="139"/>
      <c r="C695" s="139"/>
      <c r="D695" s="140"/>
      <c r="E695" s="141"/>
      <c r="F695" s="142"/>
      <c r="G695" s="141"/>
      <c r="H695" s="142"/>
      <c r="I695" s="140"/>
      <c r="J695" s="141"/>
      <c r="K695" s="141"/>
      <c r="L695" s="141"/>
      <c r="M695" s="143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hidden="1" customHeight="1">
      <c r="A696" s="138"/>
      <c r="B696" s="139"/>
      <c r="C696" s="139"/>
      <c r="D696" s="140"/>
      <c r="E696" s="141"/>
      <c r="F696" s="142"/>
      <c r="G696" s="141"/>
      <c r="H696" s="142"/>
      <c r="I696" s="140"/>
      <c r="J696" s="141"/>
      <c r="K696" s="141"/>
      <c r="L696" s="141"/>
      <c r="M696" s="143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hidden="1" customHeight="1">
      <c r="A697" s="138"/>
      <c r="B697" s="139"/>
      <c r="C697" s="139"/>
      <c r="D697" s="140"/>
      <c r="E697" s="141"/>
      <c r="F697" s="142"/>
      <c r="G697" s="141"/>
      <c r="H697" s="142"/>
      <c r="I697" s="140"/>
      <c r="J697" s="141"/>
      <c r="K697" s="141"/>
      <c r="L697" s="141"/>
      <c r="M697" s="143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hidden="1" customHeight="1">
      <c r="A698" s="138"/>
      <c r="B698" s="139"/>
      <c r="C698" s="139"/>
      <c r="D698" s="140"/>
      <c r="E698" s="141"/>
      <c r="F698" s="142"/>
      <c r="G698" s="141"/>
      <c r="H698" s="142"/>
      <c r="I698" s="140"/>
      <c r="J698" s="141"/>
      <c r="K698" s="141"/>
      <c r="L698" s="141"/>
      <c r="M698" s="143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hidden="1" customHeight="1">
      <c r="A699" s="138"/>
      <c r="B699" s="139"/>
      <c r="C699" s="139"/>
      <c r="D699" s="140"/>
      <c r="E699" s="141"/>
      <c r="F699" s="142"/>
      <c r="G699" s="141"/>
      <c r="H699" s="142"/>
      <c r="I699" s="140"/>
      <c r="J699" s="141"/>
      <c r="K699" s="141"/>
      <c r="L699" s="141"/>
      <c r="M699" s="143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hidden="1" customHeight="1">
      <c r="A700" s="138"/>
      <c r="B700" s="139"/>
      <c r="C700" s="139"/>
      <c r="D700" s="140"/>
      <c r="E700" s="141"/>
      <c r="F700" s="142"/>
      <c r="G700" s="141"/>
      <c r="H700" s="142"/>
      <c r="I700" s="140"/>
      <c r="J700" s="141"/>
      <c r="K700" s="141"/>
      <c r="L700" s="141"/>
      <c r="M700" s="143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hidden="1" customHeight="1">
      <c r="A701" s="138"/>
      <c r="B701" s="139"/>
      <c r="C701" s="139"/>
      <c r="D701" s="140"/>
      <c r="E701" s="141"/>
      <c r="F701" s="142"/>
      <c r="G701" s="141"/>
      <c r="H701" s="142"/>
      <c r="I701" s="140"/>
      <c r="J701" s="141"/>
      <c r="K701" s="141"/>
      <c r="L701" s="141"/>
      <c r="M701" s="143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hidden="1" customHeight="1">
      <c r="A702" s="138"/>
      <c r="B702" s="139"/>
      <c r="C702" s="139"/>
      <c r="D702" s="140"/>
      <c r="E702" s="141"/>
      <c r="F702" s="142"/>
      <c r="G702" s="141"/>
      <c r="H702" s="142"/>
      <c r="I702" s="140"/>
      <c r="J702" s="141"/>
      <c r="K702" s="141"/>
      <c r="L702" s="141"/>
      <c r="M702" s="143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hidden="1" customHeight="1">
      <c r="A703" s="138"/>
      <c r="B703" s="139"/>
      <c r="C703" s="139"/>
      <c r="D703" s="140"/>
      <c r="E703" s="141"/>
      <c r="F703" s="142"/>
      <c r="G703" s="141"/>
      <c r="H703" s="142"/>
      <c r="I703" s="140"/>
      <c r="J703" s="141"/>
      <c r="K703" s="141"/>
      <c r="L703" s="141"/>
      <c r="M703" s="143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hidden="1" customHeight="1">
      <c r="A704" s="138"/>
      <c r="B704" s="139"/>
      <c r="C704" s="139"/>
      <c r="D704" s="140"/>
      <c r="E704" s="141"/>
      <c r="F704" s="142"/>
      <c r="G704" s="141"/>
      <c r="H704" s="142"/>
      <c r="I704" s="140"/>
      <c r="J704" s="141"/>
      <c r="K704" s="141"/>
      <c r="L704" s="141"/>
      <c r="M704" s="143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hidden="1" customHeight="1">
      <c r="A705" s="138"/>
      <c r="B705" s="139"/>
      <c r="C705" s="139"/>
      <c r="D705" s="140"/>
      <c r="E705" s="141"/>
      <c r="F705" s="142"/>
      <c r="G705" s="141"/>
      <c r="H705" s="142"/>
      <c r="I705" s="140"/>
      <c r="J705" s="141"/>
      <c r="K705" s="141"/>
      <c r="L705" s="141"/>
      <c r="M705" s="143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hidden="1" customHeight="1">
      <c r="A706" s="138"/>
      <c r="B706" s="139"/>
      <c r="C706" s="139"/>
      <c r="D706" s="140"/>
      <c r="E706" s="141"/>
      <c r="F706" s="142"/>
      <c r="G706" s="141"/>
      <c r="H706" s="142"/>
      <c r="I706" s="140"/>
      <c r="J706" s="141"/>
      <c r="K706" s="141"/>
      <c r="L706" s="141"/>
      <c r="M706" s="143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hidden="1" customHeight="1">
      <c r="A707" s="138"/>
      <c r="B707" s="139"/>
      <c r="C707" s="139"/>
      <c r="D707" s="140"/>
      <c r="E707" s="141"/>
      <c r="F707" s="142"/>
      <c r="G707" s="141"/>
      <c r="H707" s="142"/>
      <c r="I707" s="140"/>
      <c r="J707" s="141"/>
      <c r="K707" s="141"/>
      <c r="L707" s="141"/>
      <c r="M707" s="143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hidden="1" customHeight="1">
      <c r="A708" s="138"/>
      <c r="B708" s="139"/>
      <c r="C708" s="139"/>
      <c r="D708" s="140"/>
      <c r="E708" s="141"/>
      <c r="F708" s="142"/>
      <c r="G708" s="141"/>
      <c r="H708" s="142"/>
      <c r="I708" s="140"/>
      <c r="J708" s="141"/>
      <c r="K708" s="141"/>
      <c r="L708" s="141"/>
      <c r="M708" s="143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hidden="1" customHeight="1">
      <c r="A709" s="138"/>
      <c r="B709" s="139"/>
      <c r="C709" s="139"/>
      <c r="D709" s="140"/>
      <c r="E709" s="141"/>
      <c r="F709" s="142"/>
      <c r="G709" s="141"/>
      <c r="H709" s="142"/>
      <c r="I709" s="140"/>
      <c r="J709" s="141"/>
      <c r="K709" s="141"/>
      <c r="L709" s="141"/>
      <c r="M709" s="143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hidden="1" customHeight="1">
      <c r="A710" s="138"/>
      <c r="B710" s="139"/>
      <c r="C710" s="139"/>
      <c r="D710" s="140"/>
      <c r="E710" s="141"/>
      <c r="F710" s="142"/>
      <c r="G710" s="141"/>
      <c r="H710" s="142"/>
      <c r="I710" s="140"/>
      <c r="J710" s="141"/>
      <c r="K710" s="141"/>
      <c r="L710" s="141"/>
      <c r="M710" s="143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hidden="1" customHeight="1">
      <c r="A711" s="138"/>
      <c r="B711" s="139"/>
      <c r="C711" s="139"/>
      <c r="D711" s="140"/>
      <c r="E711" s="141"/>
      <c r="F711" s="142"/>
      <c r="G711" s="141"/>
      <c r="H711" s="142"/>
      <c r="I711" s="140"/>
      <c r="J711" s="141"/>
      <c r="K711" s="141"/>
      <c r="L711" s="141"/>
      <c r="M711" s="143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hidden="1" customHeight="1">
      <c r="A712" s="138"/>
      <c r="B712" s="139"/>
      <c r="C712" s="139"/>
      <c r="D712" s="140"/>
      <c r="E712" s="141"/>
      <c r="F712" s="142"/>
      <c r="G712" s="141"/>
      <c r="H712" s="142"/>
      <c r="I712" s="140"/>
      <c r="J712" s="141"/>
      <c r="K712" s="141"/>
      <c r="L712" s="141"/>
      <c r="M712" s="143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hidden="1" customHeight="1">
      <c r="A713" s="138"/>
      <c r="B713" s="139"/>
      <c r="C713" s="139"/>
      <c r="D713" s="140"/>
      <c r="E713" s="141"/>
      <c r="F713" s="142"/>
      <c r="G713" s="141"/>
      <c r="H713" s="142"/>
      <c r="I713" s="140"/>
      <c r="J713" s="141"/>
      <c r="K713" s="141"/>
      <c r="L713" s="141"/>
      <c r="M713" s="143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hidden="1" customHeight="1">
      <c r="A714" s="138"/>
      <c r="B714" s="139"/>
      <c r="C714" s="139"/>
      <c r="D714" s="140"/>
      <c r="E714" s="141"/>
      <c r="F714" s="142"/>
      <c r="G714" s="141"/>
      <c r="H714" s="142"/>
      <c r="I714" s="140"/>
      <c r="J714" s="141"/>
      <c r="K714" s="141"/>
      <c r="L714" s="141"/>
      <c r="M714" s="143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hidden="1" customHeight="1">
      <c r="A715" s="138"/>
      <c r="B715" s="139"/>
      <c r="C715" s="139"/>
      <c r="D715" s="140"/>
      <c r="E715" s="141"/>
      <c r="F715" s="142"/>
      <c r="G715" s="141"/>
      <c r="H715" s="142"/>
      <c r="I715" s="140"/>
      <c r="J715" s="141"/>
      <c r="K715" s="141"/>
      <c r="L715" s="141"/>
      <c r="M715" s="143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hidden="1" customHeight="1">
      <c r="A716" s="138"/>
      <c r="B716" s="139"/>
      <c r="C716" s="139"/>
      <c r="D716" s="140"/>
      <c r="E716" s="141"/>
      <c r="F716" s="142"/>
      <c r="G716" s="141"/>
      <c r="H716" s="142"/>
      <c r="I716" s="140"/>
      <c r="J716" s="141"/>
      <c r="K716" s="141"/>
      <c r="L716" s="141"/>
      <c r="M716" s="143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hidden="1" customHeight="1">
      <c r="A717" s="138"/>
      <c r="B717" s="139"/>
      <c r="C717" s="139"/>
      <c r="D717" s="140"/>
      <c r="E717" s="141"/>
      <c r="F717" s="142"/>
      <c r="G717" s="141"/>
      <c r="H717" s="142"/>
      <c r="I717" s="140"/>
      <c r="J717" s="141"/>
      <c r="K717" s="141"/>
      <c r="L717" s="141"/>
      <c r="M717" s="143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hidden="1" customHeight="1">
      <c r="A718" s="138"/>
      <c r="B718" s="139"/>
      <c r="C718" s="139"/>
      <c r="D718" s="140"/>
      <c r="E718" s="141"/>
      <c r="F718" s="142"/>
      <c r="G718" s="141"/>
      <c r="H718" s="142"/>
      <c r="I718" s="140"/>
      <c r="J718" s="141"/>
      <c r="K718" s="141"/>
      <c r="L718" s="141"/>
      <c r="M718" s="143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hidden="1" customHeight="1">
      <c r="A719" s="138"/>
      <c r="B719" s="139"/>
      <c r="C719" s="139"/>
      <c r="D719" s="140"/>
      <c r="E719" s="141"/>
      <c r="F719" s="142"/>
      <c r="G719" s="141"/>
      <c r="H719" s="142"/>
      <c r="I719" s="140"/>
      <c r="J719" s="141"/>
      <c r="K719" s="141"/>
      <c r="L719" s="141"/>
      <c r="M719" s="143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hidden="1" customHeight="1">
      <c r="A720" s="138"/>
      <c r="B720" s="139"/>
      <c r="C720" s="139"/>
      <c r="D720" s="140"/>
      <c r="E720" s="141"/>
      <c r="F720" s="142"/>
      <c r="G720" s="141"/>
      <c r="H720" s="142"/>
      <c r="I720" s="140"/>
      <c r="J720" s="141"/>
      <c r="K720" s="141"/>
      <c r="L720" s="141"/>
      <c r="M720" s="143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hidden="1" customHeight="1">
      <c r="A721" s="138"/>
      <c r="B721" s="139"/>
      <c r="C721" s="139"/>
      <c r="D721" s="140"/>
      <c r="E721" s="141"/>
      <c r="F721" s="142"/>
      <c r="G721" s="141"/>
      <c r="H721" s="142"/>
      <c r="I721" s="140"/>
      <c r="J721" s="141"/>
      <c r="K721" s="141"/>
      <c r="L721" s="141"/>
      <c r="M721" s="143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hidden="1" customHeight="1">
      <c r="A722" s="138"/>
      <c r="B722" s="139"/>
      <c r="C722" s="139"/>
      <c r="D722" s="140"/>
      <c r="E722" s="141"/>
      <c r="F722" s="142"/>
      <c r="G722" s="141"/>
      <c r="H722" s="142"/>
      <c r="I722" s="140"/>
      <c r="J722" s="141"/>
      <c r="K722" s="141"/>
      <c r="L722" s="141"/>
      <c r="M722" s="143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hidden="1" customHeight="1">
      <c r="A723" s="138"/>
      <c r="B723" s="139"/>
      <c r="C723" s="139"/>
      <c r="D723" s="140"/>
      <c r="E723" s="141"/>
      <c r="F723" s="142"/>
      <c r="G723" s="141"/>
      <c r="H723" s="142"/>
      <c r="I723" s="140"/>
      <c r="J723" s="141"/>
      <c r="K723" s="141"/>
      <c r="L723" s="141"/>
      <c r="M723" s="143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hidden="1" customHeight="1">
      <c r="A724" s="138"/>
      <c r="B724" s="139"/>
      <c r="C724" s="139"/>
      <c r="D724" s="140"/>
      <c r="E724" s="141"/>
      <c r="F724" s="142"/>
      <c r="G724" s="141"/>
      <c r="H724" s="142"/>
      <c r="I724" s="140"/>
      <c r="J724" s="141"/>
      <c r="K724" s="141"/>
      <c r="L724" s="141"/>
      <c r="M724" s="143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hidden="1" customHeight="1">
      <c r="A725" s="138"/>
      <c r="B725" s="139"/>
      <c r="C725" s="139"/>
      <c r="D725" s="140"/>
      <c r="E725" s="141"/>
      <c r="F725" s="142"/>
      <c r="G725" s="141"/>
      <c r="H725" s="142"/>
      <c r="I725" s="140"/>
      <c r="J725" s="141"/>
      <c r="K725" s="141"/>
      <c r="L725" s="141"/>
      <c r="M725" s="143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hidden="1" customHeight="1">
      <c r="A726" s="138"/>
      <c r="B726" s="139"/>
      <c r="C726" s="139"/>
      <c r="D726" s="140"/>
      <c r="E726" s="141"/>
      <c r="F726" s="142"/>
      <c r="G726" s="141"/>
      <c r="H726" s="142"/>
      <c r="I726" s="140"/>
      <c r="J726" s="141"/>
      <c r="K726" s="141"/>
      <c r="L726" s="141"/>
      <c r="M726" s="143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hidden="1" customHeight="1">
      <c r="A727" s="138"/>
      <c r="B727" s="139"/>
      <c r="C727" s="139"/>
      <c r="D727" s="140"/>
      <c r="E727" s="141"/>
      <c r="F727" s="142"/>
      <c r="G727" s="141"/>
      <c r="H727" s="142"/>
      <c r="I727" s="140"/>
      <c r="J727" s="141"/>
      <c r="K727" s="141"/>
      <c r="L727" s="141"/>
      <c r="M727" s="143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hidden="1" customHeight="1">
      <c r="A728" s="138"/>
      <c r="B728" s="139"/>
      <c r="C728" s="139"/>
      <c r="D728" s="140"/>
      <c r="E728" s="141"/>
      <c r="F728" s="142"/>
      <c r="G728" s="141"/>
      <c r="H728" s="142"/>
      <c r="I728" s="140"/>
      <c r="J728" s="141"/>
      <c r="K728" s="141"/>
      <c r="L728" s="141"/>
      <c r="M728" s="143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hidden="1" customHeight="1">
      <c r="A729" s="138"/>
      <c r="B729" s="139"/>
      <c r="C729" s="139"/>
      <c r="D729" s="140"/>
      <c r="E729" s="141"/>
      <c r="F729" s="142"/>
      <c r="G729" s="141"/>
      <c r="H729" s="142"/>
      <c r="I729" s="140"/>
      <c r="J729" s="141"/>
      <c r="K729" s="141"/>
      <c r="L729" s="141"/>
      <c r="M729" s="143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hidden="1" customHeight="1">
      <c r="A730" s="138"/>
      <c r="B730" s="139"/>
      <c r="C730" s="139"/>
      <c r="D730" s="140"/>
      <c r="E730" s="141"/>
      <c r="F730" s="142"/>
      <c r="G730" s="141"/>
      <c r="H730" s="142"/>
      <c r="I730" s="140"/>
      <c r="J730" s="141"/>
      <c r="K730" s="141"/>
      <c r="L730" s="141"/>
      <c r="M730" s="143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hidden="1" customHeight="1">
      <c r="A731" s="138"/>
      <c r="B731" s="139"/>
      <c r="C731" s="139"/>
      <c r="D731" s="140"/>
      <c r="E731" s="141"/>
      <c r="F731" s="142"/>
      <c r="G731" s="141"/>
      <c r="H731" s="142"/>
      <c r="I731" s="140"/>
      <c r="J731" s="141"/>
      <c r="K731" s="141"/>
      <c r="L731" s="141"/>
      <c r="M731" s="143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hidden="1" customHeight="1">
      <c r="A732" s="138"/>
      <c r="B732" s="139"/>
      <c r="C732" s="139"/>
      <c r="D732" s="140"/>
      <c r="E732" s="141"/>
      <c r="F732" s="142"/>
      <c r="G732" s="141"/>
      <c r="H732" s="142"/>
      <c r="I732" s="140"/>
      <c r="J732" s="141"/>
      <c r="K732" s="141"/>
      <c r="L732" s="141"/>
      <c r="M732" s="143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hidden="1" customHeight="1">
      <c r="A733" s="138"/>
      <c r="B733" s="139"/>
      <c r="C733" s="139"/>
      <c r="D733" s="140"/>
      <c r="E733" s="141"/>
      <c r="F733" s="142"/>
      <c r="G733" s="141"/>
      <c r="H733" s="142"/>
      <c r="I733" s="140"/>
      <c r="J733" s="141"/>
      <c r="K733" s="141"/>
      <c r="L733" s="141"/>
      <c r="M733" s="143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hidden="1" customHeight="1">
      <c r="A734" s="138"/>
      <c r="B734" s="139"/>
      <c r="C734" s="139"/>
      <c r="D734" s="140"/>
      <c r="E734" s="141"/>
      <c r="F734" s="142"/>
      <c r="G734" s="141"/>
      <c r="H734" s="142"/>
      <c r="I734" s="140"/>
      <c r="J734" s="141"/>
      <c r="K734" s="141"/>
      <c r="L734" s="141"/>
      <c r="M734" s="143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hidden="1" customHeight="1">
      <c r="A735" s="138"/>
      <c r="B735" s="139"/>
      <c r="C735" s="139"/>
      <c r="D735" s="140"/>
      <c r="E735" s="141"/>
      <c r="F735" s="142"/>
      <c r="G735" s="141"/>
      <c r="H735" s="142"/>
      <c r="I735" s="140"/>
      <c r="J735" s="141"/>
      <c r="K735" s="141"/>
      <c r="L735" s="141"/>
      <c r="M735" s="143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hidden="1" customHeight="1">
      <c r="A736" s="138"/>
      <c r="B736" s="139"/>
      <c r="C736" s="139"/>
      <c r="D736" s="140"/>
      <c r="E736" s="141"/>
      <c r="F736" s="142"/>
      <c r="G736" s="141"/>
      <c r="H736" s="142"/>
      <c r="I736" s="140"/>
      <c r="J736" s="141"/>
      <c r="K736" s="141"/>
      <c r="L736" s="141"/>
      <c r="M736" s="143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hidden="1" customHeight="1">
      <c r="A737" s="138"/>
      <c r="B737" s="139"/>
      <c r="C737" s="139"/>
      <c r="D737" s="140"/>
      <c r="E737" s="141"/>
      <c r="F737" s="142"/>
      <c r="G737" s="141"/>
      <c r="H737" s="142"/>
      <c r="I737" s="140"/>
      <c r="J737" s="141"/>
      <c r="K737" s="141"/>
      <c r="L737" s="141"/>
      <c r="M737" s="143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hidden="1" customHeight="1">
      <c r="A738" s="138"/>
      <c r="B738" s="139"/>
      <c r="C738" s="139"/>
      <c r="D738" s="140"/>
      <c r="E738" s="141"/>
      <c r="F738" s="142"/>
      <c r="G738" s="141"/>
      <c r="H738" s="142"/>
      <c r="I738" s="140"/>
      <c r="J738" s="141"/>
      <c r="K738" s="141"/>
      <c r="L738" s="141"/>
      <c r="M738" s="143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hidden="1" customHeight="1">
      <c r="A739" s="138"/>
      <c r="B739" s="139"/>
      <c r="C739" s="139"/>
      <c r="D739" s="140"/>
      <c r="E739" s="141"/>
      <c r="F739" s="142"/>
      <c r="G739" s="141"/>
      <c r="H739" s="142"/>
      <c r="I739" s="140"/>
      <c r="J739" s="141"/>
      <c r="K739" s="141"/>
      <c r="L739" s="141"/>
      <c r="M739" s="143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hidden="1" customHeight="1">
      <c r="A740" s="138"/>
      <c r="B740" s="139"/>
      <c r="C740" s="139"/>
      <c r="D740" s="140"/>
      <c r="E740" s="141"/>
      <c r="F740" s="142"/>
      <c r="G740" s="141"/>
      <c r="H740" s="142"/>
      <c r="I740" s="140"/>
      <c r="J740" s="141"/>
      <c r="K740" s="141"/>
      <c r="L740" s="141"/>
      <c r="M740" s="143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hidden="1" customHeight="1">
      <c r="A741" s="138"/>
      <c r="B741" s="139"/>
      <c r="C741" s="139"/>
      <c r="D741" s="140"/>
      <c r="E741" s="141"/>
      <c r="F741" s="142"/>
      <c r="G741" s="141"/>
      <c r="H741" s="142"/>
      <c r="I741" s="140"/>
      <c r="J741" s="141"/>
      <c r="K741" s="141"/>
      <c r="L741" s="141"/>
      <c r="M741" s="143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hidden="1" customHeight="1">
      <c r="A742" s="138"/>
      <c r="B742" s="139"/>
      <c r="C742" s="139"/>
      <c r="D742" s="140"/>
      <c r="E742" s="141"/>
      <c r="F742" s="142"/>
      <c r="G742" s="141"/>
      <c r="H742" s="142"/>
      <c r="I742" s="140"/>
      <c r="J742" s="141"/>
      <c r="K742" s="141"/>
      <c r="L742" s="141"/>
      <c r="M742" s="143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hidden="1" customHeight="1">
      <c r="A743" s="138"/>
      <c r="B743" s="139"/>
      <c r="C743" s="139"/>
      <c r="D743" s="140"/>
      <c r="E743" s="141"/>
      <c r="F743" s="142"/>
      <c r="G743" s="141"/>
      <c r="H743" s="142"/>
      <c r="I743" s="140"/>
      <c r="J743" s="141"/>
      <c r="K743" s="141"/>
      <c r="L743" s="141"/>
      <c r="M743" s="143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hidden="1" customHeight="1">
      <c r="A744" s="138"/>
      <c r="B744" s="139"/>
      <c r="C744" s="139"/>
      <c r="D744" s="140"/>
      <c r="E744" s="141"/>
      <c r="F744" s="142"/>
      <c r="G744" s="141"/>
      <c r="H744" s="142"/>
      <c r="I744" s="140"/>
      <c r="J744" s="141"/>
      <c r="K744" s="141"/>
      <c r="L744" s="141"/>
      <c r="M744" s="143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hidden="1" customHeight="1">
      <c r="A745" s="138"/>
      <c r="B745" s="139"/>
      <c r="C745" s="139"/>
      <c r="D745" s="140"/>
      <c r="E745" s="141"/>
      <c r="F745" s="142"/>
      <c r="G745" s="141"/>
      <c r="H745" s="142"/>
      <c r="I745" s="140"/>
      <c r="J745" s="141"/>
      <c r="K745" s="141"/>
      <c r="L745" s="141"/>
      <c r="M745" s="143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hidden="1" customHeight="1">
      <c r="A746" s="138"/>
      <c r="B746" s="139"/>
      <c r="C746" s="139"/>
      <c r="D746" s="140"/>
      <c r="E746" s="141"/>
      <c r="F746" s="142"/>
      <c r="G746" s="141"/>
      <c r="H746" s="142"/>
      <c r="I746" s="140"/>
      <c r="J746" s="141"/>
      <c r="K746" s="141"/>
      <c r="L746" s="141"/>
      <c r="M746" s="143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hidden="1" customHeight="1">
      <c r="A747" s="138"/>
      <c r="B747" s="139"/>
      <c r="C747" s="139"/>
      <c r="D747" s="140"/>
      <c r="E747" s="141"/>
      <c r="F747" s="142"/>
      <c r="G747" s="141"/>
      <c r="H747" s="142"/>
      <c r="I747" s="140"/>
      <c r="J747" s="141"/>
      <c r="K747" s="141"/>
      <c r="L747" s="141"/>
      <c r="M747" s="143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hidden="1" customHeight="1">
      <c r="A748" s="138"/>
      <c r="B748" s="139"/>
      <c r="C748" s="139"/>
      <c r="D748" s="140"/>
      <c r="E748" s="141"/>
      <c r="F748" s="142"/>
      <c r="G748" s="141"/>
      <c r="H748" s="142"/>
      <c r="I748" s="140"/>
      <c r="J748" s="141"/>
      <c r="K748" s="141"/>
      <c r="L748" s="141"/>
      <c r="M748" s="143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hidden="1" customHeight="1">
      <c r="A749" s="138"/>
      <c r="B749" s="139"/>
      <c r="C749" s="139"/>
      <c r="D749" s="140"/>
      <c r="E749" s="141"/>
      <c r="F749" s="142"/>
      <c r="G749" s="141"/>
      <c r="H749" s="142"/>
      <c r="I749" s="140"/>
      <c r="J749" s="141"/>
      <c r="K749" s="141"/>
      <c r="L749" s="141"/>
      <c r="M749" s="143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hidden="1" customHeight="1">
      <c r="A750" s="138"/>
      <c r="B750" s="139"/>
      <c r="C750" s="139"/>
      <c r="D750" s="140"/>
      <c r="E750" s="141"/>
      <c r="F750" s="142"/>
      <c r="G750" s="141"/>
      <c r="H750" s="142"/>
      <c r="I750" s="140"/>
      <c r="J750" s="141"/>
      <c r="K750" s="141"/>
      <c r="L750" s="141"/>
      <c r="M750" s="143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hidden="1" customHeight="1">
      <c r="A751" s="138"/>
      <c r="B751" s="139"/>
      <c r="C751" s="139"/>
      <c r="D751" s="140"/>
      <c r="E751" s="141"/>
      <c r="F751" s="142"/>
      <c r="G751" s="141"/>
      <c r="H751" s="142"/>
      <c r="I751" s="140"/>
      <c r="J751" s="141"/>
      <c r="K751" s="141"/>
      <c r="L751" s="141"/>
      <c r="M751" s="143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hidden="1" customHeight="1">
      <c r="A752" s="138"/>
      <c r="B752" s="139"/>
      <c r="C752" s="139"/>
      <c r="D752" s="140"/>
      <c r="E752" s="141"/>
      <c r="F752" s="142"/>
      <c r="G752" s="141"/>
      <c r="H752" s="142"/>
      <c r="I752" s="140"/>
      <c r="J752" s="141"/>
      <c r="K752" s="141"/>
      <c r="L752" s="141"/>
      <c r="M752" s="143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hidden="1" customHeight="1">
      <c r="A753" s="138"/>
      <c r="B753" s="139"/>
      <c r="C753" s="139"/>
      <c r="D753" s="140"/>
      <c r="E753" s="141"/>
      <c r="F753" s="142"/>
      <c r="G753" s="141"/>
      <c r="H753" s="142"/>
      <c r="I753" s="140"/>
      <c r="J753" s="141"/>
      <c r="K753" s="141"/>
      <c r="L753" s="141"/>
      <c r="M753" s="143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hidden="1" customHeight="1">
      <c r="A754" s="138"/>
      <c r="B754" s="139"/>
      <c r="C754" s="139"/>
      <c r="D754" s="140"/>
      <c r="E754" s="141"/>
      <c r="F754" s="142"/>
      <c r="G754" s="141"/>
      <c r="H754" s="142"/>
      <c r="I754" s="140"/>
      <c r="J754" s="141"/>
      <c r="K754" s="141"/>
      <c r="L754" s="141"/>
      <c r="M754" s="143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hidden="1" customHeight="1">
      <c r="A755" s="138"/>
      <c r="B755" s="139"/>
      <c r="C755" s="139"/>
      <c r="D755" s="140"/>
      <c r="E755" s="141"/>
      <c r="F755" s="142"/>
      <c r="G755" s="141"/>
      <c r="H755" s="142"/>
      <c r="I755" s="140"/>
      <c r="J755" s="141"/>
      <c r="K755" s="141"/>
      <c r="L755" s="141"/>
      <c r="M755" s="143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hidden="1" customHeight="1">
      <c r="A756" s="138"/>
      <c r="B756" s="139"/>
      <c r="C756" s="139"/>
      <c r="D756" s="140"/>
      <c r="E756" s="141"/>
      <c r="F756" s="142"/>
      <c r="G756" s="141"/>
      <c r="H756" s="142"/>
      <c r="I756" s="140"/>
      <c r="J756" s="141"/>
      <c r="K756" s="141"/>
      <c r="L756" s="141"/>
      <c r="M756" s="143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hidden="1" customHeight="1">
      <c r="A757" s="138"/>
      <c r="B757" s="139"/>
      <c r="C757" s="139"/>
      <c r="D757" s="140"/>
      <c r="E757" s="141"/>
      <c r="F757" s="142"/>
      <c r="G757" s="141"/>
      <c r="H757" s="142"/>
      <c r="I757" s="140"/>
      <c r="J757" s="141"/>
      <c r="K757" s="141"/>
      <c r="L757" s="141"/>
      <c r="M757" s="143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hidden="1" customHeight="1">
      <c r="A758" s="138"/>
      <c r="B758" s="139"/>
      <c r="C758" s="139"/>
      <c r="D758" s="140"/>
      <c r="E758" s="141"/>
      <c r="F758" s="142"/>
      <c r="G758" s="141"/>
      <c r="H758" s="142"/>
      <c r="I758" s="140"/>
      <c r="J758" s="141"/>
      <c r="K758" s="141"/>
      <c r="L758" s="141"/>
      <c r="M758" s="143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hidden="1" customHeight="1">
      <c r="A759" s="138"/>
      <c r="B759" s="139"/>
      <c r="C759" s="139"/>
      <c r="D759" s="140"/>
      <c r="E759" s="141"/>
      <c r="F759" s="142"/>
      <c r="G759" s="141"/>
      <c r="H759" s="142"/>
      <c r="I759" s="140"/>
      <c r="J759" s="141"/>
      <c r="K759" s="141"/>
      <c r="L759" s="141"/>
      <c r="M759" s="143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hidden="1" customHeight="1">
      <c r="A760" s="138"/>
      <c r="B760" s="139"/>
      <c r="C760" s="139"/>
      <c r="D760" s="140"/>
      <c r="E760" s="141"/>
      <c r="F760" s="142"/>
      <c r="G760" s="141"/>
      <c r="H760" s="142"/>
      <c r="I760" s="140"/>
      <c r="J760" s="141"/>
      <c r="K760" s="141"/>
      <c r="L760" s="141"/>
      <c r="M760" s="143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hidden="1" customHeight="1">
      <c r="A761" s="138"/>
      <c r="B761" s="139"/>
      <c r="C761" s="139"/>
      <c r="D761" s="140"/>
      <c r="E761" s="141"/>
      <c r="F761" s="142"/>
      <c r="G761" s="141"/>
      <c r="H761" s="142"/>
      <c r="I761" s="140"/>
      <c r="J761" s="141"/>
      <c r="K761" s="141"/>
      <c r="L761" s="141"/>
      <c r="M761" s="143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hidden="1" customHeight="1">
      <c r="A762" s="138"/>
      <c r="B762" s="139"/>
      <c r="C762" s="139"/>
      <c r="D762" s="140"/>
      <c r="E762" s="141"/>
      <c r="F762" s="142"/>
      <c r="G762" s="141"/>
      <c r="H762" s="142"/>
      <c r="I762" s="140"/>
      <c r="J762" s="141"/>
      <c r="K762" s="141"/>
      <c r="L762" s="141"/>
      <c r="M762" s="143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hidden="1" customHeight="1">
      <c r="A763" s="138"/>
      <c r="B763" s="139"/>
      <c r="C763" s="139"/>
      <c r="D763" s="140"/>
      <c r="E763" s="141"/>
      <c r="F763" s="142"/>
      <c r="G763" s="141"/>
      <c r="H763" s="142"/>
      <c r="I763" s="140"/>
      <c r="J763" s="141"/>
      <c r="K763" s="141"/>
      <c r="L763" s="141"/>
      <c r="M763" s="143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hidden="1" customHeight="1">
      <c r="A764" s="138"/>
      <c r="B764" s="139"/>
      <c r="C764" s="139"/>
      <c r="D764" s="140"/>
      <c r="E764" s="141"/>
      <c r="F764" s="142"/>
      <c r="G764" s="141"/>
      <c r="H764" s="142"/>
      <c r="I764" s="140"/>
      <c r="J764" s="141"/>
      <c r="K764" s="141"/>
      <c r="L764" s="141"/>
      <c r="M764" s="143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hidden="1" customHeight="1">
      <c r="A765" s="138"/>
      <c r="B765" s="139"/>
      <c r="C765" s="139"/>
      <c r="D765" s="140"/>
      <c r="E765" s="141"/>
      <c r="F765" s="142"/>
      <c r="G765" s="141"/>
      <c r="H765" s="142"/>
      <c r="I765" s="140"/>
      <c r="J765" s="141"/>
      <c r="K765" s="141"/>
      <c r="L765" s="141"/>
      <c r="M765" s="143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hidden="1" customHeight="1">
      <c r="A766" s="138"/>
      <c r="B766" s="139"/>
      <c r="C766" s="139"/>
      <c r="D766" s="140"/>
      <c r="E766" s="141"/>
      <c r="F766" s="142"/>
      <c r="G766" s="141"/>
      <c r="H766" s="142"/>
      <c r="I766" s="140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hidden="1" customHeight="1">
      <c r="A767" s="138"/>
      <c r="B767" s="139"/>
      <c r="C767" s="139"/>
      <c r="D767" s="140"/>
      <c r="E767" s="141"/>
      <c r="F767" s="142"/>
      <c r="G767" s="141"/>
      <c r="H767" s="142"/>
      <c r="I767" s="140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hidden="1" customHeight="1">
      <c r="A768" s="138"/>
      <c r="B768" s="139"/>
      <c r="C768" s="139"/>
      <c r="D768" s="140"/>
      <c r="E768" s="141"/>
      <c r="F768" s="142"/>
      <c r="G768" s="141"/>
      <c r="H768" s="142"/>
      <c r="I768" s="140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hidden="1" customHeight="1">
      <c r="A769" s="138"/>
      <c r="B769" s="139"/>
      <c r="C769" s="139"/>
      <c r="D769" s="140"/>
      <c r="E769" s="141"/>
      <c r="F769" s="142"/>
      <c r="G769" s="141"/>
      <c r="H769" s="142"/>
      <c r="I769" s="140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hidden="1" customHeight="1">
      <c r="A770" s="138"/>
      <c r="B770" s="139"/>
      <c r="C770" s="139"/>
      <c r="D770" s="140"/>
      <c r="E770" s="141"/>
      <c r="F770" s="142"/>
      <c r="G770" s="141"/>
      <c r="H770" s="142"/>
      <c r="I770" s="140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hidden="1" customHeight="1">
      <c r="A771" s="138"/>
      <c r="B771" s="139"/>
      <c r="C771" s="139"/>
      <c r="D771" s="140"/>
      <c r="E771" s="141"/>
      <c r="F771" s="142"/>
      <c r="G771" s="141"/>
      <c r="H771" s="142"/>
      <c r="I771" s="140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hidden="1" customHeight="1">
      <c r="A772" s="138"/>
      <c r="B772" s="139"/>
      <c r="C772" s="139"/>
      <c r="D772" s="140"/>
      <c r="E772" s="141"/>
      <c r="F772" s="142"/>
      <c r="G772" s="141"/>
      <c r="H772" s="142"/>
      <c r="I772" s="140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hidden="1" customHeight="1">
      <c r="A773" s="138"/>
      <c r="B773" s="139"/>
      <c r="C773" s="139"/>
      <c r="D773" s="140"/>
      <c r="E773" s="141"/>
      <c r="F773" s="142"/>
      <c r="G773" s="141"/>
      <c r="H773" s="142"/>
      <c r="I773" s="140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hidden="1" customHeight="1">
      <c r="A774" s="138"/>
      <c r="B774" s="139"/>
      <c r="C774" s="139"/>
      <c r="D774" s="140"/>
      <c r="E774" s="141"/>
      <c r="F774" s="142"/>
      <c r="G774" s="141"/>
      <c r="H774" s="142"/>
      <c r="I774" s="140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hidden="1" customHeight="1">
      <c r="A775" s="138"/>
      <c r="B775" s="139"/>
      <c r="C775" s="139"/>
      <c r="D775" s="140"/>
      <c r="E775" s="141"/>
      <c r="F775" s="142"/>
      <c r="G775" s="141"/>
      <c r="H775" s="142"/>
      <c r="I775" s="140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hidden="1" customHeight="1">
      <c r="A776" s="138"/>
      <c r="B776" s="139"/>
      <c r="C776" s="139"/>
      <c r="D776" s="140"/>
      <c r="E776" s="141"/>
      <c r="F776" s="142"/>
      <c r="G776" s="141"/>
      <c r="H776" s="142"/>
      <c r="I776" s="140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hidden="1" customHeight="1">
      <c r="A777" s="138"/>
      <c r="B777" s="139"/>
      <c r="C777" s="139"/>
      <c r="D777" s="140"/>
      <c r="E777" s="141"/>
      <c r="F777" s="142"/>
      <c r="G777" s="141"/>
      <c r="H777" s="142"/>
      <c r="I777" s="140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hidden="1" customHeight="1">
      <c r="A778" s="138"/>
      <c r="B778" s="139"/>
      <c r="C778" s="139"/>
      <c r="D778" s="140"/>
      <c r="E778" s="141"/>
      <c r="F778" s="142"/>
      <c r="G778" s="141"/>
      <c r="H778" s="142"/>
      <c r="I778" s="140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hidden="1" customHeight="1">
      <c r="A779" s="138"/>
      <c r="B779" s="139"/>
      <c r="C779" s="139"/>
      <c r="D779" s="140"/>
      <c r="E779" s="141"/>
      <c r="F779" s="142"/>
      <c r="G779" s="141"/>
      <c r="H779" s="142"/>
      <c r="I779" s="140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hidden="1" customHeight="1">
      <c r="A780" s="138"/>
      <c r="B780" s="139"/>
      <c r="C780" s="139"/>
      <c r="D780" s="140"/>
      <c r="E780" s="141"/>
      <c r="F780" s="142"/>
      <c r="G780" s="141"/>
      <c r="H780" s="142"/>
      <c r="I780" s="140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hidden="1" customHeight="1">
      <c r="A781" s="138"/>
      <c r="B781" s="139"/>
      <c r="C781" s="139"/>
      <c r="D781" s="140"/>
      <c r="E781" s="141"/>
      <c r="F781" s="142"/>
      <c r="G781" s="141"/>
      <c r="H781" s="142"/>
      <c r="I781" s="140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hidden="1" customHeight="1">
      <c r="A782" s="138"/>
      <c r="B782" s="139"/>
      <c r="C782" s="139"/>
      <c r="D782" s="140"/>
      <c r="E782" s="141"/>
      <c r="F782" s="142"/>
      <c r="G782" s="141"/>
      <c r="H782" s="142"/>
      <c r="I782" s="140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hidden="1" customHeight="1">
      <c r="A783" s="138"/>
      <c r="B783" s="139"/>
      <c r="C783" s="139"/>
      <c r="D783" s="140"/>
      <c r="E783" s="141"/>
      <c r="F783" s="142"/>
      <c r="G783" s="141"/>
      <c r="H783" s="142"/>
      <c r="I783" s="140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hidden="1" customHeight="1">
      <c r="A784" s="138"/>
      <c r="B784" s="139"/>
      <c r="C784" s="139"/>
      <c r="D784" s="140"/>
      <c r="E784" s="141"/>
      <c r="F784" s="142"/>
      <c r="G784" s="141"/>
      <c r="H784" s="142"/>
      <c r="I784" s="140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hidden="1" customHeight="1">
      <c r="A785" s="138"/>
      <c r="B785" s="139"/>
      <c r="C785" s="139"/>
      <c r="D785" s="140"/>
      <c r="E785" s="141"/>
      <c r="F785" s="142"/>
      <c r="G785" s="141"/>
      <c r="H785" s="142"/>
      <c r="I785" s="140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hidden="1" customHeight="1">
      <c r="A786" s="138"/>
      <c r="B786" s="139"/>
      <c r="C786" s="139"/>
      <c r="D786" s="140"/>
      <c r="E786" s="141"/>
      <c r="F786" s="142"/>
      <c r="G786" s="141"/>
      <c r="H786" s="142"/>
      <c r="I786" s="140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hidden="1" customHeight="1">
      <c r="A787" s="138"/>
      <c r="B787" s="139"/>
      <c r="C787" s="139"/>
      <c r="D787" s="140"/>
      <c r="E787" s="141"/>
      <c r="F787" s="142"/>
      <c r="G787" s="141"/>
      <c r="H787" s="142"/>
      <c r="I787" s="140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hidden="1" customHeight="1">
      <c r="A788" s="138"/>
      <c r="B788" s="139"/>
      <c r="C788" s="139"/>
      <c r="D788" s="140"/>
      <c r="E788" s="141"/>
      <c r="F788" s="142"/>
      <c r="G788" s="141"/>
      <c r="H788" s="142"/>
      <c r="I788" s="140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hidden="1" customHeight="1">
      <c r="A789" s="138"/>
      <c r="B789" s="139"/>
      <c r="C789" s="139"/>
      <c r="D789" s="140"/>
      <c r="E789" s="141"/>
      <c r="F789" s="142"/>
      <c r="G789" s="141"/>
      <c r="H789" s="142"/>
      <c r="I789" s="140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hidden="1" customHeight="1">
      <c r="A790" s="138"/>
      <c r="B790" s="139"/>
      <c r="C790" s="139"/>
      <c r="D790" s="140"/>
      <c r="E790" s="141"/>
      <c r="F790" s="142"/>
      <c r="G790" s="141"/>
      <c r="H790" s="142"/>
      <c r="I790" s="140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hidden="1" customHeight="1">
      <c r="A791" s="138"/>
      <c r="B791" s="139"/>
      <c r="C791" s="139"/>
      <c r="D791" s="140"/>
      <c r="E791" s="141"/>
      <c r="F791" s="142"/>
      <c r="G791" s="141"/>
      <c r="H791" s="142"/>
      <c r="I791" s="140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hidden="1" customHeight="1">
      <c r="A792" s="138"/>
      <c r="B792" s="139"/>
      <c r="C792" s="139"/>
      <c r="D792" s="140"/>
      <c r="E792" s="141"/>
      <c r="F792" s="142"/>
      <c r="G792" s="141"/>
      <c r="H792" s="142"/>
      <c r="I792" s="140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hidden="1" customHeight="1">
      <c r="A793" s="138"/>
      <c r="B793" s="139"/>
      <c r="C793" s="139"/>
      <c r="D793" s="140"/>
      <c r="E793" s="141"/>
      <c r="F793" s="142"/>
      <c r="G793" s="141"/>
      <c r="H793" s="142"/>
      <c r="I793" s="140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hidden="1" customHeight="1">
      <c r="A794" s="138"/>
      <c r="B794" s="139"/>
      <c r="C794" s="139"/>
      <c r="D794" s="140"/>
      <c r="E794" s="141"/>
      <c r="F794" s="142"/>
      <c r="G794" s="141"/>
      <c r="H794" s="142"/>
      <c r="I794" s="140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hidden="1" customHeight="1">
      <c r="A795" s="138"/>
      <c r="B795" s="139"/>
      <c r="C795" s="139"/>
      <c r="D795" s="140"/>
      <c r="E795" s="141"/>
      <c r="F795" s="142"/>
      <c r="G795" s="141"/>
      <c r="H795" s="142"/>
      <c r="I795" s="140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hidden="1" customHeight="1">
      <c r="A796" s="138"/>
      <c r="B796" s="139"/>
      <c r="C796" s="139"/>
      <c r="D796" s="140"/>
      <c r="E796" s="141"/>
      <c r="F796" s="142"/>
      <c r="G796" s="141"/>
      <c r="H796" s="142"/>
      <c r="I796" s="140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hidden="1" customHeight="1">
      <c r="A797" s="138"/>
      <c r="B797" s="139"/>
      <c r="C797" s="139"/>
      <c r="D797" s="140"/>
      <c r="E797" s="141"/>
      <c r="F797" s="142"/>
      <c r="G797" s="141"/>
      <c r="H797" s="142"/>
      <c r="I797" s="140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hidden="1" customHeight="1">
      <c r="A798" s="138"/>
      <c r="B798" s="139"/>
      <c r="C798" s="139"/>
      <c r="D798" s="140"/>
      <c r="E798" s="141"/>
      <c r="F798" s="142"/>
      <c r="G798" s="141"/>
      <c r="H798" s="142"/>
      <c r="I798" s="140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hidden="1" customHeight="1">
      <c r="A799" s="138"/>
      <c r="B799" s="139"/>
      <c r="C799" s="139"/>
      <c r="D799" s="140"/>
      <c r="E799" s="141"/>
      <c r="F799" s="142"/>
      <c r="G799" s="141"/>
      <c r="H799" s="142"/>
      <c r="I799" s="140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hidden="1" customHeight="1">
      <c r="A800" s="138"/>
      <c r="B800" s="139"/>
      <c r="C800" s="139"/>
      <c r="D800" s="140"/>
      <c r="E800" s="141"/>
      <c r="F800" s="142"/>
      <c r="G800" s="141"/>
      <c r="H800" s="142"/>
      <c r="I800" s="140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hidden="1" customHeight="1">
      <c r="A801" s="138"/>
      <c r="B801" s="139"/>
      <c r="C801" s="139"/>
      <c r="D801" s="140"/>
      <c r="E801" s="141"/>
      <c r="F801" s="142"/>
      <c r="G801" s="141"/>
      <c r="H801" s="142"/>
      <c r="I801" s="140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hidden="1" customHeight="1">
      <c r="A802" s="138"/>
      <c r="B802" s="139"/>
      <c r="C802" s="139"/>
      <c r="D802" s="140"/>
      <c r="E802" s="141"/>
      <c r="F802" s="142"/>
      <c r="G802" s="141"/>
      <c r="H802" s="142"/>
      <c r="I802" s="140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hidden="1" customHeight="1">
      <c r="A803" s="138"/>
      <c r="B803" s="139"/>
      <c r="C803" s="139"/>
      <c r="D803" s="140"/>
      <c r="E803" s="141"/>
      <c r="F803" s="142"/>
      <c r="G803" s="141"/>
      <c r="H803" s="142"/>
      <c r="I803" s="140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hidden="1" customHeight="1">
      <c r="A804" s="138"/>
      <c r="B804" s="139"/>
      <c r="C804" s="139"/>
      <c r="D804" s="140"/>
      <c r="E804" s="141"/>
      <c r="F804" s="142"/>
      <c r="G804" s="141"/>
      <c r="H804" s="142"/>
      <c r="I804" s="140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hidden="1" customHeight="1">
      <c r="A805" s="138"/>
      <c r="B805" s="139"/>
      <c r="C805" s="139"/>
      <c r="D805" s="140"/>
      <c r="E805" s="141"/>
      <c r="F805" s="142"/>
      <c r="G805" s="141"/>
      <c r="H805" s="142"/>
      <c r="I805" s="140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hidden="1" customHeight="1">
      <c r="A806" s="138"/>
      <c r="B806" s="139"/>
      <c r="C806" s="139"/>
      <c r="D806" s="140"/>
      <c r="E806" s="141"/>
      <c r="F806" s="142"/>
      <c r="G806" s="141"/>
      <c r="H806" s="142"/>
      <c r="I806" s="140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hidden="1" customHeight="1">
      <c r="A807" s="138"/>
      <c r="B807" s="139"/>
      <c r="C807" s="139"/>
      <c r="D807" s="140"/>
      <c r="E807" s="141"/>
      <c r="F807" s="142"/>
      <c r="G807" s="141"/>
      <c r="H807" s="142"/>
      <c r="I807" s="140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hidden="1" customHeight="1">
      <c r="A808" s="138"/>
      <c r="B808" s="139"/>
      <c r="C808" s="139"/>
      <c r="D808" s="140"/>
      <c r="E808" s="141"/>
      <c r="F808" s="142"/>
      <c r="G808" s="141"/>
      <c r="H808" s="142"/>
      <c r="I808" s="140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hidden="1" customHeight="1">
      <c r="A809" s="138"/>
      <c r="B809" s="139"/>
      <c r="C809" s="139"/>
      <c r="D809" s="140"/>
      <c r="E809" s="141"/>
      <c r="F809" s="142"/>
      <c r="G809" s="141"/>
      <c r="H809" s="142"/>
      <c r="I809" s="140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hidden="1" customHeight="1">
      <c r="A810" s="138"/>
      <c r="B810" s="139"/>
      <c r="C810" s="139"/>
      <c r="D810" s="140"/>
      <c r="E810" s="141"/>
      <c r="F810" s="142"/>
      <c r="G810" s="141"/>
      <c r="H810" s="142"/>
      <c r="I810" s="140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hidden="1" customHeight="1">
      <c r="A811" s="138"/>
      <c r="B811" s="139"/>
      <c r="C811" s="139"/>
      <c r="D811" s="140"/>
      <c r="E811" s="141"/>
      <c r="F811" s="142"/>
      <c r="G811" s="141"/>
      <c r="H811" s="142"/>
      <c r="I811" s="140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hidden="1" customHeight="1">
      <c r="A812" s="138"/>
      <c r="B812" s="139"/>
      <c r="C812" s="139"/>
      <c r="D812" s="140"/>
      <c r="E812" s="141"/>
      <c r="F812" s="142"/>
      <c r="G812" s="141"/>
      <c r="H812" s="142"/>
      <c r="I812" s="140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hidden="1" customHeight="1">
      <c r="A813" s="138"/>
      <c r="B813" s="139"/>
      <c r="C813" s="139"/>
      <c r="D813" s="140"/>
      <c r="E813" s="141"/>
      <c r="F813" s="142"/>
      <c r="G813" s="141"/>
      <c r="H813" s="142"/>
      <c r="I813" s="140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hidden="1" customHeight="1">
      <c r="A814" s="138"/>
      <c r="B814" s="139"/>
      <c r="C814" s="139"/>
      <c r="D814" s="140"/>
      <c r="E814" s="141"/>
      <c r="F814" s="142"/>
      <c r="G814" s="141"/>
      <c r="H814" s="142"/>
      <c r="I814" s="140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hidden="1" customHeight="1">
      <c r="A815" s="138"/>
      <c r="B815" s="139"/>
      <c r="C815" s="139"/>
      <c r="D815" s="140"/>
      <c r="E815" s="141"/>
      <c r="F815" s="142"/>
      <c r="G815" s="141"/>
      <c r="H815" s="142"/>
      <c r="I815" s="140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hidden="1" customHeight="1">
      <c r="A816" s="138"/>
      <c r="B816" s="139"/>
      <c r="C816" s="139"/>
      <c r="D816" s="140"/>
      <c r="E816" s="141"/>
      <c r="F816" s="142"/>
      <c r="G816" s="141"/>
      <c r="H816" s="142"/>
      <c r="I816" s="140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hidden="1" customHeight="1">
      <c r="A817" s="138"/>
      <c r="B817" s="139"/>
      <c r="C817" s="139"/>
      <c r="D817" s="140"/>
      <c r="E817" s="141"/>
      <c r="F817" s="142"/>
      <c r="G817" s="141"/>
      <c r="H817" s="142"/>
      <c r="I817" s="140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hidden="1" customHeight="1">
      <c r="A818" s="138"/>
      <c r="B818" s="139"/>
      <c r="C818" s="139"/>
      <c r="D818" s="140"/>
      <c r="E818" s="141"/>
      <c r="F818" s="142"/>
      <c r="G818" s="141"/>
      <c r="H818" s="142"/>
      <c r="I818" s="140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hidden="1" customHeight="1">
      <c r="A819" s="138"/>
      <c r="B819" s="139"/>
      <c r="C819" s="139"/>
      <c r="D819" s="140"/>
      <c r="E819" s="141"/>
      <c r="F819" s="142"/>
      <c r="G819" s="141"/>
      <c r="H819" s="142"/>
      <c r="I819" s="140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hidden="1" customHeight="1">
      <c r="A820" s="138"/>
      <c r="B820" s="139"/>
      <c r="C820" s="139"/>
      <c r="D820" s="140"/>
      <c r="E820" s="141"/>
      <c r="F820" s="142"/>
      <c r="G820" s="141"/>
      <c r="H820" s="142"/>
      <c r="I820" s="140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hidden="1" customHeight="1">
      <c r="A821" s="138"/>
      <c r="B821" s="139"/>
      <c r="C821" s="139"/>
      <c r="D821" s="140"/>
      <c r="E821" s="141"/>
      <c r="F821" s="142"/>
      <c r="G821" s="141"/>
      <c r="H821" s="142"/>
      <c r="I821" s="140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hidden="1" customHeight="1">
      <c r="A822" s="138"/>
      <c r="B822" s="139"/>
      <c r="C822" s="139"/>
      <c r="D822" s="140"/>
      <c r="E822" s="141"/>
      <c r="F822" s="142"/>
      <c r="G822" s="141"/>
      <c r="H822" s="142"/>
      <c r="I822" s="140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hidden="1" customHeight="1">
      <c r="A823" s="138"/>
      <c r="B823" s="139"/>
      <c r="C823" s="139"/>
      <c r="D823" s="140"/>
      <c r="E823" s="141"/>
      <c r="F823" s="142"/>
      <c r="G823" s="141"/>
      <c r="H823" s="142"/>
      <c r="I823" s="140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hidden="1" customHeight="1">
      <c r="A824" s="138"/>
      <c r="B824" s="139"/>
      <c r="C824" s="139"/>
      <c r="D824" s="140"/>
      <c r="E824" s="141"/>
      <c r="F824" s="142"/>
      <c r="G824" s="141"/>
      <c r="H824" s="142"/>
      <c r="I824" s="140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hidden="1" customHeight="1">
      <c r="A825" s="138"/>
      <c r="B825" s="139"/>
      <c r="C825" s="139"/>
      <c r="D825" s="140"/>
      <c r="E825" s="141"/>
      <c r="F825" s="142"/>
      <c r="G825" s="141"/>
      <c r="H825" s="142"/>
      <c r="I825" s="140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hidden="1" customHeight="1">
      <c r="A826" s="138"/>
      <c r="B826" s="139"/>
      <c r="C826" s="139"/>
      <c r="D826" s="140"/>
      <c r="E826" s="141"/>
      <c r="F826" s="142"/>
      <c r="G826" s="141"/>
      <c r="H826" s="142"/>
      <c r="I826" s="140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hidden="1" customHeight="1">
      <c r="A827" s="138"/>
      <c r="B827" s="139"/>
      <c r="C827" s="139"/>
      <c r="D827" s="140"/>
      <c r="E827" s="141"/>
      <c r="F827" s="142"/>
      <c r="G827" s="141"/>
      <c r="H827" s="142"/>
      <c r="I827" s="140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hidden="1" customHeight="1">
      <c r="A828" s="138"/>
      <c r="B828" s="139"/>
      <c r="C828" s="139"/>
      <c r="D828" s="140"/>
      <c r="E828" s="141"/>
      <c r="F828" s="142"/>
      <c r="G828" s="141"/>
      <c r="H828" s="142"/>
      <c r="I828" s="140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hidden="1" customHeight="1">
      <c r="A829" s="138"/>
      <c r="B829" s="139"/>
      <c r="C829" s="139"/>
      <c r="D829" s="140"/>
      <c r="E829" s="141"/>
      <c r="F829" s="142"/>
      <c r="G829" s="141"/>
      <c r="H829" s="142"/>
      <c r="I829" s="140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hidden="1" customHeight="1">
      <c r="A830" s="138"/>
      <c r="B830" s="139"/>
      <c r="C830" s="139"/>
      <c r="D830" s="140"/>
      <c r="E830" s="141"/>
      <c r="F830" s="142"/>
      <c r="G830" s="141"/>
      <c r="H830" s="142"/>
      <c r="I830" s="140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hidden="1" customHeight="1">
      <c r="A831" s="138"/>
      <c r="B831" s="139"/>
      <c r="C831" s="139"/>
      <c r="D831" s="140"/>
      <c r="E831" s="141"/>
      <c r="F831" s="142"/>
      <c r="G831" s="141"/>
      <c r="H831" s="142"/>
      <c r="I831" s="140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hidden="1" customHeight="1">
      <c r="A832" s="138"/>
      <c r="B832" s="139"/>
      <c r="C832" s="139"/>
      <c r="D832" s="140"/>
      <c r="E832" s="141"/>
      <c r="F832" s="142"/>
      <c r="G832" s="141"/>
      <c r="H832" s="142"/>
      <c r="I832" s="140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hidden="1" customHeight="1">
      <c r="A833" s="138"/>
      <c r="B833" s="139"/>
      <c r="C833" s="139"/>
      <c r="D833" s="140"/>
      <c r="E833" s="141"/>
      <c r="F833" s="142"/>
      <c r="G833" s="141"/>
      <c r="H833" s="142"/>
      <c r="I833" s="140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hidden="1" customHeight="1">
      <c r="A834" s="138"/>
      <c r="B834" s="139"/>
      <c r="C834" s="139"/>
      <c r="D834" s="140"/>
      <c r="E834" s="141"/>
      <c r="F834" s="142"/>
      <c r="G834" s="141"/>
      <c r="H834" s="142"/>
      <c r="I834" s="140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hidden="1" customHeight="1">
      <c r="A835" s="138"/>
      <c r="B835" s="139"/>
      <c r="C835" s="139"/>
      <c r="D835" s="140"/>
      <c r="E835" s="141"/>
      <c r="F835" s="142"/>
      <c r="G835" s="141"/>
      <c r="H835" s="142"/>
      <c r="I835" s="140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hidden="1" customHeight="1">
      <c r="A836" s="138"/>
      <c r="B836" s="139"/>
      <c r="C836" s="139"/>
      <c r="D836" s="140"/>
      <c r="E836" s="141"/>
      <c r="F836" s="142"/>
      <c r="G836" s="141"/>
      <c r="H836" s="142"/>
      <c r="I836" s="140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hidden="1" customHeight="1">
      <c r="A837" s="138"/>
      <c r="B837" s="139"/>
      <c r="C837" s="139"/>
      <c r="D837" s="140"/>
      <c r="E837" s="141"/>
      <c r="F837" s="142"/>
      <c r="G837" s="141"/>
      <c r="H837" s="142"/>
      <c r="I837" s="140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hidden="1" customHeight="1">
      <c r="A838" s="138"/>
      <c r="B838" s="139"/>
      <c r="C838" s="139"/>
      <c r="D838" s="140"/>
      <c r="E838" s="141"/>
      <c r="F838" s="142"/>
      <c r="G838" s="141"/>
      <c r="H838" s="142"/>
      <c r="I838" s="140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hidden="1" customHeight="1">
      <c r="A839" s="138"/>
      <c r="B839" s="139"/>
      <c r="C839" s="139"/>
      <c r="D839" s="140"/>
      <c r="E839" s="141"/>
      <c r="F839" s="142"/>
      <c r="G839" s="141"/>
      <c r="H839" s="142"/>
      <c r="I839" s="140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hidden="1" customHeight="1">
      <c r="A840" s="138"/>
      <c r="B840" s="139"/>
      <c r="C840" s="139"/>
      <c r="D840" s="140"/>
      <c r="E840" s="141"/>
      <c r="F840" s="142"/>
      <c r="G840" s="141"/>
      <c r="H840" s="142"/>
      <c r="I840" s="140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hidden="1" customHeight="1">
      <c r="A841" s="138"/>
      <c r="B841" s="139"/>
      <c r="C841" s="139"/>
      <c r="D841" s="140"/>
      <c r="E841" s="141"/>
      <c r="F841" s="142"/>
      <c r="G841" s="141"/>
      <c r="H841" s="142"/>
      <c r="I841" s="140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hidden="1" customHeight="1">
      <c r="A842" s="138"/>
      <c r="B842" s="139"/>
      <c r="C842" s="139"/>
      <c r="D842" s="140"/>
      <c r="E842" s="141"/>
      <c r="F842" s="142"/>
      <c r="G842" s="141"/>
      <c r="H842" s="142"/>
      <c r="I842" s="140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hidden="1" customHeight="1">
      <c r="A843" s="138"/>
      <c r="B843" s="139"/>
      <c r="C843" s="139"/>
      <c r="D843" s="140"/>
      <c r="E843" s="141"/>
      <c r="F843" s="142"/>
      <c r="G843" s="141"/>
      <c r="H843" s="142"/>
      <c r="I843" s="140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hidden="1" customHeight="1">
      <c r="A844" s="138"/>
      <c r="B844" s="139"/>
      <c r="C844" s="139"/>
      <c r="D844" s="140"/>
      <c r="E844" s="141"/>
      <c r="F844" s="142"/>
      <c r="G844" s="141"/>
      <c r="H844" s="142"/>
      <c r="I844" s="140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hidden="1" customHeight="1">
      <c r="A845" s="138"/>
      <c r="B845" s="139"/>
      <c r="C845" s="139"/>
      <c r="D845" s="140"/>
      <c r="E845" s="141"/>
      <c r="F845" s="142"/>
      <c r="G845" s="141"/>
      <c r="H845" s="142"/>
      <c r="I845" s="140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hidden="1" customHeight="1">
      <c r="A846" s="138"/>
      <c r="B846" s="139"/>
      <c r="C846" s="139"/>
      <c r="D846" s="140"/>
      <c r="E846" s="141"/>
      <c r="F846" s="142"/>
      <c r="G846" s="141"/>
      <c r="H846" s="142"/>
      <c r="I846" s="140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hidden="1" customHeight="1">
      <c r="A847" s="138"/>
      <c r="B847" s="139"/>
      <c r="C847" s="139"/>
      <c r="D847" s="140"/>
      <c r="E847" s="141"/>
      <c r="F847" s="142"/>
      <c r="G847" s="141"/>
      <c r="H847" s="142"/>
      <c r="I847" s="140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hidden="1" customHeight="1">
      <c r="A848" s="138"/>
      <c r="B848" s="139"/>
      <c r="C848" s="139"/>
      <c r="D848" s="140"/>
      <c r="E848" s="141"/>
      <c r="F848" s="142"/>
      <c r="G848" s="141"/>
      <c r="H848" s="142"/>
      <c r="I848" s="140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hidden="1" customHeight="1">
      <c r="A849" s="138"/>
      <c r="B849" s="139"/>
      <c r="C849" s="139"/>
      <c r="D849" s="140"/>
      <c r="E849" s="141"/>
      <c r="F849" s="142"/>
      <c r="G849" s="141"/>
      <c r="H849" s="142"/>
      <c r="I849" s="140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hidden="1" customHeight="1">
      <c r="A850" s="138"/>
      <c r="B850" s="139"/>
      <c r="C850" s="139"/>
      <c r="D850" s="140"/>
      <c r="E850" s="141"/>
      <c r="F850" s="142"/>
      <c r="G850" s="141"/>
      <c r="H850" s="142"/>
      <c r="I850" s="140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hidden="1" customHeight="1">
      <c r="A851" s="138"/>
      <c r="B851" s="139"/>
      <c r="C851" s="139"/>
      <c r="D851" s="140"/>
      <c r="E851" s="141"/>
      <c r="F851" s="142"/>
      <c r="G851" s="141"/>
      <c r="H851" s="142"/>
      <c r="I851" s="140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hidden="1" customHeight="1">
      <c r="A852" s="138"/>
      <c r="B852" s="139"/>
      <c r="C852" s="139"/>
      <c r="D852" s="140"/>
      <c r="E852" s="141"/>
      <c r="F852" s="142"/>
      <c r="G852" s="141"/>
      <c r="H852" s="142"/>
      <c r="I852" s="140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hidden="1" customHeight="1">
      <c r="A853" s="138"/>
      <c r="B853" s="139"/>
      <c r="C853" s="139"/>
      <c r="D853" s="140"/>
      <c r="E853" s="141"/>
      <c r="F853" s="142"/>
      <c r="G853" s="141"/>
      <c r="H853" s="142"/>
      <c r="I853" s="140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hidden="1" customHeight="1">
      <c r="A854" s="138"/>
      <c r="B854" s="139"/>
      <c r="C854" s="139"/>
      <c r="D854" s="140"/>
      <c r="E854" s="141"/>
      <c r="F854" s="142"/>
      <c r="G854" s="141"/>
      <c r="H854" s="142"/>
      <c r="I854" s="140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hidden="1" customHeight="1">
      <c r="A855" s="138"/>
      <c r="B855" s="139"/>
      <c r="C855" s="139"/>
      <c r="D855" s="140"/>
      <c r="E855" s="141"/>
      <c r="F855" s="142"/>
      <c r="G855" s="141"/>
      <c r="H855" s="142"/>
      <c r="I855" s="140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hidden="1" customHeight="1">
      <c r="A856" s="138"/>
      <c r="B856" s="139"/>
      <c r="C856" s="139"/>
      <c r="D856" s="140"/>
      <c r="E856" s="141"/>
      <c r="F856" s="142"/>
      <c r="G856" s="141"/>
      <c r="H856" s="142"/>
      <c r="I856" s="140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hidden="1" customHeight="1">
      <c r="A857" s="138"/>
      <c r="B857" s="139"/>
      <c r="C857" s="139"/>
      <c r="D857" s="140"/>
      <c r="E857" s="141"/>
      <c r="F857" s="142"/>
      <c r="G857" s="141"/>
      <c r="H857" s="142"/>
      <c r="I857" s="140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hidden="1" customHeight="1">
      <c r="A858" s="138"/>
      <c r="B858" s="139"/>
      <c r="C858" s="139"/>
      <c r="D858" s="140"/>
      <c r="E858" s="141"/>
      <c r="F858" s="142"/>
      <c r="G858" s="141"/>
      <c r="H858" s="142"/>
      <c r="I858" s="140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hidden="1" customHeight="1">
      <c r="A859" s="138"/>
      <c r="B859" s="139"/>
      <c r="C859" s="139"/>
      <c r="D859" s="140"/>
      <c r="E859" s="141"/>
      <c r="F859" s="142"/>
      <c r="G859" s="141"/>
      <c r="H859" s="142"/>
      <c r="I859" s="140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hidden="1" customHeight="1">
      <c r="A860" s="138"/>
      <c r="B860" s="139"/>
      <c r="C860" s="139"/>
      <c r="D860" s="140"/>
      <c r="E860" s="141"/>
      <c r="F860" s="142"/>
      <c r="G860" s="141"/>
      <c r="H860" s="142"/>
      <c r="I860" s="140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hidden="1" customHeight="1">
      <c r="A861" s="138"/>
      <c r="B861" s="139"/>
      <c r="C861" s="139"/>
      <c r="D861" s="140"/>
      <c r="E861" s="141"/>
      <c r="F861" s="142"/>
      <c r="G861" s="141"/>
      <c r="H861" s="142"/>
      <c r="I861" s="140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hidden="1" customHeight="1">
      <c r="A862" s="138"/>
      <c r="B862" s="139"/>
      <c r="C862" s="139"/>
      <c r="D862" s="140"/>
      <c r="E862" s="141"/>
      <c r="F862" s="142"/>
      <c r="G862" s="141"/>
      <c r="H862" s="142"/>
      <c r="I862" s="140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hidden="1" customHeight="1">
      <c r="A863" s="138"/>
      <c r="B863" s="139"/>
      <c r="C863" s="139"/>
      <c r="D863" s="140"/>
      <c r="E863" s="141"/>
      <c r="F863" s="142"/>
      <c r="G863" s="141"/>
      <c r="H863" s="142"/>
      <c r="I863" s="140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hidden="1" customHeight="1">
      <c r="A864" s="138"/>
      <c r="B864" s="139"/>
      <c r="C864" s="139"/>
      <c r="D864" s="140"/>
      <c r="E864" s="141"/>
      <c r="F864" s="142"/>
      <c r="G864" s="141"/>
      <c r="H864" s="142"/>
      <c r="I864" s="140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hidden="1" customHeight="1">
      <c r="A865" s="138"/>
      <c r="B865" s="139"/>
      <c r="C865" s="139"/>
      <c r="D865" s="140"/>
      <c r="E865" s="141"/>
      <c r="F865" s="142"/>
      <c r="G865" s="141"/>
      <c r="H865" s="142"/>
      <c r="I865" s="140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hidden="1" customHeight="1">
      <c r="A866" s="138"/>
      <c r="B866" s="139"/>
      <c r="C866" s="139"/>
      <c r="D866" s="140"/>
      <c r="E866" s="141"/>
      <c r="F866" s="142"/>
      <c r="G866" s="141"/>
      <c r="H866" s="142"/>
      <c r="I866" s="140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hidden="1" customHeight="1">
      <c r="A867" s="138"/>
      <c r="B867" s="139"/>
      <c r="C867" s="139"/>
      <c r="D867" s="140"/>
      <c r="E867" s="141"/>
      <c r="F867" s="142"/>
      <c r="G867" s="141"/>
      <c r="H867" s="142"/>
      <c r="I867" s="140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hidden="1" customHeight="1">
      <c r="A868" s="138"/>
      <c r="B868" s="139"/>
      <c r="C868" s="139"/>
      <c r="D868" s="140"/>
      <c r="E868" s="141"/>
      <c r="F868" s="142"/>
      <c r="G868" s="141"/>
      <c r="H868" s="142"/>
      <c r="I868" s="140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hidden="1" customHeight="1">
      <c r="A869" s="138"/>
      <c r="B869" s="139"/>
      <c r="C869" s="139"/>
      <c r="D869" s="140"/>
      <c r="E869" s="141"/>
      <c r="F869" s="142"/>
      <c r="G869" s="141"/>
      <c r="H869" s="142"/>
      <c r="I869" s="140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hidden="1" customHeight="1">
      <c r="A870" s="138"/>
      <c r="B870" s="139"/>
      <c r="C870" s="139"/>
      <c r="D870" s="140"/>
      <c r="E870" s="141"/>
      <c r="F870" s="142"/>
      <c r="G870" s="141"/>
      <c r="H870" s="142"/>
      <c r="I870" s="140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hidden="1" customHeight="1">
      <c r="A871" s="138"/>
      <c r="B871" s="139"/>
      <c r="C871" s="139"/>
      <c r="D871" s="140"/>
      <c r="E871" s="141"/>
      <c r="F871" s="142"/>
      <c r="G871" s="141"/>
      <c r="H871" s="142"/>
      <c r="I871" s="140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hidden="1" customHeight="1">
      <c r="A872" s="138"/>
      <c r="B872" s="139"/>
      <c r="C872" s="139"/>
      <c r="D872" s="140"/>
      <c r="E872" s="141"/>
      <c r="F872" s="142"/>
      <c r="G872" s="141"/>
      <c r="H872" s="142"/>
      <c r="I872" s="140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hidden="1" customHeight="1">
      <c r="A873" s="138"/>
      <c r="B873" s="139"/>
      <c r="C873" s="139"/>
      <c r="D873" s="140"/>
      <c r="E873" s="141"/>
      <c r="F873" s="142"/>
      <c r="G873" s="141"/>
      <c r="H873" s="142"/>
      <c r="I873" s="140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hidden="1" customHeight="1">
      <c r="A874" s="138"/>
      <c r="B874" s="139"/>
      <c r="C874" s="139"/>
      <c r="D874" s="140"/>
      <c r="E874" s="141"/>
      <c r="F874" s="142"/>
      <c r="G874" s="141"/>
      <c r="H874" s="142"/>
      <c r="I874" s="140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hidden="1" customHeight="1">
      <c r="A875" s="138"/>
      <c r="B875" s="139"/>
      <c r="C875" s="139"/>
      <c r="D875" s="140"/>
      <c r="E875" s="141"/>
      <c r="F875" s="142"/>
      <c r="G875" s="141"/>
      <c r="H875" s="142"/>
      <c r="I875" s="140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hidden="1" customHeight="1">
      <c r="A876" s="138"/>
      <c r="B876" s="139"/>
      <c r="C876" s="139"/>
      <c r="D876" s="140"/>
      <c r="E876" s="141"/>
      <c r="F876" s="142"/>
      <c r="G876" s="141"/>
      <c r="H876" s="142"/>
      <c r="I876" s="140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hidden="1" customHeight="1">
      <c r="A877" s="138"/>
      <c r="B877" s="139"/>
      <c r="C877" s="139"/>
      <c r="D877" s="140"/>
      <c r="E877" s="141"/>
      <c r="F877" s="142"/>
      <c r="G877" s="141"/>
      <c r="H877" s="142"/>
      <c r="I877" s="140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hidden="1" customHeight="1">
      <c r="A878" s="138"/>
      <c r="B878" s="139"/>
      <c r="C878" s="139"/>
      <c r="D878" s="140"/>
      <c r="E878" s="141"/>
      <c r="F878" s="142"/>
      <c r="G878" s="141"/>
      <c r="H878" s="142"/>
      <c r="I878" s="140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hidden="1" customHeight="1">
      <c r="A879" s="138"/>
      <c r="B879" s="139"/>
      <c r="C879" s="139"/>
      <c r="D879" s="140"/>
      <c r="E879" s="141"/>
      <c r="F879" s="142"/>
      <c r="G879" s="141"/>
      <c r="H879" s="142"/>
      <c r="I879" s="140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hidden="1" customHeight="1">
      <c r="A880" s="138"/>
      <c r="B880" s="139"/>
      <c r="C880" s="139"/>
      <c r="D880" s="140"/>
      <c r="E880" s="141"/>
      <c r="F880" s="142"/>
      <c r="G880" s="141"/>
      <c r="H880" s="142"/>
      <c r="I880" s="140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hidden="1" customHeight="1">
      <c r="A881" s="138"/>
      <c r="B881" s="139"/>
      <c r="C881" s="139"/>
      <c r="D881" s="140"/>
      <c r="E881" s="141"/>
      <c r="F881" s="142"/>
      <c r="G881" s="141"/>
      <c r="H881" s="142"/>
      <c r="I881" s="140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hidden="1" customHeight="1">
      <c r="A882" s="138"/>
      <c r="B882" s="139"/>
      <c r="C882" s="139"/>
      <c r="D882" s="140"/>
      <c r="E882" s="141"/>
      <c r="F882" s="142"/>
      <c r="G882" s="141"/>
      <c r="H882" s="142"/>
      <c r="I882" s="140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hidden="1" customHeight="1">
      <c r="A883" s="138"/>
      <c r="B883" s="139"/>
      <c r="C883" s="139"/>
      <c r="D883" s="140"/>
      <c r="E883" s="141"/>
      <c r="F883" s="142"/>
      <c r="G883" s="141"/>
      <c r="H883" s="142"/>
      <c r="I883" s="140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hidden="1" customHeight="1">
      <c r="A884" s="138"/>
      <c r="B884" s="139"/>
      <c r="C884" s="139"/>
      <c r="D884" s="140"/>
      <c r="E884" s="141"/>
      <c r="F884" s="142"/>
      <c r="G884" s="141"/>
      <c r="H884" s="142"/>
      <c r="I884" s="140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hidden="1" customHeight="1">
      <c r="A885" s="138"/>
      <c r="B885" s="139"/>
      <c r="C885" s="139"/>
      <c r="D885" s="140"/>
      <c r="E885" s="141"/>
      <c r="F885" s="142"/>
      <c r="G885" s="141"/>
      <c r="H885" s="142"/>
      <c r="I885" s="140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hidden="1" customHeight="1">
      <c r="A886" s="138"/>
      <c r="B886" s="139"/>
      <c r="C886" s="139"/>
      <c r="D886" s="140"/>
      <c r="E886" s="141"/>
      <c r="F886" s="142"/>
      <c r="G886" s="141"/>
      <c r="H886" s="142"/>
      <c r="I886" s="140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hidden="1" customHeight="1">
      <c r="A887" s="138"/>
      <c r="B887" s="139"/>
      <c r="C887" s="139"/>
      <c r="D887" s="140"/>
      <c r="E887" s="141"/>
      <c r="F887" s="142"/>
      <c r="G887" s="141"/>
      <c r="H887" s="142"/>
      <c r="I887" s="140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hidden="1" customHeight="1">
      <c r="A888" s="138"/>
      <c r="B888" s="139"/>
      <c r="C888" s="139"/>
      <c r="D888" s="140"/>
      <c r="E888" s="141"/>
      <c r="F888" s="142"/>
      <c r="G888" s="141"/>
      <c r="H888" s="142"/>
      <c r="I888" s="140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hidden="1" customHeight="1">
      <c r="A889" s="138"/>
      <c r="B889" s="139"/>
      <c r="C889" s="139"/>
      <c r="D889" s="140"/>
      <c r="E889" s="141"/>
      <c r="F889" s="142"/>
      <c r="G889" s="141"/>
      <c r="H889" s="142"/>
      <c r="I889" s="140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hidden="1" customHeight="1">
      <c r="A890" s="138"/>
      <c r="B890" s="139"/>
      <c r="C890" s="139"/>
      <c r="D890" s="140"/>
      <c r="E890" s="141"/>
      <c r="F890" s="142"/>
      <c r="G890" s="141"/>
      <c r="H890" s="142"/>
      <c r="I890" s="140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hidden="1" customHeight="1">
      <c r="A891" s="138"/>
      <c r="B891" s="139"/>
      <c r="C891" s="139"/>
      <c r="D891" s="140"/>
      <c r="E891" s="141"/>
      <c r="F891" s="142"/>
      <c r="G891" s="141"/>
      <c r="H891" s="142"/>
      <c r="I891" s="140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hidden="1" customHeight="1">
      <c r="A892" s="138"/>
      <c r="B892" s="139"/>
      <c r="C892" s="139"/>
      <c r="D892" s="140"/>
      <c r="E892" s="141"/>
      <c r="F892" s="142"/>
      <c r="G892" s="141"/>
      <c r="H892" s="142"/>
      <c r="I892" s="140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hidden="1" customHeight="1">
      <c r="A893" s="138"/>
      <c r="B893" s="139"/>
      <c r="C893" s="139"/>
      <c r="D893" s="140"/>
      <c r="E893" s="141"/>
      <c r="F893" s="142"/>
      <c r="G893" s="141"/>
      <c r="H893" s="142"/>
      <c r="I893" s="140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hidden="1" customHeight="1">
      <c r="A894" s="138"/>
      <c r="B894" s="139"/>
      <c r="C894" s="139"/>
      <c r="D894" s="140"/>
      <c r="E894" s="141"/>
      <c r="F894" s="142"/>
      <c r="G894" s="141"/>
      <c r="H894" s="142"/>
      <c r="I894" s="140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hidden="1" customHeight="1">
      <c r="A895" s="138"/>
      <c r="B895" s="139"/>
      <c r="C895" s="139"/>
      <c r="D895" s="140"/>
      <c r="E895" s="141"/>
      <c r="F895" s="142"/>
      <c r="G895" s="141"/>
      <c r="H895" s="142"/>
      <c r="I895" s="140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hidden="1" customHeight="1">
      <c r="A896" s="138"/>
      <c r="B896" s="139"/>
      <c r="C896" s="139"/>
      <c r="D896" s="140"/>
      <c r="E896" s="141"/>
      <c r="F896" s="142"/>
      <c r="G896" s="141"/>
      <c r="H896" s="142"/>
      <c r="I896" s="140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hidden="1" customHeight="1">
      <c r="A897" s="138"/>
      <c r="B897" s="139"/>
      <c r="C897" s="139"/>
      <c r="D897" s="140"/>
      <c r="E897" s="141"/>
      <c r="F897" s="142"/>
      <c r="G897" s="141"/>
      <c r="H897" s="142"/>
      <c r="I897" s="140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hidden="1" customHeight="1">
      <c r="A898" s="138"/>
      <c r="B898" s="139"/>
      <c r="C898" s="139"/>
      <c r="D898" s="140"/>
      <c r="E898" s="141"/>
      <c r="F898" s="142"/>
      <c r="G898" s="141"/>
      <c r="H898" s="142"/>
      <c r="I898" s="140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hidden="1" customHeight="1">
      <c r="A899" s="138"/>
      <c r="B899" s="139"/>
      <c r="C899" s="139"/>
      <c r="D899" s="140"/>
      <c r="E899" s="141"/>
      <c r="F899" s="142"/>
      <c r="G899" s="141"/>
      <c r="H899" s="142"/>
      <c r="I899" s="140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hidden="1" customHeight="1">
      <c r="A900" s="138"/>
      <c r="B900" s="139"/>
      <c r="C900" s="139"/>
      <c r="D900" s="140"/>
      <c r="E900" s="141"/>
      <c r="F900" s="142"/>
      <c r="G900" s="141"/>
      <c r="H900" s="142"/>
      <c r="I900" s="140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hidden="1" customHeight="1">
      <c r="A901" s="138"/>
      <c r="B901" s="139"/>
      <c r="C901" s="139"/>
      <c r="D901" s="140"/>
      <c r="E901" s="141"/>
      <c r="F901" s="142"/>
      <c r="G901" s="141"/>
      <c r="H901" s="142"/>
      <c r="I901" s="140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hidden="1" customHeight="1">
      <c r="A902" s="138"/>
      <c r="B902" s="139"/>
      <c r="C902" s="139"/>
      <c r="D902" s="140"/>
      <c r="E902" s="141"/>
      <c r="F902" s="142"/>
      <c r="G902" s="141"/>
      <c r="H902" s="142"/>
      <c r="I902" s="140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hidden="1" customHeight="1">
      <c r="A903" s="138"/>
      <c r="B903" s="139"/>
      <c r="C903" s="139"/>
      <c r="D903" s="140"/>
      <c r="E903" s="141"/>
      <c r="F903" s="142"/>
      <c r="G903" s="141"/>
      <c r="H903" s="142"/>
      <c r="I903" s="140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hidden="1" customHeight="1">
      <c r="A904" s="138"/>
      <c r="B904" s="139"/>
      <c r="C904" s="139"/>
      <c r="D904" s="140"/>
      <c r="E904" s="141"/>
      <c r="F904" s="142"/>
      <c r="G904" s="141"/>
      <c r="H904" s="142"/>
      <c r="I904" s="140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hidden="1" customHeight="1">
      <c r="A905" s="138"/>
      <c r="B905" s="139"/>
      <c r="C905" s="139"/>
      <c r="D905" s="140"/>
      <c r="E905" s="141"/>
      <c r="F905" s="142"/>
      <c r="G905" s="141"/>
      <c r="H905" s="142"/>
      <c r="I905" s="140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hidden="1" customHeight="1">
      <c r="A906" s="138"/>
      <c r="B906" s="139"/>
      <c r="C906" s="139"/>
      <c r="D906" s="140"/>
      <c r="E906" s="141"/>
      <c r="F906" s="142"/>
      <c r="G906" s="141"/>
      <c r="H906" s="142"/>
      <c r="I906" s="140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hidden="1" customHeight="1">
      <c r="A907" s="138"/>
      <c r="B907" s="139"/>
      <c r="C907" s="139"/>
      <c r="D907" s="140"/>
      <c r="E907" s="141"/>
      <c r="F907" s="142"/>
      <c r="G907" s="141"/>
      <c r="H907" s="142"/>
      <c r="I907" s="140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hidden="1" customHeight="1">
      <c r="A908" s="138"/>
      <c r="B908" s="139"/>
      <c r="C908" s="139"/>
      <c r="D908" s="140"/>
      <c r="E908" s="141"/>
      <c r="F908" s="142"/>
      <c r="G908" s="141"/>
      <c r="H908" s="142"/>
      <c r="I908" s="140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hidden="1" customHeight="1">
      <c r="A909" s="138"/>
      <c r="B909" s="139"/>
      <c r="C909" s="139"/>
      <c r="D909" s="140"/>
      <c r="E909" s="141"/>
      <c r="F909" s="142"/>
      <c r="G909" s="141"/>
      <c r="H909" s="142"/>
      <c r="I909" s="140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hidden="1" customHeight="1">
      <c r="A910" s="138"/>
      <c r="B910" s="139"/>
      <c r="C910" s="139"/>
      <c r="D910" s="140"/>
      <c r="E910" s="141"/>
      <c r="F910" s="142"/>
      <c r="G910" s="141"/>
      <c r="H910" s="142"/>
      <c r="I910" s="140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hidden="1" customHeight="1">
      <c r="A911" s="138"/>
      <c r="B911" s="139"/>
      <c r="C911" s="139"/>
      <c r="D911" s="140"/>
      <c r="E911" s="141"/>
      <c r="F911" s="142"/>
      <c r="G911" s="141"/>
      <c r="H911" s="142"/>
      <c r="I911" s="140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hidden="1" customHeight="1">
      <c r="A912" s="138"/>
      <c r="B912" s="139"/>
      <c r="C912" s="139"/>
      <c r="D912" s="140"/>
      <c r="E912" s="141"/>
      <c r="F912" s="142"/>
      <c r="G912" s="141"/>
      <c r="H912" s="142"/>
      <c r="I912" s="140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hidden="1" customHeight="1">
      <c r="A913" s="138"/>
      <c r="B913" s="139"/>
      <c r="C913" s="139"/>
      <c r="D913" s="140"/>
      <c r="E913" s="141"/>
      <c r="F913" s="142"/>
      <c r="G913" s="141"/>
      <c r="H913" s="142"/>
      <c r="I913" s="140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hidden="1" customHeight="1">
      <c r="A914" s="138"/>
      <c r="B914" s="139"/>
      <c r="C914" s="139"/>
      <c r="D914" s="140"/>
      <c r="E914" s="141"/>
      <c r="F914" s="142"/>
      <c r="G914" s="141"/>
      <c r="H914" s="142"/>
      <c r="I914" s="140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hidden="1" customHeight="1">
      <c r="A915" s="138"/>
      <c r="B915" s="139"/>
      <c r="C915" s="139"/>
      <c r="D915" s="140"/>
      <c r="E915" s="141"/>
      <c r="F915" s="142"/>
      <c r="G915" s="141"/>
      <c r="H915" s="142"/>
      <c r="I915" s="140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hidden="1" customHeight="1">
      <c r="A916" s="138"/>
      <c r="B916" s="139"/>
      <c r="C916" s="139"/>
      <c r="D916" s="140"/>
      <c r="E916" s="141"/>
      <c r="F916" s="142"/>
      <c r="G916" s="141"/>
      <c r="H916" s="142"/>
      <c r="I916" s="140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hidden="1" customHeight="1">
      <c r="A917" s="138"/>
      <c r="B917" s="139"/>
      <c r="C917" s="139"/>
      <c r="D917" s="140"/>
      <c r="E917" s="141"/>
      <c r="F917" s="142"/>
      <c r="G917" s="141"/>
      <c r="H917" s="142"/>
      <c r="I917" s="140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hidden="1" customHeight="1">
      <c r="A918" s="138"/>
      <c r="B918" s="139"/>
      <c r="C918" s="139"/>
      <c r="D918" s="140"/>
      <c r="E918" s="141"/>
      <c r="F918" s="142"/>
      <c r="G918" s="141"/>
      <c r="H918" s="142"/>
      <c r="I918" s="140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hidden="1" customHeight="1">
      <c r="A919" s="138"/>
      <c r="B919" s="139"/>
      <c r="C919" s="139"/>
      <c r="D919" s="140"/>
      <c r="E919" s="141"/>
      <c r="F919" s="142"/>
      <c r="G919" s="141"/>
      <c r="H919" s="142"/>
      <c r="I919" s="140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hidden="1" customHeight="1">
      <c r="A920" s="138"/>
      <c r="B920" s="139"/>
      <c r="C920" s="139"/>
      <c r="D920" s="140"/>
      <c r="E920" s="141"/>
      <c r="F920" s="142"/>
      <c r="G920" s="141"/>
      <c r="H920" s="142"/>
      <c r="I920" s="140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hidden="1" customHeight="1">
      <c r="A921" s="138"/>
      <c r="B921" s="139"/>
      <c r="C921" s="139"/>
      <c r="D921" s="140"/>
      <c r="E921" s="141"/>
      <c r="F921" s="142"/>
      <c r="G921" s="141"/>
      <c r="H921" s="142"/>
      <c r="I921" s="140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hidden="1" customHeight="1">
      <c r="A922" s="138"/>
      <c r="B922" s="139"/>
      <c r="C922" s="139"/>
      <c r="D922" s="140"/>
      <c r="E922" s="141"/>
      <c r="F922" s="142"/>
      <c r="G922" s="141"/>
      <c r="H922" s="142"/>
      <c r="I922" s="140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hidden="1" customHeight="1">
      <c r="A923" s="138"/>
      <c r="B923" s="139"/>
      <c r="C923" s="139"/>
      <c r="D923" s="140"/>
      <c r="E923" s="141"/>
      <c r="F923" s="142"/>
      <c r="G923" s="141"/>
      <c r="H923" s="142"/>
      <c r="I923" s="140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hidden="1" customHeight="1">
      <c r="A924" s="138"/>
      <c r="B924" s="139"/>
      <c r="C924" s="139"/>
      <c r="D924" s="140"/>
      <c r="E924" s="141"/>
      <c r="F924" s="142"/>
      <c r="G924" s="141"/>
      <c r="H924" s="142"/>
      <c r="I924" s="140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hidden="1" customHeight="1">
      <c r="A925" s="138"/>
      <c r="B925" s="139"/>
      <c r="C925" s="139"/>
      <c r="D925" s="140"/>
      <c r="E925" s="141"/>
      <c r="F925" s="142"/>
      <c r="G925" s="141"/>
      <c r="H925" s="142"/>
      <c r="I925" s="140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hidden="1" customHeight="1">
      <c r="A926" s="138"/>
      <c r="B926" s="139"/>
      <c r="C926" s="139"/>
      <c r="D926" s="140"/>
      <c r="E926" s="141"/>
      <c r="F926" s="142"/>
      <c r="G926" s="141"/>
      <c r="H926" s="142"/>
      <c r="I926" s="140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hidden="1" customHeight="1">
      <c r="A927" s="138"/>
      <c r="B927" s="139"/>
      <c r="C927" s="139"/>
      <c r="D927" s="140"/>
      <c r="E927" s="141"/>
      <c r="F927" s="142"/>
      <c r="G927" s="141"/>
      <c r="H927" s="142"/>
      <c r="I927" s="140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hidden="1" customHeight="1">
      <c r="A928" s="138"/>
      <c r="B928" s="139"/>
      <c r="C928" s="139"/>
      <c r="D928" s="140"/>
      <c r="E928" s="141"/>
      <c r="F928" s="142"/>
      <c r="G928" s="141"/>
      <c r="H928" s="142"/>
      <c r="I928" s="140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hidden="1" customHeight="1">
      <c r="A929" s="138"/>
      <c r="B929" s="139"/>
      <c r="C929" s="139"/>
      <c r="D929" s="140"/>
      <c r="E929" s="141"/>
      <c r="F929" s="142"/>
      <c r="G929" s="141"/>
      <c r="H929" s="142"/>
      <c r="I929" s="140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hidden="1" customHeight="1">
      <c r="A930" s="138"/>
      <c r="B930" s="139"/>
      <c r="C930" s="139"/>
      <c r="D930" s="140"/>
      <c r="E930" s="141"/>
      <c r="F930" s="142"/>
      <c r="G930" s="141"/>
      <c r="H930" s="142"/>
      <c r="I930" s="140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hidden="1" customHeight="1">
      <c r="A931" s="138"/>
      <c r="B931" s="139"/>
      <c r="C931" s="139"/>
      <c r="D931" s="140"/>
      <c r="E931" s="141"/>
      <c r="F931" s="142"/>
      <c r="G931" s="141"/>
      <c r="H931" s="142"/>
      <c r="I931" s="140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hidden="1" customHeight="1">
      <c r="A932" s="138"/>
      <c r="B932" s="139"/>
      <c r="C932" s="139"/>
      <c r="D932" s="140"/>
      <c r="E932" s="141"/>
      <c r="F932" s="142"/>
      <c r="G932" s="141"/>
      <c r="H932" s="142"/>
      <c r="I932" s="140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hidden="1" customHeight="1">
      <c r="A933" s="138"/>
      <c r="B933" s="139"/>
      <c r="C933" s="139"/>
      <c r="D933" s="140"/>
      <c r="E933" s="141"/>
      <c r="F933" s="142"/>
      <c r="G933" s="141"/>
      <c r="H933" s="142"/>
      <c r="I933" s="140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hidden="1" customHeight="1">
      <c r="A934" s="138"/>
      <c r="B934" s="139"/>
      <c r="C934" s="139"/>
      <c r="D934" s="140"/>
      <c r="E934" s="141"/>
      <c r="F934" s="142"/>
      <c r="G934" s="141"/>
      <c r="H934" s="142"/>
      <c r="I934" s="140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hidden="1" customHeight="1">
      <c r="A935" s="138"/>
      <c r="B935" s="139"/>
      <c r="C935" s="139"/>
      <c r="D935" s="140"/>
      <c r="E935" s="141"/>
      <c r="F935" s="142"/>
      <c r="G935" s="141"/>
      <c r="H935" s="142"/>
      <c r="I935" s="140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hidden="1" customHeight="1">
      <c r="A936" s="138"/>
      <c r="B936" s="139"/>
      <c r="C936" s="139"/>
      <c r="D936" s="140"/>
      <c r="E936" s="141"/>
      <c r="F936" s="142"/>
      <c r="G936" s="141"/>
      <c r="H936" s="142"/>
      <c r="I936" s="140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hidden="1" customHeight="1">
      <c r="A937" s="138"/>
      <c r="B937" s="139"/>
      <c r="C937" s="139"/>
      <c r="D937" s="140"/>
      <c r="E937" s="141"/>
      <c r="F937" s="142"/>
      <c r="G937" s="141"/>
      <c r="H937" s="142"/>
      <c r="I937" s="140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hidden="1" customHeight="1">
      <c r="A938" s="138"/>
      <c r="B938" s="139"/>
      <c r="C938" s="139"/>
      <c r="D938" s="140"/>
      <c r="E938" s="141"/>
      <c r="F938" s="142"/>
      <c r="G938" s="141"/>
      <c r="H938" s="142"/>
      <c r="I938" s="140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hidden="1" customHeight="1">
      <c r="A939" s="138"/>
      <c r="B939" s="139"/>
      <c r="C939" s="139"/>
      <c r="D939" s="140"/>
      <c r="E939" s="141"/>
      <c r="F939" s="142"/>
      <c r="G939" s="141"/>
      <c r="H939" s="142"/>
      <c r="I939" s="140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hidden="1" customHeight="1">
      <c r="A940" s="138"/>
      <c r="B940" s="139"/>
      <c r="C940" s="139"/>
      <c r="D940" s="140"/>
      <c r="E940" s="141"/>
      <c r="F940" s="142"/>
      <c r="G940" s="141"/>
      <c r="H940" s="142"/>
      <c r="I940" s="140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hidden="1" customHeight="1">
      <c r="A941" s="138"/>
      <c r="B941" s="139"/>
      <c r="C941" s="139"/>
      <c r="D941" s="140"/>
      <c r="E941" s="141"/>
      <c r="F941" s="142"/>
      <c r="G941" s="141"/>
      <c r="H941" s="142"/>
      <c r="I941" s="140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hidden="1" customHeight="1">
      <c r="A942" s="138"/>
      <c r="B942" s="139"/>
      <c r="C942" s="139"/>
      <c r="D942" s="140"/>
      <c r="E942" s="141"/>
      <c r="F942" s="142"/>
      <c r="G942" s="141"/>
      <c r="H942" s="142"/>
      <c r="I942" s="140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hidden="1" customHeight="1">
      <c r="A943" s="138"/>
      <c r="B943" s="139"/>
      <c r="C943" s="139"/>
      <c r="D943" s="140"/>
      <c r="E943" s="141"/>
      <c r="F943" s="142"/>
      <c r="G943" s="141"/>
      <c r="H943" s="142"/>
      <c r="I943" s="140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hidden="1" customHeight="1">
      <c r="A944" s="138"/>
      <c r="B944" s="139"/>
      <c r="C944" s="139"/>
      <c r="D944" s="140"/>
      <c r="E944" s="141"/>
      <c r="F944" s="142"/>
      <c r="G944" s="141"/>
      <c r="H944" s="142"/>
      <c r="I944" s="140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hidden="1" customHeight="1">
      <c r="A945" s="138"/>
      <c r="B945" s="139"/>
      <c r="C945" s="139"/>
      <c r="D945" s="140"/>
      <c r="E945" s="141"/>
      <c r="F945" s="142"/>
      <c r="G945" s="141"/>
      <c r="H945" s="142"/>
      <c r="I945" s="140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hidden="1" customHeight="1">
      <c r="A946" s="138"/>
      <c r="B946" s="139"/>
      <c r="C946" s="139"/>
      <c r="D946" s="140"/>
      <c r="E946" s="141"/>
      <c r="F946" s="142"/>
      <c r="G946" s="141"/>
      <c r="H946" s="142"/>
      <c r="I946" s="140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hidden="1" customHeight="1">
      <c r="A947" s="138"/>
      <c r="B947" s="139"/>
      <c r="C947" s="139"/>
      <c r="D947" s="140"/>
      <c r="E947" s="141"/>
      <c r="F947" s="142"/>
      <c r="G947" s="141"/>
      <c r="H947" s="142"/>
      <c r="I947" s="140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hidden="1" customHeight="1">
      <c r="A948" s="138"/>
      <c r="B948" s="139"/>
      <c r="C948" s="139"/>
      <c r="D948" s="140"/>
      <c r="E948" s="141"/>
      <c r="F948" s="142"/>
      <c r="G948" s="141"/>
      <c r="H948" s="142"/>
      <c r="I948" s="140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hidden="1" customHeight="1">
      <c r="A949" s="138"/>
      <c r="B949" s="139"/>
      <c r="C949" s="139"/>
      <c r="D949" s="140"/>
      <c r="E949" s="141"/>
      <c r="F949" s="142"/>
      <c r="G949" s="141"/>
      <c r="H949" s="142"/>
      <c r="I949" s="140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hidden="1" customHeight="1">
      <c r="A950" s="138"/>
      <c r="B950" s="139"/>
      <c r="C950" s="139"/>
      <c r="D950" s="140"/>
      <c r="E950" s="141"/>
      <c r="F950" s="142"/>
      <c r="G950" s="141"/>
      <c r="H950" s="142"/>
      <c r="I950" s="140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hidden="1" customHeight="1">
      <c r="A951" s="138"/>
      <c r="B951" s="139"/>
      <c r="C951" s="139"/>
      <c r="D951" s="140"/>
      <c r="E951" s="141"/>
      <c r="F951" s="142"/>
      <c r="G951" s="141"/>
      <c r="H951" s="142"/>
      <c r="I951" s="140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hidden="1" customHeight="1">
      <c r="A952" s="138"/>
      <c r="B952" s="139"/>
      <c r="C952" s="139"/>
      <c r="D952" s="140"/>
      <c r="E952" s="141"/>
      <c r="F952" s="142"/>
      <c r="G952" s="141"/>
      <c r="H952" s="142"/>
      <c r="I952" s="140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hidden="1" customHeight="1">
      <c r="A953" s="138"/>
      <c r="B953" s="139"/>
      <c r="C953" s="139"/>
      <c r="D953" s="140"/>
      <c r="E953" s="141"/>
      <c r="F953" s="142"/>
      <c r="G953" s="141"/>
      <c r="H953" s="142"/>
      <c r="I953" s="140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hidden="1" customHeight="1">
      <c r="A954" s="138"/>
      <c r="B954" s="139"/>
      <c r="C954" s="139"/>
      <c r="D954" s="140"/>
      <c r="E954" s="141"/>
      <c r="F954" s="142"/>
      <c r="G954" s="141"/>
      <c r="H954" s="142"/>
      <c r="I954" s="140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hidden="1" customHeight="1">
      <c r="A955" s="138"/>
      <c r="B955" s="139"/>
      <c r="C955" s="139"/>
      <c r="D955" s="140"/>
      <c r="E955" s="141"/>
      <c r="F955" s="142"/>
      <c r="G955" s="141"/>
      <c r="H955" s="142"/>
      <c r="I955" s="140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hidden="1" customHeight="1">
      <c r="A956" s="138"/>
      <c r="B956" s="139"/>
      <c r="C956" s="139"/>
      <c r="D956" s="140"/>
      <c r="E956" s="141"/>
      <c r="F956" s="142"/>
      <c r="G956" s="141"/>
      <c r="H956" s="142"/>
      <c r="I956" s="140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hidden="1" customHeight="1">
      <c r="A957" s="138"/>
      <c r="B957" s="139"/>
      <c r="C957" s="139"/>
      <c r="D957" s="140"/>
      <c r="E957" s="141"/>
      <c r="F957" s="142"/>
      <c r="G957" s="141"/>
      <c r="H957" s="142"/>
      <c r="I957" s="140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hidden="1" customHeight="1">
      <c r="A958" s="138"/>
      <c r="B958" s="139"/>
      <c r="C958" s="139"/>
      <c r="D958" s="140"/>
      <c r="E958" s="141"/>
      <c r="F958" s="142"/>
      <c r="G958" s="141"/>
      <c r="H958" s="142"/>
      <c r="I958" s="140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hidden="1" customHeight="1">
      <c r="A959" s="138"/>
      <c r="B959" s="139"/>
      <c r="C959" s="139"/>
      <c r="D959" s="140"/>
      <c r="E959" s="141"/>
      <c r="F959" s="142"/>
      <c r="G959" s="141"/>
      <c r="H959" s="142"/>
      <c r="I959" s="140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hidden="1" customHeight="1">
      <c r="A960" s="138"/>
      <c r="B960" s="139"/>
      <c r="C960" s="139"/>
      <c r="D960" s="140"/>
      <c r="E960" s="141"/>
      <c r="F960" s="142"/>
      <c r="G960" s="141"/>
      <c r="H960" s="142"/>
      <c r="I960" s="140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hidden="1" customHeight="1">
      <c r="A961" s="138"/>
      <c r="B961" s="139"/>
      <c r="C961" s="139"/>
      <c r="D961" s="140"/>
      <c r="E961" s="141"/>
      <c r="F961" s="142"/>
      <c r="G961" s="141"/>
      <c r="H961" s="142"/>
      <c r="I961" s="140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hidden="1" customHeight="1">
      <c r="A962" s="138"/>
      <c r="B962" s="139"/>
      <c r="C962" s="139"/>
      <c r="D962" s="140"/>
      <c r="E962" s="141"/>
      <c r="F962" s="142"/>
      <c r="G962" s="141"/>
      <c r="H962" s="142"/>
      <c r="I962" s="140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hidden="1" customHeight="1">
      <c r="A963" s="138"/>
      <c r="B963" s="139"/>
      <c r="C963" s="139"/>
      <c r="D963" s="140"/>
      <c r="E963" s="141"/>
      <c r="F963" s="142"/>
      <c r="G963" s="141"/>
      <c r="H963" s="142"/>
      <c r="I963" s="140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hidden="1" customHeight="1">
      <c r="A964" s="138"/>
      <c r="B964" s="139"/>
      <c r="C964" s="139"/>
      <c r="D964" s="140"/>
      <c r="E964" s="141"/>
      <c r="F964" s="142"/>
      <c r="G964" s="141"/>
      <c r="H964" s="142"/>
      <c r="I964" s="140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hidden="1" customHeight="1">
      <c r="A965" s="138"/>
      <c r="B965" s="139"/>
      <c r="C965" s="139"/>
      <c r="D965" s="140"/>
      <c r="E965" s="141"/>
      <c r="F965" s="142"/>
      <c r="G965" s="141"/>
      <c r="H965" s="142"/>
      <c r="I965" s="140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hidden="1" customHeight="1">
      <c r="A966" s="138"/>
      <c r="B966" s="139"/>
      <c r="C966" s="139"/>
      <c r="D966" s="140"/>
      <c r="E966" s="141"/>
      <c r="F966" s="142"/>
      <c r="G966" s="141"/>
      <c r="H966" s="142"/>
      <c r="I966" s="140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hidden="1" customHeight="1">
      <c r="A967" s="138"/>
      <c r="B967" s="139"/>
      <c r="C967" s="139"/>
      <c r="D967" s="140"/>
      <c r="E967" s="141"/>
      <c r="F967" s="142"/>
      <c r="G967" s="141"/>
      <c r="H967" s="142"/>
      <c r="I967" s="140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hidden="1" customHeight="1">
      <c r="A968" s="138"/>
      <c r="B968" s="139"/>
      <c r="C968" s="139"/>
      <c r="D968" s="140"/>
      <c r="E968" s="141"/>
      <c r="F968" s="142"/>
      <c r="G968" s="141"/>
      <c r="H968" s="142"/>
      <c r="I968" s="140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hidden="1" customHeight="1">
      <c r="A969" s="138"/>
      <c r="B969" s="139"/>
      <c r="C969" s="139"/>
      <c r="D969" s="140"/>
      <c r="E969" s="141"/>
      <c r="F969" s="142"/>
      <c r="G969" s="141"/>
      <c r="H969" s="142"/>
      <c r="I969" s="140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hidden="1" customHeight="1">
      <c r="A970" s="138"/>
      <c r="B970" s="139"/>
      <c r="C970" s="139"/>
      <c r="D970" s="140"/>
      <c r="E970" s="141"/>
      <c r="F970" s="142"/>
      <c r="G970" s="141"/>
      <c r="H970" s="142"/>
      <c r="I970" s="140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hidden="1" customHeight="1">
      <c r="A971" s="138"/>
      <c r="B971" s="139"/>
      <c r="C971" s="139"/>
      <c r="D971" s="140"/>
      <c r="E971" s="141"/>
      <c r="F971" s="142"/>
      <c r="G971" s="141"/>
      <c r="H971" s="142"/>
      <c r="I971" s="140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hidden="1" customHeight="1">
      <c r="A972" s="138"/>
      <c r="B972" s="139"/>
      <c r="C972" s="139"/>
      <c r="D972" s="140"/>
      <c r="E972" s="141"/>
      <c r="F972" s="142"/>
      <c r="G972" s="141"/>
      <c r="H972" s="142"/>
      <c r="I972" s="140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hidden="1" customHeight="1">
      <c r="A973" s="138"/>
      <c r="B973" s="139"/>
      <c r="C973" s="139"/>
      <c r="D973" s="140"/>
      <c r="E973" s="141"/>
      <c r="F973" s="142"/>
      <c r="G973" s="141"/>
      <c r="H973" s="142"/>
      <c r="I973" s="140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hidden="1" customHeight="1">
      <c r="A974" s="138"/>
      <c r="B974" s="139"/>
      <c r="C974" s="139"/>
      <c r="D974" s="140"/>
      <c r="E974" s="141"/>
      <c r="F974" s="142"/>
      <c r="G974" s="141"/>
      <c r="H974" s="142"/>
      <c r="I974" s="140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hidden="1" customHeight="1">
      <c r="A975" s="138"/>
      <c r="B975" s="139"/>
      <c r="C975" s="139"/>
      <c r="D975" s="140"/>
      <c r="E975" s="141"/>
      <c r="F975" s="142"/>
      <c r="G975" s="141"/>
      <c r="H975" s="142"/>
      <c r="I975" s="140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hidden="1" customHeight="1">
      <c r="A976" s="138"/>
      <c r="B976" s="139"/>
      <c r="C976" s="139"/>
      <c r="D976" s="140"/>
      <c r="E976" s="141"/>
      <c r="F976" s="142"/>
      <c r="G976" s="141"/>
      <c r="H976" s="142"/>
      <c r="I976" s="140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hidden="1" customHeight="1">
      <c r="A977" s="138"/>
      <c r="B977" s="139"/>
      <c r="C977" s="139"/>
      <c r="D977" s="140"/>
      <c r="E977" s="141"/>
      <c r="F977" s="142"/>
      <c r="G977" s="141"/>
      <c r="H977" s="142"/>
      <c r="I977" s="140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hidden="1" customHeight="1">
      <c r="A978" s="138"/>
      <c r="B978" s="139"/>
      <c r="C978" s="139"/>
      <c r="D978" s="140"/>
      <c r="E978" s="141"/>
      <c r="F978" s="142"/>
      <c r="G978" s="141"/>
      <c r="H978" s="142"/>
      <c r="I978" s="140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hidden="1" customHeight="1">
      <c r="A979" s="138"/>
      <c r="B979" s="139"/>
      <c r="C979" s="139"/>
      <c r="D979" s="140"/>
      <c r="E979" s="141"/>
      <c r="F979" s="142"/>
      <c r="G979" s="141"/>
      <c r="H979" s="142"/>
      <c r="I979" s="140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hidden="1" customHeight="1">
      <c r="A980" s="138"/>
      <c r="B980" s="139"/>
      <c r="C980" s="139"/>
      <c r="D980" s="140"/>
      <c r="E980" s="141"/>
      <c r="F980" s="142"/>
      <c r="G980" s="141"/>
      <c r="H980" s="142"/>
      <c r="I980" s="140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hidden="1" customHeight="1">
      <c r="A981" s="138"/>
      <c r="B981" s="139"/>
      <c r="C981" s="139"/>
      <c r="D981" s="140"/>
      <c r="E981" s="141"/>
      <c r="F981" s="142"/>
      <c r="G981" s="141"/>
      <c r="H981" s="142"/>
      <c r="I981" s="140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hidden="1" customHeight="1">
      <c r="A982" s="138"/>
      <c r="B982" s="139"/>
      <c r="C982" s="139"/>
      <c r="D982" s="140"/>
      <c r="E982" s="141"/>
      <c r="F982" s="142"/>
      <c r="G982" s="141"/>
      <c r="H982" s="142"/>
      <c r="I982" s="140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hidden="1" customHeight="1">
      <c r="A983" s="138"/>
      <c r="B983" s="139"/>
      <c r="C983" s="139"/>
      <c r="D983" s="140"/>
      <c r="E983" s="141"/>
      <c r="F983" s="142"/>
      <c r="G983" s="141"/>
      <c r="H983" s="142"/>
      <c r="I983" s="140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</sheetData>
  <autoFilter ref="$A$1:$M$354"/>
  <customSheetViews>
    <customSheetView guid="{5AEEBE4C-E782-4779-B7BD-4F54FEC73CFB}" filter="1" showAutoFilter="1">
      <autoFilter ref="$A$1:$M$354"/>
      <extLst>
        <ext uri="GoogleSheetsCustomDataVersion1">
          <go:sheetsCustomData xmlns:go="http://customooxmlschemas.google.com/" filterViewId="1009858433"/>
        </ext>
      </extLst>
    </customSheetView>
    <customSheetView guid="{C774EA04-73B0-4A68-816C-6C3381965363}" filter="1" showAutoFilter="1">
      <autoFilter ref="$A$1:$M$353"/>
      <extLst>
        <ext uri="GoogleSheetsCustomDataVersion1">
          <go:sheetsCustomData xmlns:go="http://customooxmlschemas.google.com/" filterViewId="1171656930"/>
        </ext>
      </extLst>
    </customSheetView>
    <customSheetView guid="{5922A675-7C07-4592-84D1-F52F47C08B9C}" filter="1" showAutoFilter="1">
      <autoFilter ref="$A$1:$M$354"/>
      <extLst>
        <ext uri="GoogleSheetsCustomDataVersion1">
          <go:sheetsCustomData xmlns:go="http://customooxmlschemas.google.com/" filterViewId="1187384831"/>
        </ext>
      </extLst>
    </customSheetView>
    <customSheetView guid="{80FD8554-31A8-414B-B5F3-7BD7E51CC5AE}" filter="1" showAutoFilter="1">
      <autoFilter ref="$A$1:$M$353"/>
      <extLst>
        <ext uri="GoogleSheetsCustomDataVersion1">
          <go:sheetsCustomData xmlns:go="http://customooxmlschemas.google.com/" filterViewId="1286293411"/>
        </ext>
      </extLst>
    </customSheetView>
    <customSheetView guid="{B0713DFD-568D-4CD5-B993-E9C8858CFF47}" filter="1" showAutoFilter="1">
      <autoFilter ref="$A$1:$M$354"/>
      <extLst>
        <ext uri="GoogleSheetsCustomDataVersion1">
          <go:sheetsCustomData xmlns:go="http://customooxmlschemas.google.com/" filterViewId="1447197055"/>
        </ext>
      </extLst>
    </customSheetView>
    <customSheetView guid="{89271D34-5090-407E-924E-A4D7923FE8DE}" filter="1" showAutoFilter="1">
      <autoFilter ref="$A$1:$M$354"/>
      <extLst>
        <ext uri="GoogleSheetsCustomDataVersion1">
          <go:sheetsCustomData xmlns:go="http://customooxmlschemas.google.com/" filterViewId="1530868140"/>
        </ext>
      </extLst>
    </customSheetView>
    <customSheetView guid="{F0C5EE1C-D1E0-41E2-AAA5-825C8488494C}" filter="1" showAutoFilter="1">
      <autoFilter ref="$A$1:$M$353"/>
      <extLst>
        <ext uri="GoogleSheetsCustomDataVersion1">
          <go:sheetsCustomData xmlns:go="http://customooxmlschemas.google.com/" filterViewId="1669162651"/>
        </ext>
      </extLst>
    </customSheetView>
    <customSheetView guid="{7C253461-1ACF-4EE7-8CDF-FD0C439BDFAB}" filter="1" showAutoFilter="1">
      <autoFilter ref="$A$1:$M$354"/>
      <extLst>
        <ext uri="GoogleSheetsCustomDataVersion1">
          <go:sheetsCustomData xmlns:go="http://customooxmlschemas.google.com/" filterViewId="1693544622"/>
        </ext>
      </extLst>
    </customSheetView>
    <customSheetView guid="{7D7A63B2-632B-4124-B629-F50E6A695857}" filter="1" showAutoFilter="1">
      <autoFilter ref="$A$1:$M$353"/>
      <extLst>
        <ext uri="GoogleSheetsCustomDataVersion1">
          <go:sheetsCustomData xmlns:go="http://customooxmlschemas.google.com/" filterViewId="1739753164"/>
        </ext>
      </extLst>
    </customSheetView>
    <customSheetView guid="{63726074-8F5F-4688-8DEA-ECBADF2E3A3E}" filter="1" showAutoFilter="1">
      <autoFilter ref="$A$1:$M$354"/>
      <extLst>
        <ext uri="GoogleSheetsCustomDataVersion1">
          <go:sheetsCustomData xmlns:go="http://customooxmlschemas.google.com/" filterViewId="1797579816"/>
        </ext>
      </extLst>
    </customSheetView>
    <customSheetView guid="{775E0642-3738-4551-A306-059DA9237BC7}" filter="1" showAutoFilter="1">
      <autoFilter ref="$A$1:$M$353"/>
      <extLst>
        <ext uri="GoogleSheetsCustomDataVersion1">
          <go:sheetsCustomData xmlns:go="http://customooxmlschemas.google.com/" filterViewId="1804274646"/>
        </ext>
      </extLst>
    </customSheetView>
    <customSheetView guid="{79FBE3E8-7F5F-4A89-9A6A-AA8E4E519678}" filter="1" showAutoFilter="1">
      <autoFilter ref="$B$535"/>
      <extLst>
        <ext uri="GoogleSheetsCustomDataVersion1">
          <go:sheetsCustomData xmlns:go="http://customooxmlschemas.google.com/" filterViewId="1908705592"/>
        </ext>
      </extLst>
    </customSheetView>
    <customSheetView guid="{573A9B12-D900-43E1-91D0-8F414377CA4C}" filter="1" showAutoFilter="1">
      <autoFilter ref="$A$1:$M$354"/>
      <extLst>
        <ext uri="GoogleSheetsCustomDataVersion1">
          <go:sheetsCustomData xmlns:go="http://customooxmlschemas.google.com/" filterViewId="2093613376"/>
        </ext>
      </extLst>
    </customSheetView>
    <customSheetView guid="{6A5DAFE2-01A0-41E2-B9B1-6DB97E9B16D5}" filter="1" showAutoFilter="1">
      <autoFilter ref="$A$1:$M$354"/>
      <extLst>
        <ext uri="GoogleSheetsCustomDataVersion1">
          <go:sheetsCustomData xmlns:go="http://customooxmlschemas.google.com/" filterViewId="2118831788"/>
        </ext>
      </extLst>
    </customSheetView>
    <customSheetView guid="{3FECDDAA-E534-4149-B895-701A769520F0}" filter="1" showAutoFilter="1">
      <autoFilter ref="$A$1:$M$354"/>
      <extLst>
        <ext uri="GoogleSheetsCustomDataVersion1">
          <go:sheetsCustomData xmlns:go="http://customooxmlschemas.google.com/" filterViewId="224714458"/>
        </ext>
      </extLst>
    </customSheetView>
    <customSheetView guid="{EECD713F-88B1-411C-99EC-7CA1A92B89E5}" filter="1" showAutoFilter="1">
      <autoFilter ref="$A$1:$M$354"/>
      <extLst>
        <ext uri="GoogleSheetsCustomDataVersion1">
          <go:sheetsCustomData xmlns:go="http://customooxmlschemas.google.com/" filterViewId="274654966"/>
        </ext>
      </extLst>
    </customSheetView>
    <customSheetView guid="{41C74FA5-377E-4E30-9FBE-645B7F3D149B}" filter="1" showAutoFilter="1">
      <autoFilter ref="$B$352:$B$353"/>
      <extLst>
        <ext uri="GoogleSheetsCustomDataVersion1">
          <go:sheetsCustomData xmlns:go="http://customooxmlschemas.google.com/" filterViewId="308877663"/>
        </ext>
      </extLst>
    </customSheetView>
    <customSheetView guid="{2D532033-F476-412A-BC89-201AE9EC1F64}" filter="1" showAutoFilter="1">
      <autoFilter ref="$A$1:$M$353"/>
      <extLst>
        <ext uri="GoogleSheetsCustomDataVersion1">
          <go:sheetsCustomData xmlns:go="http://customooxmlschemas.google.com/" filterViewId="326526190"/>
        </ext>
      </extLst>
    </customSheetView>
    <customSheetView guid="{7BB7DF22-4C8E-46B4-9785-4F4AA963D215}" filter="1" showAutoFilter="1">
      <autoFilter ref="$A$1:$M$353"/>
      <extLst>
        <ext uri="GoogleSheetsCustomDataVersion1">
          <go:sheetsCustomData xmlns:go="http://customooxmlschemas.google.com/" filterViewId="491033782"/>
        </ext>
      </extLst>
    </customSheetView>
    <customSheetView guid="{3C3D56DF-9184-425C-AFA0-7BB655AB26F6}" filter="1" showAutoFilter="1">
      <autoFilter ref="$A$1:$M$354"/>
      <extLst>
        <ext uri="GoogleSheetsCustomDataVersion1">
          <go:sheetsCustomData xmlns:go="http://customooxmlschemas.google.com/" filterViewId="537553458"/>
        </ext>
      </extLst>
    </customSheetView>
    <customSheetView guid="{4798394D-9D2C-4962-AACD-E1C0EEE1451B}" filter="1" showAutoFilter="1">
      <autoFilter ref="$A$1:$M$353"/>
      <extLst>
        <ext uri="GoogleSheetsCustomDataVersion1">
          <go:sheetsCustomData xmlns:go="http://customooxmlschemas.google.com/" filterViewId="717704774"/>
        </ext>
      </extLst>
    </customSheetView>
  </customSheetViews>
  <mergeCells count="68">
    <mergeCell ref="O63:R63"/>
    <mergeCell ref="O64:R64"/>
    <mergeCell ref="O65:R65"/>
    <mergeCell ref="O66:R66"/>
    <mergeCell ref="O67:R67"/>
    <mergeCell ref="O69:T70"/>
    <mergeCell ref="O71:R71"/>
    <mergeCell ref="P81:R81"/>
    <mergeCell ref="P85:R85"/>
    <mergeCell ref="P82:R82"/>
    <mergeCell ref="P83:R83"/>
    <mergeCell ref="P84:R84"/>
    <mergeCell ref="O72:R72"/>
    <mergeCell ref="O73:R73"/>
    <mergeCell ref="O74:R74"/>
    <mergeCell ref="O75:R75"/>
    <mergeCell ref="O76:R76"/>
    <mergeCell ref="O78:R79"/>
    <mergeCell ref="P80:R80"/>
    <mergeCell ref="O2:P2"/>
    <mergeCell ref="O7:P7"/>
    <mergeCell ref="O9:S10"/>
    <mergeCell ref="O11:S11"/>
    <mergeCell ref="O12:S12"/>
    <mergeCell ref="O13:S13"/>
    <mergeCell ref="O14:S14"/>
    <mergeCell ref="O16:S17"/>
    <mergeCell ref="P18:R18"/>
    <mergeCell ref="P19:R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O36:S37"/>
    <mergeCell ref="P38:R38"/>
    <mergeCell ref="P39:R39"/>
    <mergeCell ref="P40:R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P51:R51"/>
    <mergeCell ref="O53:T54"/>
    <mergeCell ref="O55:R55"/>
    <mergeCell ref="O56:R56"/>
    <mergeCell ref="O57:R57"/>
    <mergeCell ref="O58:R58"/>
    <mergeCell ref="O59:R59"/>
    <mergeCell ref="O60:R60"/>
    <mergeCell ref="O61:R61"/>
    <mergeCell ref="O62:R62"/>
  </mergeCells>
  <conditionalFormatting sqref="I2:I16 I18 I20 I22 I24 I26 I28 I30 I32 I34 I36:I354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8.86"/>
    <col customWidth="1" min="2" max="3" width="23.43"/>
    <col customWidth="1" min="4" max="4" width="23.57"/>
    <col customWidth="1" min="5" max="5" width="60.29"/>
    <col customWidth="1" min="6" max="6" width="72.0"/>
    <col customWidth="1" min="7" max="7" width="15.43"/>
    <col customWidth="1" min="8" max="8" width="39.14"/>
    <col customWidth="1" min="9" max="9" width="30.71"/>
    <col customWidth="1" min="10" max="10" width="28.29"/>
    <col customWidth="1" min="11" max="11" width="63.71"/>
    <col customWidth="1" min="12" max="12" width="76.43"/>
    <col customWidth="1" min="13" max="13" width="47.14"/>
    <col customWidth="1" min="14" max="14" width="10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7" t="s">
        <v>1</v>
      </c>
      <c r="C1" s="567" t="s">
        <v>2</v>
      </c>
      <c r="D1" s="568" t="s">
        <v>3</v>
      </c>
      <c r="E1" s="569" t="s">
        <v>4</v>
      </c>
      <c r="F1" s="312" t="s">
        <v>5</v>
      </c>
      <c r="G1" s="569" t="s">
        <v>6</v>
      </c>
      <c r="H1" s="312" t="s">
        <v>7</v>
      </c>
      <c r="I1" s="568" t="s">
        <v>6801</v>
      </c>
      <c r="J1" s="569" t="s">
        <v>193</v>
      </c>
      <c r="K1" s="570" t="s">
        <v>10</v>
      </c>
      <c r="L1" s="570" t="s">
        <v>11</v>
      </c>
      <c r="M1" s="315" t="s">
        <v>12</v>
      </c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</row>
    <row r="2" ht="12.75" customHeight="1">
      <c r="A2" s="425">
        <v>118.0</v>
      </c>
      <c r="B2" s="426" t="s">
        <v>6802</v>
      </c>
      <c r="C2" s="426">
        <v>2014.0</v>
      </c>
      <c r="D2" s="500">
        <v>41989.0</v>
      </c>
      <c r="E2" s="428" t="s">
        <v>6803</v>
      </c>
      <c r="F2" s="397" t="s">
        <v>5269</v>
      </c>
      <c r="G2" s="428" t="s">
        <v>552</v>
      </c>
      <c r="H2" s="397" t="s">
        <v>775</v>
      </c>
      <c r="I2" s="500">
        <v>43103.0</v>
      </c>
      <c r="J2" s="428">
        <v>1.0</v>
      </c>
      <c r="K2" s="575" t="s">
        <v>238</v>
      </c>
      <c r="L2" s="397" t="s">
        <v>258</v>
      </c>
      <c r="M2" s="529">
        <f t="shared" ref="M2:M32" si="1">I2-D2</f>
        <v>1114</v>
      </c>
      <c r="N2" s="574"/>
      <c r="O2" s="545" t="s">
        <v>6804</v>
      </c>
      <c r="P2" s="318"/>
      <c r="Q2" s="15"/>
      <c r="R2" s="15"/>
      <c r="S2" s="15"/>
      <c r="T2" s="15"/>
      <c r="U2" s="574"/>
      <c r="V2" s="574"/>
      <c r="W2" s="574"/>
      <c r="X2" s="574"/>
      <c r="Y2" s="574"/>
      <c r="Z2" s="574"/>
    </row>
    <row r="3" ht="12.75" customHeight="1">
      <c r="A3" s="419">
        <v>218.0</v>
      </c>
      <c r="B3" s="420" t="s">
        <v>6805</v>
      </c>
      <c r="C3" s="420">
        <v>2016.0</v>
      </c>
      <c r="D3" s="497">
        <v>42718.0</v>
      </c>
      <c r="E3" s="422" t="s">
        <v>6806</v>
      </c>
      <c r="F3" s="394" t="s">
        <v>5269</v>
      </c>
      <c r="G3" s="422" t="s">
        <v>552</v>
      </c>
      <c r="H3" s="394" t="s">
        <v>775</v>
      </c>
      <c r="I3" s="497">
        <v>43103.0</v>
      </c>
      <c r="J3" s="422">
        <v>1.0</v>
      </c>
      <c r="K3" s="575" t="s">
        <v>238</v>
      </c>
      <c r="L3" s="394" t="s">
        <v>258</v>
      </c>
      <c r="M3" s="528">
        <f t="shared" si="1"/>
        <v>385</v>
      </c>
      <c r="N3" s="256"/>
      <c r="O3" s="320" t="s">
        <v>27</v>
      </c>
      <c r="P3" s="320">
        <f>COUNTIF($G$2:$G$476,"PT")</f>
        <v>0</v>
      </c>
      <c r="Q3" s="15"/>
      <c r="R3" s="25"/>
      <c r="S3" s="15"/>
      <c r="T3" s="15"/>
      <c r="U3" s="256"/>
      <c r="V3" s="256"/>
      <c r="W3" s="256"/>
      <c r="X3" s="256"/>
      <c r="Y3" s="256"/>
      <c r="Z3" s="256"/>
    </row>
    <row r="4" ht="12.75" customHeight="1">
      <c r="A4" s="425">
        <v>318.0</v>
      </c>
      <c r="B4" s="426" t="s">
        <v>6807</v>
      </c>
      <c r="C4" s="426">
        <v>2010.0</v>
      </c>
      <c r="D4" s="500">
        <v>40193.0</v>
      </c>
      <c r="E4" s="428" t="s">
        <v>6808</v>
      </c>
      <c r="F4" s="397" t="s">
        <v>963</v>
      </c>
      <c r="G4" s="428" t="s">
        <v>552</v>
      </c>
      <c r="H4" s="397" t="s">
        <v>6809</v>
      </c>
      <c r="I4" s="500">
        <v>43103.0</v>
      </c>
      <c r="J4" s="428">
        <v>1.0</v>
      </c>
      <c r="K4" s="575" t="s">
        <v>238</v>
      </c>
      <c r="L4" s="397" t="s">
        <v>258</v>
      </c>
      <c r="M4" s="529">
        <f t="shared" si="1"/>
        <v>2910</v>
      </c>
      <c r="N4" s="256"/>
      <c r="O4" s="321" t="s">
        <v>34</v>
      </c>
      <c r="P4" s="321">
        <f>COUNTIF($G$2:$G$476,"PTN")</f>
        <v>2</v>
      </c>
      <c r="Q4" s="25"/>
      <c r="R4" s="25"/>
      <c r="S4" s="25"/>
      <c r="T4" s="25"/>
      <c r="U4" s="256"/>
      <c r="V4" s="256"/>
      <c r="W4" s="256"/>
      <c r="X4" s="256"/>
      <c r="Y4" s="256"/>
      <c r="Z4" s="256"/>
    </row>
    <row r="5" ht="12.75" customHeight="1">
      <c r="A5" s="419">
        <v>418.0</v>
      </c>
      <c r="B5" s="420" t="s">
        <v>6810</v>
      </c>
      <c r="C5" s="420">
        <v>2012.0</v>
      </c>
      <c r="D5" s="497">
        <v>41150.0</v>
      </c>
      <c r="E5" s="422" t="s">
        <v>6811</v>
      </c>
      <c r="F5" s="394" t="s">
        <v>963</v>
      </c>
      <c r="G5" s="422" t="s">
        <v>17</v>
      </c>
      <c r="H5" s="394" t="s">
        <v>4756</v>
      </c>
      <c r="I5" s="497">
        <v>43104.0</v>
      </c>
      <c r="J5" s="422">
        <v>1.0</v>
      </c>
      <c r="K5" s="576" t="s">
        <v>228</v>
      </c>
      <c r="L5" s="394" t="s">
        <v>258</v>
      </c>
      <c r="M5" s="528">
        <f t="shared" si="1"/>
        <v>1954</v>
      </c>
      <c r="N5" s="256"/>
      <c r="O5" s="322" t="s">
        <v>40</v>
      </c>
      <c r="P5" s="322">
        <f>COUNTIF($G$2:$G$476,"PTE")</f>
        <v>193</v>
      </c>
      <c r="Q5" s="25"/>
      <c r="R5" s="25"/>
      <c r="S5" s="25"/>
      <c r="T5" s="25"/>
      <c r="U5" s="256"/>
      <c r="V5" s="256"/>
      <c r="W5" s="256"/>
      <c r="X5" s="256"/>
      <c r="Y5" s="256"/>
      <c r="Z5" s="256"/>
    </row>
    <row r="6" ht="12.75" customHeight="1">
      <c r="A6" s="425">
        <v>518.0</v>
      </c>
      <c r="B6" s="426" t="s">
        <v>6812</v>
      </c>
      <c r="C6" s="426">
        <v>2012.0</v>
      </c>
      <c r="D6" s="500">
        <v>41256.0</v>
      </c>
      <c r="E6" s="428" t="s">
        <v>6813</v>
      </c>
      <c r="F6" s="397" t="s">
        <v>178</v>
      </c>
      <c r="G6" s="428" t="s">
        <v>17</v>
      </c>
      <c r="H6" s="397" t="s">
        <v>6814</v>
      </c>
      <c r="I6" s="500">
        <v>43108.0</v>
      </c>
      <c r="J6" s="428">
        <v>1.0</v>
      </c>
      <c r="K6" s="575" t="s">
        <v>238</v>
      </c>
      <c r="L6" s="397" t="s">
        <v>256</v>
      </c>
      <c r="M6" s="529">
        <f t="shared" si="1"/>
        <v>1852</v>
      </c>
      <c r="N6" s="256"/>
      <c r="O6" s="321" t="s">
        <v>46</v>
      </c>
      <c r="P6" s="321">
        <f>COUNTIF($G$2:$G$476,"Pré-Mistura")</f>
        <v>2</v>
      </c>
      <c r="Q6" s="25"/>
      <c r="R6" s="25"/>
      <c r="S6" s="25"/>
      <c r="T6" s="25"/>
      <c r="U6" s="256"/>
      <c r="V6" s="256"/>
      <c r="W6" s="256"/>
      <c r="X6" s="256"/>
      <c r="Y6" s="256"/>
      <c r="Z6" s="256"/>
    </row>
    <row r="7" ht="12.75" customHeight="1">
      <c r="A7" s="419">
        <v>618.0</v>
      </c>
      <c r="B7" s="420" t="s">
        <v>6815</v>
      </c>
      <c r="C7" s="420">
        <v>2015.0</v>
      </c>
      <c r="D7" s="497">
        <v>42244.0</v>
      </c>
      <c r="E7" s="422" t="s">
        <v>6816</v>
      </c>
      <c r="F7" s="394" t="s">
        <v>1401</v>
      </c>
      <c r="G7" s="422" t="s">
        <v>552</v>
      </c>
      <c r="H7" s="394" t="s">
        <v>66</v>
      </c>
      <c r="I7" s="497">
        <v>43108.0</v>
      </c>
      <c r="J7" s="422">
        <v>1.0</v>
      </c>
      <c r="K7" s="575" t="s">
        <v>238</v>
      </c>
      <c r="L7" s="394" t="s">
        <v>258</v>
      </c>
      <c r="M7" s="528">
        <f t="shared" si="1"/>
        <v>864</v>
      </c>
      <c r="N7" s="256"/>
      <c r="O7" s="322" t="s">
        <v>553</v>
      </c>
      <c r="P7" s="322">
        <f>COUNTIF($G$2:$G$476,"PF")</f>
        <v>48</v>
      </c>
      <c r="Q7" s="25"/>
      <c r="R7" s="25"/>
      <c r="S7" s="25"/>
      <c r="T7" s="25"/>
      <c r="U7" s="256"/>
      <c r="V7" s="256"/>
      <c r="W7" s="256"/>
      <c r="X7" s="256"/>
      <c r="Y7" s="256"/>
      <c r="Z7" s="256"/>
    </row>
    <row r="8" ht="12.75" customHeight="1">
      <c r="A8" s="425">
        <v>718.0</v>
      </c>
      <c r="B8" s="426" t="s">
        <v>6817</v>
      </c>
      <c r="C8" s="426">
        <v>2014.0</v>
      </c>
      <c r="D8" s="500">
        <v>41794.0</v>
      </c>
      <c r="E8" s="428" t="s">
        <v>6818</v>
      </c>
      <c r="F8" s="397" t="s">
        <v>1232</v>
      </c>
      <c r="G8" s="428" t="s">
        <v>17</v>
      </c>
      <c r="H8" s="397" t="s">
        <v>881</v>
      </c>
      <c r="I8" s="500">
        <v>43108.0</v>
      </c>
      <c r="J8" s="428">
        <v>1.0</v>
      </c>
      <c r="K8" s="576" t="s">
        <v>228</v>
      </c>
      <c r="L8" s="397" t="s">
        <v>256</v>
      </c>
      <c r="M8" s="529">
        <f t="shared" si="1"/>
        <v>1314</v>
      </c>
      <c r="N8" s="256"/>
      <c r="O8" s="321" t="s">
        <v>547</v>
      </c>
      <c r="P8" s="321">
        <f>COUNTIF($G$2:$G$476,"PFN")</f>
        <v>4</v>
      </c>
      <c r="Q8" s="25"/>
      <c r="R8" s="25"/>
      <c r="S8" s="25"/>
      <c r="T8" s="25"/>
      <c r="U8" s="256"/>
      <c r="V8" s="256"/>
      <c r="W8" s="256"/>
      <c r="X8" s="256"/>
      <c r="Y8" s="256"/>
      <c r="Z8" s="256"/>
    </row>
    <row r="9" ht="12.75" customHeight="1">
      <c r="A9" s="419">
        <v>818.0</v>
      </c>
      <c r="B9" s="420" t="s">
        <v>6819</v>
      </c>
      <c r="C9" s="420">
        <v>2009.0</v>
      </c>
      <c r="D9" s="497">
        <v>39945.0</v>
      </c>
      <c r="E9" s="422" t="s">
        <v>6820</v>
      </c>
      <c r="F9" s="394" t="s">
        <v>563</v>
      </c>
      <c r="G9" s="422" t="s">
        <v>552</v>
      </c>
      <c r="H9" s="394" t="s">
        <v>6821</v>
      </c>
      <c r="I9" s="497">
        <v>43110.0</v>
      </c>
      <c r="J9" s="422">
        <v>1.0</v>
      </c>
      <c r="K9" s="575" t="s">
        <v>238</v>
      </c>
      <c r="L9" s="394" t="s">
        <v>256</v>
      </c>
      <c r="M9" s="528">
        <f t="shared" si="1"/>
        <v>3165</v>
      </c>
      <c r="N9" s="256"/>
      <c r="O9" s="322" t="s">
        <v>560</v>
      </c>
      <c r="P9" s="322">
        <f>COUNTIF($G$2:$G$476,"PF/PTE")</f>
        <v>148</v>
      </c>
      <c r="Q9" s="25"/>
      <c r="R9" s="25"/>
      <c r="S9" s="25"/>
      <c r="T9" s="25"/>
      <c r="U9" s="256"/>
      <c r="V9" s="256"/>
      <c r="W9" s="256"/>
      <c r="X9" s="256"/>
      <c r="Y9" s="256"/>
      <c r="Z9" s="256"/>
    </row>
    <row r="10" ht="12.75" customHeight="1">
      <c r="A10" s="425">
        <v>918.0</v>
      </c>
      <c r="B10" s="426" t="s">
        <v>6822</v>
      </c>
      <c r="C10" s="426">
        <v>2009.0</v>
      </c>
      <c r="D10" s="500">
        <v>39909.0</v>
      </c>
      <c r="E10" s="428" t="s">
        <v>6823</v>
      </c>
      <c r="F10" s="397" t="s">
        <v>563</v>
      </c>
      <c r="G10" s="428" t="s">
        <v>552</v>
      </c>
      <c r="H10" s="397" t="s">
        <v>6821</v>
      </c>
      <c r="I10" s="500">
        <v>43110.0</v>
      </c>
      <c r="J10" s="428">
        <v>1.0</v>
      </c>
      <c r="K10" s="575" t="s">
        <v>238</v>
      </c>
      <c r="L10" s="397" t="s">
        <v>256</v>
      </c>
      <c r="M10" s="529">
        <f t="shared" si="1"/>
        <v>3201</v>
      </c>
      <c r="N10" s="256"/>
      <c r="O10" s="321" t="s">
        <v>565</v>
      </c>
      <c r="P10" s="321">
        <f>COUNTIF($G$2:$G$476,"Bio")</f>
        <v>35</v>
      </c>
      <c r="Q10" s="25"/>
      <c r="R10" s="25"/>
      <c r="S10" s="25"/>
      <c r="T10" s="25"/>
      <c r="U10" s="256"/>
      <c r="V10" s="256"/>
      <c r="W10" s="256"/>
      <c r="X10" s="256"/>
      <c r="Y10" s="256"/>
      <c r="Z10" s="256"/>
    </row>
    <row r="11" ht="12.75" customHeight="1">
      <c r="A11" s="419">
        <v>1018.0</v>
      </c>
      <c r="B11" s="420" t="s">
        <v>6824</v>
      </c>
      <c r="C11" s="420">
        <v>2015.0</v>
      </c>
      <c r="D11" s="497">
        <v>42228.0</v>
      </c>
      <c r="E11" s="422" t="s">
        <v>6825</v>
      </c>
      <c r="F11" s="394" t="s">
        <v>1232</v>
      </c>
      <c r="G11" s="422" t="s">
        <v>17</v>
      </c>
      <c r="H11" s="394" t="s">
        <v>6826</v>
      </c>
      <c r="I11" s="497">
        <v>43111.0</v>
      </c>
      <c r="J11" s="422">
        <v>1.0</v>
      </c>
      <c r="K11" s="576" t="s">
        <v>228</v>
      </c>
      <c r="L11" s="394" t="s">
        <v>256</v>
      </c>
      <c r="M11" s="528">
        <f t="shared" si="1"/>
        <v>883</v>
      </c>
      <c r="N11" s="256"/>
      <c r="O11" s="323" t="s">
        <v>569</v>
      </c>
      <c r="P11" s="323">
        <f>COUNTIF($G$2:$G$476,"Bio/Org")</f>
        <v>17</v>
      </c>
      <c r="Q11" s="25"/>
      <c r="R11" s="25"/>
      <c r="S11" s="25"/>
      <c r="T11" s="25"/>
      <c r="U11" s="256"/>
      <c r="V11" s="256"/>
      <c r="W11" s="256"/>
      <c r="X11" s="256"/>
      <c r="Y11" s="256"/>
      <c r="Z11" s="256"/>
    </row>
    <row r="12" ht="12.75" customHeight="1">
      <c r="A12" s="425">
        <v>1118.0</v>
      </c>
      <c r="B12" s="426" t="s">
        <v>6827</v>
      </c>
      <c r="C12" s="426">
        <v>2012.0</v>
      </c>
      <c r="D12" s="500">
        <v>40998.0</v>
      </c>
      <c r="E12" s="428" t="s">
        <v>6828</v>
      </c>
      <c r="F12" s="397" t="s">
        <v>2453</v>
      </c>
      <c r="G12" s="428" t="s">
        <v>650</v>
      </c>
      <c r="H12" s="397" t="s">
        <v>116</v>
      </c>
      <c r="I12" s="500">
        <v>43112.0</v>
      </c>
      <c r="J12" s="428">
        <v>1.0</v>
      </c>
      <c r="K12" s="575" t="s">
        <v>238</v>
      </c>
      <c r="L12" s="397" t="s">
        <v>258</v>
      </c>
      <c r="M12" s="529">
        <f t="shared" si="1"/>
        <v>2114</v>
      </c>
      <c r="N12" s="256"/>
      <c r="O12" s="324" t="s">
        <v>51</v>
      </c>
      <c r="P12" s="325">
        <f>SUM(P3:P11)</f>
        <v>449</v>
      </c>
      <c r="Q12" s="25"/>
      <c r="R12" s="25"/>
      <c r="S12" s="25"/>
      <c r="T12" s="25"/>
      <c r="U12" s="256"/>
      <c r="V12" s="256"/>
      <c r="W12" s="256"/>
      <c r="X12" s="256"/>
      <c r="Y12" s="256"/>
      <c r="Z12" s="256"/>
    </row>
    <row r="13" ht="12.75" customHeight="1">
      <c r="A13" s="419">
        <v>1218.0</v>
      </c>
      <c r="B13" s="420" t="s">
        <v>6829</v>
      </c>
      <c r="C13" s="420">
        <v>2015.0</v>
      </c>
      <c r="D13" s="497">
        <v>42243.0</v>
      </c>
      <c r="E13" s="422" t="s">
        <v>6830</v>
      </c>
      <c r="F13" s="394" t="s">
        <v>171</v>
      </c>
      <c r="G13" s="422" t="s">
        <v>552</v>
      </c>
      <c r="H13" s="394" t="s">
        <v>50</v>
      </c>
      <c r="I13" s="497">
        <v>42747.0</v>
      </c>
      <c r="J13" s="422">
        <v>1.0</v>
      </c>
      <c r="K13" s="575" t="s">
        <v>238</v>
      </c>
      <c r="L13" s="394" t="s">
        <v>256</v>
      </c>
      <c r="M13" s="528">
        <f t="shared" si="1"/>
        <v>504</v>
      </c>
      <c r="N13" s="256"/>
      <c r="O13" s="25"/>
      <c r="P13" s="25"/>
      <c r="Q13" s="25"/>
      <c r="R13" s="326"/>
      <c r="S13" s="326"/>
      <c r="T13" s="25"/>
      <c r="U13" s="256"/>
      <c r="V13" s="256"/>
      <c r="W13" s="256"/>
      <c r="X13" s="256"/>
      <c r="Y13" s="256"/>
      <c r="Z13" s="256"/>
    </row>
    <row r="14" ht="13.5" customHeight="1">
      <c r="A14" s="425">
        <v>1318.0</v>
      </c>
      <c r="B14" s="426" t="s">
        <v>6831</v>
      </c>
      <c r="C14" s="426">
        <v>2012.0</v>
      </c>
      <c r="D14" s="500">
        <v>41088.0</v>
      </c>
      <c r="E14" s="428" t="s">
        <v>6832</v>
      </c>
      <c r="F14" s="397" t="s">
        <v>1170</v>
      </c>
      <c r="G14" s="428" t="s">
        <v>17</v>
      </c>
      <c r="H14" s="397" t="s">
        <v>50</v>
      </c>
      <c r="I14" s="500">
        <v>43116.0</v>
      </c>
      <c r="J14" s="428">
        <v>1.0</v>
      </c>
      <c r="K14" s="577" t="s">
        <v>234</v>
      </c>
      <c r="L14" s="397" t="s">
        <v>256</v>
      </c>
      <c r="M14" s="529">
        <f t="shared" si="1"/>
        <v>2028</v>
      </c>
      <c r="N14" s="256"/>
      <c r="O14" s="327" t="s">
        <v>61</v>
      </c>
      <c r="P14" s="102"/>
      <c r="Q14" s="102"/>
      <c r="R14" s="102"/>
      <c r="S14" s="103"/>
      <c r="T14" s="25"/>
      <c r="U14" s="256"/>
      <c r="V14" s="256"/>
      <c r="W14" s="256"/>
      <c r="X14" s="256"/>
      <c r="Y14" s="256"/>
      <c r="Z14" s="256"/>
    </row>
    <row r="15" ht="15.0" customHeight="1">
      <c r="A15" s="419">
        <v>1418.0</v>
      </c>
      <c r="B15" s="420" t="s">
        <v>6833</v>
      </c>
      <c r="C15" s="420">
        <v>2015.0</v>
      </c>
      <c r="D15" s="497">
        <v>42223.0</v>
      </c>
      <c r="E15" s="422" t="s">
        <v>6834</v>
      </c>
      <c r="F15" s="394" t="s">
        <v>719</v>
      </c>
      <c r="G15" s="422" t="s">
        <v>17</v>
      </c>
      <c r="H15" s="394" t="s">
        <v>6826</v>
      </c>
      <c r="I15" s="497">
        <v>43116.0</v>
      </c>
      <c r="J15" s="422">
        <v>1.0</v>
      </c>
      <c r="K15" s="575" t="s">
        <v>238</v>
      </c>
      <c r="L15" s="394" t="s">
        <v>256</v>
      </c>
      <c r="M15" s="528">
        <f t="shared" si="1"/>
        <v>893</v>
      </c>
      <c r="N15" s="256"/>
      <c r="O15" s="328"/>
      <c r="P15" s="329"/>
      <c r="Q15" s="329"/>
      <c r="R15" s="329"/>
      <c r="S15" s="330"/>
      <c r="T15" s="25"/>
      <c r="U15" s="256"/>
      <c r="V15" s="256"/>
      <c r="W15" s="256"/>
      <c r="X15" s="256"/>
      <c r="Y15" s="256"/>
      <c r="Z15" s="256"/>
    </row>
    <row r="16" ht="15.75" customHeight="1">
      <c r="A16" s="425">
        <v>1518.0</v>
      </c>
      <c r="B16" s="426" t="s">
        <v>6835</v>
      </c>
      <c r="C16" s="426">
        <v>2013.0</v>
      </c>
      <c r="D16" s="500">
        <v>41302.0</v>
      </c>
      <c r="E16" s="428" t="s">
        <v>6836</v>
      </c>
      <c r="F16" s="397" t="s">
        <v>711</v>
      </c>
      <c r="G16" s="428" t="s">
        <v>17</v>
      </c>
      <c r="H16" s="397" t="s">
        <v>125</v>
      </c>
      <c r="I16" s="500">
        <v>43116.0</v>
      </c>
      <c r="J16" s="428">
        <v>1.0</v>
      </c>
      <c r="K16" s="575" t="s">
        <v>238</v>
      </c>
      <c r="L16" s="397" t="s">
        <v>256</v>
      </c>
      <c r="M16" s="529">
        <f t="shared" si="1"/>
        <v>1814</v>
      </c>
      <c r="N16" s="256"/>
      <c r="O16" s="331" t="s">
        <v>6837</v>
      </c>
      <c r="P16" s="332"/>
      <c r="Q16" s="332"/>
      <c r="R16" s="332"/>
      <c r="S16" s="333"/>
      <c r="T16" s="25"/>
      <c r="U16" s="256"/>
      <c r="V16" s="256"/>
      <c r="W16" s="256"/>
      <c r="X16" s="256"/>
      <c r="Y16" s="256"/>
      <c r="Z16" s="256"/>
    </row>
    <row r="17" ht="12.75" customHeight="1">
      <c r="A17" s="419">
        <v>1618.0</v>
      </c>
      <c r="B17" s="420" t="s">
        <v>6281</v>
      </c>
      <c r="C17" s="420">
        <v>2013.0</v>
      </c>
      <c r="D17" s="497">
        <v>41570.0</v>
      </c>
      <c r="E17" s="422" t="s">
        <v>6838</v>
      </c>
      <c r="F17" s="394" t="s">
        <v>711</v>
      </c>
      <c r="G17" s="422" t="s">
        <v>17</v>
      </c>
      <c r="H17" s="394" t="s">
        <v>1588</v>
      </c>
      <c r="I17" s="497">
        <v>43116.0</v>
      </c>
      <c r="J17" s="422">
        <v>1.0</v>
      </c>
      <c r="K17" s="575" t="s">
        <v>238</v>
      </c>
      <c r="L17" s="394" t="s">
        <v>256</v>
      </c>
      <c r="M17" s="528">
        <f t="shared" si="1"/>
        <v>1546</v>
      </c>
      <c r="N17" s="256"/>
      <c r="O17" s="334" t="s">
        <v>6839</v>
      </c>
      <c r="P17" s="113"/>
      <c r="Q17" s="113"/>
      <c r="R17" s="113"/>
      <c r="S17" s="114"/>
      <c r="T17" s="25"/>
      <c r="U17" s="256"/>
      <c r="V17" s="256"/>
      <c r="W17" s="256"/>
      <c r="X17" s="256"/>
      <c r="Y17" s="256"/>
      <c r="Z17" s="256"/>
    </row>
    <row r="18" ht="12.75" customHeight="1">
      <c r="A18" s="425">
        <v>1718.0</v>
      </c>
      <c r="B18" s="426" t="s">
        <v>6840</v>
      </c>
      <c r="C18" s="426">
        <v>2014.0</v>
      </c>
      <c r="D18" s="500">
        <v>41992.0</v>
      </c>
      <c r="E18" s="428" t="s">
        <v>6841</v>
      </c>
      <c r="F18" s="397" t="s">
        <v>711</v>
      </c>
      <c r="G18" s="428" t="s">
        <v>17</v>
      </c>
      <c r="H18" s="397" t="s">
        <v>6842</v>
      </c>
      <c r="I18" s="500">
        <v>43117.0</v>
      </c>
      <c r="J18" s="428">
        <v>1.0</v>
      </c>
      <c r="K18" s="575" t="s">
        <v>238</v>
      </c>
      <c r="L18" s="397" t="s">
        <v>256</v>
      </c>
      <c r="M18" s="529">
        <f t="shared" si="1"/>
        <v>1125</v>
      </c>
      <c r="N18" s="256"/>
      <c r="O18" s="335" t="s">
        <v>6843</v>
      </c>
      <c r="P18" s="113"/>
      <c r="Q18" s="113"/>
      <c r="R18" s="113"/>
      <c r="S18" s="114"/>
      <c r="T18" s="25"/>
      <c r="U18" s="256"/>
      <c r="V18" s="256"/>
      <c r="W18" s="256"/>
      <c r="X18" s="256"/>
      <c r="Y18" s="256"/>
      <c r="Z18" s="256"/>
    </row>
    <row r="19" ht="12.75" customHeight="1">
      <c r="A19" s="419">
        <v>1818.0</v>
      </c>
      <c r="B19" s="420" t="s">
        <v>6844</v>
      </c>
      <c r="C19" s="420">
        <v>2015.0</v>
      </c>
      <c r="D19" s="497">
        <v>42335.0</v>
      </c>
      <c r="E19" s="422" t="s">
        <v>6845</v>
      </c>
      <c r="F19" s="394" t="s">
        <v>719</v>
      </c>
      <c r="G19" s="422" t="s">
        <v>17</v>
      </c>
      <c r="H19" s="394" t="s">
        <v>6846</v>
      </c>
      <c r="I19" s="497">
        <v>43118.0</v>
      </c>
      <c r="J19" s="422">
        <v>1.0</v>
      </c>
      <c r="K19" s="575" t="s">
        <v>238</v>
      </c>
      <c r="L19" s="394" t="s">
        <v>256</v>
      </c>
      <c r="M19" s="528">
        <f t="shared" si="1"/>
        <v>783</v>
      </c>
      <c r="N19" s="256"/>
      <c r="O19" s="334" t="s">
        <v>6847</v>
      </c>
      <c r="P19" s="113"/>
      <c r="Q19" s="113"/>
      <c r="R19" s="113"/>
      <c r="S19" s="114"/>
      <c r="T19" s="25"/>
      <c r="U19" s="256"/>
      <c r="V19" s="256"/>
      <c r="W19" s="256"/>
      <c r="X19" s="256"/>
      <c r="Y19" s="256"/>
      <c r="Z19" s="256"/>
    </row>
    <row r="20" ht="12.75" customHeight="1">
      <c r="A20" s="425">
        <v>1918.0</v>
      </c>
      <c r="B20" s="426" t="s">
        <v>6848</v>
      </c>
      <c r="C20" s="426">
        <v>2010.0</v>
      </c>
      <c r="D20" s="500">
        <v>40451.0</v>
      </c>
      <c r="E20" s="428" t="s">
        <v>6849</v>
      </c>
      <c r="F20" s="397" t="s">
        <v>719</v>
      </c>
      <c r="G20" s="428" t="s">
        <v>17</v>
      </c>
      <c r="H20" s="397" t="s">
        <v>6850</v>
      </c>
      <c r="I20" s="500">
        <v>43118.0</v>
      </c>
      <c r="J20" s="428">
        <v>1.0</v>
      </c>
      <c r="K20" s="575" t="s">
        <v>238</v>
      </c>
      <c r="L20" s="397" t="s">
        <v>256</v>
      </c>
      <c r="M20" s="529">
        <f t="shared" si="1"/>
        <v>2667</v>
      </c>
      <c r="N20" s="256"/>
      <c r="O20" s="335" t="s">
        <v>6851</v>
      </c>
      <c r="P20" s="113"/>
      <c r="Q20" s="113"/>
      <c r="R20" s="113"/>
      <c r="S20" s="114"/>
      <c r="T20" s="25"/>
      <c r="U20" s="256"/>
      <c r="V20" s="256"/>
      <c r="W20" s="256"/>
      <c r="X20" s="256"/>
      <c r="Y20" s="256"/>
      <c r="Z20" s="256"/>
    </row>
    <row r="21" ht="12.75" customHeight="1">
      <c r="A21" s="419">
        <v>2018.0</v>
      </c>
      <c r="B21" s="420" t="s">
        <v>6852</v>
      </c>
      <c r="C21" s="420">
        <v>2011.0</v>
      </c>
      <c r="D21" s="497">
        <v>40618.0</v>
      </c>
      <c r="E21" s="422" t="s">
        <v>6853</v>
      </c>
      <c r="F21" s="394" t="s">
        <v>963</v>
      </c>
      <c r="G21" s="422" t="s">
        <v>17</v>
      </c>
      <c r="H21" s="394" t="s">
        <v>775</v>
      </c>
      <c r="I21" s="497">
        <v>43123.0</v>
      </c>
      <c r="J21" s="422">
        <v>1.0</v>
      </c>
      <c r="K21" s="576" t="s">
        <v>228</v>
      </c>
      <c r="L21" s="394" t="s">
        <v>258</v>
      </c>
      <c r="M21" s="528">
        <f t="shared" si="1"/>
        <v>2505</v>
      </c>
      <c r="N21" s="256"/>
      <c r="O21" s="334" t="s">
        <v>6854</v>
      </c>
      <c r="P21" s="113"/>
      <c r="Q21" s="113"/>
      <c r="R21" s="113"/>
      <c r="S21" s="114"/>
      <c r="T21" s="25"/>
      <c r="U21" s="256"/>
      <c r="V21" s="256"/>
      <c r="W21" s="256"/>
      <c r="X21" s="256"/>
      <c r="Y21" s="256"/>
      <c r="Z21" s="256"/>
    </row>
    <row r="22" ht="12.75" customHeight="1">
      <c r="A22" s="425">
        <v>2118.0</v>
      </c>
      <c r="B22" s="426" t="s">
        <v>6855</v>
      </c>
      <c r="C22" s="426">
        <v>2012.0</v>
      </c>
      <c r="D22" s="500">
        <v>41262.0</v>
      </c>
      <c r="E22" s="428" t="s">
        <v>6856</v>
      </c>
      <c r="F22" s="397" t="s">
        <v>102</v>
      </c>
      <c r="G22" s="428" t="s">
        <v>17</v>
      </c>
      <c r="H22" s="397" t="s">
        <v>66</v>
      </c>
      <c r="I22" s="500">
        <v>43123.0</v>
      </c>
      <c r="J22" s="428">
        <v>1.0</v>
      </c>
      <c r="K22" s="575" t="s">
        <v>238</v>
      </c>
      <c r="L22" s="397" t="s">
        <v>258</v>
      </c>
      <c r="M22" s="529">
        <f t="shared" si="1"/>
        <v>1861</v>
      </c>
      <c r="N22" s="256"/>
      <c r="O22" s="335" t="s">
        <v>6857</v>
      </c>
      <c r="P22" s="113"/>
      <c r="Q22" s="113"/>
      <c r="R22" s="113"/>
      <c r="S22" s="114"/>
      <c r="T22" s="25"/>
      <c r="U22" s="256"/>
      <c r="V22" s="256"/>
      <c r="W22" s="256"/>
      <c r="X22" s="256"/>
      <c r="Y22" s="256"/>
      <c r="Z22" s="256"/>
    </row>
    <row r="23" ht="12.75" customHeight="1">
      <c r="A23" s="419">
        <v>2218.0</v>
      </c>
      <c r="B23" s="420" t="s">
        <v>6858</v>
      </c>
      <c r="C23" s="420">
        <v>2015.0</v>
      </c>
      <c r="D23" s="497">
        <v>42094.0</v>
      </c>
      <c r="E23" s="422" t="s">
        <v>6859</v>
      </c>
      <c r="F23" s="394" t="s">
        <v>171</v>
      </c>
      <c r="G23" s="422" t="s">
        <v>552</v>
      </c>
      <c r="H23" s="394" t="s">
        <v>6860</v>
      </c>
      <c r="I23" s="497">
        <v>43123.0</v>
      </c>
      <c r="J23" s="422">
        <v>1.0</v>
      </c>
      <c r="K23" s="575" t="s">
        <v>238</v>
      </c>
      <c r="L23" s="394" t="s">
        <v>256</v>
      </c>
      <c r="M23" s="528">
        <f t="shared" si="1"/>
        <v>1029</v>
      </c>
      <c r="N23" s="256"/>
      <c r="O23" s="334" t="s">
        <v>6861</v>
      </c>
      <c r="P23" s="113"/>
      <c r="Q23" s="113"/>
      <c r="R23" s="113"/>
      <c r="S23" s="114"/>
      <c r="T23" s="25"/>
      <c r="U23" s="256"/>
      <c r="V23" s="256"/>
      <c r="W23" s="256"/>
      <c r="X23" s="256"/>
      <c r="Y23" s="256"/>
      <c r="Z23" s="256"/>
    </row>
    <row r="24" ht="12.75" customHeight="1">
      <c r="A24" s="425">
        <v>2318.0</v>
      </c>
      <c r="B24" s="426" t="s">
        <v>6862</v>
      </c>
      <c r="C24" s="426">
        <v>2014.0</v>
      </c>
      <c r="D24" s="500">
        <v>41689.0</v>
      </c>
      <c r="E24" s="428" t="s">
        <v>6863</v>
      </c>
      <c r="F24" s="397" t="s">
        <v>44</v>
      </c>
      <c r="G24" s="428" t="s">
        <v>552</v>
      </c>
      <c r="H24" s="397" t="s">
        <v>583</v>
      </c>
      <c r="I24" s="500">
        <v>43123.0</v>
      </c>
      <c r="J24" s="428">
        <v>1.0</v>
      </c>
      <c r="K24" s="576" t="s">
        <v>228</v>
      </c>
      <c r="L24" s="397" t="s">
        <v>258</v>
      </c>
      <c r="M24" s="529">
        <f t="shared" si="1"/>
        <v>1434</v>
      </c>
      <c r="N24" s="256"/>
      <c r="O24" s="336" t="s">
        <v>6864</v>
      </c>
      <c r="P24" s="118"/>
      <c r="Q24" s="118"/>
      <c r="R24" s="118"/>
      <c r="S24" s="119"/>
      <c r="T24" s="25"/>
      <c r="U24" s="256"/>
      <c r="V24" s="256"/>
      <c r="W24" s="256"/>
      <c r="X24" s="256"/>
      <c r="Y24" s="256"/>
      <c r="Z24" s="256"/>
    </row>
    <row r="25" ht="12.75" customHeight="1">
      <c r="A25" s="419">
        <v>2418.0</v>
      </c>
      <c r="B25" s="420" t="s">
        <v>6865</v>
      </c>
      <c r="C25" s="420">
        <v>2013.0</v>
      </c>
      <c r="D25" s="497">
        <v>41292.0</v>
      </c>
      <c r="E25" s="422" t="s">
        <v>6866</v>
      </c>
      <c r="F25" s="394" t="s">
        <v>134</v>
      </c>
      <c r="G25" s="422" t="s">
        <v>552</v>
      </c>
      <c r="H25" s="394" t="s">
        <v>6860</v>
      </c>
      <c r="I25" s="497">
        <v>43123.0</v>
      </c>
      <c r="J25" s="422">
        <v>1.0</v>
      </c>
      <c r="K25" s="575" t="s">
        <v>238</v>
      </c>
      <c r="L25" s="394" t="s">
        <v>258</v>
      </c>
      <c r="M25" s="528">
        <f t="shared" si="1"/>
        <v>1831</v>
      </c>
      <c r="N25" s="256"/>
      <c r="O25" s="25"/>
      <c r="P25" s="25"/>
      <c r="Q25" s="25"/>
      <c r="R25" s="25"/>
      <c r="S25" s="25"/>
      <c r="T25" s="25"/>
      <c r="U25" s="256"/>
      <c r="V25" s="256"/>
      <c r="W25" s="256"/>
      <c r="X25" s="256"/>
      <c r="Y25" s="256"/>
      <c r="Z25" s="256"/>
    </row>
    <row r="26" ht="15.0" customHeight="1">
      <c r="A26" s="425">
        <v>2518.0</v>
      </c>
      <c r="B26" s="426" t="s">
        <v>6867</v>
      </c>
      <c r="C26" s="426">
        <v>2009.0</v>
      </c>
      <c r="D26" s="500">
        <v>40143.0</v>
      </c>
      <c r="E26" s="428" t="s">
        <v>6868</v>
      </c>
      <c r="F26" s="397" t="s">
        <v>1232</v>
      </c>
      <c r="G26" s="428" t="s">
        <v>552</v>
      </c>
      <c r="H26" s="397" t="s">
        <v>6860</v>
      </c>
      <c r="I26" s="500">
        <v>43123.0</v>
      </c>
      <c r="J26" s="428">
        <v>1.0</v>
      </c>
      <c r="K26" s="576" t="s">
        <v>228</v>
      </c>
      <c r="L26" s="397" t="s">
        <v>256</v>
      </c>
      <c r="M26" s="529">
        <f t="shared" si="1"/>
        <v>2980</v>
      </c>
      <c r="N26" s="256"/>
      <c r="O26" s="327" t="s">
        <v>617</v>
      </c>
      <c r="P26" s="102"/>
      <c r="Q26" s="102"/>
      <c r="R26" s="102"/>
      <c r="S26" s="103"/>
      <c r="T26" s="25"/>
      <c r="U26" s="256"/>
      <c r="V26" s="256"/>
      <c r="W26" s="256"/>
      <c r="X26" s="256"/>
      <c r="Y26" s="256"/>
      <c r="Z26" s="256"/>
    </row>
    <row r="27" ht="15.0" customHeight="1">
      <c r="A27" s="419">
        <v>2618.0</v>
      </c>
      <c r="B27" s="420" t="s">
        <v>6869</v>
      </c>
      <c r="C27" s="420">
        <v>2009.0</v>
      </c>
      <c r="D27" s="497">
        <v>40155.0</v>
      </c>
      <c r="E27" s="422" t="s">
        <v>6870</v>
      </c>
      <c r="F27" s="394" t="s">
        <v>1232</v>
      </c>
      <c r="G27" s="422" t="s">
        <v>552</v>
      </c>
      <c r="H27" s="394" t="s">
        <v>6860</v>
      </c>
      <c r="I27" s="497">
        <v>43123.0</v>
      </c>
      <c r="J27" s="422">
        <v>1.0</v>
      </c>
      <c r="K27" s="575" t="s">
        <v>238</v>
      </c>
      <c r="L27" s="394" t="s">
        <v>258</v>
      </c>
      <c r="M27" s="528">
        <f t="shared" si="1"/>
        <v>2968</v>
      </c>
      <c r="N27" s="256"/>
      <c r="O27" s="104"/>
      <c r="P27" s="105"/>
      <c r="Q27" s="105"/>
      <c r="R27" s="105"/>
      <c r="S27" s="106"/>
      <c r="T27" s="25"/>
      <c r="U27" s="256"/>
      <c r="V27" s="256"/>
      <c r="W27" s="256"/>
      <c r="X27" s="256"/>
      <c r="Y27" s="256"/>
      <c r="Z27" s="256"/>
    </row>
    <row r="28" ht="13.5" customHeight="1">
      <c r="A28" s="425">
        <v>2718.0</v>
      </c>
      <c r="B28" s="426" t="s">
        <v>6871</v>
      </c>
      <c r="C28" s="426">
        <v>2011.0</v>
      </c>
      <c r="D28" s="500">
        <v>40640.0</v>
      </c>
      <c r="E28" s="428" t="s">
        <v>6872</v>
      </c>
      <c r="F28" s="397" t="s">
        <v>1834</v>
      </c>
      <c r="G28" s="428" t="s">
        <v>650</v>
      </c>
      <c r="H28" s="397" t="s">
        <v>3788</v>
      </c>
      <c r="I28" s="500">
        <v>43124.0</v>
      </c>
      <c r="J28" s="428">
        <v>1.0</v>
      </c>
      <c r="K28" s="575" t="s">
        <v>238</v>
      </c>
      <c r="L28" s="397" t="s">
        <v>256</v>
      </c>
      <c r="M28" s="529">
        <f t="shared" si="1"/>
        <v>2484</v>
      </c>
      <c r="N28" s="256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6"/>
      <c r="V28" s="256"/>
      <c r="W28" s="256"/>
      <c r="X28" s="256"/>
      <c r="Y28" s="256"/>
      <c r="Z28" s="256"/>
    </row>
    <row r="29" ht="15.75" customHeight="1">
      <c r="A29" s="419">
        <v>2818.0</v>
      </c>
      <c r="B29" s="420" t="s">
        <v>6873</v>
      </c>
      <c r="C29" s="420">
        <v>2013.0</v>
      </c>
      <c r="D29" s="497">
        <v>41374.0</v>
      </c>
      <c r="E29" s="422" t="s">
        <v>6874</v>
      </c>
      <c r="F29" s="394" t="s">
        <v>2905</v>
      </c>
      <c r="G29" s="422" t="s">
        <v>552</v>
      </c>
      <c r="H29" s="394" t="s">
        <v>56</v>
      </c>
      <c r="I29" s="497">
        <v>43125.0</v>
      </c>
      <c r="J29" s="422">
        <v>1.0</v>
      </c>
      <c r="K29" s="576" t="s">
        <v>228</v>
      </c>
      <c r="L29" s="394" t="s">
        <v>256</v>
      </c>
      <c r="M29" s="528">
        <f t="shared" si="1"/>
        <v>1751</v>
      </c>
      <c r="N29" s="256"/>
      <c r="O29" s="322">
        <v>2006.0</v>
      </c>
      <c r="P29" s="346">
        <f>COUNTIF($C$2:$C$503,"2006")</f>
        <v>0</v>
      </c>
      <c r="Q29" s="113"/>
      <c r="R29" s="114"/>
      <c r="S29" s="343">
        <f>P29/P42</f>
        <v>0</v>
      </c>
      <c r="T29" s="25"/>
      <c r="U29" s="256"/>
      <c r="V29" s="256"/>
      <c r="W29" s="256"/>
      <c r="X29" s="256"/>
      <c r="Y29" s="256"/>
      <c r="Z29" s="256"/>
    </row>
    <row r="30" ht="12.75" customHeight="1">
      <c r="A30" s="425">
        <v>2918.0</v>
      </c>
      <c r="B30" s="426" t="s">
        <v>6875</v>
      </c>
      <c r="C30" s="426">
        <v>2010.0</v>
      </c>
      <c r="D30" s="500">
        <v>40357.0</v>
      </c>
      <c r="E30" s="428" t="s">
        <v>6876</v>
      </c>
      <c r="F30" s="397" t="s">
        <v>963</v>
      </c>
      <c r="G30" s="428" t="s">
        <v>552</v>
      </c>
      <c r="H30" s="397" t="s">
        <v>5016</v>
      </c>
      <c r="I30" s="500">
        <v>43125.0</v>
      </c>
      <c r="J30" s="428">
        <v>1.0</v>
      </c>
      <c r="K30" s="575" t="s">
        <v>238</v>
      </c>
      <c r="L30" s="397" t="s">
        <v>258</v>
      </c>
      <c r="M30" s="529">
        <f t="shared" si="1"/>
        <v>2768</v>
      </c>
      <c r="N30" s="256"/>
      <c r="O30" s="321">
        <v>2007.0</v>
      </c>
      <c r="P30" s="344">
        <f>COUNTIF($C$2:$C$503,"2007")</f>
        <v>0</v>
      </c>
      <c r="Q30" s="113"/>
      <c r="R30" s="114"/>
      <c r="S30" s="345">
        <f>(P30/P42)</f>
        <v>0</v>
      </c>
      <c r="T30" s="25"/>
      <c r="U30" s="256"/>
      <c r="V30" s="256"/>
      <c r="W30" s="256"/>
      <c r="X30" s="256"/>
      <c r="Y30" s="256"/>
      <c r="Z30" s="256"/>
    </row>
    <row r="31" ht="12.75" customHeight="1">
      <c r="A31" s="419">
        <v>3018.0</v>
      </c>
      <c r="B31" s="420" t="s">
        <v>6877</v>
      </c>
      <c r="C31" s="420">
        <v>2010.0</v>
      </c>
      <c r="D31" s="497">
        <v>40358.0</v>
      </c>
      <c r="E31" s="422" t="s">
        <v>6878</v>
      </c>
      <c r="F31" s="394" t="s">
        <v>963</v>
      </c>
      <c r="G31" s="422" t="s">
        <v>552</v>
      </c>
      <c r="H31" s="394" t="s">
        <v>5016</v>
      </c>
      <c r="I31" s="497">
        <v>43125.0</v>
      </c>
      <c r="J31" s="422">
        <v>1.0</v>
      </c>
      <c r="K31" s="575" t="s">
        <v>238</v>
      </c>
      <c r="L31" s="394" t="s">
        <v>258</v>
      </c>
      <c r="M31" s="528">
        <f t="shared" si="1"/>
        <v>2767</v>
      </c>
      <c r="N31" s="256"/>
      <c r="O31" s="322">
        <v>2008.0</v>
      </c>
      <c r="P31" s="346">
        <f>COUNTIF($C$2:$C$503,"2008")</f>
        <v>2</v>
      </c>
      <c r="Q31" s="113"/>
      <c r="R31" s="114"/>
      <c r="S31" s="343">
        <f>(P31/P42)</f>
        <v>0.004454342984</v>
      </c>
      <c r="T31" s="25"/>
      <c r="U31" s="256"/>
      <c r="V31" s="256"/>
      <c r="W31" s="256"/>
      <c r="X31" s="256"/>
      <c r="Y31" s="256"/>
      <c r="Z31" s="256"/>
    </row>
    <row r="32" ht="12.75" customHeight="1">
      <c r="A32" s="425">
        <v>3118.0</v>
      </c>
      <c r="B32" s="426" t="s">
        <v>6879</v>
      </c>
      <c r="C32" s="426">
        <v>2010.0</v>
      </c>
      <c r="D32" s="500">
        <v>40323.0</v>
      </c>
      <c r="E32" s="428" t="s">
        <v>6880</v>
      </c>
      <c r="F32" s="397" t="s">
        <v>963</v>
      </c>
      <c r="G32" s="428" t="s">
        <v>552</v>
      </c>
      <c r="H32" s="397" t="s">
        <v>5016</v>
      </c>
      <c r="I32" s="500">
        <v>43125.0</v>
      </c>
      <c r="J32" s="428">
        <v>1.0</v>
      </c>
      <c r="K32" s="575" t="s">
        <v>238</v>
      </c>
      <c r="L32" s="397" t="s">
        <v>258</v>
      </c>
      <c r="M32" s="529">
        <f t="shared" si="1"/>
        <v>2802</v>
      </c>
      <c r="N32" s="256"/>
      <c r="O32" s="321">
        <v>2009.0</v>
      </c>
      <c r="P32" s="344">
        <f>COUNTIF($C$2:$C$503,"2009")</f>
        <v>11</v>
      </c>
      <c r="Q32" s="113"/>
      <c r="R32" s="114"/>
      <c r="S32" s="345">
        <f>(P32/P42)</f>
        <v>0.02449888641</v>
      </c>
      <c r="T32" s="25"/>
      <c r="U32" s="256"/>
      <c r="V32" s="256"/>
      <c r="W32" s="256"/>
      <c r="X32" s="256"/>
      <c r="Y32" s="256"/>
      <c r="Z32" s="256"/>
    </row>
    <row r="33" ht="12.75" customHeight="1">
      <c r="A33" s="419">
        <v>3218.0</v>
      </c>
      <c r="B33" s="578" t="s">
        <v>3889</v>
      </c>
      <c r="C33" s="578" t="s">
        <v>3889</v>
      </c>
      <c r="D33" s="579" t="s">
        <v>3889</v>
      </c>
      <c r="E33" s="322" t="s">
        <v>3889</v>
      </c>
      <c r="F33" s="580" t="s">
        <v>3889</v>
      </c>
      <c r="G33" s="322" t="s">
        <v>3889</v>
      </c>
      <c r="H33" s="580" t="s">
        <v>3889</v>
      </c>
      <c r="I33" s="579" t="s">
        <v>3889</v>
      </c>
      <c r="J33" s="322" t="s">
        <v>3889</v>
      </c>
      <c r="K33" s="581" t="s">
        <v>3889</v>
      </c>
      <c r="L33" s="580" t="s">
        <v>3889</v>
      </c>
      <c r="M33" s="560" t="s">
        <v>3889</v>
      </c>
      <c r="N33" s="256"/>
      <c r="O33" s="322">
        <v>2010.0</v>
      </c>
      <c r="P33" s="346">
        <f>COUNTIF($C$2:$C$503,"2010")</f>
        <v>31</v>
      </c>
      <c r="Q33" s="113"/>
      <c r="R33" s="114"/>
      <c r="S33" s="343">
        <f>(P33/P42)</f>
        <v>0.06904231626</v>
      </c>
      <c r="T33" s="25"/>
      <c r="U33" s="256"/>
      <c r="V33" s="256"/>
      <c r="W33" s="256"/>
      <c r="X33" s="256"/>
      <c r="Y33" s="256"/>
      <c r="Z33" s="256"/>
    </row>
    <row r="34" ht="12.75" customHeight="1">
      <c r="A34" s="425">
        <v>3318.0</v>
      </c>
      <c r="B34" s="426" t="s">
        <v>6881</v>
      </c>
      <c r="C34" s="426">
        <v>2012.0</v>
      </c>
      <c r="D34" s="500">
        <v>41102.0</v>
      </c>
      <c r="E34" s="428" t="s">
        <v>6882</v>
      </c>
      <c r="F34" s="397" t="s">
        <v>1170</v>
      </c>
      <c r="G34" s="428" t="s">
        <v>552</v>
      </c>
      <c r="H34" s="397" t="s">
        <v>5016</v>
      </c>
      <c r="I34" s="500">
        <v>43126.0</v>
      </c>
      <c r="J34" s="428">
        <v>1.0</v>
      </c>
      <c r="K34" s="575" t="s">
        <v>238</v>
      </c>
      <c r="L34" s="397" t="s">
        <v>256</v>
      </c>
      <c r="M34" s="529">
        <f t="shared" ref="M34:M283" si="2">I34-D34</f>
        <v>2024</v>
      </c>
      <c r="N34" s="256"/>
      <c r="O34" s="321">
        <v>2011.0</v>
      </c>
      <c r="P34" s="344">
        <f>COUNTIF($C$2:$C$503,"2011")</f>
        <v>46</v>
      </c>
      <c r="Q34" s="113"/>
      <c r="R34" s="114"/>
      <c r="S34" s="345">
        <f>(P34/P42)</f>
        <v>0.1024498886</v>
      </c>
      <c r="T34" s="25"/>
      <c r="U34" s="256"/>
      <c r="V34" s="256"/>
      <c r="W34" s="256"/>
      <c r="X34" s="256"/>
      <c r="Y34" s="256"/>
      <c r="Z34" s="256"/>
    </row>
    <row r="35" ht="12.75" customHeight="1">
      <c r="A35" s="419">
        <v>3418.0</v>
      </c>
      <c r="B35" s="420" t="s">
        <v>6883</v>
      </c>
      <c r="C35" s="420">
        <v>2015.0</v>
      </c>
      <c r="D35" s="497">
        <v>42247.0</v>
      </c>
      <c r="E35" s="422" t="s">
        <v>6884</v>
      </c>
      <c r="F35" s="394" t="s">
        <v>171</v>
      </c>
      <c r="G35" s="422" t="s">
        <v>552</v>
      </c>
      <c r="H35" s="394" t="s">
        <v>50</v>
      </c>
      <c r="I35" s="497">
        <v>43126.0</v>
      </c>
      <c r="J35" s="422">
        <v>1.0</v>
      </c>
      <c r="K35" s="575" t="s">
        <v>238</v>
      </c>
      <c r="L35" s="394" t="s">
        <v>256</v>
      </c>
      <c r="M35" s="528">
        <f t="shared" si="2"/>
        <v>879</v>
      </c>
      <c r="N35" s="256"/>
      <c r="O35" s="322">
        <v>2012.0</v>
      </c>
      <c r="P35" s="346">
        <f>COUNTIF($C$2:$C$503,"2012")</f>
        <v>60</v>
      </c>
      <c r="Q35" s="113"/>
      <c r="R35" s="114"/>
      <c r="S35" s="343">
        <f>(P35/P42)</f>
        <v>0.1336302895</v>
      </c>
      <c r="T35" s="25"/>
      <c r="U35" s="256"/>
      <c r="V35" s="256"/>
      <c r="W35" s="256"/>
      <c r="X35" s="256"/>
      <c r="Y35" s="256"/>
      <c r="Z35" s="256"/>
    </row>
    <row r="36" ht="12.75" customHeight="1">
      <c r="A36" s="425">
        <v>3518.0</v>
      </c>
      <c r="B36" s="426" t="s">
        <v>6885</v>
      </c>
      <c r="C36" s="426">
        <v>2013.0</v>
      </c>
      <c r="D36" s="500">
        <v>41536.0</v>
      </c>
      <c r="E36" s="428" t="s">
        <v>6886</v>
      </c>
      <c r="F36" s="397" t="s">
        <v>1834</v>
      </c>
      <c r="G36" s="428" t="s">
        <v>650</v>
      </c>
      <c r="H36" s="397" t="s">
        <v>3788</v>
      </c>
      <c r="I36" s="500">
        <v>43129.0</v>
      </c>
      <c r="J36" s="428">
        <v>1.0</v>
      </c>
      <c r="K36" s="575" t="s">
        <v>238</v>
      </c>
      <c r="L36" s="397" t="s">
        <v>256</v>
      </c>
      <c r="M36" s="529">
        <f t="shared" si="2"/>
        <v>1593</v>
      </c>
      <c r="N36" s="256"/>
      <c r="O36" s="321">
        <v>2013.0</v>
      </c>
      <c r="P36" s="344">
        <f>COUNTIF($C$2:$C$503,"2013")</f>
        <v>72</v>
      </c>
      <c r="Q36" s="113"/>
      <c r="R36" s="114"/>
      <c r="S36" s="345">
        <f>(P36/P42)</f>
        <v>0.1603563474</v>
      </c>
      <c r="T36" s="25"/>
      <c r="U36" s="256"/>
      <c r="V36" s="256"/>
      <c r="W36" s="256"/>
      <c r="X36" s="256"/>
      <c r="Y36" s="256"/>
      <c r="Z36" s="256"/>
    </row>
    <row r="37" ht="12.75" customHeight="1">
      <c r="A37" s="419">
        <v>3618.0</v>
      </c>
      <c r="B37" s="420" t="s">
        <v>6887</v>
      </c>
      <c r="C37" s="420">
        <v>2012.0</v>
      </c>
      <c r="D37" s="497">
        <v>41269.0</v>
      </c>
      <c r="E37" s="422" t="s">
        <v>6888</v>
      </c>
      <c r="F37" s="394" t="s">
        <v>1834</v>
      </c>
      <c r="G37" s="422" t="s">
        <v>650</v>
      </c>
      <c r="H37" s="394" t="s">
        <v>3788</v>
      </c>
      <c r="I37" s="497">
        <v>43129.0</v>
      </c>
      <c r="J37" s="422">
        <v>1.0</v>
      </c>
      <c r="K37" s="575" t="s">
        <v>238</v>
      </c>
      <c r="L37" s="394" t="s">
        <v>256</v>
      </c>
      <c r="M37" s="528">
        <f t="shared" si="2"/>
        <v>1860</v>
      </c>
      <c r="N37" s="256"/>
      <c r="O37" s="322">
        <v>2014.0</v>
      </c>
      <c r="P37" s="346">
        <f>COUNTIF($C$2:$C$503,"2014")</f>
        <v>56</v>
      </c>
      <c r="Q37" s="113"/>
      <c r="R37" s="114"/>
      <c r="S37" s="343">
        <f>(P37/P42)</f>
        <v>0.1247216036</v>
      </c>
      <c r="T37" s="25"/>
      <c r="U37" s="256"/>
      <c r="V37" s="256"/>
      <c r="W37" s="256"/>
      <c r="X37" s="256"/>
      <c r="Y37" s="256"/>
      <c r="Z37" s="256"/>
    </row>
    <row r="38" ht="12.75" customHeight="1">
      <c r="A38" s="425">
        <v>3718.0</v>
      </c>
      <c r="B38" s="426" t="s">
        <v>6889</v>
      </c>
      <c r="C38" s="426">
        <v>2013.0</v>
      </c>
      <c r="D38" s="500">
        <v>41536.0</v>
      </c>
      <c r="E38" s="428" t="s">
        <v>6890</v>
      </c>
      <c r="F38" s="397" t="s">
        <v>1834</v>
      </c>
      <c r="G38" s="428" t="s">
        <v>650</v>
      </c>
      <c r="H38" s="397" t="s">
        <v>3788</v>
      </c>
      <c r="I38" s="500">
        <v>43130.0</v>
      </c>
      <c r="J38" s="428">
        <v>1.0</v>
      </c>
      <c r="K38" s="575" t="s">
        <v>238</v>
      </c>
      <c r="L38" s="397" t="s">
        <v>256</v>
      </c>
      <c r="M38" s="529">
        <f t="shared" si="2"/>
        <v>1594</v>
      </c>
      <c r="N38" s="256"/>
      <c r="O38" s="321">
        <v>2015.0</v>
      </c>
      <c r="P38" s="344">
        <f>COUNTIF($C$2:$C$503,"2015")</f>
        <v>53</v>
      </c>
      <c r="Q38" s="113"/>
      <c r="R38" s="114"/>
      <c r="S38" s="345">
        <f>(P38/P42)</f>
        <v>0.1180400891</v>
      </c>
      <c r="T38" s="25"/>
      <c r="U38" s="256"/>
      <c r="V38" s="256"/>
      <c r="W38" s="256"/>
      <c r="X38" s="256"/>
      <c r="Y38" s="256"/>
      <c r="Z38" s="256"/>
    </row>
    <row r="39" ht="12.75" customHeight="1">
      <c r="A39" s="419">
        <v>3818.0</v>
      </c>
      <c r="B39" s="420" t="s">
        <v>6891</v>
      </c>
      <c r="C39" s="420">
        <v>2013.0</v>
      </c>
      <c r="D39" s="497">
        <v>41536.0</v>
      </c>
      <c r="E39" s="422" t="s">
        <v>6892</v>
      </c>
      <c r="F39" s="394" t="s">
        <v>1834</v>
      </c>
      <c r="G39" s="422" t="s">
        <v>650</v>
      </c>
      <c r="H39" s="394" t="s">
        <v>3788</v>
      </c>
      <c r="I39" s="497">
        <v>43130.0</v>
      </c>
      <c r="J39" s="422">
        <v>1.0</v>
      </c>
      <c r="K39" s="575" t="s">
        <v>238</v>
      </c>
      <c r="L39" s="394" t="s">
        <v>256</v>
      </c>
      <c r="M39" s="528">
        <f t="shared" si="2"/>
        <v>1594</v>
      </c>
      <c r="N39" s="256"/>
      <c r="O39" s="322">
        <v>2016.0</v>
      </c>
      <c r="P39" s="346">
        <f>COUNTIF($C$2:$C$503,"2016")</f>
        <v>44</v>
      </c>
      <c r="Q39" s="113"/>
      <c r="R39" s="114"/>
      <c r="S39" s="343">
        <f>(P39/P42)</f>
        <v>0.09799554566</v>
      </c>
      <c r="T39" s="25"/>
      <c r="U39" s="256"/>
      <c r="V39" s="256"/>
      <c r="W39" s="256"/>
      <c r="X39" s="256"/>
      <c r="Y39" s="256"/>
      <c r="Z39" s="256"/>
    </row>
    <row r="40" ht="12.75" customHeight="1">
      <c r="A40" s="425">
        <v>3918.0</v>
      </c>
      <c r="B40" s="426" t="s">
        <v>6893</v>
      </c>
      <c r="C40" s="426">
        <v>2012.0</v>
      </c>
      <c r="D40" s="500">
        <v>41269.0</v>
      </c>
      <c r="E40" s="428" t="s">
        <v>6894</v>
      </c>
      <c r="F40" s="397" t="s">
        <v>1834</v>
      </c>
      <c r="G40" s="428" t="s">
        <v>650</v>
      </c>
      <c r="H40" s="397" t="s">
        <v>3788</v>
      </c>
      <c r="I40" s="500">
        <v>43130.0</v>
      </c>
      <c r="J40" s="428">
        <v>1.0</v>
      </c>
      <c r="K40" s="575" t="s">
        <v>238</v>
      </c>
      <c r="L40" s="397" t="s">
        <v>256</v>
      </c>
      <c r="M40" s="529">
        <f t="shared" si="2"/>
        <v>1861</v>
      </c>
      <c r="N40" s="256"/>
      <c r="O40" s="321">
        <v>2017.0</v>
      </c>
      <c r="P40" s="344">
        <f>COUNTIF($C$2:$C$503,"2017")</f>
        <v>51</v>
      </c>
      <c r="Q40" s="113"/>
      <c r="R40" s="114"/>
      <c r="S40" s="345">
        <f>(P40/P42)</f>
        <v>0.1135857461</v>
      </c>
      <c r="T40" s="25"/>
      <c r="U40" s="256"/>
      <c r="V40" s="256"/>
      <c r="W40" s="256"/>
      <c r="X40" s="256"/>
      <c r="Y40" s="256"/>
      <c r="Z40" s="256"/>
    </row>
    <row r="41" ht="12.75" customHeight="1">
      <c r="A41" s="419">
        <v>4018.0</v>
      </c>
      <c r="B41" s="420" t="s">
        <v>6895</v>
      </c>
      <c r="C41" s="420">
        <v>2012.0</v>
      </c>
      <c r="D41" s="497">
        <v>41269.0</v>
      </c>
      <c r="E41" s="422" t="s">
        <v>6896</v>
      </c>
      <c r="F41" s="394" t="s">
        <v>1834</v>
      </c>
      <c r="G41" s="422" t="s">
        <v>650</v>
      </c>
      <c r="H41" s="394" t="s">
        <v>3788</v>
      </c>
      <c r="I41" s="497">
        <v>43130.0</v>
      </c>
      <c r="J41" s="422">
        <v>1.0</v>
      </c>
      <c r="K41" s="575" t="s">
        <v>238</v>
      </c>
      <c r="L41" s="394" t="s">
        <v>256</v>
      </c>
      <c r="M41" s="528">
        <f t="shared" si="2"/>
        <v>1861</v>
      </c>
      <c r="N41" s="256"/>
      <c r="O41" s="322">
        <v>2018.0</v>
      </c>
      <c r="P41" s="346">
        <f>COUNTIF($C$2:$C$503,"2018")</f>
        <v>23</v>
      </c>
      <c r="Q41" s="113"/>
      <c r="R41" s="114"/>
      <c r="S41" s="343">
        <f>(P41/P42)</f>
        <v>0.05122494432</v>
      </c>
      <c r="T41" s="25"/>
      <c r="U41" s="256"/>
      <c r="V41" s="256"/>
      <c r="W41" s="256"/>
      <c r="X41" s="256"/>
      <c r="Y41" s="256"/>
      <c r="Z41" s="256"/>
    </row>
    <row r="42" ht="12.75" customHeight="1">
      <c r="A42" s="425">
        <v>4118.0</v>
      </c>
      <c r="B42" s="426" t="s">
        <v>6897</v>
      </c>
      <c r="C42" s="426">
        <v>2012.0</v>
      </c>
      <c r="D42" s="500">
        <v>41269.0</v>
      </c>
      <c r="E42" s="428" t="s">
        <v>6898</v>
      </c>
      <c r="F42" s="397" t="s">
        <v>1834</v>
      </c>
      <c r="G42" s="428" t="s">
        <v>650</v>
      </c>
      <c r="H42" s="397" t="s">
        <v>3788</v>
      </c>
      <c r="I42" s="500">
        <v>43130.0</v>
      </c>
      <c r="J42" s="428">
        <v>1.0</v>
      </c>
      <c r="K42" s="575" t="s">
        <v>238</v>
      </c>
      <c r="L42" s="397" t="s">
        <v>256</v>
      </c>
      <c r="M42" s="529">
        <f t="shared" si="2"/>
        <v>1861</v>
      </c>
      <c r="N42" s="256"/>
      <c r="O42" s="348" t="s">
        <v>179</v>
      </c>
      <c r="P42" s="349">
        <f>SUM(P29:R41)</f>
        <v>449</v>
      </c>
      <c r="Q42" s="350"/>
      <c r="R42" s="351"/>
      <c r="S42" s="352">
        <f>SUM(S29:S41)</f>
        <v>1</v>
      </c>
      <c r="T42" s="25"/>
      <c r="U42" s="256"/>
      <c r="V42" s="256"/>
      <c r="W42" s="256"/>
      <c r="X42" s="256"/>
      <c r="Y42" s="256"/>
      <c r="Z42" s="256"/>
    </row>
    <row r="43" ht="13.5" customHeight="1">
      <c r="A43" s="419">
        <v>4218.0</v>
      </c>
      <c r="B43" s="420" t="s">
        <v>6899</v>
      </c>
      <c r="C43" s="420">
        <v>2015.0</v>
      </c>
      <c r="D43" s="497">
        <v>42340.0</v>
      </c>
      <c r="E43" s="422" t="s">
        <v>6900</v>
      </c>
      <c r="F43" s="394" t="s">
        <v>1232</v>
      </c>
      <c r="G43" s="422" t="s">
        <v>17</v>
      </c>
      <c r="H43" s="394" t="s">
        <v>5016</v>
      </c>
      <c r="I43" s="497">
        <v>43130.0</v>
      </c>
      <c r="J43" s="422">
        <v>1.0</v>
      </c>
      <c r="K43" s="576" t="s">
        <v>228</v>
      </c>
      <c r="L43" s="394" t="s">
        <v>256</v>
      </c>
      <c r="M43" s="528">
        <f t="shared" si="2"/>
        <v>790</v>
      </c>
      <c r="N43" s="256"/>
      <c r="O43" s="25"/>
      <c r="P43" s="25"/>
      <c r="Q43" s="25"/>
      <c r="R43" s="25"/>
      <c r="S43" s="25"/>
      <c r="T43" s="25"/>
      <c r="U43" s="256"/>
      <c r="V43" s="256"/>
      <c r="W43" s="256"/>
      <c r="X43" s="256"/>
      <c r="Y43" s="256"/>
      <c r="Z43" s="256"/>
    </row>
    <row r="44" ht="15.0" customHeight="1">
      <c r="A44" s="425">
        <v>4318.0</v>
      </c>
      <c r="B44" s="426" t="s">
        <v>6901</v>
      </c>
      <c r="C44" s="426">
        <v>2015.0</v>
      </c>
      <c r="D44" s="500">
        <v>42202.0</v>
      </c>
      <c r="E44" s="428" t="s">
        <v>6902</v>
      </c>
      <c r="F44" s="397" t="s">
        <v>4572</v>
      </c>
      <c r="G44" s="428" t="s">
        <v>17</v>
      </c>
      <c r="H44" s="397" t="s">
        <v>26</v>
      </c>
      <c r="I44" s="500">
        <v>43130.0</v>
      </c>
      <c r="J44" s="428">
        <v>1.0</v>
      </c>
      <c r="K44" s="575" t="s">
        <v>238</v>
      </c>
      <c r="L44" s="397" t="s">
        <v>258</v>
      </c>
      <c r="M44" s="529">
        <f t="shared" si="2"/>
        <v>928</v>
      </c>
      <c r="N44" s="256"/>
      <c r="O44" s="327" t="s">
        <v>692</v>
      </c>
      <c r="P44" s="102"/>
      <c r="Q44" s="102"/>
      <c r="R44" s="102"/>
      <c r="S44" s="103"/>
      <c r="T44" s="25"/>
      <c r="U44" s="256"/>
      <c r="V44" s="256"/>
      <c r="W44" s="256"/>
      <c r="X44" s="256"/>
      <c r="Y44" s="256"/>
      <c r="Z44" s="256"/>
    </row>
    <row r="45" ht="15.0" customHeight="1">
      <c r="A45" s="419">
        <v>4418.0</v>
      </c>
      <c r="B45" s="420" t="s">
        <v>6903</v>
      </c>
      <c r="C45" s="420">
        <v>2014.0</v>
      </c>
      <c r="D45" s="497">
        <v>41953.0</v>
      </c>
      <c r="E45" s="422" t="s">
        <v>6904</v>
      </c>
      <c r="F45" s="394" t="s">
        <v>4572</v>
      </c>
      <c r="G45" s="422" t="s">
        <v>17</v>
      </c>
      <c r="H45" s="394" t="s">
        <v>583</v>
      </c>
      <c r="I45" s="497">
        <v>43130.0</v>
      </c>
      <c r="J45" s="422">
        <v>1.0</v>
      </c>
      <c r="K45" s="575" t="s">
        <v>238</v>
      </c>
      <c r="L45" s="394" t="s">
        <v>258</v>
      </c>
      <c r="M45" s="528">
        <f t="shared" si="2"/>
        <v>1177</v>
      </c>
      <c r="N45" s="256"/>
      <c r="O45" s="104"/>
      <c r="P45" s="105"/>
      <c r="Q45" s="105"/>
      <c r="R45" s="105"/>
      <c r="S45" s="106"/>
      <c r="T45" s="25"/>
      <c r="U45" s="256"/>
      <c r="V45" s="256"/>
      <c r="W45" s="256"/>
      <c r="X45" s="256"/>
      <c r="Y45" s="256"/>
      <c r="Z45" s="256"/>
    </row>
    <row r="46" ht="13.5" customHeight="1">
      <c r="A46" s="425">
        <v>4518.0</v>
      </c>
      <c r="B46" s="426" t="s">
        <v>6905</v>
      </c>
      <c r="C46" s="426">
        <v>2011.0</v>
      </c>
      <c r="D46" s="500">
        <v>40794.0</v>
      </c>
      <c r="E46" s="428" t="s">
        <v>6906</v>
      </c>
      <c r="F46" s="397" t="s">
        <v>4572</v>
      </c>
      <c r="G46" s="428" t="s">
        <v>17</v>
      </c>
      <c r="H46" s="397" t="s">
        <v>125</v>
      </c>
      <c r="I46" s="500">
        <v>43130.0</v>
      </c>
      <c r="J46" s="428">
        <v>1.0</v>
      </c>
      <c r="K46" s="575" t="s">
        <v>238</v>
      </c>
      <c r="L46" s="397" t="s">
        <v>258</v>
      </c>
      <c r="M46" s="529">
        <f t="shared" si="2"/>
        <v>2336</v>
      </c>
      <c r="N46" s="256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256"/>
      <c r="V46" s="256"/>
      <c r="W46" s="256"/>
      <c r="X46" s="256"/>
      <c r="Y46" s="256"/>
      <c r="Z46" s="256"/>
    </row>
    <row r="47" ht="15.75" customHeight="1">
      <c r="A47" s="419">
        <v>4618.0</v>
      </c>
      <c r="B47" s="420" t="s">
        <v>6907</v>
      </c>
      <c r="C47" s="420">
        <v>2013.0</v>
      </c>
      <c r="D47" s="497">
        <v>41536.0</v>
      </c>
      <c r="E47" s="422" t="s">
        <v>6908</v>
      </c>
      <c r="F47" s="394" t="s">
        <v>1834</v>
      </c>
      <c r="G47" s="422" t="s">
        <v>650</v>
      </c>
      <c r="H47" s="394" t="s">
        <v>3788</v>
      </c>
      <c r="I47" s="497">
        <v>43130.0</v>
      </c>
      <c r="J47" s="422">
        <v>1.0</v>
      </c>
      <c r="K47" s="575" t="s">
        <v>238</v>
      </c>
      <c r="L47" s="394" t="s">
        <v>256</v>
      </c>
      <c r="M47" s="528">
        <f t="shared" si="2"/>
        <v>1594</v>
      </c>
      <c r="N47" s="256"/>
      <c r="O47" s="353" t="s">
        <v>195</v>
      </c>
      <c r="P47" s="342">
        <f>COUNTIF($J$2:$J$476,"1")</f>
        <v>49</v>
      </c>
      <c r="Q47" s="332"/>
      <c r="R47" s="333"/>
      <c r="S47" s="354">
        <f>(P47/P59)</f>
        <v>0.1091314031</v>
      </c>
      <c r="T47" s="25"/>
      <c r="U47" s="256"/>
      <c r="V47" s="256"/>
      <c r="W47" s="256"/>
      <c r="X47" s="256"/>
      <c r="Y47" s="256"/>
      <c r="Z47" s="256"/>
    </row>
    <row r="48" ht="12.75" customHeight="1">
      <c r="A48" s="425">
        <v>4718.0</v>
      </c>
      <c r="B48" s="426" t="s">
        <v>6909</v>
      </c>
      <c r="C48" s="426">
        <v>2012.0</v>
      </c>
      <c r="D48" s="500">
        <v>41169.0</v>
      </c>
      <c r="E48" s="428" t="s">
        <v>6910</v>
      </c>
      <c r="F48" s="397" t="s">
        <v>148</v>
      </c>
      <c r="G48" s="428" t="s">
        <v>17</v>
      </c>
      <c r="H48" s="397" t="s">
        <v>6826</v>
      </c>
      <c r="I48" s="500">
        <v>43130.0</v>
      </c>
      <c r="J48" s="428">
        <v>1.0</v>
      </c>
      <c r="K48" s="575" t="s">
        <v>238</v>
      </c>
      <c r="L48" s="397" t="s">
        <v>256</v>
      </c>
      <c r="M48" s="529">
        <f t="shared" si="2"/>
        <v>1961</v>
      </c>
      <c r="N48" s="256"/>
      <c r="O48" s="321" t="s">
        <v>197</v>
      </c>
      <c r="P48" s="344">
        <f>COUNTIF($J$2:$J$476,"2")</f>
        <v>23</v>
      </c>
      <c r="Q48" s="113"/>
      <c r="R48" s="114"/>
      <c r="S48" s="345">
        <f>(P48/P59)</f>
        <v>0.05122494432</v>
      </c>
      <c r="T48" s="25"/>
      <c r="U48" s="256"/>
      <c r="V48" s="256"/>
      <c r="W48" s="256"/>
      <c r="X48" s="256"/>
      <c r="Y48" s="256"/>
      <c r="Z48" s="256"/>
    </row>
    <row r="49" ht="12.75" customHeight="1">
      <c r="A49" s="419">
        <v>4818.0</v>
      </c>
      <c r="B49" s="420" t="s">
        <v>6911</v>
      </c>
      <c r="C49" s="420">
        <v>2010.0</v>
      </c>
      <c r="D49" s="497">
        <v>40303.0</v>
      </c>
      <c r="E49" s="422" t="s">
        <v>6912</v>
      </c>
      <c r="F49" s="394" t="s">
        <v>1834</v>
      </c>
      <c r="G49" s="422" t="s">
        <v>650</v>
      </c>
      <c r="H49" s="394" t="s">
        <v>3788</v>
      </c>
      <c r="I49" s="497">
        <v>43130.0</v>
      </c>
      <c r="J49" s="422">
        <v>1.0</v>
      </c>
      <c r="K49" s="575" t="s">
        <v>238</v>
      </c>
      <c r="L49" s="394" t="s">
        <v>256</v>
      </c>
      <c r="M49" s="528">
        <f t="shared" si="2"/>
        <v>2827</v>
      </c>
      <c r="N49" s="256"/>
      <c r="O49" s="322" t="s">
        <v>199</v>
      </c>
      <c r="P49" s="346">
        <f>COUNTIF($J$2:$J$476,"3")</f>
        <v>42</v>
      </c>
      <c r="Q49" s="113"/>
      <c r="R49" s="114"/>
      <c r="S49" s="343">
        <f>(P49/P59)</f>
        <v>0.09354120267</v>
      </c>
      <c r="T49" s="25"/>
      <c r="U49" s="256"/>
      <c r="V49" s="256"/>
      <c r="W49" s="256"/>
      <c r="X49" s="256"/>
      <c r="Y49" s="256"/>
      <c r="Z49" s="256"/>
    </row>
    <row r="50" ht="12.75" customHeight="1">
      <c r="A50" s="425">
        <v>4918.0</v>
      </c>
      <c r="B50" s="426" t="s">
        <v>6897</v>
      </c>
      <c r="C50" s="426">
        <v>2012.0</v>
      </c>
      <c r="D50" s="500">
        <v>41269.0</v>
      </c>
      <c r="E50" s="428" t="s">
        <v>6913</v>
      </c>
      <c r="F50" s="397" t="s">
        <v>1834</v>
      </c>
      <c r="G50" s="428" t="s">
        <v>650</v>
      </c>
      <c r="H50" s="397" t="s">
        <v>3788</v>
      </c>
      <c r="I50" s="500">
        <v>43130.0</v>
      </c>
      <c r="J50" s="428">
        <v>1.0</v>
      </c>
      <c r="K50" s="575" t="s">
        <v>238</v>
      </c>
      <c r="L50" s="397" t="s">
        <v>256</v>
      </c>
      <c r="M50" s="529">
        <f t="shared" si="2"/>
        <v>1861</v>
      </c>
      <c r="N50" s="256"/>
      <c r="O50" s="321" t="s">
        <v>201</v>
      </c>
      <c r="P50" s="344">
        <f>COUNTIF($J$2:$J$476,"4")</f>
        <v>21</v>
      </c>
      <c r="Q50" s="113"/>
      <c r="R50" s="114"/>
      <c r="S50" s="345">
        <f>(P50/P59)</f>
        <v>0.04677060134</v>
      </c>
      <c r="T50" s="25"/>
      <c r="U50" s="256"/>
      <c r="V50" s="256"/>
      <c r="W50" s="256"/>
      <c r="X50" s="256"/>
      <c r="Y50" s="256"/>
      <c r="Z50" s="256"/>
    </row>
    <row r="51" ht="12.75" customHeight="1">
      <c r="A51" s="419">
        <v>5018.0</v>
      </c>
      <c r="B51" s="420" t="s">
        <v>6914</v>
      </c>
      <c r="C51" s="420">
        <v>2016.0</v>
      </c>
      <c r="D51" s="497">
        <v>42668.0</v>
      </c>
      <c r="E51" s="422" t="s">
        <v>6915</v>
      </c>
      <c r="F51" s="394" t="s">
        <v>5332</v>
      </c>
      <c r="G51" s="422" t="s">
        <v>569</v>
      </c>
      <c r="H51" s="394" t="s">
        <v>6916</v>
      </c>
      <c r="I51" s="497">
        <v>43130.0</v>
      </c>
      <c r="J51" s="422">
        <v>1.0</v>
      </c>
      <c r="K51" s="582" t="s">
        <v>6917</v>
      </c>
      <c r="L51" s="394" t="s">
        <v>260</v>
      </c>
      <c r="M51" s="528">
        <f t="shared" si="2"/>
        <v>462</v>
      </c>
      <c r="N51" s="256"/>
      <c r="O51" s="322" t="s">
        <v>203</v>
      </c>
      <c r="P51" s="346">
        <f>COUNTIF($J$2:$J$476,"5")</f>
        <v>39</v>
      </c>
      <c r="Q51" s="113"/>
      <c r="R51" s="114"/>
      <c r="S51" s="343">
        <f>(P51/P59)</f>
        <v>0.0868596882</v>
      </c>
      <c r="T51" s="25"/>
      <c r="U51" s="256"/>
      <c r="V51" s="256"/>
      <c r="W51" s="256"/>
      <c r="X51" s="256"/>
      <c r="Y51" s="256"/>
      <c r="Z51" s="256"/>
    </row>
    <row r="52" ht="12.75" customHeight="1">
      <c r="A52" s="425">
        <v>5118.0</v>
      </c>
      <c r="B52" s="426" t="s">
        <v>6918</v>
      </c>
      <c r="C52" s="426">
        <v>2016.0</v>
      </c>
      <c r="D52" s="500">
        <v>42527.0</v>
      </c>
      <c r="E52" s="428" t="s">
        <v>6919</v>
      </c>
      <c r="F52" s="397" t="s">
        <v>6920</v>
      </c>
      <c r="G52" s="428" t="s">
        <v>17</v>
      </c>
      <c r="H52" s="397" t="s">
        <v>6809</v>
      </c>
      <c r="I52" s="500">
        <v>43132.0</v>
      </c>
      <c r="J52" s="428">
        <v>2.0</v>
      </c>
      <c r="K52" s="575" t="s">
        <v>238</v>
      </c>
      <c r="L52" s="397" t="s">
        <v>256</v>
      </c>
      <c r="M52" s="529">
        <f t="shared" si="2"/>
        <v>605</v>
      </c>
      <c r="N52" s="256"/>
      <c r="O52" s="321" t="s">
        <v>205</v>
      </c>
      <c r="P52" s="344">
        <f>COUNTIF($J$2:$J$476,"6")</f>
        <v>33</v>
      </c>
      <c r="Q52" s="113"/>
      <c r="R52" s="114"/>
      <c r="S52" s="345">
        <f>(P52/P59)</f>
        <v>0.07349665924</v>
      </c>
      <c r="T52" s="25"/>
      <c r="U52" s="256"/>
      <c r="V52" s="256"/>
      <c r="W52" s="256"/>
      <c r="X52" s="256"/>
      <c r="Y52" s="256"/>
      <c r="Z52" s="256"/>
    </row>
    <row r="53" ht="13.5" customHeight="1">
      <c r="A53" s="419">
        <v>5218.0</v>
      </c>
      <c r="B53" s="420" t="s">
        <v>6921</v>
      </c>
      <c r="C53" s="420">
        <v>2016.0</v>
      </c>
      <c r="D53" s="497">
        <v>42681.0</v>
      </c>
      <c r="E53" s="422" t="s">
        <v>6922</v>
      </c>
      <c r="F53" s="394" t="s">
        <v>6920</v>
      </c>
      <c r="G53" s="422" t="s">
        <v>17</v>
      </c>
      <c r="H53" s="394" t="s">
        <v>6860</v>
      </c>
      <c r="I53" s="497">
        <v>43132.0</v>
      </c>
      <c r="J53" s="422">
        <v>2.0</v>
      </c>
      <c r="K53" s="575" t="s">
        <v>238</v>
      </c>
      <c r="L53" s="394" t="s">
        <v>256</v>
      </c>
      <c r="M53" s="528">
        <f t="shared" si="2"/>
        <v>451</v>
      </c>
      <c r="N53" s="256"/>
      <c r="O53" s="322" t="s">
        <v>207</v>
      </c>
      <c r="P53" s="346">
        <f>COUNTIF($J$2:$J$476,"7")</f>
        <v>30</v>
      </c>
      <c r="Q53" s="113"/>
      <c r="R53" s="114"/>
      <c r="S53" s="343">
        <f>(P53/P59)</f>
        <v>0.06681514477</v>
      </c>
      <c r="T53" s="25"/>
      <c r="U53" s="256"/>
      <c r="V53" s="256"/>
      <c r="W53" s="256"/>
      <c r="X53" s="256"/>
      <c r="Y53" s="256"/>
      <c r="Z53" s="256"/>
    </row>
    <row r="54" ht="14.25" customHeight="1">
      <c r="A54" s="425">
        <v>5318.0</v>
      </c>
      <c r="B54" s="426" t="s">
        <v>6923</v>
      </c>
      <c r="C54" s="426">
        <v>2016.0</v>
      </c>
      <c r="D54" s="500">
        <v>42543.0</v>
      </c>
      <c r="E54" s="428" t="s">
        <v>6924</v>
      </c>
      <c r="F54" s="397" t="s">
        <v>6920</v>
      </c>
      <c r="G54" s="428" t="s">
        <v>17</v>
      </c>
      <c r="H54" s="397" t="s">
        <v>583</v>
      </c>
      <c r="I54" s="500">
        <v>43132.0</v>
      </c>
      <c r="J54" s="428">
        <v>2.0</v>
      </c>
      <c r="K54" s="575" t="s">
        <v>238</v>
      </c>
      <c r="L54" s="397" t="s">
        <v>256</v>
      </c>
      <c r="M54" s="529">
        <f t="shared" si="2"/>
        <v>589</v>
      </c>
      <c r="N54" s="256"/>
      <c r="O54" s="321" t="s">
        <v>209</v>
      </c>
      <c r="P54" s="344">
        <f>COUNTIF($J$2:$J$476,"8")</f>
        <v>42</v>
      </c>
      <c r="Q54" s="113"/>
      <c r="R54" s="114"/>
      <c r="S54" s="345">
        <f>(P54/P59)</f>
        <v>0.09354120267</v>
      </c>
      <c r="T54" s="25"/>
      <c r="U54" s="256"/>
      <c r="V54" s="256"/>
      <c r="W54" s="256"/>
      <c r="X54" s="256"/>
      <c r="Y54" s="256"/>
      <c r="Z54" s="256"/>
    </row>
    <row r="55" ht="12.75" customHeight="1">
      <c r="A55" s="419">
        <v>5418.0</v>
      </c>
      <c r="B55" s="420" t="s">
        <v>6925</v>
      </c>
      <c r="C55" s="420">
        <v>2011.0</v>
      </c>
      <c r="D55" s="497">
        <v>40598.0</v>
      </c>
      <c r="E55" s="422" t="s">
        <v>6926</v>
      </c>
      <c r="F55" s="394" t="s">
        <v>711</v>
      </c>
      <c r="G55" s="422" t="s">
        <v>17</v>
      </c>
      <c r="H55" s="394" t="s">
        <v>56</v>
      </c>
      <c r="I55" s="497">
        <v>43139.0</v>
      </c>
      <c r="J55" s="422">
        <v>2.0</v>
      </c>
      <c r="K55" s="575" t="s">
        <v>238</v>
      </c>
      <c r="L55" s="394" t="s">
        <v>256</v>
      </c>
      <c r="M55" s="528">
        <f t="shared" si="2"/>
        <v>2541</v>
      </c>
      <c r="N55" s="256"/>
      <c r="O55" s="322" t="s">
        <v>211</v>
      </c>
      <c r="P55" s="346">
        <f>COUNTIF($J$2:$J$476,"9")</f>
        <v>37</v>
      </c>
      <c r="Q55" s="113"/>
      <c r="R55" s="114"/>
      <c r="S55" s="343">
        <f>(P55/P59)</f>
        <v>0.08240534521</v>
      </c>
      <c r="T55" s="25"/>
      <c r="U55" s="256"/>
      <c r="V55" s="256"/>
      <c r="W55" s="256"/>
      <c r="X55" s="256"/>
      <c r="Y55" s="256"/>
      <c r="Z55" s="256"/>
    </row>
    <row r="56" ht="12.75" customHeight="1">
      <c r="A56" s="425">
        <v>5518.0</v>
      </c>
      <c r="B56" s="426" t="s">
        <v>6927</v>
      </c>
      <c r="C56" s="426">
        <v>2014.0</v>
      </c>
      <c r="D56" s="500">
        <v>41978.0</v>
      </c>
      <c r="E56" s="428" t="s">
        <v>6928</v>
      </c>
      <c r="F56" s="397" t="s">
        <v>134</v>
      </c>
      <c r="G56" s="428" t="s">
        <v>17</v>
      </c>
      <c r="H56" s="397" t="s">
        <v>66</v>
      </c>
      <c r="I56" s="500">
        <v>43140.0</v>
      </c>
      <c r="J56" s="428">
        <v>2.0</v>
      </c>
      <c r="K56" s="577" t="s">
        <v>234</v>
      </c>
      <c r="L56" s="397" t="s">
        <v>258</v>
      </c>
      <c r="M56" s="529">
        <f t="shared" si="2"/>
        <v>1162</v>
      </c>
      <c r="N56" s="256"/>
      <c r="O56" s="321" t="s">
        <v>213</v>
      </c>
      <c r="P56" s="344">
        <f>COUNTIF($J$2:$J$476,"10")</f>
        <v>26</v>
      </c>
      <c r="Q56" s="113"/>
      <c r="R56" s="114"/>
      <c r="S56" s="345">
        <f>(P56/P59)</f>
        <v>0.0579064588</v>
      </c>
      <c r="T56" s="25"/>
      <c r="U56" s="256"/>
      <c r="V56" s="256"/>
      <c r="W56" s="256"/>
      <c r="X56" s="256"/>
      <c r="Y56" s="256"/>
      <c r="Z56" s="256"/>
    </row>
    <row r="57" ht="12.75" customHeight="1">
      <c r="A57" s="419">
        <v>5618.0</v>
      </c>
      <c r="B57" s="420" t="s">
        <v>6929</v>
      </c>
      <c r="C57" s="420">
        <v>2012.0</v>
      </c>
      <c r="D57" s="497">
        <v>41045.0</v>
      </c>
      <c r="E57" s="422" t="s">
        <v>6930</v>
      </c>
      <c r="F57" s="394" t="s">
        <v>1232</v>
      </c>
      <c r="G57" s="422" t="s">
        <v>17</v>
      </c>
      <c r="H57" s="394" t="s">
        <v>50</v>
      </c>
      <c r="I57" s="497">
        <v>43146.0</v>
      </c>
      <c r="J57" s="422">
        <v>2.0</v>
      </c>
      <c r="K57" s="576" t="s">
        <v>228</v>
      </c>
      <c r="L57" s="394" t="s">
        <v>256</v>
      </c>
      <c r="M57" s="528">
        <f t="shared" si="2"/>
        <v>2101</v>
      </c>
      <c r="N57" s="256"/>
      <c r="O57" s="322" t="s">
        <v>215</v>
      </c>
      <c r="P57" s="346">
        <f>COUNTIF($J$2:$J$476,"11")</f>
        <v>71</v>
      </c>
      <c r="Q57" s="113"/>
      <c r="R57" s="114"/>
      <c r="S57" s="343">
        <f>(P57/P59)</f>
        <v>0.1581291759</v>
      </c>
      <c r="T57" s="25"/>
      <c r="U57" s="256"/>
      <c r="V57" s="256"/>
      <c r="W57" s="256"/>
      <c r="X57" s="256"/>
      <c r="Y57" s="256"/>
      <c r="Z57" s="256"/>
    </row>
    <row r="58" ht="13.5" customHeight="1">
      <c r="A58" s="425">
        <v>5718.0</v>
      </c>
      <c r="B58" s="426" t="s">
        <v>6931</v>
      </c>
      <c r="C58" s="426">
        <v>2009.0</v>
      </c>
      <c r="D58" s="500">
        <v>39954.0</v>
      </c>
      <c r="E58" s="428" t="s">
        <v>6932</v>
      </c>
      <c r="F58" s="397" t="s">
        <v>1846</v>
      </c>
      <c r="G58" s="428" t="s">
        <v>552</v>
      </c>
      <c r="H58" s="397" t="s">
        <v>1588</v>
      </c>
      <c r="I58" s="500">
        <v>43147.0</v>
      </c>
      <c r="J58" s="428">
        <v>2.0</v>
      </c>
      <c r="K58" s="575" t="s">
        <v>238</v>
      </c>
      <c r="L58" s="397" t="s">
        <v>258</v>
      </c>
      <c r="M58" s="529">
        <f t="shared" si="2"/>
        <v>3193</v>
      </c>
      <c r="N58" s="256"/>
      <c r="O58" s="355" t="s">
        <v>217</v>
      </c>
      <c r="P58" s="344">
        <f>COUNTIF($J$2:$J$476,"12")</f>
        <v>36</v>
      </c>
      <c r="Q58" s="113"/>
      <c r="R58" s="114"/>
      <c r="S58" s="356">
        <f>(P58/P59)</f>
        <v>0.08017817372</v>
      </c>
      <c r="T58" s="25"/>
      <c r="U58" s="256"/>
      <c r="V58" s="256"/>
      <c r="W58" s="256"/>
      <c r="X58" s="256"/>
      <c r="Y58" s="256"/>
      <c r="Z58" s="256"/>
    </row>
    <row r="59" ht="12.75" customHeight="1">
      <c r="A59" s="419">
        <v>5818.0</v>
      </c>
      <c r="B59" s="420" t="s">
        <v>6933</v>
      </c>
      <c r="C59" s="420">
        <v>2009.0</v>
      </c>
      <c r="D59" s="497">
        <v>39843.0</v>
      </c>
      <c r="E59" s="422" t="s">
        <v>6934</v>
      </c>
      <c r="F59" s="394" t="s">
        <v>6935</v>
      </c>
      <c r="G59" s="422" t="s">
        <v>650</v>
      </c>
      <c r="H59" s="394" t="s">
        <v>4380</v>
      </c>
      <c r="I59" s="497">
        <v>43150.0</v>
      </c>
      <c r="J59" s="422">
        <v>2.0</v>
      </c>
      <c r="K59" s="577" t="s">
        <v>234</v>
      </c>
      <c r="L59" s="394" t="s">
        <v>256</v>
      </c>
      <c r="M59" s="528">
        <f t="shared" si="2"/>
        <v>3307</v>
      </c>
      <c r="N59" s="256"/>
      <c r="O59" s="348" t="s">
        <v>219</v>
      </c>
      <c r="P59" s="349">
        <f>SUM(P47:R58)</f>
        <v>449</v>
      </c>
      <c r="Q59" s="350"/>
      <c r="R59" s="351"/>
      <c r="S59" s="352">
        <f>SUM(S47:S58)</f>
        <v>1</v>
      </c>
      <c r="T59" s="25"/>
      <c r="U59" s="256"/>
      <c r="V59" s="256"/>
      <c r="W59" s="256"/>
      <c r="X59" s="256"/>
      <c r="Y59" s="256"/>
      <c r="Z59" s="256"/>
    </row>
    <row r="60" ht="12.75" customHeight="1">
      <c r="A60" s="425">
        <v>5918.0</v>
      </c>
      <c r="B60" s="426" t="s">
        <v>6936</v>
      </c>
      <c r="C60" s="426">
        <v>2011.0</v>
      </c>
      <c r="D60" s="500">
        <v>40602.0</v>
      </c>
      <c r="E60" s="428" t="s">
        <v>6937</v>
      </c>
      <c r="F60" s="397" t="s">
        <v>963</v>
      </c>
      <c r="G60" s="428" t="s">
        <v>552</v>
      </c>
      <c r="H60" s="397" t="s">
        <v>6809</v>
      </c>
      <c r="I60" s="500">
        <v>43150.0</v>
      </c>
      <c r="J60" s="428">
        <v>2.0</v>
      </c>
      <c r="K60" s="576" t="s">
        <v>228</v>
      </c>
      <c r="L60" s="397" t="s">
        <v>258</v>
      </c>
      <c r="M60" s="529">
        <f t="shared" si="2"/>
        <v>2548</v>
      </c>
      <c r="N60" s="256"/>
      <c r="O60" s="25"/>
      <c r="P60" s="25"/>
      <c r="Q60" s="25"/>
      <c r="R60" s="25"/>
      <c r="S60" s="25"/>
      <c r="T60" s="25"/>
      <c r="U60" s="256"/>
      <c r="V60" s="256"/>
      <c r="W60" s="256"/>
      <c r="X60" s="256"/>
      <c r="Y60" s="256"/>
      <c r="Z60" s="256"/>
    </row>
    <row r="61" ht="13.5" customHeight="1">
      <c r="A61" s="419">
        <v>6018.0</v>
      </c>
      <c r="B61" s="420" t="s">
        <v>6938</v>
      </c>
      <c r="C61" s="420">
        <v>2017.0</v>
      </c>
      <c r="D61" s="497">
        <v>42887.0</v>
      </c>
      <c r="E61" s="422" t="s">
        <v>6939</v>
      </c>
      <c r="F61" s="394" t="s">
        <v>1849</v>
      </c>
      <c r="G61" s="422" t="s">
        <v>569</v>
      </c>
      <c r="H61" s="394" t="s">
        <v>3523</v>
      </c>
      <c r="I61" s="497">
        <v>43150.0</v>
      </c>
      <c r="J61" s="422">
        <v>2.0</v>
      </c>
      <c r="K61" s="582" t="s">
        <v>6917</v>
      </c>
      <c r="L61" s="394" t="s">
        <v>260</v>
      </c>
      <c r="M61" s="528">
        <f t="shared" si="2"/>
        <v>263</v>
      </c>
      <c r="N61" s="256"/>
      <c r="O61" s="357" t="s">
        <v>222</v>
      </c>
      <c r="P61" s="102"/>
      <c r="Q61" s="102"/>
      <c r="R61" s="102"/>
      <c r="S61" s="102"/>
      <c r="T61" s="103"/>
      <c r="U61" s="256"/>
      <c r="V61" s="256"/>
      <c r="W61" s="256"/>
      <c r="X61" s="256"/>
      <c r="Y61" s="256"/>
      <c r="Z61" s="256"/>
    </row>
    <row r="62" ht="13.5" customHeight="1">
      <c r="A62" s="425">
        <v>6118.0</v>
      </c>
      <c r="B62" s="426" t="s">
        <v>6940</v>
      </c>
      <c r="C62" s="426">
        <v>2015.0</v>
      </c>
      <c r="D62" s="500">
        <v>42290.0</v>
      </c>
      <c r="E62" s="428" t="s">
        <v>6941</v>
      </c>
      <c r="F62" s="397" t="s">
        <v>595</v>
      </c>
      <c r="G62" s="428" t="s">
        <v>17</v>
      </c>
      <c r="H62" s="397" t="s">
        <v>56</v>
      </c>
      <c r="I62" s="500">
        <v>43153.0</v>
      </c>
      <c r="J62" s="428">
        <v>2.0</v>
      </c>
      <c r="K62" s="576" t="s">
        <v>228</v>
      </c>
      <c r="L62" s="397" t="s">
        <v>254</v>
      </c>
      <c r="M62" s="529">
        <f t="shared" si="2"/>
        <v>863</v>
      </c>
      <c r="N62" s="256"/>
      <c r="O62" s="104"/>
      <c r="P62" s="105"/>
      <c r="Q62" s="105"/>
      <c r="R62" s="105"/>
      <c r="S62" s="105"/>
      <c r="T62" s="106"/>
      <c r="U62" s="256"/>
      <c r="V62" s="256"/>
      <c r="W62" s="256"/>
      <c r="X62" s="256"/>
      <c r="Y62" s="256"/>
      <c r="Z62" s="256"/>
    </row>
    <row r="63" ht="13.5" customHeight="1">
      <c r="A63" s="419">
        <v>6218.0</v>
      </c>
      <c r="B63" s="420" t="s">
        <v>6942</v>
      </c>
      <c r="C63" s="420">
        <v>2011.0</v>
      </c>
      <c r="D63" s="497">
        <v>40599.0</v>
      </c>
      <c r="E63" s="422" t="s">
        <v>6943</v>
      </c>
      <c r="F63" s="394" t="s">
        <v>595</v>
      </c>
      <c r="G63" s="422" t="s">
        <v>17</v>
      </c>
      <c r="H63" s="394" t="s">
        <v>775</v>
      </c>
      <c r="I63" s="497">
        <v>43153.0</v>
      </c>
      <c r="J63" s="422">
        <v>2.0</v>
      </c>
      <c r="K63" s="576" t="s">
        <v>228</v>
      </c>
      <c r="L63" s="394" t="s">
        <v>254</v>
      </c>
      <c r="M63" s="528">
        <f t="shared" si="2"/>
        <v>2554</v>
      </c>
      <c r="N63" s="256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256"/>
      <c r="V63" s="256"/>
      <c r="W63" s="256"/>
      <c r="X63" s="256"/>
      <c r="Y63" s="256"/>
      <c r="Z63" s="256"/>
    </row>
    <row r="64" ht="12.75" customHeight="1">
      <c r="A64" s="425">
        <v>6318.0</v>
      </c>
      <c r="B64" s="426" t="s">
        <v>6944</v>
      </c>
      <c r="C64" s="426">
        <v>2015.0</v>
      </c>
      <c r="D64" s="500">
        <v>42233.0</v>
      </c>
      <c r="E64" s="428" t="s">
        <v>6945</v>
      </c>
      <c r="F64" s="397" t="s">
        <v>44</v>
      </c>
      <c r="G64" s="428" t="s">
        <v>17</v>
      </c>
      <c r="H64" s="397" t="s">
        <v>881</v>
      </c>
      <c r="I64" s="500">
        <v>43153.0</v>
      </c>
      <c r="J64" s="428">
        <v>2.0</v>
      </c>
      <c r="K64" s="576" t="s">
        <v>228</v>
      </c>
      <c r="L64" s="397" t="s">
        <v>258</v>
      </c>
      <c r="M64" s="529">
        <f t="shared" si="2"/>
        <v>920</v>
      </c>
      <c r="N64" s="256"/>
      <c r="O64" s="522" t="s">
        <v>228</v>
      </c>
      <c r="P64" s="523"/>
      <c r="Q64" s="523"/>
      <c r="R64" s="524"/>
      <c r="S64" s="365">
        <f>COUNTIF($K$2:$K$476,"I - Extremamente tóxico")</f>
        <v>125</v>
      </c>
      <c r="T64" s="366">
        <f>(S64/S76)</f>
        <v>0.2783964365</v>
      </c>
      <c r="U64" s="256"/>
      <c r="V64" s="256"/>
      <c r="W64" s="256"/>
      <c r="X64" s="256"/>
      <c r="Y64" s="256"/>
      <c r="Z64" s="256"/>
    </row>
    <row r="65" ht="12.75" customHeight="1">
      <c r="A65" s="419">
        <v>6418.0</v>
      </c>
      <c r="B65" s="420" t="s">
        <v>6946</v>
      </c>
      <c r="C65" s="420">
        <v>2016.0</v>
      </c>
      <c r="D65" s="497">
        <v>42726.0</v>
      </c>
      <c r="E65" s="422" t="s">
        <v>6947</v>
      </c>
      <c r="F65" s="394" t="s">
        <v>2614</v>
      </c>
      <c r="G65" s="422" t="s">
        <v>569</v>
      </c>
      <c r="H65" s="394" t="s">
        <v>6948</v>
      </c>
      <c r="I65" s="497">
        <v>43157.0</v>
      </c>
      <c r="J65" s="422">
        <v>2.0</v>
      </c>
      <c r="K65" s="582" t="s">
        <v>244</v>
      </c>
      <c r="L65" s="394" t="s">
        <v>260</v>
      </c>
      <c r="M65" s="528">
        <f t="shared" si="2"/>
        <v>431</v>
      </c>
      <c r="N65" s="256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256"/>
      <c r="V65" s="256"/>
      <c r="W65" s="256"/>
      <c r="X65" s="256"/>
      <c r="Y65" s="256"/>
      <c r="Z65" s="256"/>
    </row>
    <row r="66" ht="12.75" customHeight="1">
      <c r="A66" s="425">
        <v>6518.0</v>
      </c>
      <c r="B66" s="426" t="s">
        <v>6949</v>
      </c>
      <c r="C66" s="426">
        <v>2015.0</v>
      </c>
      <c r="D66" s="500">
        <v>42108.0</v>
      </c>
      <c r="E66" s="428" t="s">
        <v>6950</v>
      </c>
      <c r="F66" s="397" t="s">
        <v>171</v>
      </c>
      <c r="G66" s="428" t="s">
        <v>552</v>
      </c>
      <c r="H66" s="397" t="s">
        <v>6860</v>
      </c>
      <c r="I66" s="500">
        <v>43157.0</v>
      </c>
      <c r="J66" s="428">
        <v>2.0</v>
      </c>
      <c r="K66" s="575" t="s">
        <v>238</v>
      </c>
      <c r="L66" s="397" t="s">
        <v>256</v>
      </c>
      <c r="M66" s="529">
        <f t="shared" si="2"/>
        <v>1049</v>
      </c>
      <c r="N66" s="256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256"/>
      <c r="V66" s="256"/>
      <c r="W66" s="256"/>
      <c r="X66" s="256"/>
      <c r="Y66" s="256"/>
      <c r="Z66" s="256"/>
    </row>
    <row r="67" ht="12.75" customHeight="1">
      <c r="A67" s="419">
        <v>6618.0</v>
      </c>
      <c r="B67" s="420" t="s">
        <v>6951</v>
      </c>
      <c r="C67" s="420">
        <v>2016.0</v>
      </c>
      <c r="D67" s="497">
        <v>42494.0</v>
      </c>
      <c r="E67" s="422" t="s">
        <v>6952</v>
      </c>
      <c r="F67" s="394" t="s">
        <v>3544</v>
      </c>
      <c r="G67" s="422" t="s">
        <v>565</v>
      </c>
      <c r="H67" s="394" t="s">
        <v>6239</v>
      </c>
      <c r="I67" s="497">
        <v>43157.0</v>
      </c>
      <c r="J67" s="422">
        <v>2.0</v>
      </c>
      <c r="K67" s="582" t="s">
        <v>244</v>
      </c>
      <c r="L67" s="394" t="s">
        <v>260</v>
      </c>
      <c r="M67" s="528">
        <f t="shared" si="2"/>
        <v>663</v>
      </c>
      <c r="N67" s="256"/>
      <c r="O67" s="372" t="s">
        <v>234</v>
      </c>
      <c r="P67" s="368"/>
      <c r="Q67" s="368"/>
      <c r="R67" s="369"/>
      <c r="S67" s="373">
        <f>COUNTIF($K$2:$K$476,"II - Altamente tóxico")</f>
        <v>58</v>
      </c>
      <c r="T67" s="374">
        <f>(S67/S76)</f>
        <v>0.1291759465</v>
      </c>
      <c r="U67" s="256"/>
      <c r="V67" s="256"/>
      <c r="W67" s="256"/>
      <c r="X67" s="256"/>
      <c r="Y67" s="256"/>
      <c r="Z67" s="256"/>
    </row>
    <row r="68" ht="12.75" customHeight="1">
      <c r="A68" s="425">
        <v>6718.0</v>
      </c>
      <c r="B68" s="426" t="s">
        <v>6953</v>
      </c>
      <c r="C68" s="426">
        <v>2016.0</v>
      </c>
      <c r="D68" s="500">
        <v>42727.0</v>
      </c>
      <c r="E68" s="428" t="s">
        <v>6954</v>
      </c>
      <c r="F68" s="397" t="s">
        <v>6955</v>
      </c>
      <c r="G68" s="428" t="s">
        <v>569</v>
      </c>
      <c r="H68" s="397" t="s">
        <v>6956</v>
      </c>
      <c r="I68" s="500">
        <v>43157.0</v>
      </c>
      <c r="J68" s="428">
        <v>2.0</v>
      </c>
      <c r="K68" s="582" t="s">
        <v>244</v>
      </c>
      <c r="L68" s="397" t="s">
        <v>260</v>
      </c>
      <c r="M68" s="529">
        <f t="shared" si="2"/>
        <v>430</v>
      </c>
      <c r="N68" s="256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256"/>
      <c r="V68" s="256"/>
      <c r="W68" s="256"/>
      <c r="X68" s="256"/>
      <c r="Y68" s="256"/>
      <c r="Z68" s="256"/>
    </row>
    <row r="69" ht="12.75" customHeight="1">
      <c r="A69" s="419">
        <v>6818.0</v>
      </c>
      <c r="B69" s="420" t="s">
        <v>6957</v>
      </c>
      <c r="C69" s="420">
        <v>2017.0</v>
      </c>
      <c r="D69" s="497">
        <v>42789.0</v>
      </c>
      <c r="E69" s="422" t="s">
        <v>6958</v>
      </c>
      <c r="F69" s="394" t="s">
        <v>6920</v>
      </c>
      <c r="G69" s="422" t="s">
        <v>17</v>
      </c>
      <c r="H69" s="394" t="s">
        <v>6846</v>
      </c>
      <c r="I69" s="497">
        <v>43158.0</v>
      </c>
      <c r="J69" s="422">
        <v>2.0</v>
      </c>
      <c r="K69" s="575" t="s">
        <v>238</v>
      </c>
      <c r="L69" s="394" t="s">
        <v>256</v>
      </c>
      <c r="M69" s="528">
        <f t="shared" si="2"/>
        <v>369</v>
      </c>
      <c r="N69" s="256"/>
      <c r="O69" s="375" t="s">
        <v>238</v>
      </c>
      <c r="P69" s="368"/>
      <c r="Q69" s="368"/>
      <c r="R69" s="369"/>
      <c r="S69" s="376">
        <f>COUNTIF($K$2:$K$476,"III - Medianamente tóxico")</f>
        <v>205</v>
      </c>
      <c r="T69" s="377">
        <f>(S69/S76)</f>
        <v>0.4565701559</v>
      </c>
      <c r="U69" s="256"/>
      <c r="V69" s="256"/>
      <c r="W69" s="256"/>
      <c r="X69" s="256"/>
      <c r="Y69" s="256"/>
      <c r="Z69" s="256"/>
    </row>
    <row r="70" ht="12.75" customHeight="1">
      <c r="A70" s="425">
        <v>6918.0</v>
      </c>
      <c r="B70" s="426" t="s">
        <v>6959</v>
      </c>
      <c r="C70" s="426">
        <v>2015.0</v>
      </c>
      <c r="D70" s="500">
        <v>42023.0</v>
      </c>
      <c r="E70" s="428" t="s">
        <v>6960</v>
      </c>
      <c r="F70" s="397" t="s">
        <v>6920</v>
      </c>
      <c r="G70" s="428" t="s">
        <v>17</v>
      </c>
      <c r="H70" s="397" t="s">
        <v>6826</v>
      </c>
      <c r="I70" s="500">
        <v>43158.0</v>
      </c>
      <c r="J70" s="428">
        <v>2.0</v>
      </c>
      <c r="K70" s="575" t="s">
        <v>238</v>
      </c>
      <c r="L70" s="397" t="s">
        <v>256</v>
      </c>
      <c r="M70" s="529">
        <f t="shared" si="2"/>
        <v>1135</v>
      </c>
      <c r="N70" s="256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256"/>
      <c r="V70" s="256"/>
      <c r="W70" s="256"/>
      <c r="X70" s="256"/>
      <c r="Y70" s="256"/>
      <c r="Z70" s="256"/>
    </row>
    <row r="71" ht="12.75" customHeight="1">
      <c r="A71" s="419">
        <v>7018.0</v>
      </c>
      <c r="B71" s="420" t="s">
        <v>6961</v>
      </c>
      <c r="C71" s="420">
        <v>2016.0</v>
      </c>
      <c r="D71" s="497">
        <v>42389.0</v>
      </c>
      <c r="E71" s="422" t="s">
        <v>6962</v>
      </c>
      <c r="F71" s="394" t="s">
        <v>1968</v>
      </c>
      <c r="G71" s="422" t="s">
        <v>17</v>
      </c>
      <c r="H71" s="394" t="s">
        <v>5127</v>
      </c>
      <c r="I71" s="497">
        <v>43158.0</v>
      </c>
      <c r="J71" s="422">
        <v>2.0</v>
      </c>
      <c r="K71" s="576" t="s">
        <v>228</v>
      </c>
      <c r="L71" s="394" t="s">
        <v>256</v>
      </c>
      <c r="M71" s="528">
        <f t="shared" si="2"/>
        <v>769</v>
      </c>
      <c r="N71" s="256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256"/>
      <c r="V71" s="256"/>
      <c r="W71" s="256"/>
      <c r="X71" s="256"/>
      <c r="Y71" s="256"/>
      <c r="Z71" s="256"/>
    </row>
    <row r="72" ht="12.75" customHeight="1">
      <c r="A72" s="425">
        <v>7118.0</v>
      </c>
      <c r="B72" s="426" t="s">
        <v>6963</v>
      </c>
      <c r="C72" s="426">
        <v>2015.0</v>
      </c>
      <c r="D72" s="500">
        <v>42359.0</v>
      </c>
      <c r="E72" s="428" t="s">
        <v>6964</v>
      </c>
      <c r="F72" s="397" t="s">
        <v>5247</v>
      </c>
      <c r="G72" s="428" t="s">
        <v>17</v>
      </c>
      <c r="H72" s="397" t="s">
        <v>26</v>
      </c>
      <c r="I72" s="500">
        <v>43158.0</v>
      </c>
      <c r="J72" s="428">
        <v>2.0</v>
      </c>
      <c r="K72" s="575" t="s">
        <v>238</v>
      </c>
      <c r="L72" s="397" t="s">
        <v>256</v>
      </c>
      <c r="M72" s="529">
        <f t="shared" si="2"/>
        <v>799</v>
      </c>
      <c r="N72" s="256"/>
      <c r="O72" s="378" t="s">
        <v>244</v>
      </c>
      <c r="P72" s="368"/>
      <c r="Q72" s="368"/>
      <c r="R72" s="369"/>
      <c r="S72" s="379">
        <f>COUNTIF($K$2:$K$476,"IV - Pouco tóxico")</f>
        <v>55</v>
      </c>
      <c r="T72" s="380">
        <f>(S72/S76)</f>
        <v>0.1224944321</v>
      </c>
      <c r="U72" s="256"/>
      <c r="V72" s="256"/>
      <c r="W72" s="256"/>
      <c r="X72" s="256"/>
      <c r="Y72" s="256"/>
      <c r="Z72" s="256"/>
    </row>
    <row r="73" ht="12.75" customHeight="1">
      <c r="A73" s="419">
        <v>7218.0</v>
      </c>
      <c r="B73" s="420" t="s">
        <v>6965</v>
      </c>
      <c r="C73" s="420">
        <v>2014.0</v>
      </c>
      <c r="D73" s="497">
        <v>41745.0</v>
      </c>
      <c r="E73" s="422" t="s">
        <v>6966</v>
      </c>
      <c r="F73" s="394" t="s">
        <v>6920</v>
      </c>
      <c r="G73" s="422" t="s">
        <v>17</v>
      </c>
      <c r="H73" s="394" t="s">
        <v>50</v>
      </c>
      <c r="I73" s="497">
        <v>43158.0</v>
      </c>
      <c r="J73" s="422">
        <v>2.0</v>
      </c>
      <c r="K73" s="575" t="s">
        <v>238</v>
      </c>
      <c r="L73" s="394" t="s">
        <v>256</v>
      </c>
      <c r="M73" s="528">
        <f t="shared" si="2"/>
        <v>1413</v>
      </c>
      <c r="N73" s="256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256"/>
      <c r="V73" s="256"/>
      <c r="W73" s="256"/>
      <c r="X73" s="256"/>
      <c r="Y73" s="256"/>
      <c r="Z73" s="256"/>
    </row>
    <row r="74" ht="12.75" customHeight="1">
      <c r="A74" s="425">
        <v>7318.0</v>
      </c>
      <c r="B74" s="426" t="s">
        <v>6967</v>
      </c>
      <c r="C74" s="426">
        <v>2014.0</v>
      </c>
      <c r="D74" s="500">
        <v>41936.0</v>
      </c>
      <c r="E74" s="428" t="s">
        <v>6968</v>
      </c>
      <c r="F74" s="397" t="s">
        <v>6920</v>
      </c>
      <c r="G74" s="428" t="s">
        <v>17</v>
      </c>
      <c r="H74" s="397" t="s">
        <v>596</v>
      </c>
      <c r="I74" s="500">
        <v>43158.0</v>
      </c>
      <c r="J74" s="428">
        <v>2.0</v>
      </c>
      <c r="K74" s="575" t="s">
        <v>238</v>
      </c>
      <c r="L74" s="397" t="s">
        <v>256</v>
      </c>
      <c r="M74" s="529">
        <f t="shared" si="2"/>
        <v>1222</v>
      </c>
      <c r="N74" s="256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6</v>
      </c>
      <c r="T74" s="380">
        <f>(S74/S76)</f>
        <v>0.01336302895</v>
      </c>
      <c r="U74" s="256"/>
      <c r="V74" s="256"/>
      <c r="W74" s="256"/>
      <c r="X74" s="256"/>
      <c r="Y74" s="256"/>
      <c r="Z74" s="256"/>
    </row>
    <row r="75" ht="13.5" customHeight="1">
      <c r="A75" s="419">
        <v>7418.0</v>
      </c>
      <c r="B75" s="420" t="s">
        <v>6969</v>
      </c>
      <c r="C75" s="420">
        <v>2015.0</v>
      </c>
      <c r="D75" s="497">
        <v>42177.0</v>
      </c>
      <c r="E75" s="422" t="s">
        <v>6970</v>
      </c>
      <c r="F75" s="394" t="s">
        <v>739</v>
      </c>
      <c r="G75" s="422" t="s">
        <v>17</v>
      </c>
      <c r="H75" s="394" t="s">
        <v>6809</v>
      </c>
      <c r="I75" s="497">
        <v>43159.0</v>
      </c>
      <c r="J75" s="422">
        <v>3.0</v>
      </c>
      <c r="K75" s="577" t="s">
        <v>234</v>
      </c>
      <c r="L75" s="394" t="s">
        <v>258</v>
      </c>
      <c r="M75" s="528">
        <f t="shared" si="2"/>
        <v>982</v>
      </c>
      <c r="N75" s="256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256"/>
      <c r="V75" s="256"/>
      <c r="W75" s="256"/>
      <c r="X75" s="256"/>
      <c r="Y75" s="256"/>
      <c r="Z75" s="256"/>
    </row>
    <row r="76" ht="13.5" customHeight="1">
      <c r="A76" s="425">
        <v>7518.0</v>
      </c>
      <c r="B76" s="426" t="s">
        <v>6971</v>
      </c>
      <c r="C76" s="426">
        <v>2016.0</v>
      </c>
      <c r="D76" s="500">
        <v>42599.0</v>
      </c>
      <c r="E76" s="428" t="s">
        <v>6972</v>
      </c>
      <c r="F76" s="397" t="s">
        <v>739</v>
      </c>
      <c r="G76" s="428" t="s">
        <v>552</v>
      </c>
      <c r="H76" s="397" t="s">
        <v>583</v>
      </c>
      <c r="I76" s="500">
        <v>43161.0</v>
      </c>
      <c r="J76" s="428">
        <v>3.0</v>
      </c>
      <c r="K76" s="576" t="s">
        <v>228</v>
      </c>
      <c r="L76" s="397" t="s">
        <v>258</v>
      </c>
      <c r="M76" s="529">
        <f t="shared" si="2"/>
        <v>562</v>
      </c>
      <c r="N76" s="256"/>
      <c r="O76" s="386" t="s">
        <v>219</v>
      </c>
      <c r="P76" s="332"/>
      <c r="Q76" s="332"/>
      <c r="R76" s="387"/>
      <c r="S76" s="388">
        <f>SUM(S64:S75)</f>
        <v>449</v>
      </c>
      <c r="T76" s="389">
        <f>(S76/S76)</f>
        <v>1</v>
      </c>
      <c r="U76" s="256"/>
      <c r="V76" s="256"/>
      <c r="W76" s="256"/>
      <c r="X76" s="256"/>
      <c r="Y76" s="256"/>
      <c r="Z76" s="256"/>
    </row>
    <row r="77" ht="15.0" customHeight="1">
      <c r="A77" s="419">
        <v>7618.0</v>
      </c>
      <c r="B77" s="420" t="s">
        <v>6973</v>
      </c>
      <c r="C77" s="420">
        <v>2012.0</v>
      </c>
      <c r="D77" s="497">
        <v>41061.0</v>
      </c>
      <c r="E77" s="422" t="s">
        <v>6974</v>
      </c>
      <c r="F77" s="394" t="s">
        <v>711</v>
      </c>
      <c r="G77" s="422" t="s">
        <v>552</v>
      </c>
      <c r="H77" s="394" t="s">
        <v>775</v>
      </c>
      <c r="I77" s="497">
        <v>43164.0</v>
      </c>
      <c r="J77" s="422">
        <v>3.0</v>
      </c>
      <c r="K77" s="575" t="s">
        <v>238</v>
      </c>
      <c r="L77" s="394" t="s">
        <v>258</v>
      </c>
      <c r="M77" s="528">
        <f t="shared" si="2"/>
        <v>2103</v>
      </c>
      <c r="N77" s="256"/>
      <c r="O77" s="25"/>
      <c r="P77" s="25"/>
      <c r="Q77" s="25"/>
      <c r="R77" s="25"/>
      <c r="S77" s="25"/>
      <c r="T77" s="25"/>
      <c r="U77" s="256"/>
      <c r="V77" s="256"/>
      <c r="W77" s="256"/>
      <c r="X77" s="256"/>
      <c r="Y77" s="256"/>
      <c r="Z77" s="256"/>
    </row>
    <row r="78" ht="13.5" customHeight="1">
      <c r="A78" s="425">
        <v>7718.0</v>
      </c>
      <c r="B78" s="426" t="s">
        <v>6975</v>
      </c>
      <c r="C78" s="426">
        <v>2015.0</v>
      </c>
      <c r="D78" s="500">
        <v>42107.0</v>
      </c>
      <c r="E78" s="428" t="s">
        <v>6976</v>
      </c>
      <c r="F78" s="397" t="s">
        <v>1232</v>
      </c>
      <c r="G78" s="428" t="s">
        <v>552</v>
      </c>
      <c r="H78" s="397" t="s">
        <v>50</v>
      </c>
      <c r="I78" s="500">
        <v>43164.0</v>
      </c>
      <c r="J78" s="428">
        <v>3.0</v>
      </c>
      <c r="K78" s="575" t="s">
        <v>238</v>
      </c>
      <c r="L78" s="397" t="s">
        <v>258</v>
      </c>
      <c r="M78" s="529">
        <f t="shared" si="2"/>
        <v>1057</v>
      </c>
      <c r="N78" s="256"/>
      <c r="O78" s="357" t="s">
        <v>11</v>
      </c>
      <c r="P78" s="102"/>
      <c r="Q78" s="102"/>
      <c r="R78" s="102"/>
      <c r="S78" s="102"/>
      <c r="T78" s="103"/>
      <c r="U78" s="256"/>
      <c r="V78" s="256"/>
      <c r="W78" s="256"/>
      <c r="X78" s="256"/>
      <c r="Y78" s="256"/>
      <c r="Z78" s="256"/>
    </row>
    <row r="79" ht="12.75" customHeight="1">
      <c r="A79" s="419">
        <v>7818.0</v>
      </c>
      <c r="B79" s="420" t="s">
        <v>6977</v>
      </c>
      <c r="C79" s="420">
        <v>2013.0</v>
      </c>
      <c r="D79" s="497">
        <v>41515.0</v>
      </c>
      <c r="E79" s="422" t="s">
        <v>6978</v>
      </c>
      <c r="F79" s="394" t="s">
        <v>44</v>
      </c>
      <c r="G79" s="422" t="s">
        <v>552</v>
      </c>
      <c r="H79" s="394" t="s">
        <v>130</v>
      </c>
      <c r="I79" s="497">
        <v>43164.0</v>
      </c>
      <c r="J79" s="422">
        <v>3.0</v>
      </c>
      <c r="K79" s="576" t="s">
        <v>228</v>
      </c>
      <c r="L79" s="394" t="s">
        <v>258</v>
      </c>
      <c r="M79" s="528">
        <f t="shared" si="2"/>
        <v>1649</v>
      </c>
      <c r="N79" s="256"/>
      <c r="O79" s="104"/>
      <c r="P79" s="105"/>
      <c r="Q79" s="105"/>
      <c r="R79" s="105"/>
      <c r="S79" s="105"/>
      <c r="T79" s="106"/>
      <c r="U79" s="256"/>
      <c r="V79" s="256"/>
      <c r="W79" s="256"/>
      <c r="X79" s="256"/>
      <c r="Y79" s="256"/>
      <c r="Z79" s="256"/>
    </row>
    <row r="80" ht="13.5" customHeight="1">
      <c r="A80" s="425">
        <v>7918.0</v>
      </c>
      <c r="B80" s="426" t="s">
        <v>6979</v>
      </c>
      <c r="C80" s="426">
        <v>2013.0</v>
      </c>
      <c r="D80" s="500">
        <v>41425.0</v>
      </c>
      <c r="E80" s="428" t="s">
        <v>6980</v>
      </c>
      <c r="F80" s="397" t="s">
        <v>3544</v>
      </c>
      <c r="G80" s="428" t="s">
        <v>565</v>
      </c>
      <c r="H80" s="397" t="s">
        <v>6981</v>
      </c>
      <c r="I80" s="500">
        <v>43164.0</v>
      </c>
      <c r="J80" s="428">
        <v>3.0</v>
      </c>
      <c r="K80" s="582" t="s">
        <v>244</v>
      </c>
      <c r="L80" s="397" t="s">
        <v>260</v>
      </c>
      <c r="M80" s="529">
        <f t="shared" si="2"/>
        <v>1739</v>
      </c>
      <c r="N80" s="256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256"/>
      <c r="V80" s="256"/>
      <c r="W80" s="256"/>
      <c r="X80" s="256"/>
      <c r="Y80" s="256"/>
      <c r="Z80" s="256"/>
    </row>
    <row r="81" ht="15.0" customHeight="1">
      <c r="A81" s="419">
        <v>8018.0</v>
      </c>
      <c r="B81" s="420" t="s">
        <v>6982</v>
      </c>
      <c r="C81" s="420">
        <v>2013.0</v>
      </c>
      <c r="D81" s="497">
        <v>41631.0</v>
      </c>
      <c r="E81" s="422" t="s">
        <v>6983</v>
      </c>
      <c r="F81" s="394" t="s">
        <v>6984</v>
      </c>
      <c r="G81" s="422" t="s">
        <v>34</v>
      </c>
      <c r="H81" s="394" t="s">
        <v>6826</v>
      </c>
      <c r="I81" s="497">
        <v>43165.0</v>
      </c>
      <c r="J81" s="422">
        <v>3.0</v>
      </c>
      <c r="K81" s="582" t="s">
        <v>244</v>
      </c>
      <c r="L81" s="394" t="s">
        <v>258</v>
      </c>
      <c r="M81" s="528">
        <f t="shared" si="2"/>
        <v>1534</v>
      </c>
      <c r="N81" s="256"/>
      <c r="O81" s="527" t="s">
        <v>254</v>
      </c>
      <c r="P81" s="332"/>
      <c r="Q81" s="332"/>
      <c r="R81" s="333"/>
      <c r="S81" s="394">
        <f>COUNTIF($L$2:$L$476,"I - Produto altamente perigoso ao meio ambiente")</f>
        <v>6</v>
      </c>
      <c r="T81" s="395">
        <f>(S81/S85)</f>
        <v>0.01336302895</v>
      </c>
      <c r="U81" s="256"/>
      <c r="V81" s="256"/>
      <c r="W81" s="256"/>
      <c r="X81" s="256"/>
      <c r="Y81" s="256"/>
      <c r="Z81" s="256"/>
    </row>
    <row r="82" ht="13.5" customHeight="1">
      <c r="A82" s="425">
        <v>8118.0</v>
      </c>
      <c r="B82" s="426" t="s">
        <v>6985</v>
      </c>
      <c r="C82" s="426">
        <v>2013.0</v>
      </c>
      <c r="D82" s="500">
        <v>41309.0</v>
      </c>
      <c r="E82" s="428" t="s">
        <v>6986</v>
      </c>
      <c r="F82" s="397" t="s">
        <v>171</v>
      </c>
      <c r="G82" s="428" t="s">
        <v>17</v>
      </c>
      <c r="H82" s="397" t="s">
        <v>1749</v>
      </c>
      <c r="I82" s="500">
        <v>43168.0</v>
      </c>
      <c r="J82" s="428">
        <v>3.0</v>
      </c>
      <c r="K82" s="576" t="s">
        <v>228</v>
      </c>
      <c r="L82" s="397" t="s">
        <v>256</v>
      </c>
      <c r="M82" s="529">
        <f t="shared" si="2"/>
        <v>1859</v>
      </c>
      <c r="N82" s="256"/>
      <c r="O82" s="396" t="s">
        <v>256</v>
      </c>
      <c r="P82" s="113"/>
      <c r="Q82" s="113"/>
      <c r="R82" s="114"/>
      <c r="S82" s="397">
        <f>COUNTIF($L$2:$L$476,"II - Produto muito perigoso ao meio ambiente")</f>
        <v>228</v>
      </c>
      <c r="T82" s="398">
        <f>(S82/S85)</f>
        <v>0.5077951002</v>
      </c>
      <c r="U82" s="256"/>
      <c r="V82" s="256"/>
      <c r="W82" s="256"/>
      <c r="X82" s="256"/>
      <c r="Y82" s="256"/>
      <c r="Z82" s="256"/>
    </row>
    <row r="83" ht="13.5" customHeight="1">
      <c r="A83" s="419">
        <v>8218.0</v>
      </c>
      <c r="B83" s="420" t="s">
        <v>6987</v>
      </c>
      <c r="C83" s="420">
        <v>2016.0</v>
      </c>
      <c r="D83" s="497">
        <v>42372.0</v>
      </c>
      <c r="E83" s="422" t="s">
        <v>6988</v>
      </c>
      <c r="F83" s="394" t="s">
        <v>6984</v>
      </c>
      <c r="G83" s="422" t="s">
        <v>547</v>
      </c>
      <c r="H83" s="394" t="s">
        <v>6826</v>
      </c>
      <c r="I83" s="497">
        <v>43168.0</v>
      </c>
      <c r="J83" s="422">
        <v>3.0</v>
      </c>
      <c r="K83" s="576" t="s">
        <v>228</v>
      </c>
      <c r="L83" s="394" t="s">
        <v>258</v>
      </c>
      <c r="M83" s="528">
        <f t="shared" si="2"/>
        <v>796</v>
      </c>
      <c r="N83" s="256"/>
      <c r="O83" s="399" t="s">
        <v>258</v>
      </c>
      <c r="P83" s="113"/>
      <c r="Q83" s="113"/>
      <c r="R83" s="114"/>
      <c r="S83" s="394">
        <f>COUNTIF($L$2:$L$476,"III - Produto perigoso ao meio ambiente")</f>
        <v>163</v>
      </c>
      <c r="T83" s="395">
        <f>(S83/S85)</f>
        <v>0.3630289532</v>
      </c>
      <c r="U83" s="256"/>
      <c r="V83" s="256"/>
      <c r="W83" s="256"/>
      <c r="X83" s="256"/>
      <c r="Y83" s="256"/>
      <c r="Z83" s="256"/>
    </row>
    <row r="84" ht="13.5" customHeight="1">
      <c r="A84" s="425">
        <v>8318.0</v>
      </c>
      <c r="B84" s="426" t="s">
        <v>6989</v>
      </c>
      <c r="C84" s="426">
        <v>2017.0</v>
      </c>
      <c r="D84" s="500">
        <v>42795.0</v>
      </c>
      <c r="E84" s="428" t="s">
        <v>6990</v>
      </c>
      <c r="F84" s="397" t="s">
        <v>3647</v>
      </c>
      <c r="G84" s="428" t="s">
        <v>565</v>
      </c>
      <c r="H84" s="397" t="s">
        <v>6948</v>
      </c>
      <c r="I84" s="500">
        <v>43168.0</v>
      </c>
      <c r="J84" s="428">
        <v>3.0</v>
      </c>
      <c r="K84" s="575" t="s">
        <v>238</v>
      </c>
      <c r="L84" s="397" t="s">
        <v>260</v>
      </c>
      <c r="M84" s="529">
        <f t="shared" si="2"/>
        <v>373</v>
      </c>
      <c r="N84" s="256"/>
      <c r="O84" s="396" t="s">
        <v>260</v>
      </c>
      <c r="P84" s="113"/>
      <c r="Q84" s="113"/>
      <c r="R84" s="114"/>
      <c r="S84" s="397">
        <f>COUNTIF($L$2:$L$476,"IV - Produto pouco perigoso ao meio ambiente")</f>
        <v>52</v>
      </c>
      <c r="T84" s="398">
        <f>(S84/S85)</f>
        <v>0.1158129176</v>
      </c>
      <c r="U84" s="256"/>
      <c r="V84" s="256"/>
      <c r="W84" s="256"/>
      <c r="X84" s="256"/>
      <c r="Y84" s="256"/>
      <c r="Z84" s="256"/>
    </row>
    <row r="85" ht="13.5" customHeight="1">
      <c r="A85" s="419">
        <v>8418.0</v>
      </c>
      <c r="B85" s="420" t="s">
        <v>6991</v>
      </c>
      <c r="C85" s="420">
        <v>2015.0</v>
      </c>
      <c r="D85" s="497">
        <v>42093.0</v>
      </c>
      <c r="E85" s="422" t="s">
        <v>6992</v>
      </c>
      <c r="F85" s="394" t="s">
        <v>1232</v>
      </c>
      <c r="G85" s="422" t="s">
        <v>552</v>
      </c>
      <c r="H85" s="394" t="s">
        <v>50</v>
      </c>
      <c r="I85" s="497">
        <v>43168.0</v>
      </c>
      <c r="J85" s="422">
        <v>3.0</v>
      </c>
      <c r="K85" s="575" t="s">
        <v>238</v>
      </c>
      <c r="L85" s="394" t="s">
        <v>258</v>
      </c>
      <c r="M85" s="528">
        <f t="shared" si="2"/>
        <v>1075</v>
      </c>
      <c r="N85" s="256"/>
      <c r="O85" s="358" t="s">
        <v>219</v>
      </c>
      <c r="P85" s="359"/>
      <c r="Q85" s="359"/>
      <c r="R85" s="360"/>
      <c r="S85" s="388">
        <f>SUM(S81:S84)</f>
        <v>449</v>
      </c>
      <c r="T85" s="389">
        <f>(S85/S85)</f>
        <v>1</v>
      </c>
      <c r="U85" s="256"/>
      <c r="V85" s="256"/>
      <c r="W85" s="256"/>
      <c r="X85" s="256"/>
      <c r="Y85" s="256"/>
      <c r="Z85" s="256"/>
    </row>
    <row r="86" ht="15.0" customHeight="1">
      <c r="A86" s="425">
        <v>8518.0</v>
      </c>
      <c r="B86" s="426" t="s">
        <v>6993</v>
      </c>
      <c r="C86" s="426">
        <v>2013.0</v>
      </c>
      <c r="D86" s="500">
        <v>41631.0</v>
      </c>
      <c r="E86" s="428" t="s">
        <v>6994</v>
      </c>
      <c r="F86" s="397" t="s">
        <v>6984</v>
      </c>
      <c r="G86" s="428" t="s">
        <v>547</v>
      </c>
      <c r="H86" s="397" t="s">
        <v>6826</v>
      </c>
      <c r="I86" s="500">
        <v>43168.0</v>
      </c>
      <c r="J86" s="428">
        <v>3.0</v>
      </c>
      <c r="K86" s="576" t="s">
        <v>228</v>
      </c>
      <c r="L86" s="397" t="s">
        <v>258</v>
      </c>
      <c r="M86" s="529">
        <f t="shared" si="2"/>
        <v>1537</v>
      </c>
      <c r="N86" s="256"/>
      <c r="O86" s="25"/>
      <c r="P86" s="25"/>
      <c r="Q86" s="25"/>
      <c r="R86" s="25"/>
      <c r="S86" s="25"/>
      <c r="T86" s="25"/>
      <c r="U86" s="256"/>
      <c r="V86" s="256"/>
      <c r="W86" s="256"/>
      <c r="X86" s="256"/>
      <c r="Y86" s="256"/>
      <c r="Z86" s="256"/>
    </row>
    <row r="87" ht="13.5" customHeight="1">
      <c r="A87" s="419">
        <v>8618.0</v>
      </c>
      <c r="B87" s="420" t="s">
        <v>6995</v>
      </c>
      <c r="C87" s="420">
        <v>2013.0</v>
      </c>
      <c r="D87" s="497">
        <v>41628.0</v>
      </c>
      <c r="E87" s="422" t="s">
        <v>6996</v>
      </c>
      <c r="F87" s="394" t="s">
        <v>171</v>
      </c>
      <c r="G87" s="422" t="s">
        <v>17</v>
      </c>
      <c r="H87" s="394" t="s">
        <v>6997</v>
      </c>
      <c r="I87" s="497">
        <v>43171.0</v>
      </c>
      <c r="J87" s="422">
        <v>3.0</v>
      </c>
      <c r="K87" s="575" t="s">
        <v>238</v>
      </c>
      <c r="L87" s="394" t="s">
        <v>256</v>
      </c>
      <c r="M87" s="528">
        <f t="shared" si="2"/>
        <v>1543</v>
      </c>
      <c r="N87" s="256"/>
      <c r="O87" s="403" t="s">
        <v>264</v>
      </c>
      <c r="P87" s="404"/>
      <c r="Q87" s="404"/>
      <c r="R87" s="405"/>
      <c r="S87" s="25"/>
      <c r="T87" s="25"/>
      <c r="U87" s="256"/>
      <c r="V87" s="256"/>
      <c r="W87" s="256"/>
      <c r="X87" s="256"/>
      <c r="Y87" s="256"/>
      <c r="Z87" s="256"/>
    </row>
    <row r="88" ht="12.75" customHeight="1">
      <c r="A88" s="425">
        <v>8718.0</v>
      </c>
      <c r="B88" s="426" t="s">
        <v>6998</v>
      </c>
      <c r="C88" s="426">
        <v>2009.0</v>
      </c>
      <c r="D88" s="500">
        <v>40085.0</v>
      </c>
      <c r="E88" s="428" t="s">
        <v>6999</v>
      </c>
      <c r="F88" s="397" t="s">
        <v>2873</v>
      </c>
      <c r="G88" s="428" t="s">
        <v>552</v>
      </c>
      <c r="H88" s="397" t="s">
        <v>7000</v>
      </c>
      <c r="I88" s="500">
        <v>43173.0</v>
      </c>
      <c r="J88" s="428">
        <v>3.0</v>
      </c>
      <c r="K88" s="576" t="s">
        <v>228</v>
      </c>
      <c r="L88" s="397" t="s">
        <v>256</v>
      </c>
      <c r="M88" s="529">
        <f t="shared" si="2"/>
        <v>3088</v>
      </c>
      <c r="N88" s="256"/>
      <c r="O88" s="406"/>
      <c r="P88" s="105"/>
      <c r="Q88" s="105"/>
      <c r="R88" s="407"/>
      <c r="S88" s="25"/>
      <c r="T88" s="25"/>
      <c r="U88" s="256"/>
      <c r="V88" s="256"/>
      <c r="W88" s="256"/>
      <c r="X88" s="256"/>
      <c r="Y88" s="256"/>
      <c r="Z88" s="256"/>
    </row>
    <row r="89" ht="13.5" customHeight="1">
      <c r="A89" s="419">
        <v>8818.0</v>
      </c>
      <c r="B89" s="420" t="s">
        <v>7001</v>
      </c>
      <c r="C89" s="420">
        <v>2015.0</v>
      </c>
      <c r="D89" s="497">
        <v>42053.0</v>
      </c>
      <c r="E89" s="422" t="s">
        <v>7002</v>
      </c>
      <c r="F89" s="394" t="s">
        <v>1108</v>
      </c>
      <c r="G89" s="422" t="s">
        <v>552</v>
      </c>
      <c r="H89" s="394" t="s">
        <v>50</v>
      </c>
      <c r="I89" s="497">
        <v>43173.0</v>
      </c>
      <c r="J89" s="422">
        <v>3.0</v>
      </c>
      <c r="K89" s="575" t="s">
        <v>238</v>
      </c>
      <c r="L89" s="394" t="s">
        <v>256</v>
      </c>
      <c r="M89" s="528">
        <f t="shared" si="2"/>
        <v>1120</v>
      </c>
      <c r="N89" s="256"/>
      <c r="O89" s="408" t="s">
        <v>267</v>
      </c>
      <c r="P89" s="409" t="s">
        <v>268</v>
      </c>
      <c r="Q89" s="410"/>
      <c r="R89" s="411"/>
      <c r="S89" s="25"/>
      <c r="T89" s="25"/>
      <c r="U89" s="256"/>
      <c r="V89" s="256"/>
      <c r="W89" s="256"/>
      <c r="X89" s="256"/>
      <c r="Y89" s="256"/>
      <c r="Z89" s="256"/>
    </row>
    <row r="90" ht="15.0" customHeight="1">
      <c r="A90" s="425">
        <v>8918.0</v>
      </c>
      <c r="B90" s="426" t="s">
        <v>7003</v>
      </c>
      <c r="C90" s="426">
        <v>2011.0</v>
      </c>
      <c r="D90" s="500">
        <v>40633.0</v>
      </c>
      <c r="E90" s="428" t="s">
        <v>7004</v>
      </c>
      <c r="F90" s="397" t="s">
        <v>563</v>
      </c>
      <c r="G90" s="428" t="s">
        <v>552</v>
      </c>
      <c r="H90" s="397" t="s">
        <v>5016</v>
      </c>
      <c r="I90" s="500">
        <v>43173.0</v>
      </c>
      <c r="J90" s="428">
        <v>3.0</v>
      </c>
      <c r="K90" s="576" t="s">
        <v>228</v>
      </c>
      <c r="L90" s="397" t="s">
        <v>256</v>
      </c>
      <c r="M90" s="529">
        <f t="shared" si="2"/>
        <v>2540</v>
      </c>
      <c r="N90" s="256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256"/>
      <c r="V90" s="256"/>
      <c r="W90" s="256"/>
      <c r="X90" s="256"/>
      <c r="Y90" s="256"/>
      <c r="Z90" s="256"/>
    </row>
    <row r="91" ht="12.75" customHeight="1">
      <c r="A91" s="419">
        <v>9018.0</v>
      </c>
      <c r="B91" s="420" t="s">
        <v>7005</v>
      </c>
      <c r="C91" s="420">
        <v>2016.0</v>
      </c>
      <c r="D91" s="497">
        <v>42726.0</v>
      </c>
      <c r="E91" s="422" t="s">
        <v>7006</v>
      </c>
      <c r="F91" s="394" t="s">
        <v>6984</v>
      </c>
      <c r="G91" s="422" t="s">
        <v>547</v>
      </c>
      <c r="H91" s="394" t="s">
        <v>6826</v>
      </c>
      <c r="I91" s="497">
        <v>43173.0</v>
      </c>
      <c r="J91" s="422">
        <v>3.0</v>
      </c>
      <c r="K91" s="576" t="s">
        <v>228</v>
      </c>
      <c r="L91" s="394" t="s">
        <v>258</v>
      </c>
      <c r="M91" s="528">
        <f t="shared" si="2"/>
        <v>447</v>
      </c>
      <c r="N91" s="256"/>
      <c r="O91" s="414" t="s">
        <v>34</v>
      </c>
      <c r="P91" s="415">
        <f>AVERAGEIF(G2:G477,"PTN",M2:M477)</f>
        <v>1771.5</v>
      </c>
      <c r="Q91" s="368"/>
      <c r="R91" s="369"/>
      <c r="S91" s="25"/>
      <c r="T91" s="25"/>
      <c r="U91" s="256"/>
      <c r="V91" s="256"/>
      <c r="W91" s="256"/>
      <c r="X91" s="256"/>
      <c r="Y91" s="256"/>
      <c r="Z91" s="256"/>
    </row>
    <row r="92" ht="13.5" customHeight="1">
      <c r="A92" s="425">
        <v>9118.0</v>
      </c>
      <c r="B92" s="426" t="s">
        <v>7007</v>
      </c>
      <c r="C92" s="426">
        <v>2016.0</v>
      </c>
      <c r="D92" s="500">
        <v>42734.0</v>
      </c>
      <c r="E92" s="428" t="s">
        <v>7008</v>
      </c>
      <c r="F92" s="397" t="s">
        <v>6984</v>
      </c>
      <c r="G92" s="428" t="s">
        <v>547</v>
      </c>
      <c r="H92" s="397" t="s">
        <v>6826</v>
      </c>
      <c r="I92" s="500">
        <v>43173.0</v>
      </c>
      <c r="J92" s="428">
        <v>3.0</v>
      </c>
      <c r="K92" s="582" t="s">
        <v>244</v>
      </c>
      <c r="L92" s="397" t="s">
        <v>258</v>
      </c>
      <c r="M92" s="529">
        <f t="shared" si="2"/>
        <v>439</v>
      </c>
      <c r="N92" s="256"/>
      <c r="O92" s="412" t="s">
        <v>17</v>
      </c>
      <c r="P92" s="413">
        <f>AVERAGEIF(G2:G476,"PTE",M2:M476)</f>
        <v>1553.637306</v>
      </c>
      <c r="Q92" s="368"/>
      <c r="R92" s="369"/>
      <c r="S92" s="25"/>
      <c r="T92" s="25"/>
      <c r="U92" s="256"/>
      <c r="V92" s="256"/>
      <c r="W92" s="256"/>
      <c r="X92" s="256"/>
      <c r="Y92" s="256"/>
      <c r="Z92" s="256"/>
    </row>
    <row r="93" ht="13.5" customHeight="1">
      <c r="A93" s="419">
        <v>9218.0</v>
      </c>
      <c r="B93" s="420" t="s">
        <v>7009</v>
      </c>
      <c r="C93" s="420">
        <v>2012.0</v>
      </c>
      <c r="D93" s="497">
        <v>41022.0</v>
      </c>
      <c r="E93" s="422" t="s">
        <v>7010</v>
      </c>
      <c r="F93" s="394" t="s">
        <v>4561</v>
      </c>
      <c r="G93" s="422" t="s">
        <v>17</v>
      </c>
      <c r="H93" s="394" t="s">
        <v>596</v>
      </c>
      <c r="I93" s="497">
        <v>43174.0</v>
      </c>
      <c r="J93" s="422">
        <v>3.0</v>
      </c>
      <c r="K93" s="575" t="s">
        <v>238</v>
      </c>
      <c r="L93" s="394" t="s">
        <v>258</v>
      </c>
      <c r="M93" s="528">
        <f t="shared" si="2"/>
        <v>2152</v>
      </c>
      <c r="N93" s="256"/>
      <c r="O93" s="414" t="s">
        <v>46</v>
      </c>
      <c r="P93" s="415">
        <f>AVERAGEIF(G2:G476,"Pré-Mistura",M2:M476)</f>
        <v>1338</v>
      </c>
      <c r="Q93" s="368"/>
      <c r="R93" s="369"/>
      <c r="S93" s="25"/>
      <c r="T93" s="25"/>
      <c r="U93" s="256"/>
      <c r="V93" s="256"/>
      <c r="W93" s="256"/>
      <c r="X93" s="256"/>
      <c r="Y93" s="256"/>
      <c r="Z93" s="256"/>
    </row>
    <row r="94" ht="13.5" customHeight="1">
      <c r="A94" s="425">
        <v>9318.0</v>
      </c>
      <c r="B94" s="426" t="s">
        <v>7011</v>
      </c>
      <c r="C94" s="426">
        <v>2013.0</v>
      </c>
      <c r="D94" s="500">
        <v>41638.0</v>
      </c>
      <c r="E94" s="428" t="s">
        <v>7012</v>
      </c>
      <c r="F94" s="397" t="s">
        <v>2453</v>
      </c>
      <c r="G94" s="428" t="s">
        <v>650</v>
      </c>
      <c r="H94" s="397" t="s">
        <v>116</v>
      </c>
      <c r="I94" s="500">
        <v>43174.0</v>
      </c>
      <c r="J94" s="428">
        <v>3.0</v>
      </c>
      <c r="K94" s="575" t="s">
        <v>238</v>
      </c>
      <c r="L94" s="397" t="s">
        <v>258</v>
      </c>
      <c r="M94" s="529">
        <f t="shared" si="2"/>
        <v>1536</v>
      </c>
      <c r="N94" s="256"/>
      <c r="O94" s="412" t="s">
        <v>650</v>
      </c>
      <c r="P94" s="413">
        <f>AVERAGEIF(G2:G476,"PF",M2:M476)</f>
        <v>1766.75</v>
      </c>
      <c r="Q94" s="368"/>
      <c r="R94" s="369"/>
      <c r="S94" s="25"/>
      <c r="T94" s="25"/>
      <c r="U94" s="256"/>
      <c r="V94" s="256"/>
      <c r="W94" s="256"/>
      <c r="X94" s="256"/>
      <c r="Y94" s="256"/>
      <c r="Z94" s="256"/>
    </row>
    <row r="95" ht="12.75" customHeight="1">
      <c r="A95" s="419">
        <v>9418.0</v>
      </c>
      <c r="B95" s="420" t="s">
        <v>7013</v>
      </c>
      <c r="C95" s="420">
        <v>2014.0</v>
      </c>
      <c r="D95" s="497">
        <v>41810.0</v>
      </c>
      <c r="E95" s="422" t="s">
        <v>7014</v>
      </c>
      <c r="F95" s="394" t="s">
        <v>4572</v>
      </c>
      <c r="G95" s="422" t="s">
        <v>17</v>
      </c>
      <c r="H95" s="394" t="s">
        <v>583</v>
      </c>
      <c r="I95" s="497">
        <v>43178.0</v>
      </c>
      <c r="J95" s="422">
        <v>3.0</v>
      </c>
      <c r="K95" s="575" t="s">
        <v>238</v>
      </c>
      <c r="L95" s="394" t="s">
        <v>258</v>
      </c>
      <c r="M95" s="528">
        <f t="shared" si="2"/>
        <v>1368</v>
      </c>
      <c r="N95" s="256"/>
      <c r="O95" s="414" t="s">
        <v>547</v>
      </c>
      <c r="P95" s="415">
        <f>AVERAGEIF(G2:G476,"PFN",M2:M476)</f>
        <v>804.75</v>
      </c>
      <c r="Q95" s="368"/>
      <c r="R95" s="369"/>
      <c r="S95" s="25"/>
      <c r="T95" s="25"/>
      <c r="U95" s="256"/>
      <c r="V95" s="256"/>
      <c r="W95" s="256"/>
      <c r="X95" s="256"/>
      <c r="Y95" s="256"/>
      <c r="Z95" s="256"/>
    </row>
    <row r="96" ht="12.75" customHeight="1">
      <c r="A96" s="425">
        <v>9518.0</v>
      </c>
      <c r="B96" s="426" t="s">
        <v>7015</v>
      </c>
      <c r="C96" s="426">
        <v>2011.0</v>
      </c>
      <c r="D96" s="500">
        <v>40632.0</v>
      </c>
      <c r="E96" s="428" t="s">
        <v>7016</v>
      </c>
      <c r="F96" s="397" t="s">
        <v>4561</v>
      </c>
      <c r="G96" s="428" t="s">
        <v>17</v>
      </c>
      <c r="H96" s="397" t="s">
        <v>6809</v>
      </c>
      <c r="I96" s="500">
        <v>43179.0</v>
      </c>
      <c r="J96" s="428">
        <v>3.0</v>
      </c>
      <c r="K96" s="575" t="s">
        <v>238</v>
      </c>
      <c r="L96" s="397" t="s">
        <v>258</v>
      </c>
      <c r="M96" s="529">
        <f t="shared" si="2"/>
        <v>2547</v>
      </c>
      <c r="N96" s="256"/>
      <c r="O96" s="412" t="s">
        <v>552</v>
      </c>
      <c r="P96" s="413">
        <f>AVERAGEIF(G2:G476,"PF/PTE",M2:M476)</f>
        <v>1924.391892</v>
      </c>
      <c r="Q96" s="368"/>
      <c r="R96" s="369"/>
      <c r="S96" s="25"/>
      <c r="T96" s="25"/>
      <c r="U96" s="256"/>
      <c r="V96" s="256"/>
      <c r="W96" s="256"/>
      <c r="X96" s="256"/>
      <c r="Y96" s="256"/>
      <c r="Z96" s="256"/>
    </row>
    <row r="97" ht="12.75" customHeight="1">
      <c r="A97" s="419">
        <v>9618.0</v>
      </c>
      <c r="B97" s="420" t="s">
        <v>7017</v>
      </c>
      <c r="C97" s="420">
        <v>2013.0</v>
      </c>
      <c r="D97" s="497">
        <v>41355.0</v>
      </c>
      <c r="E97" s="422" t="s">
        <v>7018</v>
      </c>
      <c r="F97" s="394" t="s">
        <v>5311</v>
      </c>
      <c r="G97" s="422" t="s">
        <v>650</v>
      </c>
      <c r="H97" s="394" t="s">
        <v>4380</v>
      </c>
      <c r="I97" s="497">
        <v>43179.0</v>
      </c>
      <c r="J97" s="422">
        <v>3.0</v>
      </c>
      <c r="K97" s="577" t="s">
        <v>234</v>
      </c>
      <c r="L97" s="394" t="s">
        <v>256</v>
      </c>
      <c r="M97" s="528">
        <f t="shared" si="2"/>
        <v>1824</v>
      </c>
      <c r="N97" s="256"/>
      <c r="O97" s="414" t="s">
        <v>565</v>
      </c>
      <c r="P97" s="415">
        <f>AVERAGEIF(G2:G476,"Bio",M2:M476)</f>
        <v>481.6857143</v>
      </c>
      <c r="Q97" s="368"/>
      <c r="R97" s="369"/>
      <c r="S97" s="25"/>
      <c r="T97" s="25"/>
      <c r="U97" s="256"/>
      <c r="V97" s="256"/>
      <c r="W97" s="256"/>
      <c r="X97" s="256"/>
      <c r="Y97" s="256"/>
      <c r="Z97" s="256"/>
    </row>
    <row r="98" ht="12.75" customHeight="1">
      <c r="A98" s="425">
        <v>9718.0</v>
      </c>
      <c r="B98" s="426" t="s">
        <v>7019</v>
      </c>
      <c r="C98" s="426">
        <v>2014.0</v>
      </c>
      <c r="D98" s="500">
        <v>41927.0</v>
      </c>
      <c r="E98" s="428" t="s">
        <v>7020</v>
      </c>
      <c r="F98" s="397" t="s">
        <v>7021</v>
      </c>
      <c r="G98" s="428" t="s">
        <v>650</v>
      </c>
      <c r="H98" s="397" t="s">
        <v>3788</v>
      </c>
      <c r="I98" s="500">
        <v>43179.0</v>
      </c>
      <c r="J98" s="428">
        <v>3.0</v>
      </c>
      <c r="K98" s="575" t="s">
        <v>238</v>
      </c>
      <c r="L98" s="397" t="s">
        <v>256</v>
      </c>
      <c r="M98" s="529">
        <f t="shared" si="2"/>
        <v>1252</v>
      </c>
      <c r="N98" s="256"/>
      <c r="O98" s="412" t="s">
        <v>569</v>
      </c>
      <c r="P98" s="413">
        <f>AVERAGEIF(G2:G476,"Bio/Org",M2:M476)</f>
        <v>254.7647059</v>
      </c>
      <c r="Q98" s="368"/>
      <c r="R98" s="369"/>
      <c r="S98" s="25"/>
      <c r="T98" s="25"/>
      <c r="U98" s="256"/>
      <c r="V98" s="256"/>
      <c r="W98" s="256"/>
      <c r="X98" s="256"/>
      <c r="Y98" s="256"/>
      <c r="Z98" s="256"/>
    </row>
    <row r="99" ht="12.75" customHeight="1">
      <c r="A99" s="419">
        <v>9818.0</v>
      </c>
      <c r="B99" s="420" t="s">
        <v>7022</v>
      </c>
      <c r="C99" s="420">
        <v>2014.0</v>
      </c>
      <c r="D99" s="497">
        <v>41968.0</v>
      </c>
      <c r="E99" s="422" t="s">
        <v>7023</v>
      </c>
      <c r="F99" s="394" t="s">
        <v>7021</v>
      </c>
      <c r="G99" s="422" t="s">
        <v>650</v>
      </c>
      <c r="H99" s="394" t="s">
        <v>3788</v>
      </c>
      <c r="I99" s="497">
        <v>43179.0</v>
      </c>
      <c r="J99" s="422">
        <v>3.0</v>
      </c>
      <c r="K99" s="575" t="s">
        <v>238</v>
      </c>
      <c r="L99" s="394" t="s">
        <v>256</v>
      </c>
      <c r="M99" s="528">
        <f t="shared" si="2"/>
        <v>1211</v>
      </c>
      <c r="N99" s="256"/>
      <c r="O99" s="416" t="s">
        <v>275</v>
      </c>
      <c r="P99" s="417">
        <f>AVERAGE(M2:M494)</f>
        <v>1559.229399</v>
      </c>
      <c r="Q99" s="418"/>
      <c r="R99" s="318"/>
      <c r="S99" s="25"/>
      <c r="T99" s="25"/>
      <c r="U99" s="256"/>
      <c r="V99" s="256"/>
      <c r="W99" s="256"/>
      <c r="X99" s="256"/>
      <c r="Y99" s="256"/>
      <c r="Z99" s="256"/>
    </row>
    <row r="100" ht="12.75" customHeight="1">
      <c r="A100" s="425">
        <v>9918.0</v>
      </c>
      <c r="B100" s="426" t="s">
        <v>7024</v>
      </c>
      <c r="C100" s="426">
        <v>2014.0</v>
      </c>
      <c r="D100" s="500">
        <v>41968.0</v>
      </c>
      <c r="E100" s="428" t="s">
        <v>7025</v>
      </c>
      <c r="F100" s="397" t="s">
        <v>7021</v>
      </c>
      <c r="G100" s="428" t="s">
        <v>650</v>
      </c>
      <c r="H100" s="397" t="s">
        <v>3788</v>
      </c>
      <c r="I100" s="500">
        <v>43179.0</v>
      </c>
      <c r="J100" s="428">
        <v>3.0</v>
      </c>
      <c r="K100" s="575" t="s">
        <v>238</v>
      </c>
      <c r="L100" s="397" t="s">
        <v>256</v>
      </c>
      <c r="M100" s="529">
        <f t="shared" si="2"/>
        <v>1211</v>
      </c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ht="12.75" customHeight="1">
      <c r="A101" s="419">
        <v>10018.0</v>
      </c>
      <c r="B101" s="420" t="s">
        <v>7026</v>
      </c>
      <c r="C101" s="420">
        <v>2011.0</v>
      </c>
      <c r="D101" s="497">
        <v>40751.0</v>
      </c>
      <c r="E101" s="422" t="s">
        <v>7027</v>
      </c>
      <c r="F101" s="394" t="s">
        <v>1108</v>
      </c>
      <c r="G101" s="422" t="s">
        <v>552</v>
      </c>
      <c r="H101" s="394" t="s">
        <v>130</v>
      </c>
      <c r="I101" s="497">
        <v>43179.0</v>
      </c>
      <c r="J101" s="422">
        <v>3.0</v>
      </c>
      <c r="K101" s="575" t="s">
        <v>238</v>
      </c>
      <c r="L101" s="394" t="s">
        <v>256</v>
      </c>
      <c r="M101" s="528">
        <f t="shared" si="2"/>
        <v>2428</v>
      </c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ht="12.75" customHeight="1">
      <c r="A102" s="425">
        <v>10118.0</v>
      </c>
      <c r="B102" s="426" t="s">
        <v>7028</v>
      </c>
      <c r="C102" s="426">
        <v>2011.0</v>
      </c>
      <c r="D102" s="500">
        <v>40751.0</v>
      </c>
      <c r="E102" s="428" t="s">
        <v>7029</v>
      </c>
      <c r="F102" s="397" t="s">
        <v>1150</v>
      </c>
      <c r="G102" s="428" t="s">
        <v>17</v>
      </c>
      <c r="H102" s="397" t="s">
        <v>929</v>
      </c>
      <c r="I102" s="500">
        <v>43180.0</v>
      </c>
      <c r="J102" s="428">
        <v>3.0</v>
      </c>
      <c r="K102" s="576" t="s">
        <v>228</v>
      </c>
      <c r="L102" s="397" t="s">
        <v>256</v>
      </c>
      <c r="M102" s="529">
        <f t="shared" si="2"/>
        <v>2429</v>
      </c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ht="12.75" customHeight="1">
      <c r="A103" s="419">
        <v>10218.0</v>
      </c>
      <c r="B103" s="420" t="s">
        <v>7030</v>
      </c>
      <c r="C103" s="420">
        <v>2015.0</v>
      </c>
      <c r="D103" s="497">
        <v>42226.0</v>
      </c>
      <c r="E103" s="422" t="s">
        <v>7031</v>
      </c>
      <c r="F103" s="394" t="s">
        <v>1150</v>
      </c>
      <c r="G103" s="422" t="s">
        <v>17</v>
      </c>
      <c r="H103" s="394" t="s">
        <v>50</v>
      </c>
      <c r="I103" s="497">
        <v>43180.0</v>
      </c>
      <c r="J103" s="422">
        <v>3.0</v>
      </c>
      <c r="K103" s="576" t="s">
        <v>228</v>
      </c>
      <c r="L103" s="394" t="s">
        <v>256</v>
      </c>
      <c r="M103" s="528">
        <f t="shared" si="2"/>
        <v>954</v>
      </c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ht="12.75" customHeight="1">
      <c r="A104" s="425">
        <v>10318.0</v>
      </c>
      <c r="B104" s="426" t="s">
        <v>7032</v>
      </c>
      <c r="C104" s="426">
        <v>2010.0</v>
      </c>
      <c r="D104" s="500">
        <v>40539.0</v>
      </c>
      <c r="E104" s="428" t="s">
        <v>7033</v>
      </c>
      <c r="F104" s="397" t="s">
        <v>4561</v>
      </c>
      <c r="G104" s="428" t="s">
        <v>17</v>
      </c>
      <c r="H104" s="397" t="s">
        <v>130</v>
      </c>
      <c r="I104" s="500">
        <v>43180.0</v>
      </c>
      <c r="J104" s="428">
        <v>3.0</v>
      </c>
      <c r="K104" s="575" t="s">
        <v>238</v>
      </c>
      <c r="L104" s="397" t="s">
        <v>258</v>
      </c>
      <c r="M104" s="529">
        <f t="shared" si="2"/>
        <v>2641</v>
      </c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ht="12.75" customHeight="1">
      <c r="A105" s="419">
        <v>10418.0</v>
      </c>
      <c r="B105" s="420" t="s">
        <v>7034</v>
      </c>
      <c r="C105" s="420">
        <v>2015.0</v>
      </c>
      <c r="D105" s="497">
        <v>42228.0</v>
      </c>
      <c r="E105" s="422" t="s">
        <v>7035</v>
      </c>
      <c r="F105" s="394" t="s">
        <v>4561</v>
      </c>
      <c r="G105" s="422" t="s">
        <v>17</v>
      </c>
      <c r="H105" s="394" t="s">
        <v>6826</v>
      </c>
      <c r="I105" s="497">
        <v>43180.0</v>
      </c>
      <c r="J105" s="422">
        <v>3.0</v>
      </c>
      <c r="K105" s="575" t="s">
        <v>238</v>
      </c>
      <c r="L105" s="394" t="s">
        <v>258</v>
      </c>
      <c r="M105" s="528">
        <f t="shared" si="2"/>
        <v>952</v>
      </c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ht="12.75" customHeight="1">
      <c r="A106" s="425">
        <v>10518.0</v>
      </c>
      <c r="B106" s="426" t="s">
        <v>7036</v>
      </c>
      <c r="C106" s="426">
        <v>2015.0</v>
      </c>
      <c r="D106" s="500">
        <v>42275.0</v>
      </c>
      <c r="E106" s="428" t="s">
        <v>7037</v>
      </c>
      <c r="F106" s="397" t="s">
        <v>1150</v>
      </c>
      <c r="G106" s="428" t="s">
        <v>17</v>
      </c>
      <c r="H106" s="397" t="s">
        <v>6826</v>
      </c>
      <c r="I106" s="500">
        <v>43180.0</v>
      </c>
      <c r="J106" s="428">
        <v>3.0</v>
      </c>
      <c r="K106" s="576" t="s">
        <v>228</v>
      </c>
      <c r="L106" s="397" t="s">
        <v>256</v>
      </c>
      <c r="M106" s="529">
        <f t="shared" si="2"/>
        <v>905</v>
      </c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ht="12.75" customHeight="1">
      <c r="A107" s="419">
        <v>10618.0</v>
      </c>
      <c r="B107" s="420" t="s">
        <v>7038</v>
      </c>
      <c r="C107" s="420">
        <v>2013.0</v>
      </c>
      <c r="D107" s="497">
        <v>41334.0</v>
      </c>
      <c r="E107" s="422" t="s">
        <v>7039</v>
      </c>
      <c r="F107" s="394" t="s">
        <v>44</v>
      </c>
      <c r="G107" s="422" t="s">
        <v>17</v>
      </c>
      <c r="H107" s="394" t="s">
        <v>7040</v>
      </c>
      <c r="I107" s="497">
        <v>43180.0</v>
      </c>
      <c r="J107" s="422">
        <v>3.0</v>
      </c>
      <c r="K107" s="576" t="s">
        <v>228</v>
      </c>
      <c r="L107" s="394" t="s">
        <v>258</v>
      </c>
      <c r="M107" s="528">
        <f t="shared" si="2"/>
        <v>1846</v>
      </c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ht="12.75" customHeight="1">
      <c r="A108" s="425">
        <v>10718.0</v>
      </c>
      <c r="B108" s="426" t="s">
        <v>7041</v>
      </c>
      <c r="C108" s="426">
        <v>2012.0</v>
      </c>
      <c r="D108" s="500">
        <v>41124.0</v>
      </c>
      <c r="E108" s="428" t="s">
        <v>7042</v>
      </c>
      <c r="F108" s="397" t="s">
        <v>967</v>
      </c>
      <c r="G108" s="428" t="s">
        <v>17</v>
      </c>
      <c r="H108" s="397" t="s">
        <v>6826</v>
      </c>
      <c r="I108" s="500">
        <v>43181.0</v>
      </c>
      <c r="J108" s="428">
        <v>3.0</v>
      </c>
      <c r="K108" s="575" t="s">
        <v>238</v>
      </c>
      <c r="L108" s="397" t="s">
        <v>256</v>
      </c>
      <c r="M108" s="529">
        <f t="shared" si="2"/>
        <v>2057</v>
      </c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ht="12.75" customHeight="1">
      <c r="A109" s="419">
        <v>10818.0</v>
      </c>
      <c r="B109" s="420" t="s">
        <v>7043</v>
      </c>
      <c r="C109" s="420">
        <v>2014.0</v>
      </c>
      <c r="D109" s="497">
        <v>41681.0</v>
      </c>
      <c r="E109" s="422" t="s">
        <v>7044</v>
      </c>
      <c r="F109" s="394" t="s">
        <v>1232</v>
      </c>
      <c r="G109" s="422" t="s">
        <v>552</v>
      </c>
      <c r="H109" s="394" t="s">
        <v>583</v>
      </c>
      <c r="I109" s="497">
        <v>43185.0</v>
      </c>
      <c r="J109" s="422">
        <v>3.0</v>
      </c>
      <c r="K109" s="575" t="s">
        <v>238</v>
      </c>
      <c r="L109" s="394" t="s">
        <v>258</v>
      </c>
      <c r="M109" s="528">
        <f t="shared" si="2"/>
        <v>1504</v>
      </c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ht="12.75" customHeight="1">
      <c r="A110" s="425">
        <v>10918.0</v>
      </c>
      <c r="B110" s="426" t="s">
        <v>7045</v>
      </c>
      <c r="C110" s="426">
        <v>2011.0</v>
      </c>
      <c r="D110" s="500">
        <v>40731.0</v>
      </c>
      <c r="E110" s="428" t="s">
        <v>7046</v>
      </c>
      <c r="F110" s="397" t="s">
        <v>7047</v>
      </c>
      <c r="G110" s="428" t="s">
        <v>552</v>
      </c>
      <c r="H110" s="397" t="s">
        <v>5016</v>
      </c>
      <c r="I110" s="500">
        <v>43185.0</v>
      </c>
      <c r="J110" s="428">
        <v>3.0</v>
      </c>
      <c r="K110" s="576" t="s">
        <v>228</v>
      </c>
      <c r="L110" s="397" t="s">
        <v>256</v>
      </c>
      <c r="M110" s="529">
        <f t="shared" si="2"/>
        <v>2454</v>
      </c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ht="12.75" customHeight="1">
      <c r="A111" s="419">
        <v>11018.0</v>
      </c>
      <c r="B111" s="420" t="s">
        <v>7048</v>
      </c>
      <c r="C111" s="420">
        <v>2015.0</v>
      </c>
      <c r="D111" s="497">
        <v>42143.0</v>
      </c>
      <c r="E111" s="422" t="s">
        <v>7049</v>
      </c>
      <c r="F111" s="394" t="s">
        <v>171</v>
      </c>
      <c r="G111" s="422" t="s">
        <v>552</v>
      </c>
      <c r="H111" s="394" t="s">
        <v>583</v>
      </c>
      <c r="I111" s="497">
        <v>43186.0</v>
      </c>
      <c r="J111" s="422">
        <v>3.0</v>
      </c>
      <c r="K111" s="575" t="s">
        <v>238</v>
      </c>
      <c r="L111" s="394" t="s">
        <v>256</v>
      </c>
      <c r="M111" s="528">
        <f t="shared" si="2"/>
        <v>1043</v>
      </c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ht="12.75" customHeight="1">
      <c r="A112" s="425">
        <v>11118.0</v>
      </c>
      <c r="B112" s="426" t="s">
        <v>7050</v>
      </c>
      <c r="C112" s="426">
        <v>2008.0</v>
      </c>
      <c r="D112" s="500">
        <v>39736.0</v>
      </c>
      <c r="E112" s="428" t="s">
        <v>7051</v>
      </c>
      <c r="F112" s="397" t="s">
        <v>7052</v>
      </c>
      <c r="G112" s="428" t="s">
        <v>650</v>
      </c>
      <c r="H112" s="397" t="s">
        <v>7053</v>
      </c>
      <c r="I112" s="500">
        <v>43186.0</v>
      </c>
      <c r="J112" s="428">
        <v>3.0</v>
      </c>
      <c r="K112" s="575" t="s">
        <v>238</v>
      </c>
      <c r="L112" s="397" t="s">
        <v>258</v>
      </c>
      <c r="M112" s="529">
        <f t="shared" si="2"/>
        <v>3450</v>
      </c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ht="12.75" customHeight="1">
      <c r="A113" s="419">
        <v>11218.0</v>
      </c>
      <c r="B113" s="420" t="s">
        <v>7054</v>
      </c>
      <c r="C113" s="420">
        <v>2013.0</v>
      </c>
      <c r="D113" s="497">
        <v>41543.0</v>
      </c>
      <c r="E113" s="422" t="s">
        <v>7055</v>
      </c>
      <c r="F113" s="394" t="s">
        <v>7056</v>
      </c>
      <c r="G113" s="422" t="s">
        <v>650</v>
      </c>
      <c r="H113" s="394" t="s">
        <v>3788</v>
      </c>
      <c r="I113" s="497">
        <v>43188.0</v>
      </c>
      <c r="J113" s="422">
        <v>3.0</v>
      </c>
      <c r="K113" s="582" t="s">
        <v>244</v>
      </c>
      <c r="L113" s="394" t="s">
        <v>256</v>
      </c>
      <c r="M113" s="528">
        <f t="shared" si="2"/>
        <v>1645</v>
      </c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ht="12.75" customHeight="1">
      <c r="A114" s="425">
        <v>11318.0</v>
      </c>
      <c r="B114" s="426" t="s">
        <v>7057</v>
      </c>
      <c r="C114" s="426">
        <v>2013.0</v>
      </c>
      <c r="D114" s="500">
        <v>41558.0</v>
      </c>
      <c r="E114" s="428" t="s">
        <v>7058</v>
      </c>
      <c r="F114" s="397" t="s">
        <v>7056</v>
      </c>
      <c r="G114" s="428" t="s">
        <v>650</v>
      </c>
      <c r="H114" s="397" t="s">
        <v>3788</v>
      </c>
      <c r="I114" s="500">
        <v>43188.0</v>
      </c>
      <c r="J114" s="428">
        <v>3.0</v>
      </c>
      <c r="K114" s="582" t="s">
        <v>244</v>
      </c>
      <c r="L114" s="397" t="s">
        <v>256</v>
      </c>
      <c r="M114" s="529">
        <f t="shared" si="2"/>
        <v>1630</v>
      </c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ht="12.75" customHeight="1">
      <c r="A115" s="419">
        <v>11418.0</v>
      </c>
      <c r="B115" s="420" t="s">
        <v>7059</v>
      </c>
      <c r="C115" s="420">
        <v>2013.0</v>
      </c>
      <c r="D115" s="497">
        <v>41558.0</v>
      </c>
      <c r="E115" s="422" t="s">
        <v>7060</v>
      </c>
      <c r="F115" s="394" t="s">
        <v>7056</v>
      </c>
      <c r="G115" s="422" t="s">
        <v>650</v>
      </c>
      <c r="H115" s="394" t="s">
        <v>3788</v>
      </c>
      <c r="I115" s="497">
        <v>43188.0</v>
      </c>
      <c r="J115" s="422">
        <v>3.0</v>
      </c>
      <c r="K115" s="582" t="s">
        <v>244</v>
      </c>
      <c r="L115" s="394" t="s">
        <v>256</v>
      </c>
      <c r="M115" s="528">
        <f t="shared" si="2"/>
        <v>1630</v>
      </c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ht="12.75" customHeight="1">
      <c r="A116" s="425">
        <v>11518.0</v>
      </c>
      <c r="B116" s="426" t="s">
        <v>7061</v>
      </c>
      <c r="C116" s="426">
        <v>2009.0</v>
      </c>
      <c r="D116" s="500">
        <v>40133.0</v>
      </c>
      <c r="E116" s="428" t="s">
        <v>7062</v>
      </c>
      <c r="F116" s="397" t="s">
        <v>7063</v>
      </c>
      <c r="G116" s="428" t="s">
        <v>17</v>
      </c>
      <c r="H116" s="397" t="s">
        <v>7000</v>
      </c>
      <c r="I116" s="500">
        <v>43188.0</v>
      </c>
      <c r="J116" s="428">
        <v>3.0</v>
      </c>
      <c r="K116" s="575" t="s">
        <v>238</v>
      </c>
      <c r="L116" s="397" t="s">
        <v>258</v>
      </c>
      <c r="M116" s="529">
        <f t="shared" si="2"/>
        <v>3055</v>
      </c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ht="12.75" customHeight="1">
      <c r="A117" s="419">
        <v>11618.0</v>
      </c>
      <c r="B117" s="420" t="s">
        <v>7064</v>
      </c>
      <c r="C117" s="420">
        <v>2011.0</v>
      </c>
      <c r="D117" s="497">
        <v>40645.0</v>
      </c>
      <c r="E117" s="422" t="s">
        <v>7065</v>
      </c>
      <c r="F117" s="394" t="s">
        <v>900</v>
      </c>
      <c r="G117" s="422" t="s">
        <v>552</v>
      </c>
      <c r="H117" s="394" t="s">
        <v>50</v>
      </c>
      <c r="I117" s="497">
        <v>43195.0</v>
      </c>
      <c r="J117" s="422">
        <v>4.0</v>
      </c>
      <c r="K117" s="582" t="s">
        <v>244</v>
      </c>
      <c r="L117" s="394" t="s">
        <v>258</v>
      </c>
      <c r="M117" s="528">
        <f t="shared" si="2"/>
        <v>2550</v>
      </c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ht="12.75" customHeight="1">
      <c r="A118" s="425">
        <v>11718.0</v>
      </c>
      <c r="B118" s="426" t="s">
        <v>7066</v>
      </c>
      <c r="C118" s="426">
        <v>2012.0</v>
      </c>
      <c r="D118" s="500">
        <v>40996.0</v>
      </c>
      <c r="E118" s="428" t="s">
        <v>7067</v>
      </c>
      <c r="F118" s="397" t="s">
        <v>7068</v>
      </c>
      <c r="G118" s="428" t="s">
        <v>650</v>
      </c>
      <c r="H118" s="397" t="s">
        <v>3788</v>
      </c>
      <c r="I118" s="500">
        <v>43195.0</v>
      </c>
      <c r="J118" s="428">
        <v>4.0</v>
      </c>
      <c r="K118" s="575" t="s">
        <v>238</v>
      </c>
      <c r="L118" s="397" t="s">
        <v>258</v>
      </c>
      <c r="M118" s="529">
        <f t="shared" si="2"/>
        <v>2199</v>
      </c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ht="12.75" customHeight="1">
      <c r="A119" s="419">
        <v>11818.0</v>
      </c>
      <c r="B119" s="420" t="s">
        <v>7069</v>
      </c>
      <c r="C119" s="420">
        <v>2013.0</v>
      </c>
      <c r="D119" s="497">
        <v>41404.0</v>
      </c>
      <c r="E119" s="422" t="s">
        <v>7070</v>
      </c>
      <c r="F119" s="394" t="s">
        <v>1401</v>
      </c>
      <c r="G119" s="422" t="s">
        <v>17</v>
      </c>
      <c r="H119" s="394" t="s">
        <v>116</v>
      </c>
      <c r="I119" s="497">
        <v>43201.0</v>
      </c>
      <c r="J119" s="422">
        <v>4.0</v>
      </c>
      <c r="K119" s="575" t="s">
        <v>238</v>
      </c>
      <c r="L119" s="394" t="s">
        <v>258</v>
      </c>
      <c r="M119" s="528">
        <f t="shared" si="2"/>
        <v>1797</v>
      </c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ht="12.75" customHeight="1">
      <c r="A120" s="425">
        <v>11918.0</v>
      </c>
      <c r="B120" s="426" t="s">
        <v>7071</v>
      </c>
      <c r="C120" s="426">
        <v>2013.0</v>
      </c>
      <c r="D120" s="500">
        <v>41389.0</v>
      </c>
      <c r="E120" s="428" t="s">
        <v>7072</v>
      </c>
      <c r="F120" s="397" t="s">
        <v>2307</v>
      </c>
      <c r="G120" s="428" t="s">
        <v>17</v>
      </c>
      <c r="H120" s="397" t="s">
        <v>596</v>
      </c>
      <c r="I120" s="500">
        <v>43206.0</v>
      </c>
      <c r="J120" s="428">
        <v>4.0</v>
      </c>
      <c r="K120" s="575" t="s">
        <v>238</v>
      </c>
      <c r="L120" s="397" t="s">
        <v>256</v>
      </c>
      <c r="M120" s="529">
        <f t="shared" si="2"/>
        <v>1817</v>
      </c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ht="12.75" customHeight="1">
      <c r="A121" s="419">
        <v>12018.0</v>
      </c>
      <c r="B121" s="420" t="s">
        <v>7073</v>
      </c>
      <c r="C121" s="420">
        <v>2013.0</v>
      </c>
      <c r="D121" s="497">
        <v>41389.0</v>
      </c>
      <c r="E121" s="422" t="s">
        <v>7074</v>
      </c>
      <c r="F121" s="394" t="s">
        <v>2307</v>
      </c>
      <c r="G121" s="422" t="s">
        <v>17</v>
      </c>
      <c r="H121" s="394" t="s">
        <v>1749</v>
      </c>
      <c r="I121" s="497">
        <v>43206.0</v>
      </c>
      <c r="J121" s="422">
        <v>4.0</v>
      </c>
      <c r="K121" s="575" t="s">
        <v>238</v>
      </c>
      <c r="L121" s="394" t="s">
        <v>256</v>
      </c>
      <c r="M121" s="528">
        <f t="shared" si="2"/>
        <v>1817</v>
      </c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ht="12.75" customHeight="1">
      <c r="A122" s="425">
        <v>12118.0</v>
      </c>
      <c r="B122" s="426" t="s">
        <v>7075</v>
      </c>
      <c r="C122" s="426">
        <v>2014.0</v>
      </c>
      <c r="D122" s="500">
        <v>41927.0</v>
      </c>
      <c r="E122" s="428" t="s">
        <v>7076</v>
      </c>
      <c r="F122" s="505" t="s">
        <v>3725</v>
      </c>
      <c r="G122" s="428" t="s">
        <v>565</v>
      </c>
      <c r="H122" s="397" t="s">
        <v>7077</v>
      </c>
      <c r="I122" s="500">
        <v>43209.0</v>
      </c>
      <c r="J122" s="428">
        <v>4.0</v>
      </c>
      <c r="K122" s="582" t="s">
        <v>244</v>
      </c>
      <c r="L122" s="397" t="s">
        <v>260</v>
      </c>
      <c r="M122" s="529">
        <f t="shared" si="2"/>
        <v>1282</v>
      </c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ht="12.75" customHeight="1">
      <c r="A123" s="419">
        <v>12218.0</v>
      </c>
      <c r="B123" s="420" t="s">
        <v>7078</v>
      </c>
      <c r="C123" s="420">
        <v>2012.0</v>
      </c>
      <c r="D123" s="497">
        <v>41099.0</v>
      </c>
      <c r="E123" s="422" t="s">
        <v>7079</v>
      </c>
      <c r="F123" s="394" t="s">
        <v>25</v>
      </c>
      <c r="G123" s="422" t="s">
        <v>552</v>
      </c>
      <c r="H123" s="394" t="s">
        <v>775</v>
      </c>
      <c r="I123" s="497">
        <v>43209.0</v>
      </c>
      <c r="J123" s="422">
        <v>4.0</v>
      </c>
      <c r="K123" s="575" t="s">
        <v>238</v>
      </c>
      <c r="L123" s="394" t="s">
        <v>256</v>
      </c>
      <c r="M123" s="528">
        <f t="shared" si="2"/>
        <v>2110</v>
      </c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ht="12.75" customHeight="1">
      <c r="A124" s="425">
        <v>12318.0</v>
      </c>
      <c r="B124" s="426" t="s">
        <v>7080</v>
      </c>
      <c r="C124" s="426">
        <v>2009.0</v>
      </c>
      <c r="D124" s="500">
        <v>40094.0</v>
      </c>
      <c r="E124" s="428" t="s">
        <v>7081</v>
      </c>
      <c r="F124" s="397" t="s">
        <v>563</v>
      </c>
      <c r="G124" s="428" t="s">
        <v>17</v>
      </c>
      <c r="H124" s="397" t="s">
        <v>6850</v>
      </c>
      <c r="I124" s="500">
        <v>43209.0</v>
      </c>
      <c r="J124" s="428">
        <v>4.0</v>
      </c>
      <c r="K124" s="577" t="s">
        <v>234</v>
      </c>
      <c r="L124" s="397" t="s">
        <v>256</v>
      </c>
      <c r="M124" s="529">
        <f t="shared" si="2"/>
        <v>3115</v>
      </c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ht="12.75" customHeight="1">
      <c r="A125" s="419">
        <v>12418.0</v>
      </c>
      <c r="B125" s="420" t="s">
        <v>7082</v>
      </c>
      <c r="C125" s="420">
        <v>2012.0</v>
      </c>
      <c r="D125" s="497">
        <v>40993.0</v>
      </c>
      <c r="E125" s="422" t="s">
        <v>7083</v>
      </c>
      <c r="F125" s="394" t="s">
        <v>1846</v>
      </c>
      <c r="G125" s="422" t="s">
        <v>552</v>
      </c>
      <c r="H125" s="394" t="s">
        <v>596</v>
      </c>
      <c r="I125" s="497">
        <v>43209.0</v>
      </c>
      <c r="J125" s="422">
        <v>4.0</v>
      </c>
      <c r="K125" s="577" t="s">
        <v>234</v>
      </c>
      <c r="L125" s="394" t="s">
        <v>258</v>
      </c>
      <c r="M125" s="528">
        <f t="shared" si="2"/>
        <v>2216</v>
      </c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ht="12.75" customHeight="1">
      <c r="A126" s="425">
        <v>12518.0</v>
      </c>
      <c r="B126" s="426" t="s">
        <v>7084</v>
      </c>
      <c r="C126" s="426">
        <v>2012.0</v>
      </c>
      <c r="D126" s="500">
        <v>41043.0</v>
      </c>
      <c r="E126" s="428" t="s">
        <v>7085</v>
      </c>
      <c r="F126" s="397" t="s">
        <v>7047</v>
      </c>
      <c r="G126" s="428" t="s">
        <v>552</v>
      </c>
      <c r="H126" s="397" t="s">
        <v>5016</v>
      </c>
      <c r="I126" s="500">
        <v>43209.0</v>
      </c>
      <c r="J126" s="428">
        <v>4.0</v>
      </c>
      <c r="K126" s="576" t="s">
        <v>228</v>
      </c>
      <c r="L126" s="397" t="s">
        <v>256</v>
      </c>
      <c r="M126" s="529">
        <f t="shared" si="2"/>
        <v>2166</v>
      </c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ht="12.75" customHeight="1">
      <c r="A127" s="419">
        <v>12618.0</v>
      </c>
      <c r="B127" s="420" t="s">
        <v>7086</v>
      </c>
      <c r="C127" s="420">
        <v>2015.0</v>
      </c>
      <c r="D127" s="497">
        <v>42192.0</v>
      </c>
      <c r="E127" s="422" t="s">
        <v>7087</v>
      </c>
      <c r="F127" s="394" t="s">
        <v>7047</v>
      </c>
      <c r="G127" s="422" t="s">
        <v>552</v>
      </c>
      <c r="H127" s="394" t="s">
        <v>5016</v>
      </c>
      <c r="I127" s="497">
        <v>43209.0</v>
      </c>
      <c r="J127" s="422">
        <v>4.0</v>
      </c>
      <c r="K127" s="576" t="s">
        <v>228</v>
      </c>
      <c r="L127" s="394" t="s">
        <v>256</v>
      </c>
      <c r="M127" s="528">
        <f t="shared" si="2"/>
        <v>1017</v>
      </c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ht="12.75" customHeight="1">
      <c r="A128" s="425">
        <v>12718.0</v>
      </c>
      <c r="B128" s="426" t="s">
        <v>7088</v>
      </c>
      <c r="C128" s="426">
        <v>2015.0</v>
      </c>
      <c r="D128" s="500">
        <v>42332.0</v>
      </c>
      <c r="E128" s="428" t="s">
        <v>7089</v>
      </c>
      <c r="F128" s="397" t="s">
        <v>7090</v>
      </c>
      <c r="G128" s="428" t="s">
        <v>650</v>
      </c>
      <c r="H128" s="397" t="s">
        <v>6814</v>
      </c>
      <c r="I128" s="500">
        <v>43210.0</v>
      </c>
      <c r="J128" s="428">
        <v>4.0</v>
      </c>
      <c r="K128" s="576" t="s">
        <v>228</v>
      </c>
      <c r="L128" s="397" t="s">
        <v>256</v>
      </c>
      <c r="M128" s="529">
        <f t="shared" si="2"/>
        <v>878</v>
      </c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ht="12.75" customHeight="1">
      <c r="A129" s="419">
        <v>12818.0</v>
      </c>
      <c r="B129" s="420" t="s">
        <v>7091</v>
      </c>
      <c r="C129" s="420">
        <v>2011.0</v>
      </c>
      <c r="D129" s="497">
        <v>40574.0</v>
      </c>
      <c r="E129" s="422" t="s">
        <v>7092</v>
      </c>
      <c r="F129" s="394" t="s">
        <v>2307</v>
      </c>
      <c r="G129" s="422" t="s">
        <v>17</v>
      </c>
      <c r="H129" s="394" t="s">
        <v>5016</v>
      </c>
      <c r="I129" s="497">
        <v>43215.0</v>
      </c>
      <c r="J129" s="422">
        <v>4.0</v>
      </c>
      <c r="K129" s="575" t="s">
        <v>238</v>
      </c>
      <c r="L129" s="394" t="s">
        <v>256</v>
      </c>
      <c r="M129" s="528">
        <f t="shared" si="2"/>
        <v>2641</v>
      </c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ht="12.75" customHeight="1">
      <c r="A130" s="425">
        <v>12918.0</v>
      </c>
      <c r="B130" s="426" t="s">
        <v>7093</v>
      </c>
      <c r="C130" s="426">
        <v>2016.0</v>
      </c>
      <c r="D130" s="500">
        <v>42657.0</v>
      </c>
      <c r="E130" s="428" t="s">
        <v>7094</v>
      </c>
      <c r="F130" s="397" t="s">
        <v>6245</v>
      </c>
      <c r="G130" s="428" t="s">
        <v>650</v>
      </c>
      <c r="H130" s="397" t="s">
        <v>6826</v>
      </c>
      <c r="I130" s="500">
        <v>43220.0</v>
      </c>
      <c r="J130" s="428">
        <v>4.0</v>
      </c>
      <c r="K130" s="576" t="s">
        <v>228</v>
      </c>
      <c r="L130" s="397" t="s">
        <v>256</v>
      </c>
      <c r="M130" s="529">
        <f t="shared" si="2"/>
        <v>563</v>
      </c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ht="12.75" customHeight="1">
      <c r="A131" s="419">
        <v>13018.0</v>
      </c>
      <c r="B131" s="420" t="s">
        <v>7095</v>
      </c>
      <c r="C131" s="420">
        <v>2014.0</v>
      </c>
      <c r="D131" s="497">
        <v>41927.0</v>
      </c>
      <c r="E131" s="422" t="s">
        <v>7096</v>
      </c>
      <c r="F131" s="503" t="s">
        <v>7097</v>
      </c>
      <c r="G131" s="422" t="s">
        <v>565</v>
      </c>
      <c r="H131" s="394" t="s">
        <v>7077</v>
      </c>
      <c r="I131" s="497">
        <v>43220.0</v>
      </c>
      <c r="J131" s="422">
        <v>4.0</v>
      </c>
      <c r="K131" s="582" t="s">
        <v>244</v>
      </c>
      <c r="L131" s="394" t="s">
        <v>260</v>
      </c>
      <c r="M131" s="528">
        <f t="shared" si="2"/>
        <v>1293</v>
      </c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ht="12.75" customHeight="1">
      <c r="A132" s="425">
        <v>13118.0</v>
      </c>
      <c r="B132" s="426" t="s">
        <v>7098</v>
      </c>
      <c r="C132" s="426">
        <v>2012.0</v>
      </c>
      <c r="D132" s="500">
        <v>41271.0</v>
      </c>
      <c r="E132" s="428" t="s">
        <v>7099</v>
      </c>
      <c r="F132" s="397" t="s">
        <v>1968</v>
      </c>
      <c r="G132" s="428" t="s">
        <v>552</v>
      </c>
      <c r="H132" s="397" t="s">
        <v>6826</v>
      </c>
      <c r="I132" s="500">
        <v>43220.0</v>
      </c>
      <c r="J132" s="428">
        <v>4.0</v>
      </c>
      <c r="K132" s="575" t="s">
        <v>238</v>
      </c>
      <c r="L132" s="397" t="s">
        <v>256</v>
      </c>
      <c r="M132" s="529">
        <f t="shared" si="2"/>
        <v>1949</v>
      </c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ht="12.75" customHeight="1">
      <c r="A133" s="419">
        <v>13218.0</v>
      </c>
      <c r="B133" s="420" t="s">
        <v>7100</v>
      </c>
      <c r="C133" s="420">
        <v>2012.0</v>
      </c>
      <c r="D133" s="497">
        <v>41061.0</v>
      </c>
      <c r="E133" s="422" t="s">
        <v>7101</v>
      </c>
      <c r="F133" s="394" t="s">
        <v>55</v>
      </c>
      <c r="G133" s="422" t="s">
        <v>17</v>
      </c>
      <c r="H133" s="394" t="s">
        <v>775</v>
      </c>
      <c r="I133" s="497">
        <v>43220.0</v>
      </c>
      <c r="J133" s="422">
        <v>4.0</v>
      </c>
      <c r="K133" s="575" t="s">
        <v>238</v>
      </c>
      <c r="L133" s="394" t="s">
        <v>256</v>
      </c>
      <c r="M133" s="528">
        <f t="shared" si="2"/>
        <v>2159</v>
      </c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ht="12.75" customHeight="1">
      <c r="A134" s="425">
        <v>13318.0</v>
      </c>
      <c r="B134" s="426" t="s">
        <v>7102</v>
      </c>
      <c r="C134" s="426">
        <v>2010.0</v>
      </c>
      <c r="D134" s="500">
        <v>40451.0</v>
      </c>
      <c r="E134" s="428" t="s">
        <v>7103</v>
      </c>
      <c r="F134" s="397" t="s">
        <v>963</v>
      </c>
      <c r="G134" s="428" t="s">
        <v>650</v>
      </c>
      <c r="H134" s="397" t="s">
        <v>6826</v>
      </c>
      <c r="I134" s="500">
        <v>43220.0</v>
      </c>
      <c r="J134" s="428">
        <v>4.0</v>
      </c>
      <c r="K134" s="582" t="s">
        <v>244</v>
      </c>
      <c r="L134" s="397" t="s">
        <v>258</v>
      </c>
      <c r="M134" s="529">
        <f t="shared" si="2"/>
        <v>2769</v>
      </c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ht="12.75" customHeight="1">
      <c r="A135" s="419">
        <v>13418.0</v>
      </c>
      <c r="B135" s="420" t="s">
        <v>7104</v>
      </c>
      <c r="C135" s="420">
        <v>2010.0</v>
      </c>
      <c r="D135" s="497">
        <v>40420.0</v>
      </c>
      <c r="E135" s="422" t="s">
        <v>7105</v>
      </c>
      <c r="F135" s="394" t="s">
        <v>1544</v>
      </c>
      <c r="G135" s="422" t="s">
        <v>552</v>
      </c>
      <c r="H135" s="394" t="s">
        <v>5127</v>
      </c>
      <c r="I135" s="497">
        <v>43220.0</v>
      </c>
      <c r="J135" s="422">
        <v>4.0</v>
      </c>
      <c r="K135" s="576" t="s">
        <v>228</v>
      </c>
      <c r="L135" s="394" t="s">
        <v>256</v>
      </c>
      <c r="M135" s="528">
        <f t="shared" si="2"/>
        <v>2800</v>
      </c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ht="12.75" customHeight="1">
      <c r="A136" s="425">
        <v>13518.0</v>
      </c>
      <c r="B136" s="426" t="s">
        <v>7106</v>
      </c>
      <c r="C136" s="426">
        <v>2010.0</v>
      </c>
      <c r="D136" s="500">
        <v>40451.0</v>
      </c>
      <c r="E136" s="428" t="s">
        <v>7107</v>
      </c>
      <c r="F136" s="397" t="s">
        <v>963</v>
      </c>
      <c r="G136" s="428" t="s">
        <v>650</v>
      </c>
      <c r="H136" s="397" t="s">
        <v>6826</v>
      </c>
      <c r="I136" s="500">
        <v>43220.0</v>
      </c>
      <c r="J136" s="428">
        <v>4.0</v>
      </c>
      <c r="K136" s="582" t="s">
        <v>244</v>
      </c>
      <c r="L136" s="397" t="s">
        <v>258</v>
      </c>
      <c r="M136" s="529">
        <f t="shared" si="2"/>
        <v>2769</v>
      </c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ht="12.75" customHeight="1">
      <c r="A137" s="419">
        <v>13618.0</v>
      </c>
      <c r="B137" s="420" t="s">
        <v>7108</v>
      </c>
      <c r="C137" s="420">
        <v>2013.0</v>
      </c>
      <c r="D137" s="497">
        <v>41403.0</v>
      </c>
      <c r="E137" s="422" t="s">
        <v>7109</v>
      </c>
      <c r="F137" s="394" t="s">
        <v>55</v>
      </c>
      <c r="G137" s="422" t="s">
        <v>17</v>
      </c>
      <c r="H137" s="394" t="s">
        <v>1749</v>
      </c>
      <c r="I137" s="497">
        <v>43220.0</v>
      </c>
      <c r="J137" s="422">
        <v>4.0</v>
      </c>
      <c r="K137" s="575" t="s">
        <v>238</v>
      </c>
      <c r="L137" s="394" t="s">
        <v>256</v>
      </c>
      <c r="M137" s="528">
        <f t="shared" si="2"/>
        <v>1817</v>
      </c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ht="12.75" customHeight="1">
      <c r="A138" s="425">
        <v>13718.0</v>
      </c>
      <c r="B138" s="426" t="s">
        <v>7110</v>
      </c>
      <c r="C138" s="426">
        <v>2011.0</v>
      </c>
      <c r="D138" s="500">
        <v>40787.0</v>
      </c>
      <c r="E138" s="428" t="s">
        <v>7111</v>
      </c>
      <c r="F138" s="397" t="s">
        <v>7112</v>
      </c>
      <c r="G138" s="428" t="s">
        <v>552</v>
      </c>
      <c r="H138" s="397" t="s">
        <v>6826</v>
      </c>
      <c r="I138" s="500">
        <v>43223.0</v>
      </c>
      <c r="J138" s="428">
        <v>5.0</v>
      </c>
      <c r="K138" s="575" t="s">
        <v>238</v>
      </c>
      <c r="L138" s="397" t="s">
        <v>256</v>
      </c>
      <c r="M138" s="529">
        <f t="shared" si="2"/>
        <v>2436</v>
      </c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ht="12.75" customHeight="1">
      <c r="A139" s="419">
        <v>13818.0</v>
      </c>
      <c r="B139" s="420" t="s">
        <v>7113</v>
      </c>
      <c r="C139" s="420">
        <v>2011.0</v>
      </c>
      <c r="D139" s="497">
        <v>40787.0</v>
      </c>
      <c r="E139" s="422" t="s">
        <v>7114</v>
      </c>
      <c r="F139" s="394" t="s">
        <v>7112</v>
      </c>
      <c r="G139" s="422" t="s">
        <v>552</v>
      </c>
      <c r="H139" s="394" t="s">
        <v>6826</v>
      </c>
      <c r="I139" s="497">
        <v>43223.0</v>
      </c>
      <c r="J139" s="422">
        <v>5.0</v>
      </c>
      <c r="K139" s="575" t="s">
        <v>238</v>
      </c>
      <c r="L139" s="394" t="s">
        <v>256</v>
      </c>
      <c r="M139" s="528">
        <f t="shared" si="2"/>
        <v>2436</v>
      </c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ht="12.75" customHeight="1">
      <c r="A140" s="425">
        <v>13918.0</v>
      </c>
      <c r="B140" s="426" t="s">
        <v>7115</v>
      </c>
      <c r="C140" s="426">
        <v>2011.0</v>
      </c>
      <c r="D140" s="500">
        <v>40686.0</v>
      </c>
      <c r="E140" s="428" t="s">
        <v>7116</v>
      </c>
      <c r="F140" s="397" t="s">
        <v>595</v>
      </c>
      <c r="G140" s="428" t="s">
        <v>552</v>
      </c>
      <c r="H140" s="397" t="s">
        <v>125</v>
      </c>
      <c r="I140" s="500">
        <v>43223.0</v>
      </c>
      <c r="J140" s="428">
        <v>5.0</v>
      </c>
      <c r="K140" s="577" t="s">
        <v>234</v>
      </c>
      <c r="L140" s="397" t="s">
        <v>256</v>
      </c>
      <c r="M140" s="529">
        <f t="shared" si="2"/>
        <v>2537</v>
      </c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ht="12.75" customHeight="1">
      <c r="A141" s="419">
        <v>14018.0</v>
      </c>
      <c r="B141" s="420" t="s">
        <v>7117</v>
      </c>
      <c r="C141" s="420">
        <v>2011.0</v>
      </c>
      <c r="D141" s="497">
        <v>40633.0</v>
      </c>
      <c r="E141" s="422" t="s">
        <v>7118</v>
      </c>
      <c r="F141" s="394" t="s">
        <v>563</v>
      </c>
      <c r="G141" s="422" t="s">
        <v>552</v>
      </c>
      <c r="H141" s="394" t="s">
        <v>5016</v>
      </c>
      <c r="I141" s="497">
        <v>43223.0</v>
      </c>
      <c r="J141" s="422">
        <v>5.0</v>
      </c>
      <c r="K141" s="575" t="s">
        <v>238</v>
      </c>
      <c r="L141" s="394" t="s">
        <v>256</v>
      </c>
      <c r="M141" s="528">
        <f t="shared" si="2"/>
        <v>2590</v>
      </c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ht="12.75" customHeight="1">
      <c r="A142" s="425">
        <v>14118.0</v>
      </c>
      <c r="B142" s="426" t="s">
        <v>7119</v>
      </c>
      <c r="C142" s="426">
        <v>2017.0</v>
      </c>
      <c r="D142" s="500">
        <v>42752.0</v>
      </c>
      <c r="E142" s="428" t="s">
        <v>7120</v>
      </c>
      <c r="F142" s="397" t="s">
        <v>1544</v>
      </c>
      <c r="G142" s="428" t="s">
        <v>552</v>
      </c>
      <c r="H142" s="397" t="s">
        <v>4141</v>
      </c>
      <c r="I142" s="500">
        <v>43227.0</v>
      </c>
      <c r="J142" s="428">
        <v>5.0</v>
      </c>
      <c r="K142" s="576" t="s">
        <v>228</v>
      </c>
      <c r="L142" s="397" t="s">
        <v>256</v>
      </c>
      <c r="M142" s="529">
        <f t="shared" si="2"/>
        <v>475</v>
      </c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ht="12.75" customHeight="1">
      <c r="A143" s="419">
        <v>14218.0</v>
      </c>
      <c r="B143" s="420" t="s">
        <v>7121</v>
      </c>
      <c r="C143" s="420">
        <v>2017.0</v>
      </c>
      <c r="D143" s="497">
        <v>42752.0</v>
      </c>
      <c r="E143" s="422" t="s">
        <v>7122</v>
      </c>
      <c r="F143" s="394" t="s">
        <v>1544</v>
      </c>
      <c r="G143" s="422" t="s">
        <v>552</v>
      </c>
      <c r="H143" s="394" t="s">
        <v>4141</v>
      </c>
      <c r="I143" s="497">
        <v>43227.0</v>
      </c>
      <c r="J143" s="422">
        <v>5.0</v>
      </c>
      <c r="K143" s="576" t="s">
        <v>228</v>
      </c>
      <c r="L143" s="394" t="s">
        <v>256</v>
      </c>
      <c r="M143" s="528">
        <f t="shared" si="2"/>
        <v>475</v>
      </c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ht="12.75" customHeight="1">
      <c r="A144" s="425">
        <v>14318.0</v>
      </c>
      <c r="B144" s="426" t="s">
        <v>7123</v>
      </c>
      <c r="C144" s="426">
        <v>2012.0</v>
      </c>
      <c r="D144" s="500">
        <v>41060.0</v>
      </c>
      <c r="E144" s="428" t="s">
        <v>7124</v>
      </c>
      <c r="F144" s="397" t="s">
        <v>2873</v>
      </c>
      <c r="G144" s="428" t="s">
        <v>552</v>
      </c>
      <c r="H144" s="397" t="s">
        <v>4141</v>
      </c>
      <c r="I144" s="500">
        <v>43227.0</v>
      </c>
      <c r="J144" s="428">
        <v>5.0</v>
      </c>
      <c r="K144" s="576" t="s">
        <v>228</v>
      </c>
      <c r="L144" s="397" t="s">
        <v>258</v>
      </c>
      <c r="M144" s="529">
        <f t="shared" si="2"/>
        <v>2167</v>
      </c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ht="12.75" customHeight="1">
      <c r="A145" s="419">
        <v>14418.0</v>
      </c>
      <c r="B145" s="420" t="s">
        <v>7125</v>
      </c>
      <c r="C145" s="420">
        <v>2014.0</v>
      </c>
      <c r="D145" s="497">
        <v>41950.0</v>
      </c>
      <c r="E145" s="422" t="s">
        <v>7126</v>
      </c>
      <c r="F145" s="503" t="s">
        <v>7127</v>
      </c>
      <c r="G145" s="422" t="s">
        <v>565</v>
      </c>
      <c r="H145" s="394" t="s">
        <v>158</v>
      </c>
      <c r="I145" s="497">
        <v>43227.0</v>
      </c>
      <c r="J145" s="422">
        <v>5.0</v>
      </c>
      <c r="K145" s="582" t="s">
        <v>244</v>
      </c>
      <c r="L145" s="394" t="s">
        <v>260</v>
      </c>
      <c r="M145" s="528">
        <f t="shared" si="2"/>
        <v>1277</v>
      </c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ht="12.75" customHeight="1">
      <c r="A146" s="425">
        <v>14518.0</v>
      </c>
      <c r="B146" s="426" t="s">
        <v>7128</v>
      </c>
      <c r="C146" s="426">
        <v>2013.0</v>
      </c>
      <c r="D146" s="500">
        <v>41631.0</v>
      </c>
      <c r="E146" s="428" t="s">
        <v>7129</v>
      </c>
      <c r="F146" s="397" t="s">
        <v>31</v>
      </c>
      <c r="G146" s="428" t="s">
        <v>552</v>
      </c>
      <c r="H146" s="397" t="s">
        <v>130</v>
      </c>
      <c r="I146" s="500">
        <v>43227.0</v>
      </c>
      <c r="J146" s="428">
        <v>5.0</v>
      </c>
      <c r="K146" s="576" t="s">
        <v>228</v>
      </c>
      <c r="L146" s="397" t="s">
        <v>258</v>
      </c>
      <c r="M146" s="529">
        <f t="shared" si="2"/>
        <v>1596</v>
      </c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ht="12.75" customHeight="1">
      <c r="A147" s="419">
        <v>14618.0</v>
      </c>
      <c r="B147" s="420" t="s">
        <v>7130</v>
      </c>
      <c r="C147" s="420">
        <v>2010.0</v>
      </c>
      <c r="D147" s="497">
        <v>40508.0</v>
      </c>
      <c r="E147" s="422" t="s">
        <v>7131</v>
      </c>
      <c r="F147" s="394" t="s">
        <v>25</v>
      </c>
      <c r="G147" s="422" t="s">
        <v>552</v>
      </c>
      <c r="H147" s="394" t="s">
        <v>6850</v>
      </c>
      <c r="I147" s="497">
        <v>43227.0</v>
      </c>
      <c r="J147" s="422">
        <v>5.0</v>
      </c>
      <c r="K147" s="575" t="s">
        <v>238</v>
      </c>
      <c r="L147" s="394" t="s">
        <v>256</v>
      </c>
      <c r="M147" s="528">
        <f t="shared" si="2"/>
        <v>2719</v>
      </c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ht="12.75" customHeight="1">
      <c r="A148" s="425">
        <v>14718.0</v>
      </c>
      <c r="B148" s="426" t="s">
        <v>7132</v>
      </c>
      <c r="C148" s="426">
        <v>2012.0</v>
      </c>
      <c r="D148" s="500">
        <v>41142.0</v>
      </c>
      <c r="E148" s="428" t="s">
        <v>7133</v>
      </c>
      <c r="F148" s="397" t="s">
        <v>900</v>
      </c>
      <c r="G148" s="428" t="s">
        <v>552</v>
      </c>
      <c r="H148" s="397" t="s">
        <v>4141</v>
      </c>
      <c r="I148" s="500">
        <v>43234.0</v>
      </c>
      <c r="J148" s="428">
        <v>5.0</v>
      </c>
      <c r="K148" s="576" t="s">
        <v>228</v>
      </c>
      <c r="L148" s="397" t="s">
        <v>258</v>
      </c>
      <c r="M148" s="529">
        <f t="shared" si="2"/>
        <v>2092</v>
      </c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ht="12.75" customHeight="1">
      <c r="A149" s="419">
        <v>14818.0</v>
      </c>
      <c r="B149" s="420" t="s">
        <v>7134</v>
      </c>
      <c r="C149" s="420">
        <v>2012.0</v>
      </c>
      <c r="D149" s="497">
        <v>41096.0</v>
      </c>
      <c r="E149" s="422" t="s">
        <v>7135</v>
      </c>
      <c r="F149" s="394" t="s">
        <v>900</v>
      </c>
      <c r="G149" s="422" t="s">
        <v>552</v>
      </c>
      <c r="H149" s="394" t="s">
        <v>4141</v>
      </c>
      <c r="I149" s="497">
        <v>43234.0</v>
      </c>
      <c r="J149" s="422">
        <v>5.0</v>
      </c>
      <c r="K149" s="576" t="s">
        <v>228</v>
      </c>
      <c r="L149" s="394" t="s">
        <v>258</v>
      </c>
      <c r="M149" s="528">
        <f t="shared" si="2"/>
        <v>2138</v>
      </c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ht="12.75" customHeight="1">
      <c r="A150" s="425">
        <v>14918.0</v>
      </c>
      <c r="B150" s="426" t="s">
        <v>7136</v>
      </c>
      <c r="C150" s="426">
        <v>2010.0</v>
      </c>
      <c r="D150" s="500">
        <v>40542.0</v>
      </c>
      <c r="E150" s="428" t="s">
        <v>7137</v>
      </c>
      <c r="F150" s="397" t="s">
        <v>963</v>
      </c>
      <c r="G150" s="428" t="s">
        <v>17</v>
      </c>
      <c r="H150" s="397" t="s">
        <v>6846</v>
      </c>
      <c r="I150" s="500">
        <v>43235.0</v>
      </c>
      <c r="J150" s="428">
        <v>5.0</v>
      </c>
      <c r="K150" s="576" t="s">
        <v>228</v>
      </c>
      <c r="L150" s="397" t="s">
        <v>258</v>
      </c>
      <c r="M150" s="529">
        <f t="shared" si="2"/>
        <v>2693</v>
      </c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ht="12.75" customHeight="1">
      <c r="A151" s="419">
        <v>15018.0</v>
      </c>
      <c r="B151" s="420" t="s">
        <v>7138</v>
      </c>
      <c r="C151" s="420">
        <v>2010.0</v>
      </c>
      <c r="D151" s="497">
        <v>40420.0</v>
      </c>
      <c r="E151" s="422" t="s">
        <v>7139</v>
      </c>
      <c r="F151" s="394" t="s">
        <v>7140</v>
      </c>
      <c r="G151" s="422" t="s">
        <v>552</v>
      </c>
      <c r="H151" s="394" t="s">
        <v>6814</v>
      </c>
      <c r="I151" s="497">
        <v>43235.0</v>
      </c>
      <c r="J151" s="422">
        <v>5.0</v>
      </c>
      <c r="K151" s="576" t="s">
        <v>228</v>
      </c>
      <c r="L151" s="394" t="s">
        <v>256</v>
      </c>
      <c r="M151" s="528">
        <f t="shared" si="2"/>
        <v>2815</v>
      </c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ht="12.75" customHeight="1">
      <c r="A152" s="425">
        <v>15118.0</v>
      </c>
      <c r="B152" s="426" t="s">
        <v>7141</v>
      </c>
      <c r="C152" s="426">
        <v>2010.0</v>
      </c>
      <c r="D152" s="500">
        <v>40422.0</v>
      </c>
      <c r="E152" s="428" t="s">
        <v>7142</v>
      </c>
      <c r="F152" s="397" t="s">
        <v>7140</v>
      </c>
      <c r="G152" s="428" t="s">
        <v>552</v>
      </c>
      <c r="H152" s="397" t="s">
        <v>6814</v>
      </c>
      <c r="I152" s="500">
        <v>43235.0</v>
      </c>
      <c r="J152" s="428">
        <v>5.0</v>
      </c>
      <c r="K152" s="576" t="s">
        <v>228</v>
      </c>
      <c r="L152" s="397" t="s">
        <v>256</v>
      </c>
      <c r="M152" s="529">
        <f t="shared" si="2"/>
        <v>2813</v>
      </c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ht="12.75" customHeight="1">
      <c r="A153" s="419">
        <v>15218.0</v>
      </c>
      <c r="B153" s="420" t="s">
        <v>7143</v>
      </c>
      <c r="C153" s="420">
        <v>2012.0</v>
      </c>
      <c r="D153" s="497">
        <v>41269.0</v>
      </c>
      <c r="E153" s="422" t="s">
        <v>7144</v>
      </c>
      <c r="F153" s="394" t="s">
        <v>963</v>
      </c>
      <c r="G153" s="422" t="s">
        <v>17</v>
      </c>
      <c r="H153" s="394" t="s">
        <v>4141</v>
      </c>
      <c r="I153" s="497">
        <v>43235.0</v>
      </c>
      <c r="J153" s="422">
        <v>5.0</v>
      </c>
      <c r="K153" s="576" t="s">
        <v>228</v>
      </c>
      <c r="L153" s="394" t="s">
        <v>258</v>
      </c>
      <c r="M153" s="528">
        <f t="shared" si="2"/>
        <v>1966</v>
      </c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ht="12.75" customHeight="1">
      <c r="A154" s="425">
        <v>15318.0</v>
      </c>
      <c r="B154" s="426" t="s">
        <v>7145</v>
      </c>
      <c r="C154" s="426">
        <v>2011.0</v>
      </c>
      <c r="D154" s="500">
        <v>40786.0</v>
      </c>
      <c r="E154" s="428" t="s">
        <v>7146</v>
      </c>
      <c r="F154" s="397" t="s">
        <v>1544</v>
      </c>
      <c r="G154" s="428" t="s">
        <v>552</v>
      </c>
      <c r="H154" s="397" t="s">
        <v>6850</v>
      </c>
      <c r="I154" s="500">
        <v>43238.0</v>
      </c>
      <c r="J154" s="428">
        <v>5.0</v>
      </c>
      <c r="K154" s="576" t="s">
        <v>228</v>
      </c>
      <c r="L154" s="397" t="s">
        <v>256</v>
      </c>
      <c r="M154" s="529">
        <f t="shared" si="2"/>
        <v>2452</v>
      </c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ht="12.75" customHeight="1">
      <c r="A155" s="419">
        <v>15418.0</v>
      </c>
      <c r="B155" s="420" t="s">
        <v>7147</v>
      </c>
      <c r="C155" s="420">
        <v>2017.0</v>
      </c>
      <c r="D155" s="497">
        <v>43010.0</v>
      </c>
      <c r="E155" s="422" t="s">
        <v>7148</v>
      </c>
      <c r="F155" s="583" t="s">
        <v>7149</v>
      </c>
      <c r="G155" s="422" t="s">
        <v>565</v>
      </c>
      <c r="H155" s="394" t="s">
        <v>5397</v>
      </c>
      <c r="I155" s="497">
        <v>43241.0</v>
      </c>
      <c r="J155" s="422">
        <v>5.0</v>
      </c>
      <c r="K155" s="582" t="s">
        <v>244</v>
      </c>
      <c r="L155" s="394" t="s">
        <v>260</v>
      </c>
      <c r="M155" s="528">
        <f t="shared" si="2"/>
        <v>231</v>
      </c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ht="12.75" customHeight="1">
      <c r="A156" s="425">
        <v>15518.0</v>
      </c>
      <c r="B156" s="426" t="s">
        <v>7150</v>
      </c>
      <c r="C156" s="426">
        <v>2017.0</v>
      </c>
      <c r="D156" s="500">
        <v>43019.0</v>
      </c>
      <c r="E156" s="428" t="s">
        <v>7151</v>
      </c>
      <c r="F156" s="584" t="s">
        <v>7152</v>
      </c>
      <c r="G156" s="428" t="s">
        <v>565</v>
      </c>
      <c r="H156" s="397" t="s">
        <v>5397</v>
      </c>
      <c r="I156" s="500">
        <v>43241.0</v>
      </c>
      <c r="J156" s="428">
        <v>5.0</v>
      </c>
      <c r="K156" s="582" t="s">
        <v>244</v>
      </c>
      <c r="L156" s="397" t="s">
        <v>260</v>
      </c>
      <c r="M156" s="529">
        <f t="shared" si="2"/>
        <v>222</v>
      </c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ht="12.75" customHeight="1">
      <c r="A157" s="419">
        <v>15618.0</v>
      </c>
      <c r="B157" s="420" t="s">
        <v>7153</v>
      </c>
      <c r="C157" s="420">
        <v>2013.0</v>
      </c>
      <c r="D157" s="497">
        <v>41415.0</v>
      </c>
      <c r="E157" s="422" t="s">
        <v>7154</v>
      </c>
      <c r="F157" s="394" t="s">
        <v>719</v>
      </c>
      <c r="G157" s="422" t="s">
        <v>17</v>
      </c>
      <c r="H157" s="394" t="s">
        <v>6842</v>
      </c>
      <c r="I157" s="497">
        <v>43241.0</v>
      </c>
      <c r="J157" s="422">
        <v>5.0</v>
      </c>
      <c r="K157" s="575" t="s">
        <v>238</v>
      </c>
      <c r="L157" s="394" t="s">
        <v>256</v>
      </c>
      <c r="M157" s="528">
        <f t="shared" si="2"/>
        <v>1826</v>
      </c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ht="12.75" customHeight="1">
      <c r="A158" s="425">
        <v>15718.0</v>
      </c>
      <c r="B158" s="426" t="s">
        <v>7155</v>
      </c>
      <c r="C158" s="426">
        <v>2013.0</v>
      </c>
      <c r="D158" s="500">
        <v>41437.0</v>
      </c>
      <c r="E158" s="428" t="s">
        <v>7156</v>
      </c>
      <c r="F158" s="397" t="s">
        <v>719</v>
      </c>
      <c r="G158" s="428" t="s">
        <v>17</v>
      </c>
      <c r="H158" s="397" t="s">
        <v>130</v>
      </c>
      <c r="I158" s="500">
        <v>43241.0</v>
      </c>
      <c r="J158" s="428">
        <v>5.0</v>
      </c>
      <c r="K158" s="575" t="s">
        <v>238</v>
      </c>
      <c r="L158" s="397" t="s">
        <v>256</v>
      </c>
      <c r="M158" s="529">
        <f t="shared" si="2"/>
        <v>1804</v>
      </c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ht="12.75" customHeight="1">
      <c r="A159" s="419">
        <v>15818.0</v>
      </c>
      <c r="B159" s="420" t="s">
        <v>7157</v>
      </c>
      <c r="C159" s="420">
        <v>2013.0</v>
      </c>
      <c r="D159" s="497">
        <v>41585.0</v>
      </c>
      <c r="E159" s="422" t="s">
        <v>7158</v>
      </c>
      <c r="F159" s="394" t="s">
        <v>719</v>
      </c>
      <c r="G159" s="422" t="s">
        <v>17</v>
      </c>
      <c r="H159" s="394" t="s">
        <v>26</v>
      </c>
      <c r="I159" s="497">
        <v>43241.0</v>
      </c>
      <c r="J159" s="422">
        <v>5.0</v>
      </c>
      <c r="K159" s="575" t="s">
        <v>238</v>
      </c>
      <c r="L159" s="394" t="s">
        <v>256</v>
      </c>
      <c r="M159" s="528">
        <f t="shared" si="2"/>
        <v>1656</v>
      </c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ht="12.75" customHeight="1">
      <c r="A160" s="425">
        <v>15918.0</v>
      </c>
      <c r="B160" s="426" t="s">
        <v>7159</v>
      </c>
      <c r="C160" s="426">
        <v>2017.0</v>
      </c>
      <c r="D160" s="500">
        <v>42964.0</v>
      </c>
      <c r="E160" s="428" t="s">
        <v>7160</v>
      </c>
      <c r="F160" s="584" t="s">
        <v>7161</v>
      </c>
      <c r="G160" s="428" t="s">
        <v>565</v>
      </c>
      <c r="H160" s="397" t="s">
        <v>5397</v>
      </c>
      <c r="I160" s="500">
        <v>43241.0</v>
      </c>
      <c r="J160" s="428">
        <v>5.0</v>
      </c>
      <c r="K160" s="582" t="s">
        <v>244</v>
      </c>
      <c r="L160" s="397" t="s">
        <v>260</v>
      </c>
      <c r="M160" s="529">
        <f t="shared" si="2"/>
        <v>277</v>
      </c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ht="12.75" customHeight="1">
      <c r="A161" s="419">
        <v>16018.0</v>
      </c>
      <c r="B161" s="420" t="s">
        <v>7162</v>
      </c>
      <c r="C161" s="420">
        <v>2017.0</v>
      </c>
      <c r="D161" s="497">
        <v>42979.0</v>
      </c>
      <c r="E161" s="422" t="s">
        <v>7163</v>
      </c>
      <c r="F161" s="583" t="s">
        <v>7164</v>
      </c>
      <c r="G161" s="422" t="s">
        <v>565</v>
      </c>
      <c r="H161" s="394" t="s">
        <v>5397</v>
      </c>
      <c r="I161" s="497">
        <v>43241.0</v>
      </c>
      <c r="J161" s="422">
        <v>5.0</v>
      </c>
      <c r="K161" s="582" t="s">
        <v>244</v>
      </c>
      <c r="L161" s="394" t="s">
        <v>260</v>
      </c>
      <c r="M161" s="528">
        <f t="shared" si="2"/>
        <v>262</v>
      </c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ht="12.75" customHeight="1">
      <c r="A162" s="425">
        <v>16118.0</v>
      </c>
      <c r="B162" s="426" t="s">
        <v>7165</v>
      </c>
      <c r="C162" s="426">
        <v>2013.0</v>
      </c>
      <c r="D162" s="500">
        <v>41313.0</v>
      </c>
      <c r="E162" s="428" t="s">
        <v>7166</v>
      </c>
      <c r="F162" s="397" t="s">
        <v>719</v>
      </c>
      <c r="G162" s="428" t="s">
        <v>17</v>
      </c>
      <c r="H162" s="397" t="s">
        <v>7040</v>
      </c>
      <c r="I162" s="500">
        <v>43241.0</v>
      </c>
      <c r="J162" s="428">
        <v>5.0</v>
      </c>
      <c r="K162" s="575" t="s">
        <v>238</v>
      </c>
      <c r="L162" s="397" t="s">
        <v>256</v>
      </c>
      <c r="M162" s="529">
        <f t="shared" si="2"/>
        <v>1928</v>
      </c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ht="12.75" customHeight="1">
      <c r="A163" s="419">
        <v>16218.0</v>
      </c>
      <c r="B163" s="420" t="s">
        <v>7167</v>
      </c>
      <c r="C163" s="420">
        <v>2014.0</v>
      </c>
      <c r="D163" s="497">
        <v>41788.0</v>
      </c>
      <c r="E163" s="422" t="s">
        <v>7168</v>
      </c>
      <c r="F163" s="394" t="s">
        <v>719</v>
      </c>
      <c r="G163" s="422" t="s">
        <v>17</v>
      </c>
      <c r="H163" s="394" t="s">
        <v>1501</v>
      </c>
      <c r="I163" s="497">
        <v>43241.0</v>
      </c>
      <c r="J163" s="422">
        <v>5.0</v>
      </c>
      <c r="K163" s="575" t="s">
        <v>238</v>
      </c>
      <c r="L163" s="394" t="s">
        <v>256</v>
      </c>
      <c r="M163" s="528">
        <f t="shared" si="2"/>
        <v>1453</v>
      </c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ht="12.75" customHeight="1">
      <c r="A164" s="425">
        <v>16318.0</v>
      </c>
      <c r="B164" s="426" t="s">
        <v>7169</v>
      </c>
      <c r="C164" s="426">
        <v>2011.0</v>
      </c>
      <c r="D164" s="500">
        <v>40742.0</v>
      </c>
      <c r="E164" s="428" t="s">
        <v>7170</v>
      </c>
      <c r="F164" s="397" t="s">
        <v>1255</v>
      </c>
      <c r="G164" s="428" t="s">
        <v>552</v>
      </c>
      <c r="H164" s="397" t="s">
        <v>130</v>
      </c>
      <c r="I164" s="500">
        <v>43242.0</v>
      </c>
      <c r="J164" s="428">
        <v>5.0</v>
      </c>
      <c r="K164" s="575" t="s">
        <v>238</v>
      </c>
      <c r="L164" s="397" t="s">
        <v>256</v>
      </c>
      <c r="M164" s="529">
        <f t="shared" si="2"/>
        <v>2500</v>
      </c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ht="12.75" customHeight="1">
      <c r="A165" s="419">
        <v>16418.0</v>
      </c>
      <c r="B165" s="420" t="s">
        <v>7171</v>
      </c>
      <c r="C165" s="420">
        <v>2012.0</v>
      </c>
      <c r="D165" s="497">
        <v>41177.0</v>
      </c>
      <c r="E165" s="422" t="s">
        <v>7172</v>
      </c>
      <c r="F165" s="394" t="s">
        <v>963</v>
      </c>
      <c r="G165" s="422" t="s">
        <v>552</v>
      </c>
      <c r="H165" s="394" t="s">
        <v>6850</v>
      </c>
      <c r="I165" s="497">
        <v>43244.0</v>
      </c>
      <c r="J165" s="422">
        <v>5.0</v>
      </c>
      <c r="K165" s="576" t="s">
        <v>228</v>
      </c>
      <c r="L165" s="394" t="s">
        <v>258</v>
      </c>
      <c r="M165" s="528">
        <f t="shared" si="2"/>
        <v>2067</v>
      </c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ht="12.75" customHeight="1">
      <c r="A166" s="425">
        <v>16518.0</v>
      </c>
      <c r="B166" s="426" t="s">
        <v>7173</v>
      </c>
      <c r="C166" s="426">
        <v>2011.0</v>
      </c>
      <c r="D166" s="500">
        <v>40905.0</v>
      </c>
      <c r="E166" s="428" t="s">
        <v>7174</v>
      </c>
      <c r="F166" s="397" t="s">
        <v>1401</v>
      </c>
      <c r="G166" s="428" t="s">
        <v>17</v>
      </c>
      <c r="H166" s="397" t="s">
        <v>775</v>
      </c>
      <c r="I166" s="500">
        <v>43245.0</v>
      </c>
      <c r="J166" s="428">
        <v>5.0</v>
      </c>
      <c r="K166" s="575" t="s">
        <v>238</v>
      </c>
      <c r="L166" s="397" t="s">
        <v>258</v>
      </c>
      <c r="M166" s="529">
        <f t="shared" si="2"/>
        <v>2340</v>
      </c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ht="12.75" customHeight="1">
      <c r="A167" s="419">
        <v>16618.0</v>
      </c>
      <c r="B167" s="420" t="s">
        <v>7175</v>
      </c>
      <c r="C167" s="420">
        <v>2012.0</v>
      </c>
      <c r="D167" s="497">
        <v>41250.0</v>
      </c>
      <c r="E167" s="422" t="s">
        <v>7176</v>
      </c>
      <c r="F167" s="394" t="s">
        <v>2311</v>
      </c>
      <c r="G167" s="422" t="s">
        <v>17</v>
      </c>
      <c r="H167" s="394" t="s">
        <v>6529</v>
      </c>
      <c r="I167" s="497">
        <v>43245.0</v>
      </c>
      <c r="J167" s="422">
        <v>5.0</v>
      </c>
      <c r="K167" s="577" t="s">
        <v>234</v>
      </c>
      <c r="L167" s="394" t="s">
        <v>256</v>
      </c>
      <c r="M167" s="528">
        <f t="shared" si="2"/>
        <v>1995</v>
      </c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ht="12.75" customHeight="1">
      <c r="A168" s="425">
        <v>16718.0</v>
      </c>
      <c r="B168" s="426" t="s">
        <v>7177</v>
      </c>
      <c r="C168" s="426">
        <v>2013.0</v>
      </c>
      <c r="D168" s="500">
        <v>41309.0</v>
      </c>
      <c r="E168" s="428" t="s">
        <v>7178</v>
      </c>
      <c r="F168" s="397" t="s">
        <v>7179</v>
      </c>
      <c r="G168" s="428" t="s">
        <v>552</v>
      </c>
      <c r="H168" s="397" t="s">
        <v>6860</v>
      </c>
      <c r="I168" s="500">
        <v>43245.0</v>
      </c>
      <c r="J168" s="428">
        <v>5.0</v>
      </c>
      <c r="K168" s="576" t="s">
        <v>228</v>
      </c>
      <c r="L168" s="397" t="s">
        <v>258</v>
      </c>
      <c r="M168" s="529">
        <f t="shared" si="2"/>
        <v>1936</v>
      </c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ht="15.75" customHeight="1">
      <c r="A169" s="419">
        <v>16818.0</v>
      </c>
      <c r="B169" s="420" t="s">
        <v>7180</v>
      </c>
      <c r="C169" s="420">
        <v>2018.0</v>
      </c>
      <c r="D169" s="497">
        <v>43185.0</v>
      </c>
      <c r="E169" s="422" t="s">
        <v>7181</v>
      </c>
      <c r="F169" s="394" t="s">
        <v>2453</v>
      </c>
      <c r="G169" s="422" t="s">
        <v>17</v>
      </c>
      <c r="H169" s="394" t="s">
        <v>50</v>
      </c>
      <c r="I169" s="497">
        <v>43248.0</v>
      </c>
      <c r="J169" s="422">
        <v>5.0</v>
      </c>
      <c r="K169" s="582" t="s">
        <v>244</v>
      </c>
      <c r="L169" s="394" t="s">
        <v>258</v>
      </c>
      <c r="M169" s="528">
        <f t="shared" si="2"/>
        <v>63</v>
      </c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ht="12.75" customHeight="1">
      <c r="A170" s="425">
        <v>16918.0</v>
      </c>
      <c r="B170" s="426" t="s">
        <v>7182</v>
      </c>
      <c r="C170" s="426">
        <v>2014.0</v>
      </c>
      <c r="D170" s="500">
        <v>41806.0</v>
      </c>
      <c r="E170" s="428" t="s">
        <v>7183</v>
      </c>
      <c r="F170" s="397" t="s">
        <v>4572</v>
      </c>
      <c r="G170" s="428" t="s">
        <v>17</v>
      </c>
      <c r="H170" s="397" t="s">
        <v>50</v>
      </c>
      <c r="I170" s="500">
        <v>43249.0</v>
      </c>
      <c r="J170" s="428">
        <v>5.0</v>
      </c>
      <c r="K170" s="575" t="s">
        <v>238</v>
      </c>
      <c r="L170" s="397" t="s">
        <v>258</v>
      </c>
      <c r="M170" s="529">
        <f t="shared" si="2"/>
        <v>1443</v>
      </c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ht="12.75" customHeight="1">
      <c r="A171" s="419">
        <v>17018.0</v>
      </c>
      <c r="B171" s="420" t="s">
        <v>7184</v>
      </c>
      <c r="C171" s="420">
        <v>2015.0</v>
      </c>
      <c r="D171" s="497">
        <v>42296.0</v>
      </c>
      <c r="E171" s="422" t="s">
        <v>7185</v>
      </c>
      <c r="F171" s="394" t="s">
        <v>7186</v>
      </c>
      <c r="G171" s="422" t="s">
        <v>17</v>
      </c>
      <c r="H171" s="394" t="s">
        <v>5127</v>
      </c>
      <c r="I171" s="497">
        <v>43250.0</v>
      </c>
      <c r="J171" s="422">
        <v>5.0</v>
      </c>
      <c r="K171" s="575" t="s">
        <v>238</v>
      </c>
      <c r="L171" s="394" t="s">
        <v>258</v>
      </c>
      <c r="M171" s="528">
        <f t="shared" si="2"/>
        <v>954</v>
      </c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ht="12.75" customHeight="1">
      <c r="A172" s="425">
        <v>17118.0</v>
      </c>
      <c r="B172" s="426" t="s">
        <v>7187</v>
      </c>
      <c r="C172" s="426">
        <v>2016.0</v>
      </c>
      <c r="D172" s="500">
        <v>42600.0</v>
      </c>
      <c r="E172" s="428" t="s">
        <v>7188</v>
      </c>
      <c r="F172" s="397" t="s">
        <v>7186</v>
      </c>
      <c r="G172" s="428" t="s">
        <v>17</v>
      </c>
      <c r="H172" s="397" t="s">
        <v>77</v>
      </c>
      <c r="I172" s="500">
        <v>43250.0</v>
      </c>
      <c r="J172" s="428">
        <v>5.0</v>
      </c>
      <c r="K172" s="575" t="s">
        <v>238</v>
      </c>
      <c r="L172" s="397" t="s">
        <v>258</v>
      </c>
      <c r="M172" s="529">
        <f t="shared" si="2"/>
        <v>650</v>
      </c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ht="12.75" customHeight="1">
      <c r="A173" s="419">
        <v>17218.0</v>
      </c>
      <c r="B173" s="420" t="s">
        <v>7189</v>
      </c>
      <c r="C173" s="420">
        <v>2012.0</v>
      </c>
      <c r="D173" s="497">
        <v>41152.0</v>
      </c>
      <c r="E173" s="422" t="s">
        <v>7190</v>
      </c>
      <c r="F173" s="394" t="s">
        <v>1150</v>
      </c>
      <c r="G173" s="422" t="s">
        <v>17</v>
      </c>
      <c r="H173" s="394" t="s">
        <v>1501</v>
      </c>
      <c r="I173" s="497">
        <v>43250.0</v>
      </c>
      <c r="J173" s="422">
        <v>5.0</v>
      </c>
      <c r="K173" s="576" t="s">
        <v>228</v>
      </c>
      <c r="L173" s="394" t="s">
        <v>256</v>
      </c>
      <c r="M173" s="528">
        <f t="shared" si="2"/>
        <v>2098</v>
      </c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ht="12.75" customHeight="1">
      <c r="A174" s="425">
        <v>17318.0</v>
      </c>
      <c r="B174" s="426" t="s">
        <v>7191</v>
      </c>
      <c r="C174" s="426">
        <v>2013.0</v>
      </c>
      <c r="D174" s="500">
        <v>41605.0</v>
      </c>
      <c r="E174" s="428" t="s">
        <v>7192</v>
      </c>
      <c r="F174" s="397" t="s">
        <v>1150</v>
      </c>
      <c r="G174" s="428" t="s">
        <v>17</v>
      </c>
      <c r="H174" s="397" t="s">
        <v>6826</v>
      </c>
      <c r="I174" s="500">
        <v>43250.0</v>
      </c>
      <c r="J174" s="428">
        <v>5.0</v>
      </c>
      <c r="K174" s="576" t="s">
        <v>228</v>
      </c>
      <c r="L174" s="397" t="s">
        <v>256</v>
      </c>
      <c r="M174" s="529">
        <f t="shared" si="2"/>
        <v>1645</v>
      </c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ht="12.75" customHeight="1">
      <c r="A175" s="419">
        <v>17418.0</v>
      </c>
      <c r="B175" s="420" t="s">
        <v>7193</v>
      </c>
      <c r="C175" s="420">
        <v>2017.0</v>
      </c>
      <c r="D175" s="497">
        <v>42845.0</v>
      </c>
      <c r="E175" s="422" t="s">
        <v>7194</v>
      </c>
      <c r="F175" s="394" t="s">
        <v>1108</v>
      </c>
      <c r="G175" s="422" t="s">
        <v>17</v>
      </c>
      <c r="H175" s="394" t="s">
        <v>6826</v>
      </c>
      <c r="I175" s="497">
        <v>43250.0</v>
      </c>
      <c r="J175" s="422">
        <v>5.0</v>
      </c>
      <c r="K175" s="575" t="s">
        <v>238</v>
      </c>
      <c r="L175" s="394" t="s">
        <v>256</v>
      </c>
      <c r="M175" s="528">
        <f t="shared" si="2"/>
        <v>405</v>
      </c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ht="12.75" customHeight="1">
      <c r="A176" s="425">
        <v>17518.0</v>
      </c>
      <c r="B176" s="426" t="s">
        <v>7195</v>
      </c>
      <c r="C176" s="426">
        <v>2013.0</v>
      </c>
      <c r="D176" s="500">
        <v>41379.0</v>
      </c>
      <c r="E176" s="428" t="s">
        <v>7196</v>
      </c>
      <c r="F176" s="397" t="s">
        <v>134</v>
      </c>
      <c r="G176" s="428" t="s">
        <v>17</v>
      </c>
      <c r="H176" s="397" t="s">
        <v>6789</v>
      </c>
      <c r="I176" s="500">
        <v>43250.0</v>
      </c>
      <c r="J176" s="428">
        <v>5.0</v>
      </c>
      <c r="K176" s="577" t="s">
        <v>234</v>
      </c>
      <c r="L176" s="397" t="s">
        <v>258</v>
      </c>
      <c r="M176" s="529">
        <f t="shared" si="2"/>
        <v>1871</v>
      </c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ht="12.75" customHeight="1">
      <c r="A177" s="419">
        <v>17618.0</v>
      </c>
      <c r="B177" s="420" t="s">
        <v>7197</v>
      </c>
      <c r="C177" s="420">
        <v>2015.0</v>
      </c>
      <c r="D177" s="497">
        <v>42356.0</v>
      </c>
      <c r="E177" s="422" t="s">
        <v>7198</v>
      </c>
      <c r="F177" s="394" t="s">
        <v>4572</v>
      </c>
      <c r="G177" s="422" t="s">
        <v>552</v>
      </c>
      <c r="H177" s="394" t="s">
        <v>583</v>
      </c>
      <c r="I177" s="497">
        <v>43255.0</v>
      </c>
      <c r="J177" s="422">
        <v>6.0</v>
      </c>
      <c r="K177" s="577" t="s">
        <v>234</v>
      </c>
      <c r="L177" s="394" t="s">
        <v>258</v>
      </c>
      <c r="M177" s="528">
        <f t="shared" si="2"/>
        <v>899</v>
      </c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ht="12.75" customHeight="1">
      <c r="A178" s="425">
        <v>17718.0</v>
      </c>
      <c r="B178" s="426" t="s">
        <v>7199</v>
      </c>
      <c r="C178" s="426">
        <v>2011.0</v>
      </c>
      <c r="D178" s="500">
        <v>40836.0</v>
      </c>
      <c r="E178" s="428" t="s">
        <v>7200</v>
      </c>
      <c r="F178" s="397" t="s">
        <v>7201</v>
      </c>
      <c r="G178" s="428" t="s">
        <v>552</v>
      </c>
      <c r="H178" s="397" t="s">
        <v>50</v>
      </c>
      <c r="I178" s="500">
        <v>43255.0</v>
      </c>
      <c r="J178" s="428">
        <v>6.0</v>
      </c>
      <c r="K178" s="576" t="s">
        <v>228</v>
      </c>
      <c r="L178" s="397" t="s">
        <v>254</v>
      </c>
      <c r="M178" s="529">
        <f t="shared" si="2"/>
        <v>2419</v>
      </c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ht="12.75" customHeight="1">
      <c r="A179" s="419">
        <v>17818.0</v>
      </c>
      <c r="B179" s="420" t="s">
        <v>7202</v>
      </c>
      <c r="C179" s="420">
        <v>2011.0</v>
      </c>
      <c r="D179" s="497">
        <v>40606.0</v>
      </c>
      <c r="E179" s="422" t="s">
        <v>7203</v>
      </c>
      <c r="F179" s="394" t="s">
        <v>1544</v>
      </c>
      <c r="G179" s="422" t="s">
        <v>552</v>
      </c>
      <c r="H179" s="394" t="s">
        <v>6846</v>
      </c>
      <c r="I179" s="497">
        <v>43255.0</v>
      </c>
      <c r="J179" s="422">
        <v>6.0</v>
      </c>
      <c r="K179" s="577" t="s">
        <v>234</v>
      </c>
      <c r="L179" s="394" t="s">
        <v>256</v>
      </c>
      <c r="M179" s="528">
        <f t="shared" si="2"/>
        <v>2649</v>
      </c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ht="12.75" customHeight="1">
      <c r="A180" s="425">
        <v>17918.0</v>
      </c>
      <c r="B180" s="426" t="s">
        <v>7204</v>
      </c>
      <c r="C180" s="426">
        <v>2012.0</v>
      </c>
      <c r="D180" s="500">
        <v>41213.0</v>
      </c>
      <c r="E180" s="428" t="s">
        <v>7205</v>
      </c>
      <c r="F180" s="397" t="s">
        <v>1108</v>
      </c>
      <c r="G180" s="428" t="s">
        <v>552</v>
      </c>
      <c r="H180" s="397" t="s">
        <v>7206</v>
      </c>
      <c r="I180" s="500">
        <v>43255.0</v>
      </c>
      <c r="J180" s="428">
        <v>6.0</v>
      </c>
      <c r="K180" s="575" t="s">
        <v>238</v>
      </c>
      <c r="L180" s="397" t="s">
        <v>256</v>
      </c>
      <c r="M180" s="529">
        <f t="shared" si="2"/>
        <v>2042</v>
      </c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ht="12.75" customHeight="1">
      <c r="A181" s="419">
        <v>18018.0</v>
      </c>
      <c r="B181" s="420" t="s">
        <v>7207</v>
      </c>
      <c r="C181" s="420">
        <v>2014.0</v>
      </c>
      <c r="D181" s="497">
        <v>41788.0</v>
      </c>
      <c r="E181" s="422" t="s">
        <v>7208</v>
      </c>
      <c r="F181" s="394" t="s">
        <v>1401</v>
      </c>
      <c r="G181" s="422" t="s">
        <v>17</v>
      </c>
      <c r="H181" s="394" t="s">
        <v>50</v>
      </c>
      <c r="I181" s="497">
        <v>43256.0</v>
      </c>
      <c r="J181" s="422">
        <v>6.0</v>
      </c>
      <c r="K181" s="575" t="s">
        <v>238</v>
      </c>
      <c r="L181" s="394" t="s">
        <v>258</v>
      </c>
      <c r="M181" s="528">
        <f t="shared" si="2"/>
        <v>1468</v>
      </c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ht="12.75" customHeight="1">
      <c r="A182" s="425">
        <v>18118.0</v>
      </c>
      <c r="B182" s="426" t="s">
        <v>7209</v>
      </c>
      <c r="C182" s="426">
        <v>2011.0</v>
      </c>
      <c r="D182" s="500">
        <v>40904.0</v>
      </c>
      <c r="E182" s="428" t="s">
        <v>7210</v>
      </c>
      <c r="F182" s="397" t="s">
        <v>2905</v>
      </c>
      <c r="G182" s="428" t="s">
        <v>552</v>
      </c>
      <c r="H182" s="397" t="s">
        <v>5016</v>
      </c>
      <c r="I182" s="500">
        <v>43257.0</v>
      </c>
      <c r="J182" s="428">
        <v>6.0</v>
      </c>
      <c r="K182" s="576" t="s">
        <v>228</v>
      </c>
      <c r="L182" s="397" t="s">
        <v>256</v>
      </c>
      <c r="M182" s="529">
        <f t="shared" si="2"/>
        <v>2353</v>
      </c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ht="12.75" customHeight="1">
      <c r="A183" s="419">
        <v>18218.0</v>
      </c>
      <c r="B183" s="420" t="s">
        <v>7211</v>
      </c>
      <c r="C183" s="420">
        <v>2013.0</v>
      </c>
      <c r="D183" s="497">
        <v>41302.0</v>
      </c>
      <c r="E183" s="422" t="s">
        <v>7212</v>
      </c>
      <c r="F183" s="394" t="s">
        <v>711</v>
      </c>
      <c r="G183" s="422" t="s">
        <v>17</v>
      </c>
      <c r="H183" s="394" t="s">
        <v>6809</v>
      </c>
      <c r="I183" s="497">
        <v>43258.0</v>
      </c>
      <c r="J183" s="422">
        <v>6.0</v>
      </c>
      <c r="K183" s="575" t="s">
        <v>238</v>
      </c>
      <c r="L183" s="394" t="s">
        <v>256</v>
      </c>
      <c r="M183" s="528">
        <f t="shared" si="2"/>
        <v>1956</v>
      </c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ht="12.75" customHeight="1">
      <c r="A184" s="425">
        <v>18318.0</v>
      </c>
      <c r="B184" s="426" t="s">
        <v>7213</v>
      </c>
      <c r="C184" s="426">
        <v>2013.0</v>
      </c>
      <c r="D184" s="500">
        <v>41380.0</v>
      </c>
      <c r="E184" s="428" t="s">
        <v>7214</v>
      </c>
      <c r="F184" s="397" t="s">
        <v>7215</v>
      </c>
      <c r="G184" s="428" t="s">
        <v>552</v>
      </c>
      <c r="H184" s="397" t="s">
        <v>583</v>
      </c>
      <c r="I184" s="500">
        <v>43262.0</v>
      </c>
      <c r="J184" s="428">
        <v>6.0</v>
      </c>
      <c r="K184" s="576" t="s">
        <v>228</v>
      </c>
      <c r="L184" s="397" t="s">
        <v>256</v>
      </c>
      <c r="M184" s="529">
        <f t="shared" si="2"/>
        <v>1882</v>
      </c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ht="14.25" customHeight="1">
      <c r="A185" s="419">
        <v>18418.0</v>
      </c>
      <c r="B185" s="420" t="s">
        <v>7216</v>
      </c>
      <c r="C185" s="420">
        <v>2017.0</v>
      </c>
      <c r="D185" s="497">
        <v>43069.0</v>
      </c>
      <c r="E185" s="422" t="s">
        <v>7217</v>
      </c>
      <c r="F185" s="394" t="s">
        <v>2453</v>
      </c>
      <c r="G185" s="422" t="s">
        <v>17</v>
      </c>
      <c r="H185" s="394" t="s">
        <v>26</v>
      </c>
      <c r="I185" s="497">
        <v>43262.0</v>
      </c>
      <c r="J185" s="422">
        <v>6.0</v>
      </c>
      <c r="K185" s="582" t="s">
        <v>244</v>
      </c>
      <c r="L185" s="394" t="s">
        <v>258</v>
      </c>
      <c r="M185" s="528">
        <f t="shared" si="2"/>
        <v>193</v>
      </c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ht="12.75" customHeight="1">
      <c r="A186" s="425">
        <v>18518.0</v>
      </c>
      <c r="B186" s="426" t="s">
        <v>7218</v>
      </c>
      <c r="C186" s="426">
        <v>2017.0</v>
      </c>
      <c r="D186" s="500">
        <v>42886.0</v>
      </c>
      <c r="E186" s="428" t="s">
        <v>7219</v>
      </c>
      <c r="F186" s="397" t="s">
        <v>1846</v>
      </c>
      <c r="G186" s="428" t="s">
        <v>17</v>
      </c>
      <c r="H186" s="397" t="s">
        <v>6860</v>
      </c>
      <c r="I186" s="500">
        <v>43262.0</v>
      </c>
      <c r="J186" s="428">
        <v>6.0</v>
      </c>
      <c r="K186" s="575" t="s">
        <v>238</v>
      </c>
      <c r="L186" s="397" t="s">
        <v>256</v>
      </c>
      <c r="M186" s="529">
        <f t="shared" si="2"/>
        <v>376</v>
      </c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ht="12.75" customHeight="1">
      <c r="A187" s="419">
        <v>18618.0</v>
      </c>
      <c r="B187" s="420" t="s">
        <v>7220</v>
      </c>
      <c r="C187" s="420">
        <v>2012.0</v>
      </c>
      <c r="D187" s="497">
        <v>41225.0</v>
      </c>
      <c r="E187" s="422" t="s">
        <v>7221</v>
      </c>
      <c r="F187" s="394" t="s">
        <v>1464</v>
      </c>
      <c r="G187" s="422" t="s">
        <v>552</v>
      </c>
      <c r="H187" s="394" t="s">
        <v>6850</v>
      </c>
      <c r="I187" s="497">
        <v>43265.0</v>
      </c>
      <c r="J187" s="422">
        <v>6.0</v>
      </c>
      <c r="K187" s="576" t="s">
        <v>228</v>
      </c>
      <c r="L187" s="394" t="s">
        <v>256</v>
      </c>
      <c r="M187" s="528">
        <f t="shared" si="2"/>
        <v>2040</v>
      </c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ht="12.75" customHeight="1">
      <c r="A188" s="425">
        <v>18718.0</v>
      </c>
      <c r="B188" s="426" t="s">
        <v>7222</v>
      </c>
      <c r="C188" s="426">
        <v>2013.0</v>
      </c>
      <c r="D188" s="500">
        <v>41389.0</v>
      </c>
      <c r="E188" s="428" t="s">
        <v>7223</v>
      </c>
      <c r="F188" s="397" t="s">
        <v>7215</v>
      </c>
      <c r="G188" s="428" t="s">
        <v>552</v>
      </c>
      <c r="H188" s="397" t="s">
        <v>583</v>
      </c>
      <c r="I188" s="500">
        <v>43269.0</v>
      </c>
      <c r="J188" s="428">
        <v>6.0</v>
      </c>
      <c r="K188" s="576" t="s">
        <v>228</v>
      </c>
      <c r="L188" s="397" t="s">
        <v>256</v>
      </c>
      <c r="M188" s="529">
        <f t="shared" si="2"/>
        <v>1880</v>
      </c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ht="12.75" customHeight="1">
      <c r="A189" s="419">
        <v>18818.0</v>
      </c>
      <c r="B189" s="420" t="s">
        <v>7224</v>
      </c>
      <c r="C189" s="420">
        <v>2017.0</v>
      </c>
      <c r="D189" s="497">
        <v>42760.0</v>
      </c>
      <c r="E189" s="422" t="s">
        <v>7225</v>
      </c>
      <c r="F189" s="394" t="s">
        <v>719</v>
      </c>
      <c r="G189" s="422" t="s">
        <v>552</v>
      </c>
      <c r="H189" s="394" t="s">
        <v>4141</v>
      </c>
      <c r="I189" s="497">
        <v>43270.0</v>
      </c>
      <c r="J189" s="422">
        <v>6.0</v>
      </c>
      <c r="K189" s="577" t="s">
        <v>234</v>
      </c>
      <c r="L189" s="394" t="s">
        <v>256</v>
      </c>
      <c r="M189" s="528">
        <f t="shared" si="2"/>
        <v>510</v>
      </c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ht="12.75" customHeight="1">
      <c r="A190" s="425">
        <v>18918.0</v>
      </c>
      <c r="B190" s="426" t="s">
        <v>7226</v>
      </c>
      <c r="C190" s="426">
        <v>2017.0</v>
      </c>
      <c r="D190" s="500">
        <v>42760.0</v>
      </c>
      <c r="E190" s="428" t="s">
        <v>7227</v>
      </c>
      <c r="F190" s="397" t="s">
        <v>719</v>
      </c>
      <c r="G190" s="428" t="s">
        <v>552</v>
      </c>
      <c r="H190" s="397" t="s">
        <v>4141</v>
      </c>
      <c r="I190" s="500">
        <v>43270.0</v>
      </c>
      <c r="J190" s="428">
        <v>6.0</v>
      </c>
      <c r="K190" s="577" t="s">
        <v>234</v>
      </c>
      <c r="L190" s="397" t="s">
        <v>256</v>
      </c>
      <c r="M190" s="529">
        <f t="shared" si="2"/>
        <v>510</v>
      </c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ht="12.75" customHeight="1">
      <c r="A191" s="419">
        <v>19018.0</v>
      </c>
      <c r="B191" s="420" t="s">
        <v>7228</v>
      </c>
      <c r="C191" s="420">
        <v>2015.0</v>
      </c>
      <c r="D191" s="497">
        <v>42339.0</v>
      </c>
      <c r="E191" s="422" t="s">
        <v>7229</v>
      </c>
      <c r="F191" s="394" t="s">
        <v>739</v>
      </c>
      <c r="G191" s="422" t="s">
        <v>552</v>
      </c>
      <c r="H191" s="394" t="s">
        <v>6809</v>
      </c>
      <c r="I191" s="497">
        <v>43271.0</v>
      </c>
      <c r="J191" s="422">
        <v>6.0</v>
      </c>
      <c r="K191" s="576" t="s">
        <v>228</v>
      </c>
      <c r="L191" s="394" t="s">
        <v>258</v>
      </c>
      <c r="M191" s="528">
        <f t="shared" si="2"/>
        <v>932</v>
      </c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ht="12.75" customHeight="1">
      <c r="A192" s="425">
        <v>19118.0</v>
      </c>
      <c r="B192" s="426" t="s">
        <v>7230</v>
      </c>
      <c r="C192" s="426">
        <v>2011.0</v>
      </c>
      <c r="D192" s="500">
        <v>40813.0</v>
      </c>
      <c r="E192" s="428" t="s">
        <v>7231</v>
      </c>
      <c r="F192" s="397" t="s">
        <v>4572</v>
      </c>
      <c r="G192" s="428" t="s">
        <v>552</v>
      </c>
      <c r="H192" s="397" t="s">
        <v>5016</v>
      </c>
      <c r="I192" s="500">
        <v>43271.0</v>
      </c>
      <c r="J192" s="428">
        <v>6.0</v>
      </c>
      <c r="K192" s="577" t="s">
        <v>234</v>
      </c>
      <c r="L192" s="397" t="s">
        <v>256</v>
      </c>
      <c r="M192" s="529">
        <f t="shared" si="2"/>
        <v>2458</v>
      </c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ht="12.75" customHeight="1">
      <c r="A193" s="419">
        <v>19218.0</v>
      </c>
      <c r="B193" s="420" t="s">
        <v>7232</v>
      </c>
      <c r="C193" s="420">
        <v>2016.0</v>
      </c>
      <c r="D193" s="497">
        <v>42411.0</v>
      </c>
      <c r="E193" s="422" t="s">
        <v>7233</v>
      </c>
      <c r="F193" s="394" t="s">
        <v>711</v>
      </c>
      <c r="G193" s="422" t="s">
        <v>17</v>
      </c>
      <c r="H193" s="394" t="s">
        <v>7234</v>
      </c>
      <c r="I193" s="497">
        <v>43272.0</v>
      </c>
      <c r="J193" s="422">
        <v>6.0</v>
      </c>
      <c r="K193" s="575" t="s">
        <v>238</v>
      </c>
      <c r="L193" s="394" t="s">
        <v>256</v>
      </c>
      <c r="M193" s="528">
        <f t="shared" si="2"/>
        <v>861</v>
      </c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ht="12.75" customHeight="1">
      <c r="A194" s="425">
        <v>19318.0</v>
      </c>
      <c r="B194" s="426" t="s">
        <v>7235</v>
      </c>
      <c r="C194" s="426">
        <v>2017.0</v>
      </c>
      <c r="D194" s="500">
        <v>42893.0</v>
      </c>
      <c r="E194" s="428" t="s">
        <v>7236</v>
      </c>
      <c r="F194" s="505" t="s">
        <v>2606</v>
      </c>
      <c r="G194" s="428" t="s">
        <v>565</v>
      </c>
      <c r="H194" s="397" t="s">
        <v>7237</v>
      </c>
      <c r="I194" s="500">
        <v>43273.0</v>
      </c>
      <c r="J194" s="428">
        <v>6.0</v>
      </c>
      <c r="K194" s="575" t="s">
        <v>238</v>
      </c>
      <c r="L194" s="397" t="s">
        <v>260</v>
      </c>
      <c r="M194" s="529">
        <f t="shared" si="2"/>
        <v>380</v>
      </c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ht="12.75" customHeight="1">
      <c r="A195" s="419">
        <v>19418.0</v>
      </c>
      <c r="B195" s="420" t="s">
        <v>7238</v>
      </c>
      <c r="C195" s="420">
        <v>2012.0</v>
      </c>
      <c r="D195" s="497">
        <v>41170.0</v>
      </c>
      <c r="E195" s="422" t="s">
        <v>7239</v>
      </c>
      <c r="F195" s="394" t="s">
        <v>7240</v>
      </c>
      <c r="G195" s="422" t="s">
        <v>17</v>
      </c>
      <c r="H195" s="394" t="s">
        <v>775</v>
      </c>
      <c r="I195" s="497">
        <v>43276.0</v>
      </c>
      <c r="J195" s="422">
        <v>6.0</v>
      </c>
      <c r="K195" s="575" t="s">
        <v>238</v>
      </c>
      <c r="L195" s="394" t="s">
        <v>256</v>
      </c>
      <c r="M195" s="528">
        <f t="shared" si="2"/>
        <v>2106</v>
      </c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ht="12.75" customHeight="1">
      <c r="A196" s="425">
        <v>19518.0</v>
      </c>
      <c r="B196" s="426" t="s">
        <v>7241</v>
      </c>
      <c r="C196" s="426">
        <v>2015.0</v>
      </c>
      <c r="D196" s="500">
        <v>42291.0</v>
      </c>
      <c r="E196" s="428" t="s">
        <v>7242</v>
      </c>
      <c r="F196" s="397" t="s">
        <v>739</v>
      </c>
      <c r="G196" s="428" t="s">
        <v>17</v>
      </c>
      <c r="H196" s="397" t="s">
        <v>5016</v>
      </c>
      <c r="I196" s="500">
        <v>43276.0</v>
      </c>
      <c r="J196" s="428">
        <v>6.0</v>
      </c>
      <c r="K196" s="577" t="s">
        <v>234</v>
      </c>
      <c r="L196" s="397" t="s">
        <v>258</v>
      </c>
      <c r="M196" s="529">
        <f t="shared" si="2"/>
        <v>985</v>
      </c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ht="12.75" customHeight="1">
      <c r="A197" s="419">
        <v>19618.0</v>
      </c>
      <c r="B197" s="420" t="s">
        <v>7243</v>
      </c>
      <c r="C197" s="420">
        <v>2015.0</v>
      </c>
      <c r="D197" s="497">
        <v>42278.0</v>
      </c>
      <c r="E197" s="422" t="s">
        <v>7244</v>
      </c>
      <c r="F197" s="394" t="s">
        <v>739</v>
      </c>
      <c r="G197" s="422" t="s">
        <v>17</v>
      </c>
      <c r="H197" s="394" t="s">
        <v>7245</v>
      </c>
      <c r="I197" s="497">
        <v>43276.0</v>
      </c>
      <c r="J197" s="422">
        <v>6.0</v>
      </c>
      <c r="K197" s="577" t="s">
        <v>234</v>
      </c>
      <c r="L197" s="394" t="s">
        <v>258</v>
      </c>
      <c r="M197" s="528">
        <f t="shared" si="2"/>
        <v>998</v>
      </c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ht="12.75" customHeight="1">
      <c r="A198" s="425">
        <v>19718.0</v>
      </c>
      <c r="B198" s="426" t="s">
        <v>7246</v>
      </c>
      <c r="C198" s="426">
        <v>2015.0</v>
      </c>
      <c r="D198" s="500">
        <v>42361.0</v>
      </c>
      <c r="E198" s="428" t="s">
        <v>7247</v>
      </c>
      <c r="F198" s="397" t="s">
        <v>739</v>
      </c>
      <c r="G198" s="428" t="s">
        <v>17</v>
      </c>
      <c r="H198" s="397" t="s">
        <v>6826</v>
      </c>
      <c r="I198" s="500">
        <v>43276.0</v>
      </c>
      <c r="J198" s="428">
        <v>6.0</v>
      </c>
      <c r="K198" s="577" t="s">
        <v>234</v>
      </c>
      <c r="L198" s="397" t="s">
        <v>258</v>
      </c>
      <c r="M198" s="529">
        <f t="shared" si="2"/>
        <v>915</v>
      </c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ht="12.75" customHeight="1">
      <c r="A199" s="419">
        <v>19818.0</v>
      </c>
      <c r="B199" s="420" t="s">
        <v>7248</v>
      </c>
      <c r="C199" s="420">
        <v>2015.0</v>
      </c>
      <c r="D199" s="497">
        <v>42191.0</v>
      </c>
      <c r="E199" s="422" t="s">
        <v>7249</v>
      </c>
      <c r="F199" s="394" t="s">
        <v>739</v>
      </c>
      <c r="G199" s="422" t="s">
        <v>17</v>
      </c>
      <c r="H199" s="394" t="s">
        <v>583</v>
      </c>
      <c r="I199" s="497">
        <v>43276.0</v>
      </c>
      <c r="J199" s="422">
        <v>6.0</v>
      </c>
      <c r="K199" s="577" t="s">
        <v>234</v>
      </c>
      <c r="L199" s="394" t="s">
        <v>258</v>
      </c>
      <c r="M199" s="528">
        <f t="shared" si="2"/>
        <v>1085</v>
      </c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ht="12.75" customHeight="1">
      <c r="A200" s="425">
        <v>19918.0</v>
      </c>
      <c r="B200" s="426" t="s">
        <v>7250</v>
      </c>
      <c r="C200" s="426">
        <v>2015.0</v>
      </c>
      <c r="D200" s="500">
        <v>42311.0</v>
      </c>
      <c r="E200" s="428" t="s">
        <v>7251</v>
      </c>
      <c r="F200" s="397" t="s">
        <v>739</v>
      </c>
      <c r="G200" s="428" t="s">
        <v>17</v>
      </c>
      <c r="H200" s="397" t="s">
        <v>6826</v>
      </c>
      <c r="I200" s="500">
        <v>43277.0</v>
      </c>
      <c r="J200" s="428">
        <v>6.0</v>
      </c>
      <c r="K200" s="577" t="s">
        <v>234</v>
      </c>
      <c r="L200" s="397" t="s">
        <v>258</v>
      </c>
      <c r="M200" s="529">
        <f t="shared" si="2"/>
        <v>966</v>
      </c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ht="12.75" customHeight="1">
      <c r="A201" s="419">
        <v>20018.0</v>
      </c>
      <c r="B201" s="420" t="s">
        <v>7252</v>
      </c>
      <c r="C201" s="420">
        <v>2015.0</v>
      </c>
      <c r="D201" s="497">
        <v>42138.0</v>
      </c>
      <c r="E201" s="422" t="s">
        <v>7253</v>
      </c>
      <c r="F201" s="394" t="s">
        <v>31</v>
      </c>
      <c r="G201" s="422" t="s">
        <v>17</v>
      </c>
      <c r="H201" s="394" t="s">
        <v>7254</v>
      </c>
      <c r="I201" s="497">
        <v>43277.0</v>
      </c>
      <c r="J201" s="422">
        <v>6.0</v>
      </c>
      <c r="K201" s="577" t="s">
        <v>234</v>
      </c>
      <c r="L201" s="394" t="s">
        <v>258</v>
      </c>
      <c r="M201" s="528">
        <f t="shared" si="2"/>
        <v>1139</v>
      </c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ht="12.75" customHeight="1">
      <c r="A202" s="425">
        <v>20118.0</v>
      </c>
      <c r="B202" s="426" t="s">
        <v>7255</v>
      </c>
      <c r="C202" s="426">
        <v>2016.0</v>
      </c>
      <c r="D202" s="500">
        <v>42636.0</v>
      </c>
      <c r="E202" s="428" t="s">
        <v>7256</v>
      </c>
      <c r="F202" s="397" t="s">
        <v>31</v>
      </c>
      <c r="G202" s="428" t="s">
        <v>17</v>
      </c>
      <c r="H202" s="397" t="s">
        <v>6826</v>
      </c>
      <c r="I202" s="500">
        <v>43277.0</v>
      </c>
      <c r="J202" s="428">
        <v>6.0</v>
      </c>
      <c r="K202" s="577" t="s">
        <v>234</v>
      </c>
      <c r="L202" s="397" t="s">
        <v>258</v>
      </c>
      <c r="M202" s="529">
        <f t="shared" si="2"/>
        <v>641</v>
      </c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ht="12.75" customHeight="1">
      <c r="A203" s="419">
        <v>20218.0</v>
      </c>
      <c r="B203" s="420" t="s">
        <v>7257</v>
      </c>
      <c r="C203" s="420">
        <v>2016.0</v>
      </c>
      <c r="D203" s="497">
        <v>42674.0</v>
      </c>
      <c r="E203" s="422" t="s">
        <v>7258</v>
      </c>
      <c r="F203" s="394" t="s">
        <v>31</v>
      </c>
      <c r="G203" s="422" t="s">
        <v>17</v>
      </c>
      <c r="H203" s="394" t="s">
        <v>56</v>
      </c>
      <c r="I203" s="497">
        <v>43277.0</v>
      </c>
      <c r="J203" s="422">
        <v>6.0</v>
      </c>
      <c r="K203" s="577" t="s">
        <v>234</v>
      </c>
      <c r="L203" s="394" t="s">
        <v>258</v>
      </c>
      <c r="M203" s="528">
        <f t="shared" si="2"/>
        <v>603</v>
      </c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ht="12.75" customHeight="1">
      <c r="A204" s="425">
        <v>20318.0</v>
      </c>
      <c r="B204" s="426" t="s">
        <v>7259</v>
      </c>
      <c r="C204" s="426">
        <v>2012.0</v>
      </c>
      <c r="D204" s="500">
        <v>41144.0</v>
      </c>
      <c r="E204" s="428" t="s">
        <v>7260</v>
      </c>
      <c r="F204" s="397" t="s">
        <v>31</v>
      </c>
      <c r="G204" s="428" t="s">
        <v>17</v>
      </c>
      <c r="H204" s="397" t="s">
        <v>6821</v>
      </c>
      <c r="I204" s="500">
        <v>43277.0</v>
      </c>
      <c r="J204" s="428">
        <v>6.0</v>
      </c>
      <c r="K204" s="575" t="s">
        <v>238</v>
      </c>
      <c r="L204" s="397" t="s">
        <v>256</v>
      </c>
      <c r="M204" s="529">
        <f t="shared" si="2"/>
        <v>2133</v>
      </c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ht="12.75" customHeight="1">
      <c r="A205" s="419">
        <v>20418.0</v>
      </c>
      <c r="B205" s="420" t="s">
        <v>7261</v>
      </c>
      <c r="C205" s="420">
        <v>2014.0</v>
      </c>
      <c r="D205" s="497">
        <v>41799.0</v>
      </c>
      <c r="E205" s="422" t="s">
        <v>7262</v>
      </c>
      <c r="F205" s="394" t="s">
        <v>44</v>
      </c>
      <c r="G205" s="422" t="s">
        <v>17</v>
      </c>
      <c r="H205" s="394" t="s">
        <v>4141</v>
      </c>
      <c r="I205" s="497">
        <v>43278.0</v>
      </c>
      <c r="J205" s="422">
        <v>6.0</v>
      </c>
      <c r="K205" s="576" t="s">
        <v>228</v>
      </c>
      <c r="L205" s="394" t="s">
        <v>258</v>
      </c>
      <c r="M205" s="528">
        <f t="shared" si="2"/>
        <v>1479</v>
      </c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ht="12.75" customHeight="1">
      <c r="A206" s="425">
        <v>20518.0</v>
      </c>
      <c r="B206" s="426" t="s">
        <v>7263</v>
      </c>
      <c r="C206" s="426">
        <v>2017.0</v>
      </c>
      <c r="D206" s="500">
        <v>42877.0</v>
      </c>
      <c r="E206" s="428" t="s">
        <v>7264</v>
      </c>
      <c r="F206" s="505" t="s">
        <v>7265</v>
      </c>
      <c r="G206" s="428" t="s">
        <v>565</v>
      </c>
      <c r="H206" s="397" t="s">
        <v>7077</v>
      </c>
      <c r="I206" s="500">
        <v>43278.0</v>
      </c>
      <c r="J206" s="428">
        <v>6.0</v>
      </c>
      <c r="K206" s="575" t="s">
        <v>238</v>
      </c>
      <c r="L206" s="397" t="s">
        <v>260</v>
      </c>
      <c r="M206" s="529">
        <f t="shared" si="2"/>
        <v>401</v>
      </c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ht="12.75" customHeight="1">
      <c r="A207" s="419">
        <v>20618.0</v>
      </c>
      <c r="B207" s="420" t="s">
        <v>7266</v>
      </c>
      <c r="C207" s="420">
        <v>2013.0</v>
      </c>
      <c r="D207" s="497">
        <v>41493.0</v>
      </c>
      <c r="E207" s="422" t="s">
        <v>7267</v>
      </c>
      <c r="F207" s="394" t="s">
        <v>7268</v>
      </c>
      <c r="G207" s="422" t="s">
        <v>17</v>
      </c>
      <c r="H207" s="394" t="s">
        <v>130</v>
      </c>
      <c r="I207" s="497">
        <v>43279.0</v>
      </c>
      <c r="J207" s="422">
        <v>6.0</v>
      </c>
      <c r="K207" s="582" t="s">
        <v>244</v>
      </c>
      <c r="L207" s="394" t="s">
        <v>256</v>
      </c>
      <c r="M207" s="528">
        <f t="shared" si="2"/>
        <v>1786</v>
      </c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ht="12.75" customHeight="1">
      <c r="A208" s="425">
        <v>20718.0</v>
      </c>
      <c r="B208" s="426" t="s">
        <v>7269</v>
      </c>
      <c r="C208" s="426">
        <v>2014.0</v>
      </c>
      <c r="D208" s="500">
        <v>41927.0</v>
      </c>
      <c r="E208" s="428" t="s">
        <v>7270</v>
      </c>
      <c r="F208" s="397" t="s">
        <v>711</v>
      </c>
      <c r="G208" s="428" t="s">
        <v>46</v>
      </c>
      <c r="H208" s="397" t="s">
        <v>6826</v>
      </c>
      <c r="I208" s="500">
        <v>43280.0</v>
      </c>
      <c r="J208" s="428">
        <v>6.0</v>
      </c>
      <c r="K208" s="575" t="s">
        <v>238</v>
      </c>
      <c r="L208" s="397" t="s">
        <v>258</v>
      </c>
      <c r="M208" s="529">
        <f t="shared" si="2"/>
        <v>1353</v>
      </c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ht="12.75" customHeight="1">
      <c r="A209" s="419">
        <v>20818.0</v>
      </c>
      <c r="B209" s="420" t="s">
        <v>7271</v>
      </c>
      <c r="C209" s="420">
        <v>2016.0</v>
      </c>
      <c r="D209" s="497">
        <v>42733.0</v>
      </c>
      <c r="E209" s="422" t="s">
        <v>7272</v>
      </c>
      <c r="F209" s="394" t="s">
        <v>3078</v>
      </c>
      <c r="G209" s="422" t="s">
        <v>552</v>
      </c>
      <c r="H209" s="394" t="s">
        <v>66</v>
      </c>
      <c r="I209" s="497">
        <v>43280.0</v>
      </c>
      <c r="J209" s="422">
        <v>6.0</v>
      </c>
      <c r="K209" s="575" t="s">
        <v>238</v>
      </c>
      <c r="L209" s="394" t="s">
        <v>256</v>
      </c>
      <c r="M209" s="528">
        <f t="shared" si="2"/>
        <v>547</v>
      </c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ht="12.75" customHeight="1">
      <c r="A210" s="425">
        <v>20918.0</v>
      </c>
      <c r="B210" s="426" t="s">
        <v>7273</v>
      </c>
      <c r="C210" s="426">
        <v>2013.0</v>
      </c>
      <c r="D210" s="500">
        <v>41502.0</v>
      </c>
      <c r="E210" s="428" t="s">
        <v>7274</v>
      </c>
      <c r="F210" s="397" t="s">
        <v>909</v>
      </c>
      <c r="G210" s="428" t="s">
        <v>17</v>
      </c>
      <c r="H210" s="397" t="s">
        <v>56</v>
      </c>
      <c r="I210" s="500">
        <v>43283.0</v>
      </c>
      <c r="J210" s="428">
        <v>7.0</v>
      </c>
      <c r="K210" s="575" t="s">
        <v>238</v>
      </c>
      <c r="L210" s="397" t="s">
        <v>258</v>
      </c>
      <c r="M210" s="529">
        <f t="shared" si="2"/>
        <v>1781</v>
      </c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ht="12.75" customHeight="1">
      <c r="A211" s="419">
        <v>21018.0</v>
      </c>
      <c r="B211" s="420" t="s">
        <v>7275</v>
      </c>
      <c r="C211" s="420">
        <v>2017.0</v>
      </c>
      <c r="D211" s="497">
        <v>42866.0</v>
      </c>
      <c r="E211" s="422" t="s">
        <v>7276</v>
      </c>
      <c r="F211" s="394" t="s">
        <v>909</v>
      </c>
      <c r="G211" s="422" t="s">
        <v>17</v>
      </c>
      <c r="H211" s="394" t="s">
        <v>6809</v>
      </c>
      <c r="I211" s="497">
        <v>43283.0</v>
      </c>
      <c r="J211" s="422">
        <v>7.0</v>
      </c>
      <c r="K211" s="575" t="s">
        <v>238</v>
      </c>
      <c r="L211" s="394" t="s">
        <v>258</v>
      </c>
      <c r="M211" s="528">
        <f t="shared" si="2"/>
        <v>417</v>
      </c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ht="12.75" customHeight="1">
      <c r="A212" s="425">
        <v>21118.0</v>
      </c>
      <c r="B212" s="426" t="s">
        <v>7277</v>
      </c>
      <c r="C212" s="426">
        <v>2017.0</v>
      </c>
      <c r="D212" s="500">
        <v>42935.0</v>
      </c>
      <c r="E212" s="428" t="s">
        <v>7278</v>
      </c>
      <c r="F212" s="397" t="s">
        <v>909</v>
      </c>
      <c r="G212" s="428" t="s">
        <v>17</v>
      </c>
      <c r="H212" s="397" t="s">
        <v>112</v>
      </c>
      <c r="I212" s="500">
        <v>43284.0</v>
      </c>
      <c r="J212" s="428">
        <v>7.0</v>
      </c>
      <c r="K212" s="575" t="s">
        <v>238</v>
      </c>
      <c r="L212" s="397" t="s">
        <v>258</v>
      </c>
      <c r="M212" s="529">
        <f t="shared" si="2"/>
        <v>349</v>
      </c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ht="12.75" customHeight="1">
      <c r="A213" s="419">
        <v>21218.0</v>
      </c>
      <c r="B213" s="420" t="s">
        <v>7279</v>
      </c>
      <c r="C213" s="420">
        <v>2014.0</v>
      </c>
      <c r="D213" s="497">
        <v>41660.0</v>
      </c>
      <c r="E213" s="422" t="s">
        <v>7280</v>
      </c>
      <c r="F213" s="394" t="s">
        <v>2873</v>
      </c>
      <c r="G213" s="422" t="s">
        <v>17</v>
      </c>
      <c r="H213" s="394" t="s">
        <v>5127</v>
      </c>
      <c r="I213" s="497">
        <v>43284.0</v>
      </c>
      <c r="J213" s="422">
        <v>7.0</v>
      </c>
      <c r="K213" s="576" t="s">
        <v>228</v>
      </c>
      <c r="L213" s="394" t="s">
        <v>258</v>
      </c>
      <c r="M213" s="528">
        <f t="shared" si="2"/>
        <v>1624</v>
      </c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ht="12.75" customHeight="1">
      <c r="A214" s="425">
        <v>21318.0</v>
      </c>
      <c r="B214" s="426" t="s">
        <v>7281</v>
      </c>
      <c r="C214" s="426">
        <v>2012.0</v>
      </c>
      <c r="D214" s="500">
        <v>41229.0</v>
      </c>
      <c r="E214" s="428" t="s">
        <v>7282</v>
      </c>
      <c r="F214" s="397" t="s">
        <v>2873</v>
      </c>
      <c r="G214" s="428" t="s">
        <v>17</v>
      </c>
      <c r="H214" s="397" t="s">
        <v>97</v>
      </c>
      <c r="I214" s="500">
        <v>43284.0</v>
      </c>
      <c r="J214" s="428">
        <v>7.0</v>
      </c>
      <c r="K214" s="576" t="s">
        <v>228</v>
      </c>
      <c r="L214" s="397" t="s">
        <v>258</v>
      </c>
      <c r="M214" s="529">
        <f t="shared" si="2"/>
        <v>2055</v>
      </c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ht="12.75" customHeight="1">
      <c r="A215" s="419">
        <v>21418.0</v>
      </c>
      <c r="B215" s="420" t="s">
        <v>7283</v>
      </c>
      <c r="C215" s="420">
        <v>2018.0</v>
      </c>
      <c r="D215" s="497">
        <v>43139.0</v>
      </c>
      <c r="E215" s="422" t="s">
        <v>7284</v>
      </c>
      <c r="F215" s="394" t="s">
        <v>31</v>
      </c>
      <c r="G215" s="422" t="s">
        <v>17</v>
      </c>
      <c r="H215" s="394" t="s">
        <v>6809</v>
      </c>
      <c r="I215" s="497">
        <v>43284.0</v>
      </c>
      <c r="J215" s="422">
        <v>7.0</v>
      </c>
      <c r="K215" s="577" t="s">
        <v>234</v>
      </c>
      <c r="L215" s="394" t="s">
        <v>258</v>
      </c>
      <c r="M215" s="528">
        <f t="shared" si="2"/>
        <v>145</v>
      </c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ht="12.75" customHeight="1">
      <c r="A216" s="425">
        <v>21518.0</v>
      </c>
      <c r="B216" s="426" t="s">
        <v>7285</v>
      </c>
      <c r="C216" s="426">
        <v>2015.0</v>
      </c>
      <c r="D216" s="500">
        <v>42111.0</v>
      </c>
      <c r="E216" s="428" t="s">
        <v>7286</v>
      </c>
      <c r="F216" s="397" t="s">
        <v>31</v>
      </c>
      <c r="G216" s="428" t="s">
        <v>17</v>
      </c>
      <c r="H216" s="397" t="s">
        <v>583</v>
      </c>
      <c r="I216" s="500">
        <v>43284.0</v>
      </c>
      <c r="J216" s="428">
        <v>7.0</v>
      </c>
      <c r="K216" s="577" t="s">
        <v>234</v>
      </c>
      <c r="L216" s="397" t="s">
        <v>258</v>
      </c>
      <c r="M216" s="529">
        <f t="shared" si="2"/>
        <v>1173</v>
      </c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ht="12.75" customHeight="1">
      <c r="A217" s="419">
        <v>21618.0</v>
      </c>
      <c r="B217" s="420" t="s">
        <v>7287</v>
      </c>
      <c r="C217" s="420">
        <v>2016.0</v>
      </c>
      <c r="D217" s="497">
        <v>42675.0</v>
      </c>
      <c r="E217" s="422" t="s">
        <v>7288</v>
      </c>
      <c r="F217" s="394" t="s">
        <v>2873</v>
      </c>
      <c r="G217" s="422" t="s">
        <v>17</v>
      </c>
      <c r="H217" s="394" t="s">
        <v>77</v>
      </c>
      <c r="I217" s="497">
        <v>43284.0</v>
      </c>
      <c r="J217" s="422">
        <v>7.0</v>
      </c>
      <c r="K217" s="576" t="s">
        <v>228</v>
      </c>
      <c r="L217" s="394" t="s">
        <v>258</v>
      </c>
      <c r="M217" s="528">
        <f t="shared" si="2"/>
        <v>609</v>
      </c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ht="12.75" customHeight="1">
      <c r="A218" s="425">
        <v>21718.0</v>
      </c>
      <c r="B218" s="426" t="s">
        <v>7289</v>
      </c>
      <c r="C218" s="426">
        <v>2012.0</v>
      </c>
      <c r="D218" s="500">
        <v>41256.0</v>
      </c>
      <c r="E218" s="428" t="s">
        <v>7290</v>
      </c>
      <c r="F218" s="397" t="s">
        <v>178</v>
      </c>
      <c r="G218" s="428" t="s">
        <v>17</v>
      </c>
      <c r="H218" s="397" t="s">
        <v>6814</v>
      </c>
      <c r="I218" s="500">
        <v>43285.0</v>
      </c>
      <c r="J218" s="428">
        <v>7.0</v>
      </c>
      <c r="K218" s="575" t="s">
        <v>238</v>
      </c>
      <c r="L218" s="397" t="s">
        <v>256</v>
      </c>
      <c r="M218" s="529">
        <f t="shared" si="2"/>
        <v>2029</v>
      </c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ht="12.75" customHeight="1">
      <c r="A219" s="419">
        <v>21818.0</v>
      </c>
      <c r="B219" s="420" t="s">
        <v>7291</v>
      </c>
      <c r="C219" s="420">
        <v>2013.0</v>
      </c>
      <c r="D219" s="497">
        <v>41414.0</v>
      </c>
      <c r="E219" s="422" t="s">
        <v>7292</v>
      </c>
      <c r="F219" s="394" t="s">
        <v>1968</v>
      </c>
      <c r="G219" s="422" t="s">
        <v>17</v>
      </c>
      <c r="H219" s="394" t="s">
        <v>4141</v>
      </c>
      <c r="I219" s="497">
        <v>43285.0</v>
      </c>
      <c r="J219" s="422">
        <v>7.0</v>
      </c>
      <c r="K219" s="576" t="s">
        <v>228</v>
      </c>
      <c r="L219" s="394" t="s">
        <v>256</v>
      </c>
      <c r="M219" s="528">
        <f t="shared" si="2"/>
        <v>1871</v>
      </c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ht="12.75" customHeight="1">
      <c r="A220" s="425">
        <v>21918.0</v>
      </c>
      <c r="B220" s="426" t="s">
        <v>7293</v>
      </c>
      <c r="C220" s="426">
        <v>2017.0</v>
      </c>
      <c r="D220" s="500">
        <v>42795.0</v>
      </c>
      <c r="E220" s="428" t="s">
        <v>7294</v>
      </c>
      <c r="F220" s="505" t="s">
        <v>7295</v>
      </c>
      <c r="G220" s="428" t="s">
        <v>565</v>
      </c>
      <c r="H220" s="397" t="s">
        <v>6948</v>
      </c>
      <c r="I220" s="500">
        <v>43286.0</v>
      </c>
      <c r="J220" s="428">
        <v>7.0</v>
      </c>
      <c r="K220" s="582" t="s">
        <v>244</v>
      </c>
      <c r="L220" s="397" t="s">
        <v>260</v>
      </c>
      <c r="M220" s="529">
        <f t="shared" si="2"/>
        <v>491</v>
      </c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ht="12.75" customHeight="1">
      <c r="A221" s="419">
        <v>22018.0</v>
      </c>
      <c r="B221" s="420" t="s">
        <v>7296</v>
      </c>
      <c r="C221" s="420">
        <v>2017.0</v>
      </c>
      <c r="D221" s="497">
        <v>42795.0</v>
      </c>
      <c r="E221" s="422" t="s">
        <v>7297</v>
      </c>
      <c r="F221" s="503" t="s">
        <v>3647</v>
      </c>
      <c r="G221" s="422" t="s">
        <v>565</v>
      </c>
      <c r="H221" s="394" t="s">
        <v>6948</v>
      </c>
      <c r="I221" s="497">
        <v>43286.0</v>
      </c>
      <c r="J221" s="422">
        <v>7.0</v>
      </c>
      <c r="K221" s="575" t="s">
        <v>238</v>
      </c>
      <c r="L221" s="394" t="s">
        <v>260</v>
      </c>
      <c r="M221" s="528">
        <f t="shared" si="2"/>
        <v>491</v>
      </c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ht="12.75" customHeight="1">
      <c r="A222" s="425">
        <v>22118.0</v>
      </c>
      <c r="B222" s="426" t="s">
        <v>7298</v>
      </c>
      <c r="C222" s="426">
        <v>2017.0</v>
      </c>
      <c r="D222" s="500">
        <v>42871.0</v>
      </c>
      <c r="E222" s="428" t="s">
        <v>7299</v>
      </c>
      <c r="F222" s="505" t="s">
        <v>7300</v>
      </c>
      <c r="G222" s="428" t="s">
        <v>569</v>
      </c>
      <c r="H222" s="397" t="s">
        <v>7301</v>
      </c>
      <c r="I222" s="500">
        <v>43286.0</v>
      </c>
      <c r="J222" s="428">
        <v>7.0</v>
      </c>
      <c r="K222" s="582" t="s">
        <v>6917</v>
      </c>
      <c r="L222" s="397" t="s">
        <v>260</v>
      </c>
      <c r="M222" s="529">
        <f t="shared" si="2"/>
        <v>415</v>
      </c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ht="12.75" customHeight="1">
      <c r="A223" s="419">
        <v>22218.0</v>
      </c>
      <c r="B223" s="420" t="s">
        <v>7302</v>
      </c>
      <c r="C223" s="420">
        <v>2017.0</v>
      </c>
      <c r="D223" s="497">
        <v>42766.0</v>
      </c>
      <c r="E223" s="422" t="s">
        <v>7303</v>
      </c>
      <c r="F223" s="394" t="s">
        <v>719</v>
      </c>
      <c r="G223" s="422" t="s">
        <v>552</v>
      </c>
      <c r="H223" s="394" t="s">
        <v>4141</v>
      </c>
      <c r="I223" s="497">
        <v>43286.0</v>
      </c>
      <c r="J223" s="422">
        <v>7.0</v>
      </c>
      <c r="K223" s="577" t="s">
        <v>234</v>
      </c>
      <c r="L223" s="394" t="s">
        <v>256</v>
      </c>
      <c r="M223" s="528">
        <f t="shared" si="2"/>
        <v>520</v>
      </c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ht="12.75" customHeight="1">
      <c r="A224" s="425">
        <v>22318.0</v>
      </c>
      <c r="B224" s="426" t="s">
        <v>7304</v>
      </c>
      <c r="C224" s="426">
        <v>2017.0</v>
      </c>
      <c r="D224" s="500">
        <v>42893.0</v>
      </c>
      <c r="E224" s="428" t="s">
        <v>7305</v>
      </c>
      <c r="F224" s="505" t="s">
        <v>2606</v>
      </c>
      <c r="G224" s="428" t="s">
        <v>565</v>
      </c>
      <c r="H224" s="397" t="s">
        <v>7237</v>
      </c>
      <c r="I224" s="500">
        <v>43286.0</v>
      </c>
      <c r="J224" s="428">
        <v>7.0</v>
      </c>
      <c r="K224" s="575" t="s">
        <v>238</v>
      </c>
      <c r="L224" s="397" t="s">
        <v>260</v>
      </c>
      <c r="M224" s="529">
        <f t="shared" si="2"/>
        <v>393</v>
      </c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ht="12.75" customHeight="1">
      <c r="A225" s="419">
        <v>22418.0</v>
      </c>
      <c r="B225" s="420" t="s">
        <v>7306</v>
      </c>
      <c r="C225" s="420">
        <v>2016.0</v>
      </c>
      <c r="D225" s="497">
        <v>42705.0</v>
      </c>
      <c r="E225" s="422" t="s">
        <v>7307</v>
      </c>
      <c r="F225" s="394" t="s">
        <v>719</v>
      </c>
      <c r="G225" s="422" t="s">
        <v>552</v>
      </c>
      <c r="H225" s="394" t="s">
        <v>66</v>
      </c>
      <c r="I225" s="497">
        <v>43291.0</v>
      </c>
      <c r="J225" s="422">
        <v>7.0</v>
      </c>
      <c r="K225" s="577" t="s">
        <v>234</v>
      </c>
      <c r="L225" s="394" t="s">
        <v>258</v>
      </c>
      <c r="M225" s="528">
        <f t="shared" si="2"/>
        <v>586</v>
      </c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ht="12.75" customHeight="1">
      <c r="A226" s="425">
        <v>22518.0</v>
      </c>
      <c r="B226" s="426" t="s">
        <v>7308</v>
      </c>
      <c r="C226" s="426">
        <v>2012.0</v>
      </c>
      <c r="D226" s="500">
        <v>41019.0</v>
      </c>
      <c r="E226" s="428" t="s">
        <v>7309</v>
      </c>
      <c r="F226" s="397" t="s">
        <v>900</v>
      </c>
      <c r="G226" s="428" t="s">
        <v>552</v>
      </c>
      <c r="H226" s="397" t="s">
        <v>4141</v>
      </c>
      <c r="I226" s="500">
        <v>43291.0</v>
      </c>
      <c r="J226" s="428">
        <v>7.0</v>
      </c>
      <c r="K226" s="576" t="s">
        <v>228</v>
      </c>
      <c r="L226" s="397" t="s">
        <v>258</v>
      </c>
      <c r="M226" s="529">
        <f t="shared" si="2"/>
        <v>2272</v>
      </c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ht="12.75" customHeight="1">
      <c r="A227" s="419">
        <v>22618.0</v>
      </c>
      <c r="B227" s="420" t="s">
        <v>7310</v>
      </c>
      <c r="C227" s="420">
        <v>2010.0</v>
      </c>
      <c r="D227" s="497">
        <v>40494.0</v>
      </c>
      <c r="E227" s="422" t="s">
        <v>7311</v>
      </c>
      <c r="F227" s="394" t="s">
        <v>1464</v>
      </c>
      <c r="G227" s="422" t="s">
        <v>552</v>
      </c>
      <c r="H227" s="394" t="s">
        <v>7312</v>
      </c>
      <c r="I227" s="497">
        <v>43293.0</v>
      </c>
      <c r="J227" s="422">
        <v>7.0</v>
      </c>
      <c r="K227" s="576" t="s">
        <v>228</v>
      </c>
      <c r="L227" s="394" t="s">
        <v>256</v>
      </c>
      <c r="M227" s="528">
        <f t="shared" si="2"/>
        <v>2799</v>
      </c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ht="12.75" customHeight="1">
      <c r="A228" s="425">
        <v>22718.0</v>
      </c>
      <c r="B228" s="426" t="s">
        <v>7313</v>
      </c>
      <c r="C228" s="426">
        <v>2017.0</v>
      </c>
      <c r="D228" s="500">
        <v>42970.0</v>
      </c>
      <c r="E228" s="428" t="s">
        <v>7314</v>
      </c>
      <c r="F228" s="505" t="s">
        <v>3647</v>
      </c>
      <c r="G228" s="428" t="s">
        <v>565</v>
      </c>
      <c r="H228" s="397" t="s">
        <v>4380</v>
      </c>
      <c r="I228" s="500">
        <v>43294.0</v>
      </c>
      <c r="J228" s="428">
        <v>7.0</v>
      </c>
      <c r="K228" s="575" t="s">
        <v>238</v>
      </c>
      <c r="L228" s="397" t="s">
        <v>260</v>
      </c>
      <c r="M228" s="529">
        <f t="shared" si="2"/>
        <v>324</v>
      </c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ht="12.75" customHeight="1">
      <c r="A229" s="419">
        <v>22818.0</v>
      </c>
      <c r="B229" s="420" t="s">
        <v>7315</v>
      </c>
      <c r="C229" s="420">
        <v>2013.0</v>
      </c>
      <c r="D229" s="497">
        <v>41383.0</v>
      </c>
      <c r="E229" s="422" t="s">
        <v>7316</v>
      </c>
      <c r="F229" s="394" t="s">
        <v>3078</v>
      </c>
      <c r="G229" s="422" t="s">
        <v>17</v>
      </c>
      <c r="H229" s="394" t="s">
        <v>775</v>
      </c>
      <c r="I229" s="497">
        <v>43299.0</v>
      </c>
      <c r="J229" s="422">
        <v>7.0</v>
      </c>
      <c r="K229" s="575" t="s">
        <v>238</v>
      </c>
      <c r="L229" s="394" t="s">
        <v>256</v>
      </c>
      <c r="M229" s="528">
        <f t="shared" si="2"/>
        <v>1916</v>
      </c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ht="12.75" customHeight="1">
      <c r="A230" s="425">
        <v>22918.0</v>
      </c>
      <c r="B230" s="426" t="s">
        <v>7317</v>
      </c>
      <c r="C230" s="426">
        <v>2014.0</v>
      </c>
      <c r="D230" s="500">
        <v>41976.0</v>
      </c>
      <c r="E230" s="428" t="s">
        <v>7318</v>
      </c>
      <c r="F230" s="397" t="s">
        <v>25</v>
      </c>
      <c r="G230" s="428" t="s">
        <v>46</v>
      </c>
      <c r="H230" s="397" t="s">
        <v>7245</v>
      </c>
      <c r="I230" s="500">
        <v>43299.0</v>
      </c>
      <c r="J230" s="428">
        <v>7.0</v>
      </c>
      <c r="K230" s="575" t="s">
        <v>238</v>
      </c>
      <c r="L230" s="397" t="s">
        <v>256</v>
      </c>
      <c r="M230" s="529">
        <f t="shared" si="2"/>
        <v>1323</v>
      </c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ht="12.75" customHeight="1">
      <c r="A231" s="419">
        <v>23018.0</v>
      </c>
      <c r="B231" s="420" t="s">
        <v>7319</v>
      </c>
      <c r="C231" s="420">
        <v>2014.0</v>
      </c>
      <c r="D231" s="497">
        <v>41918.0</v>
      </c>
      <c r="E231" s="422" t="s">
        <v>7320</v>
      </c>
      <c r="F231" s="394" t="s">
        <v>7321</v>
      </c>
      <c r="G231" s="422" t="s">
        <v>565</v>
      </c>
      <c r="H231" s="394" t="s">
        <v>7237</v>
      </c>
      <c r="I231" s="497">
        <v>43304.0</v>
      </c>
      <c r="J231" s="422">
        <v>7.0</v>
      </c>
      <c r="K231" s="582" t="s">
        <v>244</v>
      </c>
      <c r="L231" s="394" t="s">
        <v>260</v>
      </c>
      <c r="M231" s="528">
        <f t="shared" si="2"/>
        <v>1386</v>
      </c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ht="12.75" customHeight="1">
      <c r="A232" s="425">
        <v>23118.0</v>
      </c>
      <c r="B232" s="426" t="s">
        <v>7322</v>
      </c>
      <c r="C232" s="426">
        <v>2011.0</v>
      </c>
      <c r="D232" s="500">
        <v>40751.0</v>
      </c>
      <c r="E232" s="428" t="s">
        <v>7323</v>
      </c>
      <c r="F232" s="397" t="s">
        <v>4170</v>
      </c>
      <c r="G232" s="428" t="s">
        <v>552</v>
      </c>
      <c r="H232" s="397" t="s">
        <v>130</v>
      </c>
      <c r="I232" s="500">
        <v>43304.0</v>
      </c>
      <c r="J232" s="428">
        <v>7.0</v>
      </c>
      <c r="K232" s="575" t="s">
        <v>238</v>
      </c>
      <c r="L232" s="397" t="s">
        <v>258</v>
      </c>
      <c r="M232" s="529">
        <f t="shared" si="2"/>
        <v>2553</v>
      </c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ht="12.75" customHeight="1">
      <c r="A233" s="419">
        <v>23218.0</v>
      </c>
      <c r="B233" s="420" t="s">
        <v>7324</v>
      </c>
      <c r="C233" s="420">
        <v>2017.0</v>
      </c>
      <c r="D233" s="497">
        <v>43055.0</v>
      </c>
      <c r="E233" s="422" t="s">
        <v>7325</v>
      </c>
      <c r="F233" s="583" t="s">
        <v>7326</v>
      </c>
      <c r="G233" s="422" t="s">
        <v>565</v>
      </c>
      <c r="H233" s="394" t="s">
        <v>5397</v>
      </c>
      <c r="I233" s="497">
        <v>43304.0</v>
      </c>
      <c r="J233" s="422">
        <v>7.0</v>
      </c>
      <c r="K233" s="582" t="s">
        <v>244</v>
      </c>
      <c r="L233" s="394" t="s">
        <v>260</v>
      </c>
      <c r="M233" s="528">
        <f t="shared" si="2"/>
        <v>249</v>
      </c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ht="12.75" customHeight="1">
      <c r="A234" s="425">
        <v>23318.0</v>
      </c>
      <c r="B234" s="426" t="s">
        <v>7327</v>
      </c>
      <c r="C234" s="426">
        <v>2014.0</v>
      </c>
      <c r="D234" s="500">
        <v>41974.0</v>
      </c>
      <c r="E234" s="428" t="s">
        <v>7328</v>
      </c>
      <c r="F234" s="397" t="s">
        <v>7329</v>
      </c>
      <c r="G234" s="428" t="s">
        <v>552</v>
      </c>
      <c r="H234" s="397" t="s">
        <v>929</v>
      </c>
      <c r="I234" s="500">
        <v>43304.0</v>
      </c>
      <c r="J234" s="428">
        <v>7.0</v>
      </c>
      <c r="K234" s="582" t="s">
        <v>244</v>
      </c>
      <c r="L234" s="397" t="s">
        <v>256</v>
      </c>
      <c r="M234" s="529">
        <f t="shared" si="2"/>
        <v>1330</v>
      </c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ht="12.75" customHeight="1">
      <c r="A235" s="419">
        <v>23418.0</v>
      </c>
      <c r="B235" s="420" t="s">
        <v>7330</v>
      </c>
      <c r="C235" s="420">
        <v>2015.0</v>
      </c>
      <c r="D235" s="497">
        <v>42258.0</v>
      </c>
      <c r="E235" s="422" t="s">
        <v>7331</v>
      </c>
      <c r="F235" s="394" t="s">
        <v>7332</v>
      </c>
      <c r="G235" s="422" t="s">
        <v>650</v>
      </c>
      <c r="H235" s="394" t="s">
        <v>775</v>
      </c>
      <c r="I235" s="497">
        <v>43307.0</v>
      </c>
      <c r="J235" s="422">
        <v>7.0</v>
      </c>
      <c r="K235" s="577" t="s">
        <v>234</v>
      </c>
      <c r="L235" s="394" t="s">
        <v>258</v>
      </c>
      <c r="M235" s="528">
        <f t="shared" si="2"/>
        <v>1049</v>
      </c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ht="12.75" customHeight="1">
      <c r="A236" s="425">
        <v>23518.0</v>
      </c>
      <c r="B236" s="426" t="s">
        <v>7333</v>
      </c>
      <c r="C236" s="426">
        <v>2016.0</v>
      </c>
      <c r="D236" s="500">
        <v>42675.0</v>
      </c>
      <c r="E236" s="428" t="s">
        <v>7334</v>
      </c>
      <c r="F236" s="397" t="s">
        <v>563</v>
      </c>
      <c r="G236" s="428" t="s">
        <v>552</v>
      </c>
      <c r="H236" s="397" t="s">
        <v>66</v>
      </c>
      <c r="I236" s="500">
        <v>43307.0</v>
      </c>
      <c r="J236" s="428">
        <v>7.0</v>
      </c>
      <c r="K236" s="577" t="s">
        <v>234</v>
      </c>
      <c r="L236" s="397" t="s">
        <v>256</v>
      </c>
      <c r="M236" s="529">
        <f t="shared" si="2"/>
        <v>632</v>
      </c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ht="12.75" customHeight="1">
      <c r="A237" s="419">
        <v>23618.0</v>
      </c>
      <c r="B237" s="420" t="s">
        <v>7335</v>
      </c>
      <c r="C237" s="420">
        <v>2012.0</v>
      </c>
      <c r="D237" s="497">
        <v>40941.0</v>
      </c>
      <c r="E237" s="422" t="s">
        <v>7336</v>
      </c>
      <c r="F237" s="394" t="s">
        <v>595</v>
      </c>
      <c r="G237" s="422" t="s">
        <v>552</v>
      </c>
      <c r="H237" s="394" t="s">
        <v>4141</v>
      </c>
      <c r="I237" s="497">
        <v>43308.0</v>
      </c>
      <c r="J237" s="422">
        <v>7.0</v>
      </c>
      <c r="K237" s="576" t="s">
        <v>228</v>
      </c>
      <c r="L237" s="394" t="s">
        <v>256</v>
      </c>
      <c r="M237" s="528">
        <f t="shared" si="2"/>
        <v>2367</v>
      </c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ht="12.75" customHeight="1">
      <c r="A238" s="425">
        <v>23718.0</v>
      </c>
      <c r="B238" s="426" t="s">
        <v>7337</v>
      </c>
      <c r="C238" s="426">
        <v>2009.0</v>
      </c>
      <c r="D238" s="500">
        <v>40143.0</v>
      </c>
      <c r="E238" s="428" t="s">
        <v>7338</v>
      </c>
      <c r="F238" s="397" t="s">
        <v>1232</v>
      </c>
      <c r="G238" s="428" t="s">
        <v>552</v>
      </c>
      <c r="H238" s="397" t="s">
        <v>45</v>
      </c>
      <c r="I238" s="500">
        <v>43312.0</v>
      </c>
      <c r="J238" s="428">
        <v>7.0</v>
      </c>
      <c r="K238" s="576" t="s">
        <v>228</v>
      </c>
      <c r="L238" s="397" t="s">
        <v>256</v>
      </c>
      <c r="M238" s="529">
        <f t="shared" si="2"/>
        <v>3169</v>
      </c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ht="12.75" customHeight="1">
      <c r="A239" s="419">
        <v>23818.0</v>
      </c>
      <c r="B239" s="420" t="s">
        <v>7339</v>
      </c>
      <c r="C239" s="420">
        <v>2014.0</v>
      </c>
      <c r="D239" s="497">
        <v>41873.0</v>
      </c>
      <c r="E239" s="422" t="s">
        <v>7340</v>
      </c>
      <c r="F239" s="394" t="s">
        <v>4572</v>
      </c>
      <c r="G239" s="422" t="s">
        <v>552</v>
      </c>
      <c r="H239" s="394" t="s">
        <v>50</v>
      </c>
      <c r="I239" s="497">
        <v>43312.0</v>
      </c>
      <c r="J239" s="422">
        <v>7.0</v>
      </c>
      <c r="K239" s="577" t="s">
        <v>234</v>
      </c>
      <c r="L239" s="394" t="s">
        <v>258</v>
      </c>
      <c r="M239" s="528">
        <f t="shared" si="2"/>
        <v>1439</v>
      </c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ht="12.75" customHeight="1">
      <c r="A240" s="425">
        <v>23918.0</v>
      </c>
      <c r="B240" s="426" t="s">
        <v>7341</v>
      </c>
      <c r="C240" s="426">
        <v>2018.0</v>
      </c>
      <c r="D240" s="500">
        <v>43118.0</v>
      </c>
      <c r="E240" s="428" t="s">
        <v>7342</v>
      </c>
      <c r="F240" s="397" t="s">
        <v>7343</v>
      </c>
      <c r="G240" s="428" t="s">
        <v>565</v>
      </c>
      <c r="H240" s="397" t="s">
        <v>5397</v>
      </c>
      <c r="I240" s="500">
        <v>43313.0</v>
      </c>
      <c r="J240" s="428">
        <v>8.0</v>
      </c>
      <c r="K240" s="582" t="s">
        <v>244</v>
      </c>
      <c r="L240" s="397" t="s">
        <v>260</v>
      </c>
      <c r="M240" s="529">
        <f t="shared" si="2"/>
        <v>195</v>
      </c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ht="12.75" customHeight="1">
      <c r="A241" s="419">
        <v>24018.0</v>
      </c>
      <c r="B241" s="420" t="s">
        <v>5966</v>
      </c>
      <c r="C241" s="420">
        <v>2013.0</v>
      </c>
      <c r="D241" s="497">
        <v>41355.0</v>
      </c>
      <c r="E241" s="422" t="s">
        <v>7344</v>
      </c>
      <c r="F241" s="394" t="s">
        <v>5311</v>
      </c>
      <c r="G241" s="422" t="s">
        <v>650</v>
      </c>
      <c r="H241" s="394" t="s">
        <v>4380</v>
      </c>
      <c r="I241" s="497">
        <v>43313.0</v>
      </c>
      <c r="J241" s="422">
        <v>8.0</v>
      </c>
      <c r="K241" s="577" t="s">
        <v>234</v>
      </c>
      <c r="L241" s="394" t="s">
        <v>256</v>
      </c>
      <c r="M241" s="528">
        <f t="shared" si="2"/>
        <v>1958</v>
      </c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ht="12.75" customHeight="1">
      <c r="A242" s="425">
        <v>24118.0</v>
      </c>
      <c r="B242" s="426" t="s">
        <v>7345</v>
      </c>
      <c r="C242" s="426">
        <v>2013.0</v>
      </c>
      <c r="D242" s="500">
        <v>41355.0</v>
      </c>
      <c r="E242" s="428" t="s">
        <v>7346</v>
      </c>
      <c r="F242" s="397" t="s">
        <v>5311</v>
      </c>
      <c r="G242" s="428" t="s">
        <v>650</v>
      </c>
      <c r="H242" s="397" t="s">
        <v>4380</v>
      </c>
      <c r="I242" s="500">
        <v>43313.0</v>
      </c>
      <c r="J242" s="428">
        <v>8.0</v>
      </c>
      <c r="K242" s="577" t="s">
        <v>234</v>
      </c>
      <c r="L242" s="397" t="s">
        <v>256</v>
      </c>
      <c r="M242" s="529">
        <f t="shared" si="2"/>
        <v>1958</v>
      </c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ht="12.75" customHeight="1">
      <c r="A243" s="419">
        <v>24218.0</v>
      </c>
      <c r="B243" s="420" t="s">
        <v>7347</v>
      </c>
      <c r="C243" s="420">
        <v>2013.0</v>
      </c>
      <c r="D243" s="497">
        <v>41330.0</v>
      </c>
      <c r="E243" s="422" t="s">
        <v>7348</v>
      </c>
      <c r="F243" s="394" t="s">
        <v>44</v>
      </c>
      <c r="G243" s="422" t="s">
        <v>552</v>
      </c>
      <c r="H243" s="394" t="s">
        <v>6860</v>
      </c>
      <c r="I243" s="497">
        <v>43313.0</v>
      </c>
      <c r="J243" s="422">
        <v>8.0</v>
      </c>
      <c r="K243" s="576" t="s">
        <v>228</v>
      </c>
      <c r="L243" s="394" t="s">
        <v>258</v>
      </c>
      <c r="M243" s="528">
        <f t="shared" si="2"/>
        <v>1983</v>
      </c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ht="12.75" customHeight="1">
      <c r="A244" s="425">
        <v>24318.0</v>
      </c>
      <c r="B244" s="426" t="s">
        <v>7349</v>
      </c>
      <c r="C244" s="426">
        <v>2017.0</v>
      </c>
      <c r="D244" s="500">
        <v>43075.0</v>
      </c>
      <c r="E244" s="428" t="s">
        <v>7350</v>
      </c>
      <c r="F244" s="505" t="s">
        <v>2606</v>
      </c>
      <c r="G244" s="428" t="s">
        <v>569</v>
      </c>
      <c r="H244" s="397" t="s">
        <v>2550</v>
      </c>
      <c r="I244" s="500">
        <v>43313.0</v>
      </c>
      <c r="J244" s="428">
        <v>8.0</v>
      </c>
      <c r="K244" s="582" t="s">
        <v>244</v>
      </c>
      <c r="L244" s="397" t="s">
        <v>260</v>
      </c>
      <c r="M244" s="529">
        <f t="shared" si="2"/>
        <v>238</v>
      </c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ht="12.75" customHeight="1">
      <c r="A245" s="419">
        <v>24418.0</v>
      </c>
      <c r="B245" s="420" t="s">
        <v>7351</v>
      </c>
      <c r="C245" s="420">
        <v>2011.0</v>
      </c>
      <c r="D245" s="497">
        <v>40907.0</v>
      </c>
      <c r="E245" s="422" t="s">
        <v>7352</v>
      </c>
      <c r="F245" s="394" t="s">
        <v>1846</v>
      </c>
      <c r="G245" s="422" t="s">
        <v>552</v>
      </c>
      <c r="H245" s="394" t="s">
        <v>4141</v>
      </c>
      <c r="I245" s="497">
        <v>43313.0</v>
      </c>
      <c r="J245" s="422">
        <v>8.0</v>
      </c>
      <c r="K245" s="577" t="s">
        <v>234</v>
      </c>
      <c r="L245" s="394" t="s">
        <v>258</v>
      </c>
      <c r="M245" s="528">
        <f t="shared" si="2"/>
        <v>2406</v>
      </c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ht="12.75" customHeight="1">
      <c r="A246" s="425">
        <v>24518.0</v>
      </c>
      <c r="B246" s="426" t="s">
        <v>7353</v>
      </c>
      <c r="C246" s="426">
        <v>2016.0</v>
      </c>
      <c r="D246" s="500">
        <v>42703.0</v>
      </c>
      <c r="E246" s="428" t="s">
        <v>7354</v>
      </c>
      <c r="F246" s="397" t="s">
        <v>7355</v>
      </c>
      <c r="G246" s="428" t="s">
        <v>650</v>
      </c>
      <c r="H246" s="397" t="s">
        <v>6814</v>
      </c>
      <c r="I246" s="500">
        <v>43313.0</v>
      </c>
      <c r="J246" s="428">
        <v>8.0</v>
      </c>
      <c r="K246" s="576" t="s">
        <v>228</v>
      </c>
      <c r="L246" s="397" t="s">
        <v>258</v>
      </c>
      <c r="M246" s="529">
        <f t="shared" si="2"/>
        <v>610</v>
      </c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ht="12.75" customHeight="1">
      <c r="A247" s="419">
        <v>24618.0</v>
      </c>
      <c r="B247" s="420" t="s">
        <v>7356</v>
      </c>
      <c r="C247" s="420">
        <v>2017.0</v>
      </c>
      <c r="D247" s="497">
        <v>43035.0</v>
      </c>
      <c r="E247" s="422" t="s">
        <v>7357</v>
      </c>
      <c r="F247" s="503" t="s">
        <v>6653</v>
      </c>
      <c r="G247" s="422" t="s">
        <v>565</v>
      </c>
      <c r="H247" s="394" t="s">
        <v>5490</v>
      </c>
      <c r="I247" s="497">
        <v>43314.0</v>
      </c>
      <c r="J247" s="422">
        <v>8.0</v>
      </c>
      <c r="K247" s="582" t="s">
        <v>244</v>
      </c>
      <c r="L247" s="394" t="s">
        <v>260</v>
      </c>
      <c r="M247" s="528">
        <f t="shared" si="2"/>
        <v>279</v>
      </c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ht="12.75" customHeight="1">
      <c r="A248" s="425">
        <v>24718.0</v>
      </c>
      <c r="B248" s="426" t="s">
        <v>7358</v>
      </c>
      <c r="C248" s="426">
        <v>2017.0</v>
      </c>
      <c r="D248" s="500">
        <v>43055.0</v>
      </c>
      <c r="E248" s="428" t="s">
        <v>7359</v>
      </c>
      <c r="F248" s="397" t="s">
        <v>7360</v>
      </c>
      <c r="G248" s="428" t="s">
        <v>565</v>
      </c>
      <c r="H248" s="397" t="s">
        <v>5397</v>
      </c>
      <c r="I248" s="500">
        <v>43314.0</v>
      </c>
      <c r="J248" s="428">
        <v>8.0</v>
      </c>
      <c r="K248" s="582" t="s">
        <v>244</v>
      </c>
      <c r="L248" s="397" t="s">
        <v>260</v>
      </c>
      <c r="M248" s="529">
        <f t="shared" si="2"/>
        <v>259</v>
      </c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ht="12.75" customHeight="1">
      <c r="A249" s="419">
        <v>24818.0</v>
      </c>
      <c r="B249" s="420" t="s">
        <v>7361</v>
      </c>
      <c r="C249" s="420">
        <v>2018.0</v>
      </c>
      <c r="D249" s="497">
        <v>43118.0</v>
      </c>
      <c r="E249" s="422" t="s">
        <v>7362</v>
      </c>
      <c r="F249" s="394" t="s">
        <v>7363</v>
      </c>
      <c r="G249" s="422" t="s">
        <v>565</v>
      </c>
      <c r="H249" s="394" t="s">
        <v>5397</v>
      </c>
      <c r="I249" s="497">
        <v>43314.0</v>
      </c>
      <c r="J249" s="422">
        <v>8.0</v>
      </c>
      <c r="K249" s="582" t="s">
        <v>244</v>
      </c>
      <c r="L249" s="394" t="s">
        <v>260</v>
      </c>
      <c r="M249" s="528">
        <f t="shared" si="2"/>
        <v>196</v>
      </c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ht="12.75" customHeight="1">
      <c r="A250" s="425">
        <v>24918.0</v>
      </c>
      <c r="B250" s="426" t="s">
        <v>7364</v>
      </c>
      <c r="C250" s="426">
        <v>2012.0</v>
      </c>
      <c r="D250" s="500">
        <v>41264.0</v>
      </c>
      <c r="E250" s="428" t="s">
        <v>7365</v>
      </c>
      <c r="F250" s="397" t="s">
        <v>660</v>
      </c>
      <c r="G250" s="428" t="s">
        <v>552</v>
      </c>
      <c r="H250" s="397" t="s">
        <v>775</v>
      </c>
      <c r="I250" s="500">
        <v>43314.0</v>
      </c>
      <c r="J250" s="428">
        <v>8.0</v>
      </c>
      <c r="K250" s="576" t="s">
        <v>228</v>
      </c>
      <c r="L250" s="397" t="s">
        <v>256</v>
      </c>
      <c r="M250" s="529">
        <f t="shared" si="2"/>
        <v>2050</v>
      </c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ht="12.75" customHeight="1">
      <c r="A251" s="419">
        <v>25018.0</v>
      </c>
      <c r="B251" s="420" t="s">
        <v>7366</v>
      </c>
      <c r="C251" s="420">
        <v>2012.0</v>
      </c>
      <c r="D251" s="497">
        <v>41207.0</v>
      </c>
      <c r="E251" s="422" t="s">
        <v>7367</v>
      </c>
      <c r="F251" s="394" t="s">
        <v>1170</v>
      </c>
      <c r="G251" s="422" t="s">
        <v>552</v>
      </c>
      <c r="H251" s="394" t="s">
        <v>775</v>
      </c>
      <c r="I251" s="497">
        <v>43318.0</v>
      </c>
      <c r="J251" s="422">
        <v>8.0</v>
      </c>
      <c r="K251" s="575" t="s">
        <v>238</v>
      </c>
      <c r="L251" s="394" t="s">
        <v>256</v>
      </c>
      <c r="M251" s="528">
        <f t="shared" si="2"/>
        <v>2111</v>
      </c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ht="12.75" customHeight="1">
      <c r="A252" s="425">
        <v>25118.0</v>
      </c>
      <c r="B252" s="426" t="s">
        <v>7368</v>
      </c>
      <c r="C252" s="426">
        <v>2018.0</v>
      </c>
      <c r="D252" s="500">
        <v>43131.0</v>
      </c>
      <c r="E252" s="428" t="s">
        <v>7369</v>
      </c>
      <c r="F252" s="397" t="s">
        <v>7370</v>
      </c>
      <c r="G252" s="428" t="s">
        <v>569</v>
      </c>
      <c r="H252" s="397" t="s">
        <v>7371</v>
      </c>
      <c r="I252" s="500">
        <v>43319.0</v>
      </c>
      <c r="J252" s="428">
        <v>8.0</v>
      </c>
      <c r="K252" s="582" t="s">
        <v>244</v>
      </c>
      <c r="L252" s="397" t="s">
        <v>260</v>
      </c>
      <c r="M252" s="529">
        <f t="shared" si="2"/>
        <v>188</v>
      </c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ht="12.75" customHeight="1">
      <c r="A253" s="419">
        <v>25218.0</v>
      </c>
      <c r="B253" s="420" t="s">
        <v>7372</v>
      </c>
      <c r="C253" s="420">
        <v>2017.0</v>
      </c>
      <c r="D253" s="497">
        <v>42898.0</v>
      </c>
      <c r="E253" s="422" t="s">
        <v>7373</v>
      </c>
      <c r="F253" s="394" t="s">
        <v>1823</v>
      </c>
      <c r="G253" s="422" t="s">
        <v>552</v>
      </c>
      <c r="H253" s="394" t="s">
        <v>66</v>
      </c>
      <c r="I253" s="497">
        <v>43319.0</v>
      </c>
      <c r="J253" s="422">
        <v>8.0</v>
      </c>
      <c r="K253" s="575" t="s">
        <v>238</v>
      </c>
      <c r="L253" s="394" t="s">
        <v>258</v>
      </c>
      <c r="M253" s="528">
        <f t="shared" si="2"/>
        <v>421</v>
      </c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ht="12.75" customHeight="1">
      <c r="A254" s="425">
        <v>25318.0</v>
      </c>
      <c r="B254" s="426" t="s">
        <v>7374</v>
      </c>
      <c r="C254" s="426">
        <v>2016.0</v>
      </c>
      <c r="D254" s="500">
        <v>42734.0</v>
      </c>
      <c r="E254" s="428" t="s">
        <v>7375</v>
      </c>
      <c r="F254" s="397" t="s">
        <v>7376</v>
      </c>
      <c r="G254" s="428" t="s">
        <v>650</v>
      </c>
      <c r="H254" s="397" t="s">
        <v>1727</v>
      </c>
      <c r="I254" s="500">
        <v>43321.0</v>
      </c>
      <c r="J254" s="428">
        <v>8.0</v>
      </c>
      <c r="K254" s="576" t="s">
        <v>228</v>
      </c>
      <c r="L254" s="397" t="s">
        <v>256</v>
      </c>
      <c r="M254" s="529">
        <f t="shared" si="2"/>
        <v>587</v>
      </c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ht="12.75" customHeight="1">
      <c r="A255" s="419">
        <v>25418.0</v>
      </c>
      <c r="B255" s="420" t="s">
        <v>7377</v>
      </c>
      <c r="C255" s="420">
        <v>2010.0</v>
      </c>
      <c r="D255" s="497">
        <v>40329.0</v>
      </c>
      <c r="E255" s="422" t="s">
        <v>7378</v>
      </c>
      <c r="F255" s="394" t="s">
        <v>4077</v>
      </c>
      <c r="G255" s="422" t="s">
        <v>17</v>
      </c>
      <c r="H255" s="394" t="s">
        <v>1091</v>
      </c>
      <c r="I255" s="497">
        <v>43321.0</v>
      </c>
      <c r="J255" s="422">
        <v>8.0</v>
      </c>
      <c r="K255" s="575" t="s">
        <v>238</v>
      </c>
      <c r="L255" s="394" t="s">
        <v>258</v>
      </c>
      <c r="M255" s="528">
        <f t="shared" si="2"/>
        <v>2992</v>
      </c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ht="12.75" customHeight="1">
      <c r="A256" s="425">
        <v>25518.0</v>
      </c>
      <c r="B256" s="426" t="s">
        <v>7379</v>
      </c>
      <c r="C256" s="426">
        <v>2015.0</v>
      </c>
      <c r="D256" s="500">
        <v>42200.0</v>
      </c>
      <c r="E256" s="428" t="s">
        <v>7380</v>
      </c>
      <c r="F256" s="397" t="s">
        <v>1968</v>
      </c>
      <c r="G256" s="428" t="s">
        <v>17</v>
      </c>
      <c r="H256" s="397" t="s">
        <v>50</v>
      </c>
      <c r="I256" s="500">
        <v>43322.0</v>
      </c>
      <c r="J256" s="428">
        <v>8.0</v>
      </c>
      <c r="K256" s="576" t="s">
        <v>228</v>
      </c>
      <c r="L256" s="397" t="s">
        <v>256</v>
      </c>
      <c r="M256" s="529">
        <f t="shared" si="2"/>
        <v>1122</v>
      </c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ht="12.75" customHeight="1">
      <c r="A257" s="419">
        <v>25618.0</v>
      </c>
      <c r="B257" s="420" t="s">
        <v>7381</v>
      </c>
      <c r="C257" s="420">
        <v>2014.0</v>
      </c>
      <c r="D257" s="497">
        <v>41851.0</v>
      </c>
      <c r="E257" s="422" t="s">
        <v>7382</v>
      </c>
      <c r="F257" s="394" t="s">
        <v>1968</v>
      </c>
      <c r="G257" s="422" t="s">
        <v>17</v>
      </c>
      <c r="H257" s="394" t="s">
        <v>50</v>
      </c>
      <c r="I257" s="497">
        <v>43322.0</v>
      </c>
      <c r="J257" s="422">
        <v>8.0</v>
      </c>
      <c r="K257" s="576" t="s">
        <v>228</v>
      </c>
      <c r="L257" s="394" t="s">
        <v>256</v>
      </c>
      <c r="M257" s="528">
        <f t="shared" si="2"/>
        <v>1471</v>
      </c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ht="12.75" customHeight="1">
      <c r="A258" s="425">
        <v>25718.0</v>
      </c>
      <c r="B258" s="426" t="s">
        <v>7383</v>
      </c>
      <c r="C258" s="426">
        <v>2012.0</v>
      </c>
      <c r="D258" s="500">
        <v>41089.0</v>
      </c>
      <c r="E258" s="428" t="s">
        <v>7384</v>
      </c>
      <c r="F258" s="397" t="s">
        <v>7268</v>
      </c>
      <c r="G258" s="428" t="s">
        <v>552</v>
      </c>
      <c r="H258" s="397" t="s">
        <v>4141</v>
      </c>
      <c r="I258" s="500">
        <v>43322.0</v>
      </c>
      <c r="J258" s="428">
        <v>8.0</v>
      </c>
      <c r="K258" s="576" t="s">
        <v>228</v>
      </c>
      <c r="L258" s="397" t="s">
        <v>258</v>
      </c>
      <c r="M258" s="529">
        <f t="shared" si="2"/>
        <v>2233</v>
      </c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ht="12.75" customHeight="1">
      <c r="A259" s="419">
        <v>25818.0</v>
      </c>
      <c r="B259" s="420" t="s">
        <v>7385</v>
      </c>
      <c r="C259" s="420">
        <v>2017.0</v>
      </c>
      <c r="D259" s="497">
        <v>43033.0</v>
      </c>
      <c r="E259" s="422" t="s">
        <v>7386</v>
      </c>
      <c r="F259" s="503" t="s">
        <v>5878</v>
      </c>
      <c r="G259" s="422" t="s">
        <v>565</v>
      </c>
      <c r="H259" s="394" t="s">
        <v>5490</v>
      </c>
      <c r="I259" s="497">
        <v>43322.0</v>
      </c>
      <c r="J259" s="422">
        <v>8.0</v>
      </c>
      <c r="K259" s="582" t="s">
        <v>244</v>
      </c>
      <c r="L259" s="394" t="s">
        <v>260</v>
      </c>
      <c r="M259" s="528">
        <f t="shared" si="2"/>
        <v>289</v>
      </c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ht="12.75" customHeight="1">
      <c r="A260" s="425">
        <v>25918.0</v>
      </c>
      <c r="B260" s="426" t="s">
        <v>7387</v>
      </c>
      <c r="C260" s="426">
        <v>2016.0</v>
      </c>
      <c r="D260" s="500">
        <v>42415.0</v>
      </c>
      <c r="E260" s="428" t="s">
        <v>7388</v>
      </c>
      <c r="F260" s="397" t="s">
        <v>1968</v>
      </c>
      <c r="G260" s="428" t="s">
        <v>552</v>
      </c>
      <c r="H260" s="397" t="s">
        <v>5127</v>
      </c>
      <c r="I260" s="500">
        <v>43326.0</v>
      </c>
      <c r="J260" s="428">
        <v>8.0</v>
      </c>
      <c r="K260" s="575" t="s">
        <v>238</v>
      </c>
      <c r="L260" s="397" t="s">
        <v>256</v>
      </c>
      <c r="M260" s="529">
        <f t="shared" si="2"/>
        <v>911</v>
      </c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ht="12.75" customHeight="1">
      <c r="A261" s="419">
        <v>26018.0</v>
      </c>
      <c r="B261" s="420" t="s">
        <v>7389</v>
      </c>
      <c r="C261" s="420">
        <v>2017.0</v>
      </c>
      <c r="D261" s="497">
        <v>43075.0</v>
      </c>
      <c r="E261" s="422" t="s">
        <v>7390</v>
      </c>
      <c r="F261" s="503" t="s">
        <v>5878</v>
      </c>
      <c r="G261" s="422" t="s">
        <v>569</v>
      </c>
      <c r="H261" s="394" t="s">
        <v>2550</v>
      </c>
      <c r="I261" s="497">
        <v>43326.0</v>
      </c>
      <c r="J261" s="422">
        <v>8.0</v>
      </c>
      <c r="K261" s="582" t="s">
        <v>244</v>
      </c>
      <c r="L261" s="394" t="s">
        <v>260</v>
      </c>
      <c r="M261" s="528">
        <f t="shared" si="2"/>
        <v>251</v>
      </c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ht="12.75" customHeight="1">
      <c r="A262" s="425">
        <v>26118.0</v>
      </c>
      <c r="B262" s="426" t="s">
        <v>7391</v>
      </c>
      <c r="C262" s="426">
        <v>2013.0</v>
      </c>
      <c r="D262" s="500">
        <v>41404.0</v>
      </c>
      <c r="E262" s="428" t="s">
        <v>7392</v>
      </c>
      <c r="F262" s="397" t="s">
        <v>2905</v>
      </c>
      <c r="G262" s="428" t="s">
        <v>17</v>
      </c>
      <c r="H262" s="397" t="s">
        <v>4141</v>
      </c>
      <c r="I262" s="500">
        <v>43327.0</v>
      </c>
      <c r="J262" s="428">
        <v>8.0</v>
      </c>
      <c r="K262" s="576" t="s">
        <v>228</v>
      </c>
      <c r="L262" s="397" t="s">
        <v>256</v>
      </c>
      <c r="M262" s="529">
        <f t="shared" si="2"/>
        <v>1923</v>
      </c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ht="12.75" customHeight="1">
      <c r="A263" s="419">
        <v>26218.0</v>
      </c>
      <c r="B263" s="420" t="s">
        <v>7393</v>
      </c>
      <c r="C263" s="420">
        <v>2014.0</v>
      </c>
      <c r="D263" s="497">
        <v>41925.0</v>
      </c>
      <c r="E263" s="422" t="s">
        <v>7394</v>
      </c>
      <c r="F263" s="394" t="s">
        <v>2905</v>
      </c>
      <c r="G263" s="422" t="s">
        <v>17</v>
      </c>
      <c r="H263" s="394" t="s">
        <v>50</v>
      </c>
      <c r="I263" s="497">
        <v>43327.0</v>
      </c>
      <c r="J263" s="422">
        <v>8.0</v>
      </c>
      <c r="K263" s="576" t="s">
        <v>228</v>
      </c>
      <c r="L263" s="394" t="s">
        <v>256</v>
      </c>
      <c r="M263" s="528">
        <f t="shared" si="2"/>
        <v>1402</v>
      </c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ht="12.75" customHeight="1">
      <c r="A264" s="425">
        <v>26318.0</v>
      </c>
      <c r="B264" s="426" t="s">
        <v>7395</v>
      </c>
      <c r="C264" s="426">
        <v>2015.0</v>
      </c>
      <c r="D264" s="500">
        <v>42230.0</v>
      </c>
      <c r="E264" s="428" t="s">
        <v>7396</v>
      </c>
      <c r="F264" s="397" t="s">
        <v>2905</v>
      </c>
      <c r="G264" s="428" t="s">
        <v>17</v>
      </c>
      <c r="H264" s="397" t="s">
        <v>583</v>
      </c>
      <c r="I264" s="500">
        <v>43327.0</v>
      </c>
      <c r="J264" s="428">
        <v>8.0</v>
      </c>
      <c r="K264" s="576" t="s">
        <v>228</v>
      </c>
      <c r="L264" s="397" t="s">
        <v>256</v>
      </c>
      <c r="M264" s="529">
        <f t="shared" si="2"/>
        <v>1097</v>
      </c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ht="12.75" customHeight="1">
      <c r="A265" s="419">
        <v>26418.0</v>
      </c>
      <c r="B265" s="420" t="s">
        <v>7397</v>
      </c>
      <c r="C265" s="420">
        <v>2016.0</v>
      </c>
      <c r="D265" s="497">
        <v>42577.0</v>
      </c>
      <c r="E265" s="422" t="s">
        <v>7398</v>
      </c>
      <c r="F265" s="394" t="s">
        <v>2905</v>
      </c>
      <c r="G265" s="422" t="s">
        <v>17</v>
      </c>
      <c r="H265" s="394" t="s">
        <v>775</v>
      </c>
      <c r="I265" s="497">
        <v>43327.0</v>
      </c>
      <c r="J265" s="422">
        <v>8.0</v>
      </c>
      <c r="K265" s="576" t="s">
        <v>228</v>
      </c>
      <c r="L265" s="394" t="s">
        <v>256</v>
      </c>
      <c r="M265" s="528">
        <f t="shared" si="2"/>
        <v>750</v>
      </c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ht="12.75" customHeight="1">
      <c r="A266" s="425">
        <v>26518.0</v>
      </c>
      <c r="B266" s="426" t="s">
        <v>7399</v>
      </c>
      <c r="C266" s="426">
        <v>2013.0</v>
      </c>
      <c r="D266" s="500">
        <v>41338.0</v>
      </c>
      <c r="E266" s="428" t="s">
        <v>7400</v>
      </c>
      <c r="F266" s="397" t="s">
        <v>1544</v>
      </c>
      <c r="G266" s="428" t="s">
        <v>552</v>
      </c>
      <c r="H266" s="397" t="s">
        <v>5016</v>
      </c>
      <c r="I266" s="500">
        <v>43329.0</v>
      </c>
      <c r="J266" s="428">
        <v>8.0</v>
      </c>
      <c r="K266" s="577" t="s">
        <v>234</v>
      </c>
      <c r="L266" s="397" t="s">
        <v>256</v>
      </c>
      <c r="M266" s="529">
        <f t="shared" si="2"/>
        <v>1991</v>
      </c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ht="12.75" customHeight="1">
      <c r="A267" s="419">
        <v>26618.0</v>
      </c>
      <c r="B267" s="420" t="s">
        <v>7401</v>
      </c>
      <c r="C267" s="420">
        <v>2010.0</v>
      </c>
      <c r="D267" s="497">
        <v>40207.0</v>
      </c>
      <c r="E267" s="422" t="s">
        <v>7402</v>
      </c>
      <c r="F267" s="394" t="s">
        <v>711</v>
      </c>
      <c r="G267" s="422" t="s">
        <v>552</v>
      </c>
      <c r="H267" s="394" t="s">
        <v>7403</v>
      </c>
      <c r="I267" s="497">
        <v>43329.0</v>
      </c>
      <c r="J267" s="422">
        <v>8.0</v>
      </c>
      <c r="K267" s="575" t="s">
        <v>238</v>
      </c>
      <c r="L267" s="394" t="s">
        <v>256</v>
      </c>
      <c r="M267" s="528">
        <f t="shared" si="2"/>
        <v>3122</v>
      </c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ht="12.75" customHeight="1">
      <c r="A268" s="425">
        <v>26718.0</v>
      </c>
      <c r="B268" s="426" t="s">
        <v>7404</v>
      </c>
      <c r="C268" s="426">
        <v>2014.0</v>
      </c>
      <c r="D268" s="500">
        <v>41743.0</v>
      </c>
      <c r="E268" s="428" t="s">
        <v>7405</v>
      </c>
      <c r="F268" s="397" t="s">
        <v>171</v>
      </c>
      <c r="G268" s="428" t="s">
        <v>552</v>
      </c>
      <c r="H268" s="397" t="s">
        <v>6997</v>
      </c>
      <c r="I268" s="500">
        <v>43332.0</v>
      </c>
      <c r="J268" s="428">
        <v>8.0</v>
      </c>
      <c r="K268" s="577" t="s">
        <v>234</v>
      </c>
      <c r="L268" s="397" t="s">
        <v>256</v>
      </c>
      <c r="M268" s="529">
        <f t="shared" si="2"/>
        <v>1589</v>
      </c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ht="12.75" customHeight="1">
      <c r="A269" s="419">
        <v>26818.0</v>
      </c>
      <c r="B269" s="420" t="s">
        <v>7406</v>
      </c>
      <c r="C269" s="420">
        <v>2016.0</v>
      </c>
      <c r="D269" s="497">
        <v>42724.0</v>
      </c>
      <c r="E269" s="422" t="s">
        <v>7407</v>
      </c>
      <c r="F269" s="394" t="s">
        <v>7179</v>
      </c>
      <c r="G269" s="422" t="s">
        <v>552</v>
      </c>
      <c r="H269" s="394" t="s">
        <v>66</v>
      </c>
      <c r="I269" s="497">
        <v>43332.0</v>
      </c>
      <c r="J269" s="422">
        <v>8.0</v>
      </c>
      <c r="K269" s="576" t="s">
        <v>228</v>
      </c>
      <c r="L269" s="394" t="s">
        <v>258</v>
      </c>
      <c r="M269" s="528">
        <f t="shared" si="2"/>
        <v>608</v>
      </c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ht="12.75" customHeight="1">
      <c r="A270" s="425">
        <v>26918.0</v>
      </c>
      <c r="B270" s="426" t="s">
        <v>7408</v>
      </c>
      <c r="C270" s="426">
        <v>2018.0</v>
      </c>
      <c r="D270" s="500">
        <v>43171.0</v>
      </c>
      <c r="E270" s="428" t="s">
        <v>7409</v>
      </c>
      <c r="F270" s="505" t="s">
        <v>2614</v>
      </c>
      <c r="G270" s="428" t="s">
        <v>569</v>
      </c>
      <c r="H270" s="397" t="s">
        <v>2353</v>
      </c>
      <c r="I270" s="500">
        <v>43334.0</v>
      </c>
      <c r="J270" s="428">
        <v>8.0</v>
      </c>
      <c r="K270" s="582" t="s">
        <v>244</v>
      </c>
      <c r="L270" s="397" t="s">
        <v>260</v>
      </c>
      <c r="M270" s="529">
        <f t="shared" si="2"/>
        <v>163</v>
      </c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ht="12.75" customHeight="1">
      <c r="A271" s="419">
        <v>27018.0</v>
      </c>
      <c r="B271" s="420" t="s">
        <v>7410</v>
      </c>
      <c r="C271" s="420">
        <v>2017.0</v>
      </c>
      <c r="D271" s="497">
        <v>43075.0</v>
      </c>
      <c r="E271" s="422" t="s">
        <v>7411</v>
      </c>
      <c r="F271" s="503" t="s">
        <v>2343</v>
      </c>
      <c r="G271" s="422" t="s">
        <v>569</v>
      </c>
      <c r="H271" s="394" t="s">
        <v>2550</v>
      </c>
      <c r="I271" s="497">
        <v>43334.0</v>
      </c>
      <c r="J271" s="422">
        <v>8.0</v>
      </c>
      <c r="K271" s="582" t="s">
        <v>244</v>
      </c>
      <c r="L271" s="394" t="s">
        <v>260</v>
      </c>
      <c r="M271" s="528">
        <f t="shared" si="2"/>
        <v>259</v>
      </c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ht="12.75" customHeight="1">
      <c r="A272" s="425">
        <v>27118.0</v>
      </c>
      <c r="B272" s="426" t="s">
        <v>7412</v>
      </c>
      <c r="C272" s="426">
        <v>2012.0</v>
      </c>
      <c r="D272" s="500">
        <v>41010.0</v>
      </c>
      <c r="E272" s="428" t="s">
        <v>7413</v>
      </c>
      <c r="F272" s="397" t="s">
        <v>4077</v>
      </c>
      <c r="G272" s="428" t="s">
        <v>17</v>
      </c>
      <c r="H272" s="397" t="s">
        <v>130</v>
      </c>
      <c r="I272" s="500">
        <v>43339.0</v>
      </c>
      <c r="J272" s="428">
        <v>8.0</v>
      </c>
      <c r="K272" s="575" t="s">
        <v>238</v>
      </c>
      <c r="L272" s="397" t="s">
        <v>258</v>
      </c>
      <c r="M272" s="529">
        <f t="shared" si="2"/>
        <v>2329</v>
      </c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ht="12.75" customHeight="1">
      <c r="A273" s="419">
        <v>27218.0</v>
      </c>
      <c r="B273" s="420" t="s">
        <v>7414</v>
      </c>
      <c r="C273" s="420">
        <v>2016.0</v>
      </c>
      <c r="D273" s="497">
        <v>42613.0</v>
      </c>
      <c r="E273" s="422" t="s">
        <v>7415</v>
      </c>
      <c r="F273" s="394" t="s">
        <v>7416</v>
      </c>
      <c r="G273" s="422" t="s">
        <v>552</v>
      </c>
      <c r="H273" s="394" t="s">
        <v>7245</v>
      </c>
      <c r="I273" s="497">
        <v>43340.0</v>
      </c>
      <c r="J273" s="422">
        <v>8.0</v>
      </c>
      <c r="K273" s="575" t="s">
        <v>238</v>
      </c>
      <c r="L273" s="394" t="s">
        <v>256</v>
      </c>
      <c r="M273" s="528">
        <f t="shared" si="2"/>
        <v>727</v>
      </c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ht="12.75" customHeight="1">
      <c r="A274" s="425">
        <v>27318.0</v>
      </c>
      <c r="B274" s="426" t="s">
        <v>7417</v>
      </c>
      <c r="C274" s="426">
        <v>2018.0</v>
      </c>
      <c r="D274" s="500">
        <v>43157.0</v>
      </c>
      <c r="E274" s="428" t="s">
        <v>7418</v>
      </c>
      <c r="F274" s="397" t="s">
        <v>7419</v>
      </c>
      <c r="G274" s="428" t="s">
        <v>565</v>
      </c>
      <c r="H274" s="397" t="s">
        <v>7420</v>
      </c>
      <c r="I274" s="500">
        <v>43341.0</v>
      </c>
      <c r="J274" s="428">
        <v>8.0</v>
      </c>
      <c r="K274" s="582" t="s">
        <v>244</v>
      </c>
      <c r="L274" s="397" t="s">
        <v>260</v>
      </c>
      <c r="M274" s="529">
        <f t="shared" si="2"/>
        <v>184</v>
      </c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ht="12.75" customHeight="1">
      <c r="A275" s="419">
        <v>27418.0</v>
      </c>
      <c r="B275" s="420" t="s">
        <v>7421</v>
      </c>
      <c r="C275" s="420">
        <v>2008.0</v>
      </c>
      <c r="D275" s="497">
        <v>39685.0</v>
      </c>
      <c r="E275" s="422" t="s">
        <v>7422</v>
      </c>
      <c r="F275" s="394" t="s">
        <v>3078</v>
      </c>
      <c r="G275" s="422" t="s">
        <v>552</v>
      </c>
      <c r="H275" s="394" t="s">
        <v>6821</v>
      </c>
      <c r="I275" s="497">
        <v>43341.0</v>
      </c>
      <c r="J275" s="422">
        <v>8.0</v>
      </c>
      <c r="K275" s="575" t="s">
        <v>238</v>
      </c>
      <c r="L275" s="394" t="s">
        <v>256</v>
      </c>
      <c r="M275" s="528">
        <f t="shared" si="2"/>
        <v>3656</v>
      </c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ht="12.75" customHeight="1">
      <c r="A276" s="425">
        <v>27518.0</v>
      </c>
      <c r="B276" s="426" t="s">
        <v>7423</v>
      </c>
      <c r="C276" s="426">
        <v>2011.0</v>
      </c>
      <c r="D276" s="500">
        <v>40672.0</v>
      </c>
      <c r="E276" s="428" t="s">
        <v>7424</v>
      </c>
      <c r="F276" s="397" t="s">
        <v>563</v>
      </c>
      <c r="G276" s="428" t="s">
        <v>552</v>
      </c>
      <c r="H276" s="397" t="s">
        <v>6846</v>
      </c>
      <c r="I276" s="500">
        <v>43341.0</v>
      </c>
      <c r="J276" s="428">
        <v>8.0</v>
      </c>
      <c r="K276" s="577" t="s">
        <v>234</v>
      </c>
      <c r="L276" s="397" t="s">
        <v>256</v>
      </c>
      <c r="M276" s="529">
        <f t="shared" si="2"/>
        <v>2669</v>
      </c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ht="12.75" customHeight="1">
      <c r="A277" s="419">
        <v>27618.0</v>
      </c>
      <c r="B277" s="420" t="s">
        <v>7425</v>
      </c>
      <c r="C277" s="420">
        <v>2017.0</v>
      </c>
      <c r="D277" s="497">
        <v>43083.0</v>
      </c>
      <c r="E277" s="422" t="s">
        <v>7426</v>
      </c>
      <c r="F277" s="503" t="s">
        <v>4039</v>
      </c>
      <c r="G277" s="422" t="s">
        <v>565</v>
      </c>
      <c r="H277" s="394" t="s">
        <v>7237</v>
      </c>
      <c r="I277" s="497">
        <v>43342.0</v>
      </c>
      <c r="J277" s="422">
        <v>8.0</v>
      </c>
      <c r="K277" s="582" t="s">
        <v>244</v>
      </c>
      <c r="L277" s="394" t="s">
        <v>260</v>
      </c>
      <c r="M277" s="528">
        <f t="shared" si="2"/>
        <v>259</v>
      </c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ht="12.75" customHeight="1">
      <c r="A278" s="425">
        <v>27718.0</v>
      </c>
      <c r="B278" s="426" t="s">
        <v>7427</v>
      </c>
      <c r="C278" s="426">
        <v>2017.0</v>
      </c>
      <c r="D278" s="500">
        <v>43083.0</v>
      </c>
      <c r="E278" s="428" t="s">
        <v>7428</v>
      </c>
      <c r="F278" s="505" t="s">
        <v>4039</v>
      </c>
      <c r="G278" s="428" t="s">
        <v>565</v>
      </c>
      <c r="H278" s="397" t="s">
        <v>7237</v>
      </c>
      <c r="I278" s="500">
        <v>43342.0</v>
      </c>
      <c r="J278" s="428">
        <v>8.0</v>
      </c>
      <c r="K278" s="582" t="s">
        <v>244</v>
      </c>
      <c r="L278" s="397" t="s">
        <v>260</v>
      </c>
      <c r="M278" s="529">
        <f t="shared" si="2"/>
        <v>259</v>
      </c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ht="12.75" customHeight="1">
      <c r="A279" s="419">
        <v>27818.0</v>
      </c>
      <c r="B279" s="420" t="s">
        <v>7429</v>
      </c>
      <c r="C279" s="420">
        <v>2017.0</v>
      </c>
      <c r="D279" s="497">
        <v>43060.0</v>
      </c>
      <c r="E279" s="422" t="s">
        <v>7430</v>
      </c>
      <c r="F279" s="503" t="s">
        <v>2614</v>
      </c>
      <c r="G279" s="422" t="s">
        <v>565</v>
      </c>
      <c r="H279" s="394" t="s">
        <v>5871</v>
      </c>
      <c r="I279" s="497">
        <v>43342.0</v>
      </c>
      <c r="J279" s="422">
        <v>8.0</v>
      </c>
      <c r="K279" s="582" t="s">
        <v>244</v>
      </c>
      <c r="L279" s="394" t="s">
        <v>260</v>
      </c>
      <c r="M279" s="528">
        <f t="shared" si="2"/>
        <v>282</v>
      </c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ht="12.75" customHeight="1">
      <c r="A280" s="425">
        <v>27918.0</v>
      </c>
      <c r="B280" s="426" t="s">
        <v>7431</v>
      </c>
      <c r="C280" s="426">
        <v>2016.0</v>
      </c>
      <c r="D280" s="500">
        <v>42402.0</v>
      </c>
      <c r="E280" s="428" t="s">
        <v>7432</v>
      </c>
      <c r="F280" s="397" t="s">
        <v>1150</v>
      </c>
      <c r="G280" s="428" t="s">
        <v>552</v>
      </c>
      <c r="H280" s="397" t="s">
        <v>66</v>
      </c>
      <c r="I280" s="500">
        <v>43343.0</v>
      </c>
      <c r="J280" s="428">
        <v>8.0</v>
      </c>
      <c r="K280" s="576" t="s">
        <v>228</v>
      </c>
      <c r="L280" s="397" t="s">
        <v>256</v>
      </c>
      <c r="M280" s="529">
        <f t="shared" si="2"/>
        <v>941</v>
      </c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ht="12.75" customHeight="1">
      <c r="A281" s="419">
        <v>28018.0</v>
      </c>
      <c r="B281" s="420" t="s">
        <v>7433</v>
      </c>
      <c r="C281" s="420">
        <v>2018.0</v>
      </c>
      <c r="D281" s="497">
        <v>43249.0</v>
      </c>
      <c r="E281" s="422" t="s">
        <v>7434</v>
      </c>
      <c r="F281" s="503" t="s">
        <v>5130</v>
      </c>
      <c r="G281" s="422" t="s">
        <v>569</v>
      </c>
      <c r="H281" s="394" t="s">
        <v>5490</v>
      </c>
      <c r="I281" s="497">
        <v>43343.0</v>
      </c>
      <c r="J281" s="422">
        <v>8.0</v>
      </c>
      <c r="K281" s="582" t="s">
        <v>244</v>
      </c>
      <c r="L281" s="394" t="s">
        <v>260</v>
      </c>
      <c r="M281" s="528">
        <f t="shared" si="2"/>
        <v>94</v>
      </c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ht="12.75" customHeight="1">
      <c r="A282" s="425">
        <v>28118.0</v>
      </c>
      <c r="B282" s="426" t="s">
        <v>7435</v>
      </c>
      <c r="C282" s="426">
        <v>2012.0</v>
      </c>
      <c r="D282" s="500">
        <v>41099.0</v>
      </c>
      <c r="E282" s="428" t="s">
        <v>7436</v>
      </c>
      <c r="F282" s="397" t="s">
        <v>963</v>
      </c>
      <c r="G282" s="428" t="s">
        <v>17</v>
      </c>
      <c r="H282" s="397" t="s">
        <v>1675</v>
      </c>
      <c r="I282" s="500">
        <v>43349.0</v>
      </c>
      <c r="J282" s="428">
        <v>9.0</v>
      </c>
      <c r="K282" s="576" t="s">
        <v>228</v>
      </c>
      <c r="L282" s="397" t="s">
        <v>258</v>
      </c>
      <c r="M282" s="529">
        <f t="shared" si="2"/>
        <v>2250</v>
      </c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ht="12.75" customHeight="1">
      <c r="A283" s="419">
        <v>28218.0</v>
      </c>
      <c r="B283" s="420" t="s">
        <v>7437</v>
      </c>
      <c r="C283" s="420">
        <v>2010.0</v>
      </c>
      <c r="D283" s="497">
        <v>40338.0</v>
      </c>
      <c r="E283" s="422" t="s">
        <v>7438</v>
      </c>
      <c r="F283" s="394" t="s">
        <v>4077</v>
      </c>
      <c r="G283" s="422" t="s">
        <v>17</v>
      </c>
      <c r="H283" s="394" t="s">
        <v>596</v>
      </c>
      <c r="I283" s="497">
        <v>43353.0</v>
      </c>
      <c r="J283" s="422">
        <v>9.0</v>
      </c>
      <c r="K283" s="575" t="s">
        <v>238</v>
      </c>
      <c r="L283" s="394" t="s">
        <v>258</v>
      </c>
      <c r="M283" s="528">
        <f t="shared" si="2"/>
        <v>3015</v>
      </c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ht="12.75" customHeight="1">
      <c r="A284" s="425">
        <v>28318.0</v>
      </c>
      <c r="B284" s="585" t="s">
        <v>3889</v>
      </c>
      <c r="C284" s="585" t="s">
        <v>3889</v>
      </c>
      <c r="D284" s="540" t="s">
        <v>3889</v>
      </c>
      <c r="E284" s="321" t="s">
        <v>3889</v>
      </c>
      <c r="F284" s="581" t="s">
        <v>3889</v>
      </c>
      <c r="G284" s="321" t="s">
        <v>3889</v>
      </c>
      <c r="H284" s="581" t="s">
        <v>3889</v>
      </c>
      <c r="I284" s="540" t="s">
        <v>3889</v>
      </c>
      <c r="J284" s="321" t="s">
        <v>3889</v>
      </c>
      <c r="K284" s="321" t="s">
        <v>3889</v>
      </c>
      <c r="L284" s="581" t="s">
        <v>3889</v>
      </c>
      <c r="M284" s="586" t="s">
        <v>3889</v>
      </c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ht="12.75" customHeight="1">
      <c r="A285" s="419">
        <v>28418.0</v>
      </c>
      <c r="B285" s="420" t="s">
        <v>7439</v>
      </c>
      <c r="C285" s="420">
        <v>2012.0</v>
      </c>
      <c r="D285" s="497">
        <v>40927.0</v>
      </c>
      <c r="E285" s="422" t="s">
        <v>7440</v>
      </c>
      <c r="F285" s="394" t="s">
        <v>4077</v>
      </c>
      <c r="G285" s="422" t="s">
        <v>17</v>
      </c>
      <c r="H285" s="394" t="s">
        <v>56</v>
      </c>
      <c r="I285" s="497">
        <v>43353.0</v>
      </c>
      <c r="J285" s="422">
        <v>9.0</v>
      </c>
      <c r="K285" s="575" t="s">
        <v>238</v>
      </c>
      <c r="L285" s="394" t="s">
        <v>258</v>
      </c>
      <c r="M285" s="528">
        <f t="shared" ref="M285:M452" si="3">I285-D285</f>
        <v>2426</v>
      </c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ht="12.75" customHeight="1">
      <c r="A286" s="425">
        <v>28518.0</v>
      </c>
      <c r="B286" s="426" t="s">
        <v>7441</v>
      </c>
      <c r="C286" s="426">
        <v>2012.0</v>
      </c>
      <c r="D286" s="500">
        <v>41122.0</v>
      </c>
      <c r="E286" s="428" t="s">
        <v>7442</v>
      </c>
      <c r="F286" s="397" t="s">
        <v>4077</v>
      </c>
      <c r="G286" s="428" t="s">
        <v>17</v>
      </c>
      <c r="H286" s="397" t="s">
        <v>7000</v>
      </c>
      <c r="I286" s="500">
        <v>43353.0</v>
      </c>
      <c r="J286" s="428">
        <v>9.0</v>
      </c>
      <c r="K286" s="575" t="s">
        <v>238</v>
      </c>
      <c r="L286" s="397" t="s">
        <v>258</v>
      </c>
      <c r="M286" s="529">
        <f t="shared" si="3"/>
        <v>2231</v>
      </c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ht="12.75" customHeight="1">
      <c r="A287" s="419">
        <v>28618.0</v>
      </c>
      <c r="B287" s="420" t="s">
        <v>7443</v>
      </c>
      <c r="C287" s="420">
        <v>2012.0</v>
      </c>
      <c r="D287" s="497">
        <v>41249.0</v>
      </c>
      <c r="E287" s="422" t="s">
        <v>7444</v>
      </c>
      <c r="F287" s="394" t="s">
        <v>4077</v>
      </c>
      <c r="G287" s="422" t="s">
        <v>17</v>
      </c>
      <c r="H287" s="394" t="s">
        <v>6846</v>
      </c>
      <c r="I287" s="497">
        <v>43353.0</v>
      </c>
      <c r="J287" s="422">
        <v>9.0</v>
      </c>
      <c r="K287" s="575" t="s">
        <v>238</v>
      </c>
      <c r="L287" s="394" t="s">
        <v>258</v>
      </c>
      <c r="M287" s="528">
        <f t="shared" si="3"/>
        <v>2104</v>
      </c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ht="12.75" customHeight="1">
      <c r="A288" s="425">
        <v>28718.0</v>
      </c>
      <c r="B288" s="426" t="s">
        <v>7445</v>
      </c>
      <c r="C288" s="426">
        <v>2014.0</v>
      </c>
      <c r="D288" s="500">
        <v>41670.0</v>
      </c>
      <c r="E288" s="428" t="s">
        <v>7446</v>
      </c>
      <c r="F288" s="397" t="s">
        <v>4077</v>
      </c>
      <c r="G288" s="428" t="s">
        <v>17</v>
      </c>
      <c r="H288" s="397" t="s">
        <v>26</v>
      </c>
      <c r="I288" s="500">
        <v>43353.0</v>
      </c>
      <c r="J288" s="428">
        <v>9.0</v>
      </c>
      <c r="K288" s="575" t="s">
        <v>238</v>
      </c>
      <c r="L288" s="397" t="s">
        <v>258</v>
      </c>
      <c r="M288" s="529">
        <f t="shared" si="3"/>
        <v>1683</v>
      </c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ht="12.75" customHeight="1">
      <c r="A289" s="419">
        <v>28818.0</v>
      </c>
      <c r="B289" s="420" t="s">
        <v>7447</v>
      </c>
      <c r="C289" s="420">
        <v>2016.0</v>
      </c>
      <c r="D289" s="497">
        <v>42383.0</v>
      </c>
      <c r="E289" s="422" t="s">
        <v>7448</v>
      </c>
      <c r="F289" s="394" t="s">
        <v>4077</v>
      </c>
      <c r="G289" s="422" t="s">
        <v>17</v>
      </c>
      <c r="H289" s="394" t="s">
        <v>6826</v>
      </c>
      <c r="I289" s="497">
        <v>43353.0</v>
      </c>
      <c r="J289" s="422">
        <v>9.0</v>
      </c>
      <c r="K289" s="575" t="s">
        <v>238</v>
      </c>
      <c r="L289" s="394" t="s">
        <v>258</v>
      </c>
      <c r="M289" s="528">
        <f t="shared" si="3"/>
        <v>970</v>
      </c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ht="12.75" customHeight="1">
      <c r="A290" s="425">
        <v>28918.0</v>
      </c>
      <c r="B290" s="426" t="s">
        <v>7449</v>
      </c>
      <c r="C290" s="426">
        <v>2011.0</v>
      </c>
      <c r="D290" s="500">
        <v>40582.0</v>
      </c>
      <c r="E290" s="428" t="s">
        <v>7450</v>
      </c>
      <c r="F290" s="397" t="s">
        <v>963</v>
      </c>
      <c r="G290" s="428" t="s">
        <v>552</v>
      </c>
      <c r="H290" s="397" t="s">
        <v>1091</v>
      </c>
      <c r="I290" s="500">
        <v>43355.0</v>
      </c>
      <c r="J290" s="428">
        <v>9.0</v>
      </c>
      <c r="K290" s="577" t="s">
        <v>234</v>
      </c>
      <c r="L290" s="397" t="s">
        <v>258</v>
      </c>
      <c r="M290" s="529">
        <f t="shared" si="3"/>
        <v>2773</v>
      </c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ht="12.75" customHeight="1">
      <c r="A291" s="419">
        <v>29018.0</v>
      </c>
      <c r="B291" s="420" t="s">
        <v>7451</v>
      </c>
      <c r="C291" s="420">
        <v>2017.0</v>
      </c>
      <c r="D291" s="497">
        <v>43087.0</v>
      </c>
      <c r="E291" s="422" t="s">
        <v>7452</v>
      </c>
      <c r="F291" s="503" t="s">
        <v>2614</v>
      </c>
      <c r="G291" s="422" t="s">
        <v>569</v>
      </c>
      <c r="H291" s="394" t="s">
        <v>2550</v>
      </c>
      <c r="I291" s="497">
        <v>43355.0</v>
      </c>
      <c r="J291" s="422">
        <v>9.0</v>
      </c>
      <c r="K291" s="582" t="s">
        <v>244</v>
      </c>
      <c r="L291" s="394" t="s">
        <v>260</v>
      </c>
      <c r="M291" s="528">
        <f t="shared" si="3"/>
        <v>268</v>
      </c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ht="12.75" customHeight="1">
      <c r="A292" s="425">
        <v>29118.0</v>
      </c>
      <c r="B292" s="426" t="s">
        <v>7453</v>
      </c>
      <c r="C292" s="426">
        <v>2018.0</v>
      </c>
      <c r="D292" s="500">
        <v>43182.0</v>
      </c>
      <c r="E292" s="428" t="s">
        <v>7454</v>
      </c>
      <c r="F292" s="505" t="s">
        <v>2383</v>
      </c>
      <c r="G292" s="428" t="s">
        <v>569</v>
      </c>
      <c r="H292" s="397" t="s">
        <v>1880</v>
      </c>
      <c r="I292" s="500">
        <v>43355.0</v>
      </c>
      <c r="J292" s="428">
        <v>9.0</v>
      </c>
      <c r="K292" s="582" t="s">
        <v>6917</v>
      </c>
      <c r="L292" s="397" t="s">
        <v>260</v>
      </c>
      <c r="M292" s="529">
        <f t="shared" si="3"/>
        <v>173</v>
      </c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ht="12.75" customHeight="1">
      <c r="A293" s="419">
        <v>29218.0</v>
      </c>
      <c r="B293" s="420" t="s">
        <v>7455</v>
      </c>
      <c r="C293" s="420">
        <v>2016.0</v>
      </c>
      <c r="D293" s="497">
        <v>42509.0</v>
      </c>
      <c r="E293" s="422" t="s">
        <v>7456</v>
      </c>
      <c r="F293" s="394" t="s">
        <v>963</v>
      </c>
      <c r="G293" s="422" t="s">
        <v>17</v>
      </c>
      <c r="H293" s="394" t="s">
        <v>1588</v>
      </c>
      <c r="I293" s="497">
        <v>43356.0</v>
      </c>
      <c r="J293" s="422">
        <v>9.0</v>
      </c>
      <c r="K293" s="576" t="s">
        <v>228</v>
      </c>
      <c r="L293" s="394" t="s">
        <v>258</v>
      </c>
      <c r="M293" s="528">
        <f t="shared" si="3"/>
        <v>847</v>
      </c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ht="12.75" customHeight="1">
      <c r="A294" s="425">
        <v>29318.0</v>
      </c>
      <c r="B294" s="426" t="s">
        <v>7457</v>
      </c>
      <c r="C294" s="426">
        <v>2018.0</v>
      </c>
      <c r="D294" s="500">
        <v>43201.0</v>
      </c>
      <c r="E294" s="428" t="s">
        <v>7458</v>
      </c>
      <c r="F294" s="397" t="s">
        <v>1255</v>
      </c>
      <c r="G294" s="428" t="s">
        <v>17</v>
      </c>
      <c r="H294" s="397" t="s">
        <v>50</v>
      </c>
      <c r="I294" s="500">
        <v>43325.0</v>
      </c>
      <c r="J294" s="428">
        <v>9.0</v>
      </c>
      <c r="K294" s="575" t="s">
        <v>238</v>
      </c>
      <c r="L294" s="397" t="s">
        <v>256</v>
      </c>
      <c r="M294" s="529">
        <f t="shared" si="3"/>
        <v>124</v>
      </c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ht="12.75" customHeight="1">
      <c r="A295" s="419">
        <v>29418.0</v>
      </c>
      <c r="B295" s="420" t="s">
        <v>7459</v>
      </c>
      <c r="C295" s="420">
        <v>2018.0</v>
      </c>
      <c r="D295" s="497">
        <v>43207.0</v>
      </c>
      <c r="E295" s="422" t="s">
        <v>7460</v>
      </c>
      <c r="F295" s="503" t="s">
        <v>2383</v>
      </c>
      <c r="G295" s="422" t="s">
        <v>569</v>
      </c>
      <c r="H295" s="394" t="s">
        <v>1850</v>
      </c>
      <c r="I295" s="497">
        <v>43356.0</v>
      </c>
      <c r="J295" s="422">
        <v>9.0</v>
      </c>
      <c r="K295" s="582" t="s">
        <v>6917</v>
      </c>
      <c r="L295" s="394" t="s">
        <v>260</v>
      </c>
      <c r="M295" s="528">
        <f t="shared" si="3"/>
        <v>149</v>
      </c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ht="12.75" customHeight="1">
      <c r="A296" s="425">
        <v>29518.0</v>
      </c>
      <c r="B296" s="426" t="s">
        <v>7461</v>
      </c>
      <c r="C296" s="426">
        <v>2011.0</v>
      </c>
      <c r="D296" s="500">
        <v>40765.0</v>
      </c>
      <c r="E296" s="428" t="s">
        <v>7462</v>
      </c>
      <c r="F296" s="397" t="s">
        <v>563</v>
      </c>
      <c r="G296" s="428" t="s">
        <v>552</v>
      </c>
      <c r="H296" s="397" t="s">
        <v>6826</v>
      </c>
      <c r="I296" s="500">
        <v>43356.0</v>
      </c>
      <c r="J296" s="428">
        <v>9.0</v>
      </c>
      <c r="K296" s="577" t="s">
        <v>234</v>
      </c>
      <c r="L296" s="397" t="s">
        <v>256</v>
      </c>
      <c r="M296" s="529">
        <f t="shared" si="3"/>
        <v>2591</v>
      </c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ht="12.75" customHeight="1">
      <c r="A297" s="419">
        <v>29618.0</v>
      </c>
      <c r="B297" s="420" t="s">
        <v>7463</v>
      </c>
      <c r="C297" s="420">
        <v>2018.0</v>
      </c>
      <c r="D297" s="497">
        <v>43216.0</v>
      </c>
      <c r="E297" s="422" t="s">
        <v>7464</v>
      </c>
      <c r="F297" s="394" t="s">
        <v>711</v>
      </c>
      <c r="G297" s="422" t="s">
        <v>17</v>
      </c>
      <c r="H297" s="394" t="s">
        <v>50</v>
      </c>
      <c r="I297" s="497">
        <v>43356.0</v>
      </c>
      <c r="J297" s="422">
        <v>9.0</v>
      </c>
      <c r="K297" s="575" t="s">
        <v>238</v>
      </c>
      <c r="L297" s="394" t="s">
        <v>256</v>
      </c>
      <c r="M297" s="528">
        <f t="shared" si="3"/>
        <v>140</v>
      </c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ht="12.75" customHeight="1">
      <c r="A298" s="425">
        <v>29718.0</v>
      </c>
      <c r="B298" s="426" t="s">
        <v>7465</v>
      </c>
      <c r="C298" s="426">
        <v>2017.0</v>
      </c>
      <c r="D298" s="500">
        <v>42941.0</v>
      </c>
      <c r="E298" s="428" t="s">
        <v>7466</v>
      </c>
      <c r="F298" s="397" t="s">
        <v>739</v>
      </c>
      <c r="G298" s="428" t="s">
        <v>17</v>
      </c>
      <c r="H298" s="397" t="s">
        <v>6809</v>
      </c>
      <c r="I298" s="500">
        <v>43357.0</v>
      </c>
      <c r="J298" s="428">
        <v>9.0</v>
      </c>
      <c r="K298" s="577" t="s">
        <v>234</v>
      </c>
      <c r="L298" s="397" t="s">
        <v>258</v>
      </c>
      <c r="M298" s="529">
        <f t="shared" si="3"/>
        <v>416</v>
      </c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ht="12.75" customHeight="1">
      <c r="A299" s="419">
        <v>29818.0</v>
      </c>
      <c r="B299" s="420" t="s">
        <v>7467</v>
      </c>
      <c r="C299" s="420">
        <v>2013.0</v>
      </c>
      <c r="D299" s="497">
        <v>41480.0</v>
      </c>
      <c r="E299" s="422" t="s">
        <v>7468</v>
      </c>
      <c r="F299" s="394" t="s">
        <v>1762</v>
      </c>
      <c r="G299" s="422" t="s">
        <v>17</v>
      </c>
      <c r="H299" s="394" t="s">
        <v>97</v>
      </c>
      <c r="I299" s="497">
        <v>43357.0</v>
      </c>
      <c r="J299" s="422">
        <v>9.0</v>
      </c>
      <c r="K299" s="575" t="s">
        <v>238</v>
      </c>
      <c r="L299" s="394" t="s">
        <v>256</v>
      </c>
      <c r="M299" s="528">
        <f t="shared" si="3"/>
        <v>1877</v>
      </c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ht="12.75" customHeight="1">
      <c r="A300" s="425">
        <v>29918.0</v>
      </c>
      <c r="B300" s="426" t="s">
        <v>7469</v>
      </c>
      <c r="C300" s="426">
        <v>2013.0</v>
      </c>
      <c r="D300" s="500">
        <v>41508.0</v>
      </c>
      <c r="E300" s="428" t="s">
        <v>7470</v>
      </c>
      <c r="F300" s="397" t="s">
        <v>1762</v>
      </c>
      <c r="G300" s="428" t="s">
        <v>17</v>
      </c>
      <c r="H300" s="397" t="s">
        <v>596</v>
      </c>
      <c r="I300" s="500">
        <v>43357.0</v>
      </c>
      <c r="J300" s="428">
        <v>9.0</v>
      </c>
      <c r="K300" s="575" t="s">
        <v>238</v>
      </c>
      <c r="L300" s="397" t="s">
        <v>256</v>
      </c>
      <c r="M300" s="529">
        <f t="shared" si="3"/>
        <v>1849</v>
      </c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ht="12.75" customHeight="1">
      <c r="A301" s="419">
        <v>30018.0</v>
      </c>
      <c r="B301" s="420" t="s">
        <v>7471</v>
      </c>
      <c r="C301" s="420">
        <v>2010.0</v>
      </c>
      <c r="D301" s="497">
        <v>40494.0</v>
      </c>
      <c r="E301" s="422" t="s">
        <v>7472</v>
      </c>
      <c r="F301" s="394" t="s">
        <v>595</v>
      </c>
      <c r="G301" s="422" t="s">
        <v>17</v>
      </c>
      <c r="H301" s="394" t="s">
        <v>6826</v>
      </c>
      <c r="I301" s="497">
        <v>43357.0</v>
      </c>
      <c r="J301" s="422">
        <v>9.0</v>
      </c>
      <c r="K301" s="576" t="s">
        <v>228</v>
      </c>
      <c r="L301" s="394" t="s">
        <v>258</v>
      </c>
      <c r="M301" s="528">
        <f t="shared" si="3"/>
        <v>2863</v>
      </c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ht="12.75" customHeight="1">
      <c r="A302" s="425">
        <v>30118.0</v>
      </c>
      <c r="B302" s="426" t="s">
        <v>7473</v>
      </c>
      <c r="C302" s="426">
        <v>2014.0</v>
      </c>
      <c r="D302" s="500">
        <v>41971.0</v>
      </c>
      <c r="E302" s="428" t="s">
        <v>7474</v>
      </c>
      <c r="F302" s="397" t="s">
        <v>2667</v>
      </c>
      <c r="G302" s="428" t="s">
        <v>17</v>
      </c>
      <c r="H302" s="397" t="s">
        <v>596</v>
      </c>
      <c r="I302" s="500">
        <v>43357.0</v>
      </c>
      <c r="J302" s="428">
        <v>9.0</v>
      </c>
      <c r="K302" s="576" t="s">
        <v>228</v>
      </c>
      <c r="L302" s="397" t="s">
        <v>258</v>
      </c>
      <c r="M302" s="529">
        <f t="shared" si="3"/>
        <v>1386</v>
      </c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ht="12.75" customHeight="1">
      <c r="A303" s="419">
        <v>30218.0</v>
      </c>
      <c r="B303" s="420" t="s">
        <v>7475</v>
      </c>
      <c r="C303" s="420">
        <v>2014.0</v>
      </c>
      <c r="D303" s="497">
        <v>41893.0</v>
      </c>
      <c r="E303" s="422" t="s">
        <v>7476</v>
      </c>
      <c r="F303" s="394" t="s">
        <v>2667</v>
      </c>
      <c r="G303" s="422" t="s">
        <v>17</v>
      </c>
      <c r="H303" s="394" t="s">
        <v>26</v>
      </c>
      <c r="I303" s="497">
        <v>43357.0</v>
      </c>
      <c r="J303" s="422">
        <v>9.0</v>
      </c>
      <c r="K303" s="576" t="s">
        <v>228</v>
      </c>
      <c r="L303" s="394" t="s">
        <v>258</v>
      </c>
      <c r="M303" s="528">
        <f t="shared" si="3"/>
        <v>1464</v>
      </c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ht="12.75" customHeight="1">
      <c r="A304" s="425">
        <v>30318.0</v>
      </c>
      <c r="B304" s="426" t="s">
        <v>7477</v>
      </c>
      <c r="C304" s="426">
        <v>2011.0</v>
      </c>
      <c r="D304" s="500">
        <v>40903.0</v>
      </c>
      <c r="E304" s="428" t="s">
        <v>7478</v>
      </c>
      <c r="F304" s="397" t="s">
        <v>711</v>
      </c>
      <c r="G304" s="428" t="s">
        <v>552</v>
      </c>
      <c r="H304" s="397" t="s">
        <v>596</v>
      </c>
      <c r="I304" s="500">
        <v>43360.0</v>
      </c>
      <c r="J304" s="428">
        <v>9.0</v>
      </c>
      <c r="K304" s="575" t="s">
        <v>238</v>
      </c>
      <c r="L304" s="397" t="s">
        <v>256</v>
      </c>
      <c r="M304" s="529">
        <f t="shared" si="3"/>
        <v>2457</v>
      </c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ht="12.75" customHeight="1">
      <c r="A305" s="419">
        <v>30418.0</v>
      </c>
      <c r="B305" s="420" t="s">
        <v>7479</v>
      </c>
      <c r="C305" s="420">
        <v>2015.0</v>
      </c>
      <c r="D305" s="497">
        <v>42132.0</v>
      </c>
      <c r="E305" s="422" t="s">
        <v>7480</v>
      </c>
      <c r="F305" s="394" t="s">
        <v>7481</v>
      </c>
      <c r="G305" s="422" t="s">
        <v>650</v>
      </c>
      <c r="H305" s="394" t="s">
        <v>4380</v>
      </c>
      <c r="I305" s="497">
        <v>43360.0</v>
      </c>
      <c r="J305" s="422">
        <v>9.0</v>
      </c>
      <c r="K305" s="575" t="s">
        <v>238</v>
      </c>
      <c r="L305" s="394" t="s">
        <v>256</v>
      </c>
      <c r="M305" s="528">
        <f t="shared" si="3"/>
        <v>1228</v>
      </c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ht="12.75" customHeight="1">
      <c r="A306" s="425">
        <v>30518.0</v>
      </c>
      <c r="B306" s="426" t="s">
        <v>7482</v>
      </c>
      <c r="C306" s="426">
        <v>2015.0</v>
      </c>
      <c r="D306" s="500">
        <v>42338.0</v>
      </c>
      <c r="E306" s="428" t="s">
        <v>7483</v>
      </c>
      <c r="F306" s="505" t="s">
        <v>3544</v>
      </c>
      <c r="G306" s="428" t="s">
        <v>565</v>
      </c>
      <c r="H306" s="397" t="s">
        <v>6239</v>
      </c>
      <c r="I306" s="500">
        <v>43360.0</v>
      </c>
      <c r="J306" s="428">
        <v>9.0</v>
      </c>
      <c r="K306" s="582" t="s">
        <v>244</v>
      </c>
      <c r="L306" s="397" t="s">
        <v>260</v>
      </c>
      <c r="M306" s="529">
        <f t="shared" si="3"/>
        <v>1022</v>
      </c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ht="12.75" customHeight="1">
      <c r="A307" s="419">
        <v>30618.0</v>
      </c>
      <c r="B307" s="420" t="s">
        <v>7484</v>
      </c>
      <c r="C307" s="420">
        <v>2018.0</v>
      </c>
      <c r="D307" s="497">
        <v>43182.0</v>
      </c>
      <c r="E307" s="422" t="s">
        <v>7485</v>
      </c>
      <c r="F307" s="503" t="s">
        <v>2343</v>
      </c>
      <c r="G307" s="422" t="s">
        <v>569</v>
      </c>
      <c r="H307" s="394" t="s">
        <v>7486</v>
      </c>
      <c r="I307" s="497">
        <v>43360.0</v>
      </c>
      <c r="J307" s="422">
        <v>9.0</v>
      </c>
      <c r="K307" s="582" t="s">
        <v>244</v>
      </c>
      <c r="L307" s="394" t="s">
        <v>260</v>
      </c>
      <c r="M307" s="528">
        <f t="shared" si="3"/>
        <v>178</v>
      </c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ht="12.75" customHeight="1">
      <c r="A308" s="425">
        <v>30718.0</v>
      </c>
      <c r="B308" s="426" t="s">
        <v>7487</v>
      </c>
      <c r="C308" s="426">
        <v>2017.0</v>
      </c>
      <c r="D308" s="500">
        <v>42968.0</v>
      </c>
      <c r="E308" s="428" t="s">
        <v>7488</v>
      </c>
      <c r="F308" s="397" t="s">
        <v>4355</v>
      </c>
      <c r="G308" s="428" t="s">
        <v>552</v>
      </c>
      <c r="H308" s="397" t="s">
        <v>66</v>
      </c>
      <c r="I308" s="500">
        <v>43361.0</v>
      </c>
      <c r="J308" s="428">
        <v>9.0</v>
      </c>
      <c r="K308" s="575" t="s">
        <v>238</v>
      </c>
      <c r="L308" s="397" t="s">
        <v>256</v>
      </c>
      <c r="M308" s="529">
        <f t="shared" si="3"/>
        <v>393</v>
      </c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ht="12.75" customHeight="1">
      <c r="A309" s="419">
        <v>30818.0</v>
      </c>
      <c r="B309" s="420" t="s">
        <v>7489</v>
      </c>
      <c r="C309" s="420">
        <v>2014.0</v>
      </c>
      <c r="D309" s="497">
        <v>41915.0</v>
      </c>
      <c r="E309" s="422" t="s">
        <v>7490</v>
      </c>
      <c r="F309" s="394" t="s">
        <v>963</v>
      </c>
      <c r="G309" s="422" t="s">
        <v>17</v>
      </c>
      <c r="H309" s="394" t="s">
        <v>56</v>
      </c>
      <c r="I309" s="497">
        <v>43331.0</v>
      </c>
      <c r="J309" s="422">
        <v>9.0</v>
      </c>
      <c r="K309" s="576" t="s">
        <v>228</v>
      </c>
      <c r="L309" s="394" t="s">
        <v>258</v>
      </c>
      <c r="M309" s="528">
        <f t="shared" si="3"/>
        <v>1416</v>
      </c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ht="12.75" customHeight="1">
      <c r="A310" s="425">
        <v>30918.0</v>
      </c>
      <c r="B310" s="426" t="s">
        <v>7491</v>
      </c>
      <c r="C310" s="426">
        <v>2017.0</v>
      </c>
      <c r="D310" s="500">
        <v>42958.0</v>
      </c>
      <c r="E310" s="428" t="s">
        <v>7492</v>
      </c>
      <c r="F310" s="505" t="s">
        <v>3647</v>
      </c>
      <c r="G310" s="428" t="s">
        <v>565</v>
      </c>
      <c r="H310" s="397" t="s">
        <v>7077</v>
      </c>
      <c r="I310" s="500">
        <v>43363.0</v>
      </c>
      <c r="J310" s="428">
        <v>9.0</v>
      </c>
      <c r="K310" s="575" t="s">
        <v>238</v>
      </c>
      <c r="L310" s="397" t="s">
        <v>260</v>
      </c>
      <c r="M310" s="529">
        <f t="shared" si="3"/>
        <v>405</v>
      </c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ht="12.75" customHeight="1">
      <c r="A311" s="419">
        <v>31018.0</v>
      </c>
      <c r="B311" s="420" t="s">
        <v>7493</v>
      </c>
      <c r="C311" s="420">
        <v>2013.0</v>
      </c>
      <c r="D311" s="497">
        <v>41562.0</v>
      </c>
      <c r="E311" s="422" t="s">
        <v>7494</v>
      </c>
      <c r="F311" s="394" t="s">
        <v>1401</v>
      </c>
      <c r="G311" s="422" t="s">
        <v>552</v>
      </c>
      <c r="H311" s="394" t="s">
        <v>583</v>
      </c>
      <c r="I311" s="497">
        <v>43363.0</v>
      </c>
      <c r="J311" s="422">
        <v>9.0</v>
      </c>
      <c r="K311" s="575" t="s">
        <v>238</v>
      </c>
      <c r="L311" s="394" t="s">
        <v>258</v>
      </c>
      <c r="M311" s="528">
        <f t="shared" si="3"/>
        <v>1801</v>
      </c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ht="12.75" customHeight="1">
      <c r="A312" s="425">
        <v>31118.0</v>
      </c>
      <c r="B312" s="426" t="s">
        <v>7495</v>
      </c>
      <c r="C312" s="426">
        <v>2014.0</v>
      </c>
      <c r="D312" s="500">
        <v>41817.0</v>
      </c>
      <c r="E312" s="428" t="s">
        <v>7496</v>
      </c>
      <c r="F312" s="397" t="s">
        <v>963</v>
      </c>
      <c r="G312" s="428" t="s">
        <v>17</v>
      </c>
      <c r="H312" s="397" t="s">
        <v>1501</v>
      </c>
      <c r="I312" s="500">
        <v>43333.0</v>
      </c>
      <c r="J312" s="428">
        <v>9.0</v>
      </c>
      <c r="K312" s="576" t="s">
        <v>228</v>
      </c>
      <c r="L312" s="397" t="s">
        <v>258</v>
      </c>
      <c r="M312" s="529">
        <f t="shared" si="3"/>
        <v>1516</v>
      </c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ht="12.75" customHeight="1">
      <c r="A313" s="419">
        <v>31218.0</v>
      </c>
      <c r="B313" s="420" t="s">
        <v>7497</v>
      </c>
      <c r="C313" s="420">
        <v>2018.0</v>
      </c>
      <c r="D313" s="497">
        <v>43185.0</v>
      </c>
      <c r="E313" s="422" t="s">
        <v>7498</v>
      </c>
      <c r="F313" s="394" t="s">
        <v>1823</v>
      </c>
      <c r="G313" s="422" t="s">
        <v>17</v>
      </c>
      <c r="H313" s="394" t="s">
        <v>26</v>
      </c>
      <c r="I313" s="497">
        <v>43368.0</v>
      </c>
      <c r="J313" s="422">
        <v>9.0</v>
      </c>
      <c r="K313" s="576" t="s">
        <v>228</v>
      </c>
      <c r="L313" s="394" t="s">
        <v>256</v>
      </c>
      <c r="M313" s="528">
        <f t="shared" si="3"/>
        <v>183</v>
      </c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ht="12.75" customHeight="1">
      <c r="A314" s="425">
        <v>31318.0</v>
      </c>
      <c r="B314" s="426" t="s">
        <v>7499</v>
      </c>
      <c r="C314" s="426">
        <v>2013.0</v>
      </c>
      <c r="D314" s="500">
        <v>41499.0</v>
      </c>
      <c r="E314" s="428" t="s">
        <v>7500</v>
      </c>
      <c r="F314" s="397" t="s">
        <v>563</v>
      </c>
      <c r="G314" s="428" t="s">
        <v>17</v>
      </c>
      <c r="H314" s="397" t="s">
        <v>934</v>
      </c>
      <c r="I314" s="500">
        <v>43368.0</v>
      </c>
      <c r="J314" s="428">
        <v>9.0</v>
      </c>
      <c r="K314" s="577" t="s">
        <v>234</v>
      </c>
      <c r="L314" s="397" t="s">
        <v>256</v>
      </c>
      <c r="M314" s="529">
        <f t="shared" si="3"/>
        <v>1869</v>
      </c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ht="12.75" customHeight="1">
      <c r="A315" s="419">
        <v>31418.0</v>
      </c>
      <c r="B315" s="420" t="s">
        <v>7501</v>
      </c>
      <c r="C315" s="420">
        <v>2012.0</v>
      </c>
      <c r="D315" s="497">
        <v>41260.0</v>
      </c>
      <c r="E315" s="422" t="s">
        <v>7502</v>
      </c>
      <c r="F315" s="394" t="s">
        <v>563</v>
      </c>
      <c r="G315" s="422" t="s">
        <v>17</v>
      </c>
      <c r="H315" s="394" t="s">
        <v>7371</v>
      </c>
      <c r="I315" s="497">
        <v>43337.0</v>
      </c>
      <c r="J315" s="422">
        <v>9.0</v>
      </c>
      <c r="K315" s="577" t="s">
        <v>234</v>
      </c>
      <c r="L315" s="394" t="s">
        <v>256</v>
      </c>
      <c r="M315" s="528">
        <f t="shared" si="3"/>
        <v>2077</v>
      </c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ht="12.75" customHeight="1">
      <c r="A316" s="425">
        <v>31518.0</v>
      </c>
      <c r="B316" s="426" t="s">
        <v>7503</v>
      </c>
      <c r="C316" s="426">
        <v>2013.0</v>
      </c>
      <c r="D316" s="500">
        <v>41325.0</v>
      </c>
      <c r="E316" s="428" t="s">
        <v>7504</v>
      </c>
      <c r="F316" s="397" t="s">
        <v>7179</v>
      </c>
      <c r="G316" s="428" t="s">
        <v>552</v>
      </c>
      <c r="H316" s="397" t="s">
        <v>6860</v>
      </c>
      <c r="I316" s="500">
        <v>43376.0</v>
      </c>
      <c r="J316" s="428">
        <v>9.0</v>
      </c>
      <c r="K316" s="576" t="s">
        <v>228</v>
      </c>
      <c r="L316" s="397" t="s">
        <v>258</v>
      </c>
      <c r="M316" s="529">
        <f t="shared" si="3"/>
        <v>2051</v>
      </c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ht="12.75" customHeight="1">
      <c r="A317" s="419">
        <v>31618.0</v>
      </c>
      <c r="B317" s="420" t="s">
        <v>7505</v>
      </c>
      <c r="C317" s="420">
        <v>2011.0</v>
      </c>
      <c r="D317" s="497">
        <v>40903.0</v>
      </c>
      <c r="E317" s="422" t="s">
        <v>7506</v>
      </c>
      <c r="F317" s="394" t="s">
        <v>1150</v>
      </c>
      <c r="G317" s="422" t="s">
        <v>552</v>
      </c>
      <c r="H317" s="394" t="s">
        <v>929</v>
      </c>
      <c r="I317" s="497">
        <v>43377.0</v>
      </c>
      <c r="J317" s="422">
        <v>9.0</v>
      </c>
      <c r="K317" s="576" t="s">
        <v>228</v>
      </c>
      <c r="L317" s="394" t="s">
        <v>256</v>
      </c>
      <c r="M317" s="528">
        <f t="shared" si="3"/>
        <v>2474</v>
      </c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ht="12.75" customHeight="1">
      <c r="A318" s="425">
        <v>31718.0</v>
      </c>
      <c r="B318" s="426" t="s">
        <v>7507</v>
      </c>
      <c r="C318" s="426">
        <v>2015.0</v>
      </c>
      <c r="D318" s="500">
        <v>42342.0</v>
      </c>
      <c r="E318" s="428" t="s">
        <v>7508</v>
      </c>
      <c r="F318" s="397" t="s">
        <v>7509</v>
      </c>
      <c r="G318" s="428" t="s">
        <v>650</v>
      </c>
      <c r="H318" s="397" t="s">
        <v>4380</v>
      </c>
      <c r="I318" s="500">
        <v>43377.0</v>
      </c>
      <c r="J318" s="428">
        <v>9.0</v>
      </c>
      <c r="K318" s="576" t="s">
        <v>228</v>
      </c>
      <c r="L318" s="397" t="s">
        <v>258</v>
      </c>
      <c r="M318" s="529">
        <f t="shared" si="3"/>
        <v>1035</v>
      </c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ht="12.75" customHeight="1">
      <c r="A319" s="419">
        <v>31818.0</v>
      </c>
      <c r="B319" s="420" t="s">
        <v>7510</v>
      </c>
      <c r="C319" s="420">
        <v>2011.0</v>
      </c>
      <c r="D319" s="497">
        <v>40808.0</v>
      </c>
      <c r="E319" s="422" t="s">
        <v>7511</v>
      </c>
      <c r="F319" s="394" t="s">
        <v>1108</v>
      </c>
      <c r="G319" s="422" t="s">
        <v>552</v>
      </c>
      <c r="H319" s="394" t="s">
        <v>4141</v>
      </c>
      <c r="I319" s="497">
        <v>43377.0</v>
      </c>
      <c r="J319" s="422">
        <v>9.0</v>
      </c>
      <c r="K319" s="575" t="s">
        <v>238</v>
      </c>
      <c r="L319" s="394" t="s">
        <v>256</v>
      </c>
      <c r="M319" s="528">
        <f t="shared" si="3"/>
        <v>2569</v>
      </c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ht="12.75" customHeight="1">
      <c r="A320" s="425">
        <v>31918.0</v>
      </c>
      <c r="B320" s="426" t="s">
        <v>7512</v>
      </c>
      <c r="C320" s="426">
        <v>2011.0</v>
      </c>
      <c r="D320" s="500">
        <v>40626.0</v>
      </c>
      <c r="E320" s="428" t="s">
        <v>7513</v>
      </c>
      <c r="F320" s="397" t="s">
        <v>7179</v>
      </c>
      <c r="G320" s="428" t="s">
        <v>552</v>
      </c>
      <c r="H320" s="397" t="s">
        <v>596</v>
      </c>
      <c r="I320" s="500">
        <v>43378.0</v>
      </c>
      <c r="J320" s="428">
        <v>10.0</v>
      </c>
      <c r="K320" s="576" t="s">
        <v>228</v>
      </c>
      <c r="L320" s="397" t="s">
        <v>258</v>
      </c>
      <c r="M320" s="529">
        <f t="shared" si="3"/>
        <v>2752</v>
      </c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ht="12.75" customHeight="1">
      <c r="A321" s="419">
        <v>32018.0</v>
      </c>
      <c r="B321" s="420" t="s">
        <v>7514</v>
      </c>
      <c r="C321" s="420">
        <v>2010.0</v>
      </c>
      <c r="D321" s="497">
        <v>40353.0</v>
      </c>
      <c r="E321" s="422" t="s">
        <v>7515</v>
      </c>
      <c r="F321" s="394" t="s">
        <v>7516</v>
      </c>
      <c r="G321" s="422" t="s">
        <v>552</v>
      </c>
      <c r="H321" s="394" t="s">
        <v>1907</v>
      </c>
      <c r="I321" s="497">
        <v>43381.0</v>
      </c>
      <c r="J321" s="422">
        <v>10.0</v>
      </c>
      <c r="K321" s="576" t="s">
        <v>228</v>
      </c>
      <c r="L321" s="394" t="s">
        <v>258</v>
      </c>
      <c r="M321" s="528">
        <f t="shared" si="3"/>
        <v>3028</v>
      </c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ht="12.75" customHeight="1">
      <c r="A322" s="425">
        <v>32118.0</v>
      </c>
      <c r="B322" s="426" t="s">
        <v>7517</v>
      </c>
      <c r="C322" s="426">
        <v>2010.0</v>
      </c>
      <c r="D322" s="500">
        <v>40402.0</v>
      </c>
      <c r="E322" s="428" t="s">
        <v>7518</v>
      </c>
      <c r="F322" s="397" t="s">
        <v>785</v>
      </c>
      <c r="G322" s="428" t="s">
        <v>552</v>
      </c>
      <c r="H322" s="397" t="s">
        <v>2444</v>
      </c>
      <c r="I322" s="500">
        <v>43381.0</v>
      </c>
      <c r="J322" s="428">
        <v>10.0</v>
      </c>
      <c r="K322" s="576" t="s">
        <v>228</v>
      </c>
      <c r="L322" s="397" t="s">
        <v>256</v>
      </c>
      <c r="M322" s="529">
        <f t="shared" si="3"/>
        <v>2979</v>
      </c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ht="12.75" customHeight="1">
      <c r="A323" s="419">
        <v>32218.0</v>
      </c>
      <c r="B323" s="420" t="s">
        <v>7519</v>
      </c>
      <c r="C323" s="420">
        <v>2010.0</v>
      </c>
      <c r="D323" s="497">
        <v>40455.0</v>
      </c>
      <c r="E323" s="422" t="s">
        <v>7520</v>
      </c>
      <c r="F323" s="394" t="s">
        <v>7521</v>
      </c>
      <c r="G323" s="422" t="s">
        <v>552</v>
      </c>
      <c r="H323" s="394" t="s">
        <v>1907</v>
      </c>
      <c r="I323" s="497">
        <v>43382.0</v>
      </c>
      <c r="J323" s="422">
        <v>10.0</v>
      </c>
      <c r="K323" s="576" t="s">
        <v>228</v>
      </c>
      <c r="L323" s="394" t="s">
        <v>256</v>
      </c>
      <c r="M323" s="528">
        <f t="shared" si="3"/>
        <v>2927</v>
      </c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ht="12.75" customHeight="1">
      <c r="A324" s="425">
        <v>32318.0</v>
      </c>
      <c r="B324" s="426" t="s">
        <v>7522</v>
      </c>
      <c r="C324" s="426">
        <v>2017.0</v>
      </c>
      <c r="D324" s="500">
        <v>42942.0</v>
      </c>
      <c r="E324" s="428" t="s">
        <v>7428</v>
      </c>
      <c r="F324" s="397" t="s">
        <v>6920</v>
      </c>
      <c r="G324" s="428" t="s">
        <v>552</v>
      </c>
      <c r="H324" s="397" t="s">
        <v>6809</v>
      </c>
      <c r="I324" s="500">
        <v>43382.0</v>
      </c>
      <c r="J324" s="428">
        <v>10.0</v>
      </c>
      <c r="K324" s="576" t="s">
        <v>228</v>
      </c>
      <c r="L324" s="397" t="s">
        <v>256</v>
      </c>
      <c r="M324" s="529">
        <f t="shared" si="3"/>
        <v>440</v>
      </c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ht="12.75" customHeight="1">
      <c r="A325" s="419">
        <v>32418.0</v>
      </c>
      <c r="B325" s="420" t="s">
        <v>7523</v>
      </c>
      <c r="C325" s="420">
        <v>2012.0</v>
      </c>
      <c r="D325" s="497">
        <v>41269.0</v>
      </c>
      <c r="E325" s="422" t="s">
        <v>7524</v>
      </c>
      <c r="F325" s="394" t="s">
        <v>963</v>
      </c>
      <c r="G325" s="422" t="s">
        <v>552</v>
      </c>
      <c r="H325" s="394" t="s">
        <v>7525</v>
      </c>
      <c r="I325" s="497">
        <v>43388.0</v>
      </c>
      <c r="J325" s="422">
        <v>10.0</v>
      </c>
      <c r="K325" s="575" t="s">
        <v>238</v>
      </c>
      <c r="L325" s="394" t="s">
        <v>258</v>
      </c>
      <c r="M325" s="528">
        <f t="shared" si="3"/>
        <v>2119</v>
      </c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ht="12.75" customHeight="1">
      <c r="A326" s="425">
        <v>32518.0</v>
      </c>
      <c r="B326" s="426" t="s">
        <v>7526</v>
      </c>
      <c r="C326" s="426">
        <v>2016.0</v>
      </c>
      <c r="D326" s="500">
        <v>42600.0</v>
      </c>
      <c r="E326" s="428" t="s">
        <v>7527</v>
      </c>
      <c r="F326" s="397" t="s">
        <v>7528</v>
      </c>
      <c r="G326" s="428" t="s">
        <v>552</v>
      </c>
      <c r="H326" s="397" t="s">
        <v>6826</v>
      </c>
      <c r="I326" s="500">
        <v>43390.0</v>
      </c>
      <c r="J326" s="428">
        <v>10.0</v>
      </c>
      <c r="K326" s="576" t="s">
        <v>228</v>
      </c>
      <c r="L326" s="397" t="s">
        <v>254</v>
      </c>
      <c r="M326" s="529">
        <f t="shared" si="3"/>
        <v>790</v>
      </c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ht="12.75" customHeight="1">
      <c r="A327" s="419">
        <v>32618.0</v>
      </c>
      <c r="B327" s="420" t="s">
        <v>7529</v>
      </c>
      <c r="C327" s="420">
        <v>2017.0</v>
      </c>
      <c r="D327" s="497">
        <v>43007.0</v>
      </c>
      <c r="E327" s="422" t="s">
        <v>7530</v>
      </c>
      <c r="F327" s="394" t="s">
        <v>1823</v>
      </c>
      <c r="G327" s="422" t="s">
        <v>17</v>
      </c>
      <c r="H327" s="394" t="s">
        <v>6809</v>
      </c>
      <c r="I327" s="497">
        <v>43391.0</v>
      </c>
      <c r="J327" s="422">
        <v>10.0</v>
      </c>
      <c r="K327" s="576" t="s">
        <v>228</v>
      </c>
      <c r="L327" s="394" t="s">
        <v>256</v>
      </c>
      <c r="M327" s="528">
        <f t="shared" si="3"/>
        <v>384</v>
      </c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ht="12.75" customHeight="1">
      <c r="A328" s="425">
        <v>32718.0</v>
      </c>
      <c r="B328" s="426" t="s">
        <v>7531</v>
      </c>
      <c r="C328" s="426">
        <v>2011.0</v>
      </c>
      <c r="D328" s="500">
        <v>40669.0</v>
      </c>
      <c r="E328" s="428" t="s">
        <v>7532</v>
      </c>
      <c r="F328" s="397" t="s">
        <v>134</v>
      </c>
      <c r="G328" s="428" t="s">
        <v>17</v>
      </c>
      <c r="H328" s="397" t="s">
        <v>583</v>
      </c>
      <c r="I328" s="500">
        <v>43391.0</v>
      </c>
      <c r="J328" s="428">
        <v>10.0</v>
      </c>
      <c r="K328" s="577" t="s">
        <v>234</v>
      </c>
      <c r="L328" s="397" t="s">
        <v>258</v>
      </c>
      <c r="M328" s="529">
        <f t="shared" si="3"/>
        <v>2722</v>
      </c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ht="12.75" customHeight="1">
      <c r="A329" s="419">
        <v>32818.0</v>
      </c>
      <c r="B329" s="420" t="s">
        <v>7533</v>
      </c>
      <c r="C329" s="420">
        <v>2016.0</v>
      </c>
      <c r="D329" s="497">
        <v>42458.0</v>
      </c>
      <c r="E329" s="422" t="s">
        <v>7534</v>
      </c>
      <c r="F329" s="394" t="s">
        <v>134</v>
      </c>
      <c r="G329" s="422" t="s">
        <v>17</v>
      </c>
      <c r="H329" s="394" t="s">
        <v>112</v>
      </c>
      <c r="I329" s="497">
        <v>43391.0</v>
      </c>
      <c r="J329" s="422">
        <v>10.0</v>
      </c>
      <c r="K329" s="577" t="s">
        <v>234</v>
      </c>
      <c r="L329" s="394" t="s">
        <v>258</v>
      </c>
      <c r="M329" s="528">
        <f t="shared" si="3"/>
        <v>933</v>
      </c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ht="12.75" customHeight="1">
      <c r="A330" s="425">
        <v>32918.0</v>
      </c>
      <c r="B330" s="426" t="s">
        <v>7535</v>
      </c>
      <c r="C330" s="426">
        <v>2012.0</v>
      </c>
      <c r="D330" s="500">
        <v>41264.0</v>
      </c>
      <c r="E330" s="428" t="s">
        <v>7536</v>
      </c>
      <c r="F330" s="397" t="s">
        <v>178</v>
      </c>
      <c r="G330" s="428" t="s">
        <v>17</v>
      </c>
      <c r="H330" s="397" t="s">
        <v>775</v>
      </c>
      <c r="I330" s="500">
        <v>43391.0</v>
      </c>
      <c r="J330" s="428">
        <v>10.0</v>
      </c>
      <c r="K330" s="575" t="s">
        <v>238</v>
      </c>
      <c r="L330" s="397" t="s">
        <v>256</v>
      </c>
      <c r="M330" s="529">
        <f t="shared" si="3"/>
        <v>2127</v>
      </c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ht="12.75" customHeight="1">
      <c r="A331" s="419">
        <v>33018.0</v>
      </c>
      <c r="B331" s="420" t="s">
        <v>7537</v>
      </c>
      <c r="C331" s="420">
        <v>2014.0</v>
      </c>
      <c r="D331" s="497">
        <v>41942.0</v>
      </c>
      <c r="E331" s="422" t="s">
        <v>7538</v>
      </c>
      <c r="F331" s="394" t="s">
        <v>967</v>
      </c>
      <c r="G331" s="422" t="s">
        <v>17</v>
      </c>
      <c r="H331" s="394" t="s">
        <v>5016</v>
      </c>
      <c r="I331" s="497">
        <v>43391.0</v>
      </c>
      <c r="J331" s="422">
        <v>10.0</v>
      </c>
      <c r="K331" s="575" t="s">
        <v>238</v>
      </c>
      <c r="L331" s="394" t="s">
        <v>256</v>
      </c>
      <c r="M331" s="528">
        <f t="shared" si="3"/>
        <v>1449</v>
      </c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ht="12.75" customHeight="1">
      <c r="A332" s="425">
        <v>33118.0</v>
      </c>
      <c r="B332" s="426" t="s">
        <v>7539</v>
      </c>
      <c r="C332" s="426">
        <v>2012.0</v>
      </c>
      <c r="D332" s="500">
        <v>41114.0</v>
      </c>
      <c r="E332" s="428" t="s">
        <v>7540</v>
      </c>
      <c r="F332" s="397" t="s">
        <v>967</v>
      </c>
      <c r="G332" s="428" t="s">
        <v>17</v>
      </c>
      <c r="H332" s="397" t="s">
        <v>97</v>
      </c>
      <c r="I332" s="500">
        <v>43391.0</v>
      </c>
      <c r="J332" s="428">
        <v>10.0</v>
      </c>
      <c r="K332" s="575" t="s">
        <v>238</v>
      </c>
      <c r="L332" s="397" t="s">
        <v>256</v>
      </c>
      <c r="M332" s="529">
        <f t="shared" si="3"/>
        <v>2277</v>
      </c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ht="12.75" customHeight="1">
      <c r="A333" s="419">
        <v>33218.0</v>
      </c>
      <c r="B333" s="420" t="s">
        <v>7541</v>
      </c>
      <c r="C333" s="420">
        <v>2016.0</v>
      </c>
      <c r="D333" s="497">
        <v>42488.0</v>
      </c>
      <c r="E333" s="422" t="s">
        <v>7542</v>
      </c>
      <c r="F333" s="394" t="s">
        <v>3572</v>
      </c>
      <c r="G333" s="422" t="s">
        <v>17</v>
      </c>
      <c r="H333" s="394" t="s">
        <v>5127</v>
      </c>
      <c r="I333" s="497">
        <v>43391.0</v>
      </c>
      <c r="J333" s="422">
        <v>10.0</v>
      </c>
      <c r="K333" s="575" t="s">
        <v>238</v>
      </c>
      <c r="L333" s="394" t="s">
        <v>256</v>
      </c>
      <c r="M333" s="528">
        <f t="shared" si="3"/>
        <v>903</v>
      </c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ht="12.75" customHeight="1">
      <c r="A334" s="425">
        <v>33318.0</v>
      </c>
      <c r="B334" s="426" t="s">
        <v>7543</v>
      </c>
      <c r="C334" s="426">
        <v>2014.0</v>
      </c>
      <c r="D334" s="500">
        <v>41731.0</v>
      </c>
      <c r="E334" s="428" t="s">
        <v>7544</v>
      </c>
      <c r="F334" s="397" t="s">
        <v>3572</v>
      </c>
      <c r="G334" s="428" t="s">
        <v>17</v>
      </c>
      <c r="H334" s="397" t="s">
        <v>775</v>
      </c>
      <c r="I334" s="500">
        <v>43391.0</v>
      </c>
      <c r="J334" s="428">
        <v>10.0</v>
      </c>
      <c r="K334" s="575" t="s">
        <v>238</v>
      </c>
      <c r="L334" s="397" t="s">
        <v>256</v>
      </c>
      <c r="M334" s="529">
        <f t="shared" si="3"/>
        <v>1660</v>
      </c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ht="12.75" customHeight="1">
      <c r="A335" s="419">
        <v>33418.0</v>
      </c>
      <c r="B335" s="420" t="s">
        <v>7545</v>
      </c>
      <c r="C335" s="420">
        <v>2014.0</v>
      </c>
      <c r="D335" s="497">
        <v>41879.0</v>
      </c>
      <c r="E335" s="422" t="s">
        <v>7546</v>
      </c>
      <c r="F335" s="394" t="s">
        <v>3572</v>
      </c>
      <c r="G335" s="422" t="s">
        <v>17</v>
      </c>
      <c r="H335" s="394" t="s">
        <v>1501</v>
      </c>
      <c r="I335" s="497">
        <v>43391.0</v>
      </c>
      <c r="J335" s="422">
        <v>10.0</v>
      </c>
      <c r="K335" s="575" t="s">
        <v>238</v>
      </c>
      <c r="L335" s="394" t="s">
        <v>256</v>
      </c>
      <c r="M335" s="528">
        <f t="shared" si="3"/>
        <v>1512</v>
      </c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ht="12.75" customHeight="1">
      <c r="A336" s="425">
        <v>33518.0</v>
      </c>
      <c r="B336" s="426" t="s">
        <v>7547</v>
      </c>
      <c r="C336" s="426">
        <v>2011.0</v>
      </c>
      <c r="D336" s="500">
        <v>40624.0</v>
      </c>
      <c r="E336" s="428" t="s">
        <v>7548</v>
      </c>
      <c r="F336" s="397" t="s">
        <v>963</v>
      </c>
      <c r="G336" s="428" t="s">
        <v>17</v>
      </c>
      <c r="H336" s="397" t="s">
        <v>1588</v>
      </c>
      <c r="I336" s="500">
        <v>43391.0</v>
      </c>
      <c r="J336" s="428">
        <v>10.0</v>
      </c>
      <c r="K336" s="576" t="s">
        <v>228</v>
      </c>
      <c r="L336" s="397" t="s">
        <v>258</v>
      </c>
      <c r="M336" s="529">
        <f t="shared" si="3"/>
        <v>2767</v>
      </c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ht="12.75" customHeight="1">
      <c r="A337" s="419">
        <v>33618.0</v>
      </c>
      <c r="B337" s="420" t="s">
        <v>7549</v>
      </c>
      <c r="C337" s="420">
        <v>2014.0</v>
      </c>
      <c r="D337" s="497">
        <v>41726.0</v>
      </c>
      <c r="E337" s="422" t="s">
        <v>7550</v>
      </c>
      <c r="F337" s="394" t="s">
        <v>1554</v>
      </c>
      <c r="G337" s="422" t="s">
        <v>552</v>
      </c>
      <c r="H337" s="394" t="s">
        <v>583</v>
      </c>
      <c r="I337" s="497">
        <v>43391.0</v>
      </c>
      <c r="J337" s="422">
        <v>10.0</v>
      </c>
      <c r="K337" s="575" t="s">
        <v>238</v>
      </c>
      <c r="L337" s="394" t="s">
        <v>258</v>
      </c>
      <c r="M337" s="528">
        <f t="shared" si="3"/>
        <v>1665</v>
      </c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ht="12.75" customHeight="1">
      <c r="A338" s="425">
        <v>33718.0</v>
      </c>
      <c r="B338" s="426" t="s">
        <v>7551</v>
      </c>
      <c r="C338" s="426">
        <v>2013.0</v>
      </c>
      <c r="D338" s="500">
        <v>41565.0</v>
      </c>
      <c r="E338" s="428" t="s">
        <v>7552</v>
      </c>
      <c r="F338" s="397" t="s">
        <v>963</v>
      </c>
      <c r="G338" s="428" t="s">
        <v>552</v>
      </c>
      <c r="H338" s="397" t="s">
        <v>7254</v>
      </c>
      <c r="I338" s="500">
        <v>43391.0</v>
      </c>
      <c r="J338" s="428">
        <v>10.0</v>
      </c>
      <c r="K338" s="575" t="s">
        <v>238</v>
      </c>
      <c r="L338" s="397" t="s">
        <v>258</v>
      </c>
      <c r="M338" s="529">
        <f t="shared" si="3"/>
        <v>1826</v>
      </c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ht="12.75" customHeight="1">
      <c r="A339" s="419">
        <v>33818.0</v>
      </c>
      <c r="B339" s="420" t="s">
        <v>7553</v>
      </c>
      <c r="C339" s="420">
        <v>2017.0</v>
      </c>
      <c r="D339" s="497">
        <v>42802.0</v>
      </c>
      <c r="E339" s="422" t="s">
        <v>7554</v>
      </c>
      <c r="F339" s="394" t="s">
        <v>7555</v>
      </c>
      <c r="G339" s="422" t="s">
        <v>565</v>
      </c>
      <c r="H339" s="394" t="s">
        <v>7556</v>
      </c>
      <c r="I339" s="497">
        <v>43391.0</v>
      </c>
      <c r="J339" s="422">
        <v>10.0</v>
      </c>
      <c r="K339" s="582" t="s">
        <v>244</v>
      </c>
      <c r="L339" s="394" t="s">
        <v>260</v>
      </c>
      <c r="M339" s="528">
        <f t="shared" si="3"/>
        <v>589</v>
      </c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ht="12.75" customHeight="1">
      <c r="A340" s="425">
        <v>33918.0</v>
      </c>
      <c r="B340" s="426" t="s">
        <v>7557</v>
      </c>
      <c r="C340" s="426">
        <v>2018.0</v>
      </c>
      <c r="D340" s="500">
        <v>43193.0</v>
      </c>
      <c r="E340" s="428" t="s">
        <v>7558</v>
      </c>
      <c r="F340" s="505" t="s">
        <v>7559</v>
      </c>
      <c r="G340" s="428" t="s">
        <v>565</v>
      </c>
      <c r="H340" s="397" t="s">
        <v>2353</v>
      </c>
      <c r="I340" s="500">
        <v>43395.0</v>
      </c>
      <c r="J340" s="428">
        <v>10.0</v>
      </c>
      <c r="K340" s="582" t="s">
        <v>244</v>
      </c>
      <c r="L340" s="397" t="s">
        <v>260</v>
      </c>
      <c r="M340" s="529">
        <f t="shared" si="3"/>
        <v>202</v>
      </c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ht="12.75" customHeight="1">
      <c r="A341" s="419">
        <v>34018.0</v>
      </c>
      <c r="B341" s="420" t="s">
        <v>7560</v>
      </c>
      <c r="C341" s="420">
        <v>2018.0</v>
      </c>
      <c r="D341" s="497">
        <v>43173.0</v>
      </c>
      <c r="E341" s="422" t="s">
        <v>7561</v>
      </c>
      <c r="F341" s="503" t="s">
        <v>3761</v>
      </c>
      <c r="G341" s="422" t="s">
        <v>565</v>
      </c>
      <c r="H341" s="394" t="s">
        <v>3800</v>
      </c>
      <c r="I341" s="497">
        <v>43396.0</v>
      </c>
      <c r="J341" s="422">
        <v>10.0</v>
      </c>
      <c r="K341" s="582" t="s">
        <v>244</v>
      </c>
      <c r="L341" s="394" t="s">
        <v>260</v>
      </c>
      <c r="M341" s="528">
        <f t="shared" si="3"/>
        <v>223</v>
      </c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ht="12.75" customHeight="1">
      <c r="A342" s="425">
        <v>34118.0</v>
      </c>
      <c r="B342" s="426" t="s">
        <v>7562</v>
      </c>
      <c r="C342" s="426">
        <v>2017.0</v>
      </c>
      <c r="D342" s="500">
        <v>42956.0</v>
      </c>
      <c r="E342" s="428" t="s">
        <v>7563</v>
      </c>
      <c r="F342" s="397" t="s">
        <v>963</v>
      </c>
      <c r="G342" s="428" t="s">
        <v>552</v>
      </c>
      <c r="H342" s="397" t="s">
        <v>66</v>
      </c>
      <c r="I342" s="500">
        <v>43396.0</v>
      </c>
      <c r="J342" s="428">
        <v>10.0</v>
      </c>
      <c r="K342" s="575" t="s">
        <v>238</v>
      </c>
      <c r="L342" s="397" t="s">
        <v>258</v>
      </c>
      <c r="M342" s="529">
        <f t="shared" si="3"/>
        <v>440</v>
      </c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ht="12.75" customHeight="1">
      <c r="A343" s="419">
        <v>34218.0</v>
      </c>
      <c r="B343" s="420" t="s">
        <v>7564</v>
      </c>
      <c r="C343" s="420">
        <v>2010.0</v>
      </c>
      <c r="D343" s="497">
        <v>40337.0</v>
      </c>
      <c r="E343" s="422" t="s">
        <v>7565</v>
      </c>
      <c r="F343" s="394" t="s">
        <v>7566</v>
      </c>
      <c r="G343" s="422" t="s">
        <v>552</v>
      </c>
      <c r="H343" s="394" t="s">
        <v>1907</v>
      </c>
      <c r="I343" s="497">
        <v>43398.0</v>
      </c>
      <c r="J343" s="422">
        <v>10.0</v>
      </c>
      <c r="K343" s="576" t="s">
        <v>228</v>
      </c>
      <c r="L343" s="394" t="s">
        <v>256</v>
      </c>
      <c r="M343" s="528">
        <f t="shared" si="3"/>
        <v>3061</v>
      </c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ht="12.75" customHeight="1">
      <c r="A344" s="425">
        <v>34318.0</v>
      </c>
      <c r="B344" s="426" t="s">
        <v>7567</v>
      </c>
      <c r="C344" s="426">
        <v>2016.0</v>
      </c>
      <c r="D344" s="500">
        <v>42576.0</v>
      </c>
      <c r="E344" s="428" t="s">
        <v>7568</v>
      </c>
      <c r="F344" s="397" t="s">
        <v>719</v>
      </c>
      <c r="G344" s="428" t="s">
        <v>552</v>
      </c>
      <c r="H344" s="397" t="s">
        <v>6826</v>
      </c>
      <c r="I344" s="500">
        <v>43398.0</v>
      </c>
      <c r="J344" s="428">
        <v>10.0</v>
      </c>
      <c r="K344" s="582" t="s">
        <v>244</v>
      </c>
      <c r="L344" s="397" t="s">
        <v>256</v>
      </c>
      <c r="M344" s="529">
        <f t="shared" si="3"/>
        <v>822</v>
      </c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ht="12.75" customHeight="1">
      <c r="A345" s="419">
        <v>34418.0</v>
      </c>
      <c r="B345" s="420" t="s">
        <v>7569</v>
      </c>
      <c r="C345" s="420">
        <v>2018.0</v>
      </c>
      <c r="D345" s="497">
        <v>43307.0</v>
      </c>
      <c r="E345" s="422" t="s">
        <v>7570</v>
      </c>
      <c r="F345" s="503" t="s">
        <v>7571</v>
      </c>
      <c r="G345" s="422" t="s">
        <v>569</v>
      </c>
      <c r="H345" s="394" t="s">
        <v>1850</v>
      </c>
      <c r="I345" s="497">
        <v>43403.0</v>
      </c>
      <c r="J345" s="422">
        <v>10.0</v>
      </c>
      <c r="K345" s="582" t="s">
        <v>6917</v>
      </c>
      <c r="L345" s="394" t="s">
        <v>260</v>
      </c>
      <c r="M345" s="528">
        <f t="shared" si="3"/>
        <v>96</v>
      </c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ht="12.75" customHeight="1">
      <c r="A346" s="425">
        <v>34518.0</v>
      </c>
      <c r="B346" s="426" t="s">
        <v>7572</v>
      </c>
      <c r="C346" s="426">
        <v>2018.0</v>
      </c>
      <c r="D346" s="500">
        <v>43285.0</v>
      </c>
      <c r="E346" s="428" t="s">
        <v>7573</v>
      </c>
      <c r="F346" s="505" t="s">
        <v>3647</v>
      </c>
      <c r="G346" s="428" t="s">
        <v>565</v>
      </c>
      <c r="H346" s="397" t="s">
        <v>3800</v>
      </c>
      <c r="I346" s="500">
        <v>43405.0</v>
      </c>
      <c r="J346" s="428">
        <v>11.0</v>
      </c>
      <c r="K346" s="582" t="s">
        <v>244</v>
      </c>
      <c r="L346" s="397" t="s">
        <v>260</v>
      </c>
      <c r="M346" s="529">
        <f t="shared" si="3"/>
        <v>120</v>
      </c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ht="12.75" customHeight="1">
      <c r="A347" s="419">
        <v>34618.0</v>
      </c>
      <c r="B347" s="420" t="s">
        <v>7574</v>
      </c>
      <c r="C347" s="420">
        <v>2011.0</v>
      </c>
      <c r="D347" s="497">
        <v>40634.0</v>
      </c>
      <c r="E347" s="422" t="s">
        <v>7575</v>
      </c>
      <c r="F347" s="394" t="s">
        <v>7576</v>
      </c>
      <c r="G347" s="422" t="s">
        <v>650</v>
      </c>
      <c r="H347" s="394" t="s">
        <v>158</v>
      </c>
      <c r="I347" s="497">
        <v>43412.0</v>
      </c>
      <c r="J347" s="422">
        <v>11.0</v>
      </c>
      <c r="K347" s="577" t="s">
        <v>234</v>
      </c>
      <c r="L347" s="394" t="s">
        <v>254</v>
      </c>
      <c r="M347" s="528">
        <f t="shared" si="3"/>
        <v>2778</v>
      </c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ht="12.75" customHeight="1">
      <c r="A348" s="425">
        <v>34718.0</v>
      </c>
      <c r="B348" s="426" t="s">
        <v>7577</v>
      </c>
      <c r="C348" s="426">
        <v>2011.0</v>
      </c>
      <c r="D348" s="500">
        <v>40634.0</v>
      </c>
      <c r="E348" s="428" t="s">
        <v>7578</v>
      </c>
      <c r="F348" s="397" t="s">
        <v>7576</v>
      </c>
      <c r="G348" s="428" t="s">
        <v>650</v>
      </c>
      <c r="H348" s="397" t="s">
        <v>158</v>
      </c>
      <c r="I348" s="500">
        <v>43412.0</v>
      </c>
      <c r="J348" s="428">
        <v>11.0</v>
      </c>
      <c r="K348" s="577" t="s">
        <v>234</v>
      </c>
      <c r="L348" s="397" t="s">
        <v>254</v>
      </c>
      <c r="M348" s="529">
        <f t="shared" si="3"/>
        <v>2778</v>
      </c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ht="12.75" customHeight="1">
      <c r="A349" s="419">
        <v>34818.0</v>
      </c>
      <c r="B349" s="420" t="s">
        <v>7579</v>
      </c>
      <c r="C349" s="420">
        <v>2010.0</v>
      </c>
      <c r="D349" s="497">
        <v>40462.0</v>
      </c>
      <c r="E349" s="422" t="s">
        <v>7580</v>
      </c>
      <c r="F349" s="394" t="s">
        <v>7516</v>
      </c>
      <c r="G349" s="422" t="s">
        <v>552</v>
      </c>
      <c r="H349" s="394" t="s">
        <v>1907</v>
      </c>
      <c r="I349" s="497">
        <v>43413.0</v>
      </c>
      <c r="J349" s="422">
        <v>11.0</v>
      </c>
      <c r="K349" s="576" t="s">
        <v>228</v>
      </c>
      <c r="L349" s="394" t="s">
        <v>258</v>
      </c>
      <c r="M349" s="528">
        <f t="shared" si="3"/>
        <v>2951</v>
      </c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ht="12.75" customHeight="1">
      <c r="A350" s="425">
        <v>34918.0</v>
      </c>
      <c r="B350" s="426" t="s">
        <v>7581</v>
      </c>
      <c r="C350" s="426">
        <v>2009.0</v>
      </c>
      <c r="D350" s="500">
        <v>40091.0</v>
      </c>
      <c r="E350" s="428" t="s">
        <v>7582</v>
      </c>
      <c r="F350" s="397" t="s">
        <v>7583</v>
      </c>
      <c r="G350" s="428" t="s">
        <v>552</v>
      </c>
      <c r="H350" s="397" t="s">
        <v>5016</v>
      </c>
      <c r="I350" s="500">
        <v>43413.0</v>
      </c>
      <c r="J350" s="428">
        <v>11.0</v>
      </c>
      <c r="K350" s="582" t="s">
        <v>244</v>
      </c>
      <c r="L350" s="397" t="s">
        <v>256</v>
      </c>
      <c r="M350" s="529">
        <f t="shared" si="3"/>
        <v>3322</v>
      </c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ht="12.75" customHeight="1">
      <c r="A351" s="419">
        <v>35018.0</v>
      </c>
      <c r="B351" s="420" t="s">
        <v>7584</v>
      </c>
      <c r="C351" s="420">
        <v>2012.0</v>
      </c>
      <c r="D351" s="497">
        <v>40966.0</v>
      </c>
      <c r="E351" s="422" t="s">
        <v>7585</v>
      </c>
      <c r="F351" s="394" t="s">
        <v>31</v>
      </c>
      <c r="G351" s="422" t="s">
        <v>552</v>
      </c>
      <c r="H351" s="394" t="s">
        <v>5016</v>
      </c>
      <c r="I351" s="497">
        <v>43413.0</v>
      </c>
      <c r="J351" s="422">
        <v>11.0</v>
      </c>
      <c r="K351" s="577" t="s">
        <v>234</v>
      </c>
      <c r="L351" s="394" t="s">
        <v>258</v>
      </c>
      <c r="M351" s="528">
        <f t="shared" si="3"/>
        <v>2447</v>
      </c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ht="12.75" customHeight="1">
      <c r="A352" s="425">
        <v>35118.0</v>
      </c>
      <c r="B352" s="426" t="s">
        <v>7586</v>
      </c>
      <c r="C352" s="426">
        <v>2014.0</v>
      </c>
      <c r="D352" s="500">
        <v>41732.0</v>
      </c>
      <c r="E352" s="428" t="s">
        <v>7587</v>
      </c>
      <c r="F352" s="397" t="s">
        <v>7588</v>
      </c>
      <c r="G352" s="428" t="s">
        <v>552</v>
      </c>
      <c r="H352" s="397" t="s">
        <v>4380</v>
      </c>
      <c r="I352" s="500">
        <v>43414.0</v>
      </c>
      <c r="J352" s="428">
        <v>11.0</v>
      </c>
      <c r="K352" s="577" t="s">
        <v>234</v>
      </c>
      <c r="L352" s="397" t="s">
        <v>256</v>
      </c>
      <c r="M352" s="529">
        <f t="shared" si="3"/>
        <v>1682</v>
      </c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ht="12.75" customHeight="1">
      <c r="A353" s="419">
        <v>35218.0</v>
      </c>
      <c r="B353" s="420" t="s">
        <v>7589</v>
      </c>
      <c r="C353" s="420">
        <v>2011.0</v>
      </c>
      <c r="D353" s="497">
        <v>40644.0</v>
      </c>
      <c r="E353" s="422" t="s">
        <v>7590</v>
      </c>
      <c r="F353" s="394" t="s">
        <v>134</v>
      </c>
      <c r="G353" s="422" t="s">
        <v>17</v>
      </c>
      <c r="H353" s="394" t="s">
        <v>45</v>
      </c>
      <c r="I353" s="497">
        <v>43418.0</v>
      </c>
      <c r="J353" s="422">
        <v>11.0</v>
      </c>
      <c r="K353" s="577" t="s">
        <v>234</v>
      </c>
      <c r="L353" s="394" t="s">
        <v>258</v>
      </c>
      <c r="M353" s="528">
        <f t="shared" si="3"/>
        <v>2774</v>
      </c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ht="12.75" customHeight="1">
      <c r="A354" s="425">
        <v>35318.0</v>
      </c>
      <c r="B354" s="426" t="s">
        <v>7591</v>
      </c>
      <c r="C354" s="426">
        <v>2018.0</v>
      </c>
      <c r="D354" s="500">
        <v>43276.0</v>
      </c>
      <c r="E354" s="428" t="s">
        <v>7592</v>
      </c>
      <c r="F354" s="397" t="s">
        <v>563</v>
      </c>
      <c r="G354" s="428" t="s">
        <v>17</v>
      </c>
      <c r="H354" s="397" t="s">
        <v>6685</v>
      </c>
      <c r="I354" s="500">
        <v>43418.0</v>
      </c>
      <c r="J354" s="428">
        <v>11.0</v>
      </c>
      <c r="K354" s="577" t="s">
        <v>234</v>
      </c>
      <c r="L354" s="397" t="s">
        <v>256</v>
      </c>
      <c r="M354" s="529">
        <f t="shared" si="3"/>
        <v>142</v>
      </c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ht="12.75" customHeight="1">
      <c r="A355" s="419">
        <v>35418.0</v>
      </c>
      <c r="B355" s="420" t="s">
        <v>7593</v>
      </c>
      <c r="C355" s="420">
        <v>2015.0</v>
      </c>
      <c r="D355" s="497">
        <v>42361.0</v>
      </c>
      <c r="E355" s="422" t="s">
        <v>7594</v>
      </c>
      <c r="F355" s="394" t="s">
        <v>3572</v>
      </c>
      <c r="G355" s="422" t="s">
        <v>17</v>
      </c>
      <c r="H355" s="394" t="s">
        <v>6826</v>
      </c>
      <c r="I355" s="497">
        <v>43418.0</v>
      </c>
      <c r="J355" s="422">
        <v>11.0</v>
      </c>
      <c r="K355" s="575" t="s">
        <v>238</v>
      </c>
      <c r="L355" s="394" t="s">
        <v>256</v>
      </c>
      <c r="M355" s="528">
        <f t="shared" si="3"/>
        <v>1057</v>
      </c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ht="12.75" customHeight="1">
      <c r="A356" s="425">
        <v>35518.0</v>
      </c>
      <c r="B356" s="426" t="s">
        <v>7595</v>
      </c>
      <c r="C356" s="426">
        <v>2018.0</v>
      </c>
      <c r="D356" s="500">
        <v>43241.0</v>
      </c>
      <c r="E356" s="428" t="s">
        <v>7596</v>
      </c>
      <c r="F356" s="397" t="s">
        <v>711</v>
      </c>
      <c r="G356" s="428" t="s">
        <v>17</v>
      </c>
      <c r="H356" s="397" t="s">
        <v>50</v>
      </c>
      <c r="I356" s="500">
        <v>43418.0</v>
      </c>
      <c r="J356" s="428">
        <v>11.0</v>
      </c>
      <c r="K356" s="575" t="s">
        <v>238</v>
      </c>
      <c r="L356" s="397" t="s">
        <v>256</v>
      </c>
      <c r="M356" s="529">
        <f t="shared" si="3"/>
        <v>177</v>
      </c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ht="12.75" customHeight="1">
      <c r="A357" s="419">
        <v>35618.0</v>
      </c>
      <c r="B357" s="420" t="s">
        <v>7597</v>
      </c>
      <c r="C357" s="420">
        <v>2014.0</v>
      </c>
      <c r="D357" s="497">
        <v>41806.0</v>
      </c>
      <c r="E357" s="422" t="s">
        <v>7598</v>
      </c>
      <c r="F357" s="394" t="s">
        <v>31</v>
      </c>
      <c r="G357" s="422" t="s">
        <v>17</v>
      </c>
      <c r="H357" s="394" t="s">
        <v>50</v>
      </c>
      <c r="I357" s="497">
        <v>43418.0</v>
      </c>
      <c r="J357" s="422">
        <v>11.0</v>
      </c>
      <c r="K357" s="577" t="s">
        <v>234</v>
      </c>
      <c r="L357" s="394" t="s">
        <v>258</v>
      </c>
      <c r="M357" s="528">
        <f t="shared" si="3"/>
        <v>1612</v>
      </c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ht="12.75" customHeight="1">
      <c r="A358" s="425">
        <v>35718.0</v>
      </c>
      <c r="B358" s="426" t="s">
        <v>7599</v>
      </c>
      <c r="C358" s="426">
        <v>2013.0</v>
      </c>
      <c r="D358" s="500">
        <v>41304.0</v>
      </c>
      <c r="E358" s="428" t="s">
        <v>7600</v>
      </c>
      <c r="F358" s="397" t="s">
        <v>4561</v>
      </c>
      <c r="G358" s="428" t="s">
        <v>17</v>
      </c>
      <c r="H358" s="397" t="s">
        <v>7040</v>
      </c>
      <c r="I358" s="500">
        <v>43418.0</v>
      </c>
      <c r="J358" s="428">
        <v>11.0</v>
      </c>
      <c r="K358" s="575" t="s">
        <v>238</v>
      </c>
      <c r="L358" s="397" t="s">
        <v>258</v>
      </c>
      <c r="M358" s="529">
        <f t="shared" si="3"/>
        <v>2114</v>
      </c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ht="12.75" customHeight="1">
      <c r="A359" s="419">
        <v>35818.0</v>
      </c>
      <c r="B359" s="420" t="s">
        <v>7601</v>
      </c>
      <c r="C359" s="420">
        <v>2010.0</v>
      </c>
      <c r="D359" s="497">
        <v>40322.0</v>
      </c>
      <c r="E359" s="422" t="s">
        <v>7602</v>
      </c>
      <c r="F359" s="394" t="s">
        <v>1464</v>
      </c>
      <c r="G359" s="422" t="s">
        <v>17</v>
      </c>
      <c r="H359" s="394" t="s">
        <v>153</v>
      </c>
      <c r="I359" s="497">
        <v>43418.0</v>
      </c>
      <c r="J359" s="422">
        <v>11.0</v>
      </c>
      <c r="K359" s="575" t="s">
        <v>238</v>
      </c>
      <c r="L359" s="394" t="s">
        <v>256</v>
      </c>
      <c r="M359" s="528">
        <f t="shared" si="3"/>
        <v>3096</v>
      </c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ht="12.75" customHeight="1">
      <c r="A360" s="425">
        <v>35918.0</v>
      </c>
      <c r="B360" s="426" t="s">
        <v>7603</v>
      </c>
      <c r="C360" s="426">
        <v>2017.0</v>
      </c>
      <c r="D360" s="500">
        <v>43039.0</v>
      </c>
      <c r="E360" s="428" t="s">
        <v>7604</v>
      </c>
      <c r="F360" s="397" t="s">
        <v>178</v>
      </c>
      <c r="G360" s="428" t="s">
        <v>17</v>
      </c>
      <c r="H360" s="397" t="s">
        <v>6826</v>
      </c>
      <c r="I360" s="500">
        <v>43418.0</v>
      </c>
      <c r="J360" s="428">
        <v>11.0</v>
      </c>
      <c r="K360" s="575" t="s">
        <v>238</v>
      </c>
      <c r="L360" s="397" t="s">
        <v>256</v>
      </c>
      <c r="M360" s="529">
        <f t="shared" si="3"/>
        <v>379</v>
      </c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ht="12.75" customHeight="1">
      <c r="A361" s="419">
        <v>36018.0</v>
      </c>
      <c r="B361" s="420" t="s">
        <v>7605</v>
      </c>
      <c r="C361" s="420">
        <v>2012.0</v>
      </c>
      <c r="D361" s="497">
        <v>41176.0</v>
      </c>
      <c r="E361" s="422" t="s">
        <v>7606</v>
      </c>
      <c r="F361" s="394" t="s">
        <v>4157</v>
      </c>
      <c r="G361" s="422" t="s">
        <v>552</v>
      </c>
      <c r="H361" s="394" t="s">
        <v>4141</v>
      </c>
      <c r="I361" s="497">
        <v>43423.0</v>
      </c>
      <c r="J361" s="422">
        <v>11.0</v>
      </c>
      <c r="K361" s="576" t="s">
        <v>228</v>
      </c>
      <c r="L361" s="394" t="s">
        <v>256</v>
      </c>
      <c r="M361" s="528">
        <f t="shared" si="3"/>
        <v>2247</v>
      </c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ht="12.75" customHeight="1">
      <c r="A362" s="425">
        <v>36118.0</v>
      </c>
      <c r="B362" s="426" t="s">
        <v>7607</v>
      </c>
      <c r="C362" s="426">
        <v>2018.0</v>
      </c>
      <c r="D362" s="500">
        <v>43230.0</v>
      </c>
      <c r="E362" s="428" t="s">
        <v>7608</v>
      </c>
      <c r="F362" s="505" t="s">
        <v>3725</v>
      </c>
      <c r="G362" s="428" t="s">
        <v>565</v>
      </c>
      <c r="H362" s="397" t="s">
        <v>3800</v>
      </c>
      <c r="I362" s="500">
        <v>43424.0</v>
      </c>
      <c r="J362" s="428">
        <v>11.0</v>
      </c>
      <c r="K362" s="582" t="s">
        <v>244</v>
      </c>
      <c r="L362" s="397" t="s">
        <v>260</v>
      </c>
      <c r="M362" s="529">
        <f t="shared" si="3"/>
        <v>194</v>
      </c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ht="12.75" customHeight="1">
      <c r="A363" s="419">
        <v>36218.0</v>
      </c>
      <c r="B363" s="420" t="s">
        <v>7609</v>
      </c>
      <c r="C363" s="420">
        <v>2015.0</v>
      </c>
      <c r="D363" s="497">
        <v>42268.0</v>
      </c>
      <c r="E363" s="422" t="s">
        <v>7610</v>
      </c>
      <c r="F363" s="394" t="s">
        <v>1968</v>
      </c>
      <c r="G363" s="422" t="s">
        <v>552</v>
      </c>
      <c r="H363" s="394" t="s">
        <v>6789</v>
      </c>
      <c r="I363" s="497">
        <v>43425.0</v>
      </c>
      <c r="J363" s="422">
        <v>11.0</v>
      </c>
      <c r="K363" s="575" t="s">
        <v>238</v>
      </c>
      <c r="L363" s="394" t="s">
        <v>256</v>
      </c>
      <c r="M363" s="528">
        <f t="shared" si="3"/>
        <v>1157</v>
      </c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ht="12.75" customHeight="1">
      <c r="A364" s="425">
        <v>36318.0</v>
      </c>
      <c r="B364" s="426" t="s">
        <v>7611</v>
      </c>
      <c r="C364" s="426">
        <v>2010.0</v>
      </c>
      <c r="D364" s="500">
        <v>40277.0</v>
      </c>
      <c r="E364" s="428" t="s">
        <v>7612</v>
      </c>
      <c r="F364" s="397" t="s">
        <v>1170</v>
      </c>
      <c r="G364" s="428" t="s">
        <v>552</v>
      </c>
      <c r="H364" s="397" t="s">
        <v>6850</v>
      </c>
      <c r="I364" s="500">
        <v>43427.0</v>
      </c>
      <c r="J364" s="428">
        <v>11.0</v>
      </c>
      <c r="K364" s="575" t="s">
        <v>238</v>
      </c>
      <c r="L364" s="397" t="s">
        <v>256</v>
      </c>
      <c r="M364" s="529">
        <f t="shared" si="3"/>
        <v>3150</v>
      </c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ht="12.75" customHeight="1">
      <c r="A365" s="419">
        <v>36418.0</v>
      </c>
      <c r="B365" s="420" t="s">
        <v>7613</v>
      </c>
      <c r="C365" s="420">
        <v>2017.0</v>
      </c>
      <c r="D365" s="497">
        <v>42984.0</v>
      </c>
      <c r="E365" s="422" t="s">
        <v>7614</v>
      </c>
      <c r="F365" s="394" t="s">
        <v>963</v>
      </c>
      <c r="G365" s="422" t="s">
        <v>552</v>
      </c>
      <c r="H365" s="394" t="s">
        <v>66</v>
      </c>
      <c r="I365" s="497">
        <v>43427.0</v>
      </c>
      <c r="J365" s="422">
        <v>11.0</v>
      </c>
      <c r="K365" s="575" t="s">
        <v>238</v>
      </c>
      <c r="L365" s="394" t="s">
        <v>258</v>
      </c>
      <c r="M365" s="528">
        <f t="shared" si="3"/>
        <v>443</v>
      </c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ht="12.75" customHeight="1">
      <c r="A366" s="425">
        <v>36518.0</v>
      </c>
      <c r="B366" s="426" t="s">
        <v>7615</v>
      </c>
      <c r="C366" s="426">
        <v>2013.0</v>
      </c>
      <c r="D366" s="500">
        <v>41414.0</v>
      </c>
      <c r="E366" s="428" t="s">
        <v>7616</v>
      </c>
      <c r="F366" s="397" t="s">
        <v>963</v>
      </c>
      <c r="G366" s="428" t="s">
        <v>552</v>
      </c>
      <c r="H366" s="397" t="s">
        <v>7040</v>
      </c>
      <c r="I366" s="500">
        <v>43427.0</v>
      </c>
      <c r="J366" s="428">
        <v>11.0</v>
      </c>
      <c r="K366" s="575" t="s">
        <v>238</v>
      </c>
      <c r="L366" s="397" t="s">
        <v>258</v>
      </c>
      <c r="M366" s="529">
        <f t="shared" si="3"/>
        <v>2013</v>
      </c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ht="12.75" customHeight="1">
      <c r="A367" s="419">
        <v>36618.0</v>
      </c>
      <c r="B367" s="420" t="s">
        <v>7617</v>
      </c>
      <c r="C367" s="420">
        <v>2012.0</v>
      </c>
      <c r="D367" s="497">
        <v>41110.0</v>
      </c>
      <c r="E367" s="422" t="s">
        <v>7618</v>
      </c>
      <c r="F367" s="394" t="s">
        <v>963</v>
      </c>
      <c r="G367" s="422" t="s">
        <v>552</v>
      </c>
      <c r="H367" s="394" t="s">
        <v>6850</v>
      </c>
      <c r="I367" s="497">
        <v>43427.0</v>
      </c>
      <c r="J367" s="422">
        <v>11.0</v>
      </c>
      <c r="K367" s="575" t="s">
        <v>238</v>
      </c>
      <c r="L367" s="394" t="s">
        <v>258</v>
      </c>
      <c r="M367" s="528">
        <f t="shared" si="3"/>
        <v>2317</v>
      </c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ht="12.75" customHeight="1">
      <c r="A368" s="425">
        <v>36718.0</v>
      </c>
      <c r="B368" s="426" t="s">
        <v>7619</v>
      </c>
      <c r="C368" s="426">
        <v>2013.0</v>
      </c>
      <c r="D368" s="500">
        <v>41361.0</v>
      </c>
      <c r="E368" s="428" t="s">
        <v>7620</v>
      </c>
      <c r="F368" s="397" t="s">
        <v>551</v>
      </c>
      <c r="G368" s="428" t="s">
        <v>17</v>
      </c>
      <c r="H368" s="397" t="s">
        <v>6846</v>
      </c>
      <c r="I368" s="500">
        <v>43430.0</v>
      </c>
      <c r="J368" s="428">
        <v>11.0</v>
      </c>
      <c r="K368" s="582" t="s">
        <v>244</v>
      </c>
      <c r="L368" s="397" t="s">
        <v>256</v>
      </c>
      <c r="M368" s="529">
        <f t="shared" si="3"/>
        <v>2069</v>
      </c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ht="12.75" customHeight="1">
      <c r="A369" s="419">
        <v>36818.0</v>
      </c>
      <c r="B369" s="420" t="s">
        <v>7621</v>
      </c>
      <c r="C369" s="420">
        <v>2011.0</v>
      </c>
      <c r="D369" s="497">
        <v>40695.0</v>
      </c>
      <c r="E369" s="422" t="s">
        <v>7622</v>
      </c>
      <c r="F369" s="394" t="s">
        <v>963</v>
      </c>
      <c r="G369" s="422" t="s">
        <v>17</v>
      </c>
      <c r="H369" s="394" t="s">
        <v>7623</v>
      </c>
      <c r="I369" s="497">
        <v>43430.0</v>
      </c>
      <c r="J369" s="422">
        <v>11.0</v>
      </c>
      <c r="K369" s="576" t="s">
        <v>228</v>
      </c>
      <c r="L369" s="394" t="s">
        <v>258</v>
      </c>
      <c r="M369" s="528">
        <f t="shared" si="3"/>
        <v>2735</v>
      </c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ht="12.75" customHeight="1">
      <c r="A370" s="425">
        <v>36918.0</v>
      </c>
      <c r="B370" s="426" t="s">
        <v>7624</v>
      </c>
      <c r="C370" s="426">
        <v>2012.0</v>
      </c>
      <c r="D370" s="500">
        <v>41243.0</v>
      </c>
      <c r="E370" s="428" t="s">
        <v>7625</v>
      </c>
      <c r="F370" s="397" t="s">
        <v>963</v>
      </c>
      <c r="G370" s="428" t="s">
        <v>17</v>
      </c>
      <c r="H370" s="397" t="s">
        <v>6860</v>
      </c>
      <c r="I370" s="500">
        <v>43430.0</v>
      </c>
      <c r="J370" s="428">
        <v>11.0</v>
      </c>
      <c r="K370" s="576" t="s">
        <v>228</v>
      </c>
      <c r="L370" s="397" t="s">
        <v>258</v>
      </c>
      <c r="M370" s="529">
        <f t="shared" si="3"/>
        <v>2187</v>
      </c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ht="12.75" customHeight="1">
      <c r="A371" s="419">
        <v>37018.0</v>
      </c>
      <c r="B371" s="420" t="s">
        <v>7626</v>
      </c>
      <c r="C371" s="420">
        <v>2011.0</v>
      </c>
      <c r="D371" s="497">
        <v>40661.0</v>
      </c>
      <c r="E371" s="422" t="s">
        <v>7627</v>
      </c>
      <c r="F371" s="394" t="s">
        <v>963</v>
      </c>
      <c r="G371" s="422" t="s">
        <v>17</v>
      </c>
      <c r="H371" s="394" t="s">
        <v>583</v>
      </c>
      <c r="I371" s="497">
        <v>43430.0</v>
      </c>
      <c r="J371" s="422">
        <v>11.0</v>
      </c>
      <c r="K371" s="576" t="s">
        <v>228</v>
      </c>
      <c r="L371" s="394" t="s">
        <v>258</v>
      </c>
      <c r="M371" s="528">
        <f t="shared" si="3"/>
        <v>2769</v>
      </c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ht="12.75" customHeight="1">
      <c r="A372" s="425">
        <v>37118.0</v>
      </c>
      <c r="B372" s="426" t="s">
        <v>7628</v>
      </c>
      <c r="C372" s="426">
        <v>2014.0</v>
      </c>
      <c r="D372" s="500">
        <v>41977.0</v>
      </c>
      <c r="E372" s="428" t="s">
        <v>7629</v>
      </c>
      <c r="F372" s="397" t="s">
        <v>186</v>
      </c>
      <c r="G372" s="428" t="s">
        <v>17</v>
      </c>
      <c r="H372" s="397" t="s">
        <v>153</v>
      </c>
      <c r="I372" s="500">
        <v>43430.0</v>
      </c>
      <c r="J372" s="428">
        <v>11.0</v>
      </c>
      <c r="K372" s="576" t="s">
        <v>228</v>
      </c>
      <c r="L372" s="397" t="s">
        <v>256</v>
      </c>
      <c r="M372" s="529">
        <f t="shared" si="3"/>
        <v>1453</v>
      </c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ht="12.75" customHeight="1">
      <c r="A373" s="419">
        <v>37218.0</v>
      </c>
      <c r="B373" s="420" t="s">
        <v>7630</v>
      </c>
      <c r="C373" s="420">
        <v>2015.0</v>
      </c>
      <c r="D373" s="497">
        <v>42194.0</v>
      </c>
      <c r="E373" s="422" t="s">
        <v>7631</v>
      </c>
      <c r="F373" s="394" t="s">
        <v>1762</v>
      </c>
      <c r="G373" s="422" t="s">
        <v>17</v>
      </c>
      <c r="H373" s="394" t="s">
        <v>66</v>
      </c>
      <c r="I373" s="497">
        <v>43430.0</v>
      </c>
      <c r="J373" s="422">
        <v>11.0</v>
      </c>
      <c r="K373" s="575" t="s">
        <v>238</v>
      </c>
      <c r="L373" s="394" t="s">
        <v>256</v>
      </c>
      <c r="M373" s="528">
        <f t="shared" si="3"/>
        <v>1236</v>
      </c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ht="12.75" customHeight="1">
      <c r="A374" s="425">
        <v>37318.0</v>
      </c>
      <c r="B374" s="426" t="s">
        <v>7632</v>
      </c>
      <c r="C374" s="426">
        <v>2016.0</v>
      </c>
      <c r="D374" s="500">
        <v>42711.0</v>
      </c>
      <c r="E374" s="428" t="s">
        <v>7633</v>
      </c>
      <c r="F374" s="397" t="s">
        <v>1232</v>
      </c>
      <c r="G374" s="428" t="s">
        <v>17</v>
      </c>
      <c r="H374" s="397" t="s">
        <v>6826</v>
      </c>
      <c r="I374" s="500">
        <v>43430.0</v>
      </c>
      <c r="J374" s="428">
        <v>11.0</v>
      </c>
      <c r="K374" s="576" t="s">
        <v>228</v>
      </c>
      <c r="L374" s="397" t="s">
        <v>256</v>
      </c>
      <c r="M374" s="529">
        <f t="shared" si="3"/>
        <v>719</v>
      </c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ht="12.75" customHeight="1">
      <c r="A375" s="419">
        <v>37418.0</v>
      </c>
      <c r="B375" s="420" t="s">
        <v>7634</v>
      </c>
      <c r="C375" s="420">
        <v>2014.0</v>
      </c>
      <c r="D375" s="497">
        <v>41710.0</v>
      </c>
      <c r="E375" s="422" t="s">
        <v>7635</v>
      </c>
      <c r="F375" s="394" t="s">
        <v>1968</v>
      </c>
      <c r="G375" s="422" t="s">
        <v>17</v>
      </c>
      <c r="H375" s="394" t="s">
        <v>596</v>
      </c>
      <c r="I375" s="497">
        <v>43430.0</v>
      </c>
      <c r="J375" s="422">
        <v>11.0</v>
      </c>
      <c r="K375" s="576" t="s">
        <v>228</v>
      </c>
      <c r="L375" s="394" t="s">
        <v>256</v>
      </c>
      <c r="M375" s="528">
        <f t="shared" si="3"/>
        <v>1720</v>
      </c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ht="12.75" customHeight="1">
      <c r="A376" s="425">
        <v>37518.0</v>
      </c>
      <c r="B376" s="426" t="s">
        <v>7636</v>
      </c>
      <c r="C376" s="426">
        <v>2014.0</v>
      </c>
      <c r="D376" s="500">
        <v>41788.0</v>
      </c>
      <c r="E376" s="428" t="s">
        <v>7637</v>
      </c>
      <c r="F376" s="397" t="s">
        <v>178</v>
      </c>
      <c r="G376" s="428" t="s">
        <v>17</v>
      </c>
      <c r="H376" s="397" t="s">
        <v>50</v>
      </c>
      <c r="I376" s="500">
        <v>43430.0</v>
      </c>
      <c r="J376" s="428">
        <v>11.0</v>
      </c>
      <c r="K376" s="575" t="s">
        <v>238</v>
      </c>
      <c r="L376" s="397" t="s">
        <v>256</v>
      </c>
      <c r="M376" s="529">
        <f t="shared" si="3"/>
        <v>1642</v>
      </c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ht="12.75" customHeight="1">
      <c r="A377" s="419">
        <v>37618.0</v>
      </c>
      <c r="B377" s="420" t="s">
        <v>7638</v>
      </c>
      <c r="C377" s="420">
        <v>2015.0</v>
      </c>
      <c r="D377" s="497">
        <v>42216.0</v>
      </c>
      <c r="E377" s="422" t="s">
        <v>7639</v>
      </c>
      <c r="F377" s="394" t="s">
        <v>1968</v>
      </c>
      <c r="G377" s="422" t="s">
        <v>17</v>
      </c>
      <c r="H377" s="394" t="s">
        <v>6826</v>
      </c>
      <c r="I377" s="497">
        <v>43433.0</v>
      </c>
      <c r="J377" s="422">
        <v>11.0</v>
      </c>
      <c r="K377" s="576" t="s">
        <v>228</v>
      </c>
      <c r="L377" s="394" t="s">
        <v>256</v>
      </c>
      <c r="M377" s="528">
        <f t="shared" si="3"/>
        <v>1217</v>
      </c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ht="12.75" customHeight="1">
      <c r="A378" s="425">
        <v>37718.0</v>
      </c>
      <c r="B378" s="426" t="s">
        <v>7640</v>
      </c>
      <c r="C378" s="426">
        <v>2011.0</v>
      </c>
      <c r="D378" s="500">
        <v>40884.0</v>
      </c>
      <c r="E378" s="428" t="s">
        <v>7641</v>
      </c>
      <c r="F378" s="397" t="s">
        <v>1150</v>
      </c>
      <c r="G378" s="428" t="s">
        <v>17</v>
      </c>
      <c r="H378" s="397" t="s">
        <v>50</v>
      </c>
      <c r="I378" s="500">
        <v>43433.0</v>
      </c>
      <c r="J378" s="428">
        <v>11.0</v>
      </c>
      <c r="K378" s="576" t="s">
        <v>228</v>
      </c>
      <c r="L378" s="397" t="s">
        <v>256</v>
      </c>
      <c r="M378" s="529">
        <f t="shared" si="3"/>
        <v>2549</v>
      </c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ht="12.75" customHeight="1">
      <c r="A379" s="419">
        <v>37818.0</v>
      </c>
      <c r="B379" s="420" t="s">
        <v>7642</v>
      </c>
      <c r="C379" s="420">
        <v>2015.0</v>
      </c>
      <c r="D379" s="497">
        <v>42265.0</v>
      </c>
      <c r="E379" s="422" t="s">
        <v>7643</v>
      </c>
      <c r="F379" s="394" t="s">
        <v>1762</v>
      </c>
      <c r="G379" s="422" t="s">
        <v>17</v>
      </c>
      <c r="H379" s="394" t="s">
        <v>153</v>
      </c>
      <c r="I379" s="497">
        <v>43433.0</v>
      </c>
      <c r="J379" s="422">
        <v>11.0</v>
      </c>
      <c r="K379" s="575" t="s">
        <v>238</v>
      </c>
      <c r="L379" s="394" t="s">
        <v>256</v>
      </c>
      <c r="M379" s="528">
        <f t="shared" si="3"/>
        <v>1168</v>
      </c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ht="12.75" customHeight="1">
      <c r="A380" s="425">
        <v>37918.0</v>
      </c>
      <c r="B380" s="426" t="s">
        <v>7644</v>
      </c>
      <c r="C380" s="426">
        <v>2017.0</v>
      </c>
      <c r="D380" s="500">
        <v>42943.0</v>
      </c>
      <c r="E380" s="428" t="s">
        <v>7645</v>
      </c>
      <c r="F380" s="397" t="s">
        <v>31</v>
      </c>
      <c r="G380" s="428" t="s">
        <v>17</v>
      </c>
      <c r="H380" s="397" t="s">
        <v>26</v>
      </c>
      <c r="I380" s="500">
        <v>43433.0</v>
      </c>
      <c r="J380" s="428">
        <v>11.0</v>
      </c>
      <c r="K380" s="575" t="s">
        <v>238</v>
      </c>
      <c r="L380" s="397" t="s">
        <v>258</v>
      </c>
      <c r="M380" s="529">
        <f t="shared" si="3"/>
        <v>490</v>
      </c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ht="12.75" customHeight="1">
      <c r="A381" s="419">
        <v>38018.0</v>
      </c>
      <c r="B381" s="420" t="s">
        <v>7646</v>
      </c>
      <c r="C381" s="420">
        <v>2014.0</v>
      </c>
      <c r="D381" s="497">
        <v>41995.0</v>
      </c>
      <c r="E381" s="422" t="s">
        <v>7647</v>
      </c>
      <c r="F381" s="394" t="s">
        <v>967</v>
      </c>
      <c r="G381" s="422" t="s">
        <v>17</v>
      </c>
      <c r="H381" s="394" t="s">
        <v>6826</v>
      </c>
      <c r="I381" s="497">
        <v>43433.0</v>
      </c>
      <c r="J381" s="422">
        <v>11.0</v>
      </c>
      <c r="K381" s="577" t="s">
        <v>234</v>
      </c>
      <c r="L381" s="394" t="s">
        <v>256</v>
      </c>
      <c r="M381" s="528">
        <f t="shared" si="3"/>
        <v>1438</v>
      </c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ht="12.75" customHeight="1">
      <c r="A382" s="425">
        <v>38118.0</v>
      </c>
      <c r="B382" s="426" t="s">
        <v>7648</v>
      </c>
      <c r="C382" s="426">
        <v>2010.0</v>
      </c>
      <c r="D382" s="500">
        <v>40423.0</v>
      </c>
      <c r="E382" s="428" t="s">
        <v>7649</v>
      </c>
      <c r="F382" s="397" t="s">
        <v>711</v>
      </c>
      <c r="G382" s="428" t="s">
        <v>552</v>
      </c>
      <c r="H382" s="397" t="s">
        <v>5016</v>
      </c>
      <c r="I382" s="500">
        <v>43433.0</v>
      </c>
      <c r="J382" s="428">
        <v>11.0</v>
      </c>
      <c r="K382" s="575" t="s">
        <v>238</v>
      </c>
      <c r="L382" s="397" t="s">
        <v>258</v>
      </c>
      <c r="M382" s="529">
        <f t="shared" si="3"/>
        <v>3010</v>
      </c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ht="12.75" customHeight="1">
      <c r="A383" s="419">
        <v>38218.0</v>
      </c>
      <c r="B383" s="420" t="s">
        <v>7650</v>
      </c>
      <c r="C383" s="420">
        <v>2013.0</v>
      </c>
      <c r="D383" s="497">
        <v>41361.0</v>
      </c>
      <c r="E383" s="422" t="s">
        <v>7651</v>
      </c>
      <c r="F383" s="394" t="s">
        <v>701</v>
      </c>
      <c r="G383" s="422" t="s">
        <v>650</v>
      </c>
      <c r="H383" s="394" t="s">
        <v>2444</v>
      </c>
      <c r="I383" s="497">
        <v>43433.0</v>
      </c>
      <c r="J383" s="422">
        <v>11.0</v>
      </c>
      <c r="K383" s="575" t="s">
        <v>238</v>
      </c>
      <c r="L383" s="394" t="s">
        <v>256</v>
      </c>
      <c r="M383" s="528">
        <f t="shared" si="3"/>
        <v>2072</v>
      </c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ht="12.75" customHeight="1">
      <c r="A384" s="425">
        <v>38318.0</v>
      </c>
      <c r="B384" s="426" t="s">
        <v>7652</v>
      </c>
      <c r="C384" s="426">
        <v>2012.0</v>
      </c>
      <c r="D384" s="500">
        <v>41073.0</v>
      </c>
      <c r="E384" s="428" t="s">
        <v>7653</v>
      </c>
      <c r="F384" s="397" t="s">
        <v>660</v>
      </c>
      <c r="G384" s="428" t="s">
        <v>552</v>
      </c>
      <c r="H384" s="397" t="s">
        <v>2444</v>
      </c>
      <c r="I384" s="500">
        <v>43433.0</v>
      </c>
      <c r="J384" s="428">
        <v>11.0</v>
      </c>
      <c r="K384" s="575" t="s">
        <v>238</v>
      </c>
      <c r="L384" s="397" t="s">
        <v>256</v>
      </c>
      <c r="M384" s="529">
        <f t="shared" si="3"/>
        <v>2360</v>
      </c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ht="12.75" customHeight="1">
      <c r="A385" s="419">
        <v>38418.0</v>
      </c>
      <c r="B385" s="420" t="s">
        <v>7654</v>
      </c>
      <c r="C385" s="420">
        <v>2016.0</v>
      </c>
      <c r="D385" s="497">
        <v>42734.0</v>
      </c>
      <c r="E385" s="422" t="s">
        <v>7655</v>
      </c>
      <c r="F385" s="394" t="s">
        <v>7376</v>
      </c>
      <c r="G385" s="422" t="s">
        <v>650</v>
      </c>
      <c r="H385" s="394" t="s">
        <v>7656</v>
      </c>
      <c r="I385" s="497">
        <v>43434.0</v>
      </c>
      <c r="J385" s="422">
        <v>11.0</v>
      </c>
      <c r="K385" s="576" t="s">
        <v>228</v>
      </c>
      <c r="L385" s="394" t="s">
        <v>256</v>
      </c>
      <c r="M385" s="528">
        <f t="shared" si="3"/>
        <v>700</v>
      </c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ht="12.75" customHeight="1">
      <c r="A386" s="425">
        <v>38518.0</v>
      </c>
      <c r="B386" s="426" t="s">
        <v>7657</v>
      </c>
      <c r="C386" s="426">
        <v>2016.0</v>
      </c>
      <c r="D386" s="500">
        <v>42734.0</v>
      </c>
      <c r="E386" s="428" t="s">
        <v>7658</v>
      </c>
      <c r="F386" s="397" t="s">
        <v>7376</v>
      </c>
      <c r="G386" s="428" t="s">
        <v>650</v>
      </c>
      <c r="H386" s="397" t="s">
        <v>7656</v>
      </c>
      <c r="I386" s="500">
        <v>43434.0</v>
      </c>
      <c r="J386" s="428">
        <v>11.0</v>
      </c>
      <c r="K386" s="576" t="s">
        <v>228</v>
      </c>
      <c r="L386" s="397" t="s">
        <v>256</v>
      </c>
      <c r="M386" s="529">
        <f t="shared" si="3"/>
        <v>700</v>
      </c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ht="12.75" customHeight="1">
      <c r="A387" s="419">
        <v>38618.0</v>
      </c>
      <c r="B387" s="420" t="s">
        <v>7659</v>
      </c>
      <c r="C387" s="420">
        <v>2012.0</v>
      </c>
      <c r="D387" s="497">
        <v>40952.0</v>
      </c>
      <c r="E387" s="422" t="s">
        <v>7660</v>
      </c>
      <c r="F387" s="394" t="s">
        <v>719</v>
      </c>
      <c r="G387" s="422" t="s">
        <v>552</v>
      </c>
      <c r="H387" s="394" t="s">
        <v>596</v>
      </c>
      <c r="I387" s="497">
        <v>43437.0</v>
      </c>
      <c r="J387" s="422">
        <v>11.0</v>
      </c>
      <c r="K387" s="576" t="s">
        <v>228</v>
      </c>
      <c r="L387" s="394" t="s">
        <v>256</v>
      </c>
      <c r="M387" s="528">
        <f t="shared" si="3"/>
        <v>2485</v>
      </c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ht="12.75" customHeight="1">
      <c r="A388" s="425">
        <v>38718.0</v>
      </c>
      <c r="B388" s="426" t="s">
        <v>7661</v>
      </c>
      <c r="C388" s="426">
        <v>2016.0</v>
      </c>
      <c r="D388" s="500">
        <v>42643.0</v>
      </c>
      <c r="E388" s="428" t="s">
        <v>7662</v>
      </c>
      <c r="F388" s="397" t="s">
        <v>7663</v>
      </c>
      <c r="G388" s="428" t="s">
        <v>650</v>
      </c>
      <c r="H388" s="397" t="s">
        <v>7245</v>
      </c>
      <c r="I388" s="500">
        <v>43437.0</v>
      </c>
      <c r="J388" s="428">
        <v>11.0</v>
      </c>
      <c r="K388" s="575" t="s">
        <v>238</v>
      </c>
      <c r="L388" s="397" t="s">
        <v>256</v>
      </c>
      <c r="M388" s="529">
        <f t="shared" si="3"/>
        <v>794</v>
      </c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ht="12.75" customHeight="1">
      <c r="A389" s="419">
        <v>38818.0</v>
      </c>
      <c r="B389" s="420" t="s">
        <v>7664</v>
      </c>
      <c r="C389" s="420">
        <v>2010.0</v>
      </c>
      <c r="D389" s="497">
        <v>40394.0</v>
      </c>
      <c r="E389" s="422" t="s">
        <v>7665</v>
      </c>
      <c r="F389" s="394" t="s">
        <v>2905</v>
      </c>
      <c r="G389" s="422" t="s">
        <v>650</v>
      </c>
      <c r="H389" s="394" t="s">
        <v>2444</v>
      </c>
      <c r="I389" s="497">
        <v>43437.0</v>
      </c>
      <c r="J389" s="422">
        <v>11.0</v>
      </c>
      <c r="K389" s="576" t="s">
        <v>228</v>
      </c>
      <c r="L389" s="394" t="s">
        <v>256</v>
      </c>
      <c r="M389" s="528">
        <f t="shared" si="3"/>
        <v>3043</v>
      </c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ht="12.75" customHeight="1">
      <c r="A390" s="425">
        <v>38918.0</v>
      </c>
      <c r="B390" s="426" t="s">
        <v>7666</v>
      </c>
      <c r="C390" s="426">
        <v>2010.0</v>
      </c>
      <c r="D390" s="500">
        <v>40402.0</v>
      </c>
      <c r="E390" s="428" t="s">
        <v>7667</v>
      </c>
      <c r="F390" s="397" t="s">
        <v>2905</v>
      </c>
      <c r="G390" s="428" t="s">
        <v>650</v>
      </c>
      <c r="H390" s="397" t="s">
        <v>2444</v>
      </c>
      <c r="I390" s="500">
        <v>43437.0</v>
      </c>
      <c r="J390" s="428">
        <v>11.0</v>
      </c>
      <c r="K390" s="576" t="s">
        <v>228</v>
      </c>
      <c r="L390" s="397" t="s">
        <v>256</v>
      </c>
      <c r="M390" s="529">
        <f t="shared" si="3"/>
        <v>3035</v>
      </c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ht="12.75" customHeight="1">
      <c r="A391" s="419">
        <v>39018.0</v>
      </c>
      <c r="B391" s="420" t="s">
        <v>7668</v>
      </c>
      <c r="C391" s="420">
        <v>2016.0</v>
      </c>
      <c r="D391" s="497">
        <v>42643.0</v>
      </c>
      <c r="E391" s="422" t="s">
        <v>7669</v>
      </c>
      <c r="F391" s="394" t="s">
        <v>7670</v>
      </c>
      <c r="G391" s="422" t="s">
        <v>650</v>
      </c>
      <c r="H391" s="394" t="s">
        <v>7245</v>
      </c>
      <c r="I391" s="497">
        <v>43437.0</v>
      </c>
      <c r="J391" s="422">
        <v>11.0</v>
      </c>
      <c r="K391" s="575" t="s">
        <v>238</v>
      </c>
      <c r="L391" s="394" t="s">
        <v>256</v>
      </c>
      <c r="M391" s="528">
        <f t="shared" si="3"/>
        <v>794</v>
      </c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ht="12.75" customHeight="1">
      <c r="A392" s="425">
        <v>39118.0</v>
      </c>
      <c r="B392" s="426" t="s">
        <v>7671</v>
      </c>
      <c r="C392" s="426">
        <v>2013.0</v>
      </c>
      <c r="D392" s="500">
        <v>41638.0</v>
      </c>
      <c r="E392" s="428" t="s">
        <v>7672</v>
      </c>
      <c r="F392" s="397" t="s">
        <v>178</v>
      </c>
      <c r="G392" s="428" t="s">
        <v>17</v>
      </c>
      <c r="H392" s="397" t="s">
        <v>116</v>
      </c>
      <c r="I392" s="500">
        <v>43438.0</v>
      </c>
      <c r="J392" s="428">
        <v>11.0</v>
      </c>
      <c r="K392" s="575" t="s">
        <v>238</v>
      </c>
      <c r="L392" s="397" t="s">
        <v>256</v>
      </c>
      <c r="M392" s="529">
        <f t="shared" si="3"/>
        <v>1800</v>
      </c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ht="12.75" customHeight="1">
      <c r="A393" s="419">
        <v>39218.0</v>
      </c>
      <c r="B393" s="420" t="s">
        <v>7673</v>
      </c>
      <c r="C393" s="420">
        <v>2017.0</v>
      </c>
      <c r="D393" s="497">
        <v>42776.0</v>
      </c>
      <c r="E393" s="422" t="s">
        <v>7674</v>
      </c>
      <c r="F393" s="394" t="s">
        <v>3078</v>
      </c>
      <c r="G393" s="422" t="s">
        <v>17</v>
      </c>
      <c r="H393" s="394" t="s">
        <v>125</v>
      </c>
      <c r="I393" s="497">
        <v>43438.0</v>
      </c>
      <c r="J393" s="422">
        <v>11.0</v>
      </c>
      <c r="K393" s="575" t="s">
        <v>238</v>
      </c>
      <c r="L393" s="394" t="s">
        <v>256</v>
      </c>
      <c r="M393" s="528">
        <f t="shared" si="3"/>
        <v>662</v>
      </c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ht="12.75" customHeight="1">
      <c r="A394" s="425">
        <v>39318.0</v>
      </c>
      <c r="B394" s="426" t="s">
        <v>7675</v>
      </c>
      <c r="C394" s="426">
        <v>2013.0</v>
      </c>
      <c r="D394" s="500">
        <v>41543.0</v>
      </c>
      <c r="E394" s="428" t="s">
        <v>7676</v>
      </c>
      <c r="F394" s="397" t="s">
        <v>3078</v>
      </c>
      <c r="G394" s="428" t="s">
        <v>17</v>
      </c>
      <c r="H394" s="397" t="s">
        <v>26</v>
      </c>
      <c r="I394" s="500">
        <v>43438.0</v>
      </c>
      <c r="J394" s="428">
        <v>11.0</v>
      </c>
      <c r="K394" s="575" t="s">
        <v>238</v>
      </c>
      <c r="L394" s="397" t="s">
        <v>256</v>
      </c>
      <c r="M394" s="529">
        <f t="shared" si="3"/>
        <v>1895</v>
      </c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ht="12.75" customHeight="1">
      <c r="A395" s="419">
        <v>39418.0</v>
      </c>
      <c r="B395" s="420" t="s">
        <v>7677</v>
      </c>
      <c r="C395" s="420">
        <v>2015.0</v>
      </c>
      <c r="D395" s="497">
        <v>42166.0</v>
      </c>
      <c r="E395" s="422" t="s">
        <v>7678</v>
      </c>
      <c r="F395" s="394" t="s">
        <v>3078</v>
      </c>
      <c r="G395" s="422" t="s">
        <v>17</v>
      </c>
      <c r="H395" s="394" t="s">
        <v>5127</v>
      </c>
      <c r="I395" s="497">
        <v>43438.0</v>
      </c>
      <c r="J395" s="422">
        <v>11.0</v>
      </c>
      <c r="K395" s="575" t="s">
        <v>238</v>
      </c>
      <c r="L395" s="394" t="s">
        <v>256</v>
      </c>
      <c r="M395" s="528">
        <f t="shared" si="3"/>
        <v>1272</v>
      </c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ht="12.75" customHeight="1">
      <c r="A396" s="425">
        <v>39518.0</v>
      </c>
      <c r="B396" s="426" t="s">
        <v>7679</v>
      </c>
      <c r="C396" s="426">
        <v>2014.0</v>
      </c>
      <c r="D396" s="500">
        <v>41736.0</v>
      </c>
      <c r="E396" s="428" t="s">
        <v>7680</v>
      </c>
      <c r="F396" s="397" t="s">
        <v>3078</v>
      </c>
      <c r="G396" s="428" t="s">
        <v>17</v>
      </c>
      <c r="H396" s="397" t="s">
        <v>50</v>
      </c>
      <c r="I396" s="500">
        <v>43438.0</v>
      </c>
      <c r="J396" s="428">
        <v>11.0</v>
      </c>
      <c r="K396" s="575" t="s">
        <v>238</v>
      </c>
      <c r="L396" s="397" t="s">
        <v>256</v>
      </c>
      <c r="M396" s="529">
        <f t="shared" si="3"/>
        <v>1702</v>
      </c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ht="12.75" customHeight="1">
      <c r="A397" s="419">
        <v>39618.0</v>
      </c>
      <c r="B397" s="420" t="s">
        <v>7681</v>
      </c>
      <c r="C397" s="420">
        <v>2014.0</v>
      </c>
      <c r="D397" s="497">
        <v>41976.0</v>
      </c>
      <c r="E397" s="422" t="s">
        <v>7682</v>
      </c>
      <c r="F397" s="394" t="s">
        <v>3078</v>
      </c>
      <c r="G397" s="422" t="s">
        <v>17</v>
      </c>
      <c r="H397" s="394" t="s">
        <v>583</v>
      </c>
      <c r="I397" s="497">
        <v>43438.0</v>
      </c>
      <c r="J397" s="422">
        <v>11.0</v>
      </c>
      <c r="K397" s="575" t="s">
        <v>238</v>
      </c>
      <c r="L397" s="394" t="s">
        <v>256</v>
      </c>
      <c r="M397" s="528">
        <f t="shared" si="3"/>
        <v>1462</v>
      </c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ht="12.75" customHeight="1">
      <c r="A398" s="425">
        <v>39718.0</v>
      </c>
      <c r="B398" s="426" t="s">
        <v>7683</v>
      </c>
      <c r="C398" s="426">
        <v>2015.0</v>
      </c>
      <c r="D398" s="500">
        <v>42016.0</v>
      </c>
      <c r="E398" s="428" t="s">
        <v>7684</v>
      </c>
      <c r="F398" s="397" t="s">
        <v>16</v>
      </c>
      <c r="G398" s="428" t="s">
        <v>17</v>
      </c>
      <c r="H398" s="397" t="s">
        <v>6826</v>
      </c>
      <c r="I398" s="500">
        <v>43438.0</v>
      </c>
      <c r="J398" s="428">
        <v>11.0</v>
      </c>
      <c r="K398" s="577" t="s">
        <v>234</v>
      </c>
      <c r="L398" s="397" t="s">
        <v>256</v>
      </c>
      <c r="M398" s="529">
        <f t="shared" si="3"/>
        <v>1422</v>
      </c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ht="12.75" customHeight="1">
      <c r="A399" s="419">
        <v>39818.0</v>
      </c>
      <c r="B399" s="420" t="s">
        <v>7685</v>
      </c>
      <c r="C399" s="420">
        <v>2011.0</v>
      </c>
      <c r="D399" s="497">
        <v>40723.0</v>
      </c>
      <c r="E399" s="422" t="s">
        <v>7686</v>
      </c>
      <c r="F399" s="394" t="s">
        <v>102</v>
      </c>
      <c r="G399" s="422" t="s">
        <v>17</v>
      </c>
      <c r="H399" s="394" t="s">
        <v>153</v>
      </c>
      <c r="I399" s="497">
        <v>43438.0</v>
      </c>
      <c r="J399" s="422">
        <v>11.0</v>
      </c>
      <c r="K399" s="575" t="s">
        <v>238</v>
      </c>
      <c r="L399" s="394" t="s">
        <v>258</v>
      </c>
      <c r="M399" s="528">
        <f t="shared" si="3"/>
        <v>2715</v>
      </c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ht="12.75" customHeight="1">
      <c r="A400" s="425">
        <v>39918.0</v>
      </c>
      <c r="B400" s="426" t="s">
        <v>7687</v>
      </c>
      <c r="C400" s="426">
        <v>2014.0</v>
      </c>
      <c r="D400" s="500">
        <v>41983.0</v>
      </c>
      <c r="E400" s="428" t="s">
        <v>7688</v>
      </c>
      <c r="F400" s="397" t="s">
        <v>1762</v>
      </c>
      <c r="G400" s="428" t="s">
        <v>17</v>
      </c>
      <c r="H400" s="397" t="s">
        <v>6826</v>
      </c>
      <c r="I400" s="500">
        <v>43438.0</v>
      </c>
      <c r="J400" s="428">
        <v>11.0</v>
      </c>
      <c r="K400" s="575" t="s">
        <v>238</v>
      </c>
      <c r="L400" s="397" t="s">
        <v>256</v>
      </c>
      <c r="M400" s="529">
        <f t="shared" si="3"/>
        <v>1455</v>
      </c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ht="12.75" customHeight="1">
      <c r="A401" s="419">
        <v>40018.0</v>
      </c>
      <c r="B401" s="420" t="s">
        <v>7689</v>
      </c>
      <c r="C401" s="420">
        <v>2015.0</v>
      </c>
      <c r="D401" s="497">
        <v>42167.0</v>
      </c>
      <c r="E401" s="422" t="s">
        <v>7690</v>
      </c>
      <c r="F401" s="394" t="s">
        <v>1762</v>
      </c>
      <c r="G401" s="422" t="s">
        <v>17</v>
      </c>
      <c r="H401" s="394" t="s">
        <v>596</v>
      </c>
      <c r="I401" s="497">
        <v>43438.0</v>
      </c>
      <c r="J401" s="422">
        <v>11.0</v>
      </c>
      <c r="K401" s="575" t="s">
        <v>238</v>
      </c>
      <c r="L401" s="394" t="s">
        <v>256</v>
      </c>
      <c r="M401" s="528">
        <f t="shared" si="3"/>
        <v>1271</v>
      </c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ht="12.75" customHeight="1">
      <c r="A402" s="425">
        <v>40118.0</v>
      </c>
      <c r="B402" s="426" t="s">
        <v>7691</v>
      </c>
      <c r="C402" s="426">
        <v>2016.0</v>
      </c>
      <c r="D402" s="500">
        <v>42571.0</v>
      </c>
      <c r="E402" s="428" t="s">
        <v>7692</v>
      </c>
      <c r="F402" s="397" t="s">
        <v>1762</v>
      </c>
      <c r="G402" s="428" t="s">
        <v>17</v>
      </c>
      <c r="H402" s="397" t="s">
        <v>56</v>
      </c>
      <c r="I402" s="500">
        <v>43438.0</v>
      </c>
      <c r="J402" s="428">
        <v>11.0</v>
      </c>
      <c r="K402" s="575" t="s">
        <v>238</v>
      </c>
      <c r="L402" s="397" t="s">
        <v>256</v>
      </c>
      <c r="M402" s="529">
        <f t="shared" si="3"/>
        <v>867</v>
      </c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ht="12.75" customHeight="1">
      <c r="A403" s="419">
        <v>40218.0</v>
      </c>
      <c r="B403" s="420" t="s">
        <v>7693</v>
      </c>
      <c r="C403" s="420">
        <v>2014.0</v>
      </c>
      <c r="D403" s="497">
        <v>41852.0</v>
      </c>
      <c r="E403" s="422" t="s">
        <v>7694</v>
      </c>
      <c r="F403" s="394" t="s">
        <v>1762</v>
      </c>
      <c r="G403" s="422" t="s">
        <v>17</v>
      </c>
      <c r="H403" s="394" t="s">
        <v>26</v>
      </c>
      <c r="I403" s="497">
        <v>43438.0</v>
      </c>
      <c r="J403" s="422">
        <v>11.0</v>
      </c>
      <c r="K403" s="575" t="s">
        <v>238</v>
      </c>
      <c r="L403" s="394" t="s">
        <v>256</v>
      </c>
      <c r="M403" s="528">
        <f t="shared" si="3"/>
        <v>1586</v>
      </c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ht="12.75" customHeight="1">
      <c r="A404" s="425">
        <v>40318.0</v>
      </c>
      <c r="B404" s="426" t="s">
        <v>7695</v>
      </c>
      <c r="C404" s="426">
        <v>2010.0</v>
      </c>
      <c r="D404" s="500">
        <v>40235.0</v>
      </c>
      <c r="E404" s="428" t="s">
        <v>7696</v>
      </c>
      <c r="F404" s="397" t="s">
        <v>666</v>
      </c>
      <c r="G404" s="428" t="s">
        <v>17</v>
      </c>
      <c r="H404" s="397" t="s">
        <v>7371</v>
      </c>
      <c r="I404" s="500">
        <v>43438.0</v>
      </c>
      <c r="J404" s="428">
        <v>11.0</v>
      </c>
      <c r="K404" s="577" t="s">
        <v>234</v>
      </c>
      <c r="L404" s="397" t="s">
        <v>256</v>
      </c>
      <c r="M404" s="529">
        <f t="shared" si="3"/>
        <v>3203</v>
      </c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ht="12.75" customHeight="1">
      <c r="A405" s="419">
        <v>40418.0</v>
      </c>
      <c r="B405" s="420" t="s">
        <v>7697</v>
      </c>
      <c r="C405" s="420">
        <v>2010.0</v>
      </c>
      <c r="D405" s="497">
        <v>40375.0</v>
      </c>
      <c r="E405" s="422" t="s">
        <v>7698</v>
      </c>
      <c r="F405" s="394" t="s">
        <v>1895</v>
      </c>
      <c r="G405" s="422" t="s">
        <v>17</v>
      </c>
      <c r="H405" s="394" t="s">
        <v>934</v>
      </c>
      <c r="I405" s="497">
        <v>43438.0</v>
      </c>
      <c r="J405" s="422">
        <v>11.0</v>
      </c>
      <c r="K405" s="576" t="s">
        <v>228</v>
      </c>
      <c r="L405" s="394" t="s">
        <v>256</v>
      </c>
      <c r="M405" s="528">
        <f t="shared" si="3"/>
        <v>3063</v>
      </c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ht="12.75" customHeight="1">
      <c r="A406" s="425">
        <v>40518.0</v>
      </c>
      <c r="B406" s="426" t="s">
        <v>7699</v>
      </c>
      <c r="C406" s="426">
        <v>2012.0</v>
      </c>
      <c r="D406" s="500">
        <v>41247.0</v>
      </c>
      <c r="E406" s="428" t="s">
        <v>7700</v>
      </c>
      <c r="F406" s="397" t="s">
        <v>1895</v>
      </c>
      <c r="G406" s="428" t="s">
        <v>17</v>
      </c>
      <c r="H406" s="397" t="s">
        <v>7701</v>
      </c>
      <c r="I406" s="500">
        <v>43438.0</v>
      </c>
      <c r="J406" s="428">
        <v>11.0</v>
      </c>
      <c r="K406" s="576" t="s">
        <v>228</v>
      </c>
      <c r="L406" s="397" t="s">
        <v>256</v>
      </c>
      <c r="M406" s="529">
        <f t="shared" si="3"/>
        <v>2191</v>
      </c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ht="12.75" customHeight="1">
      <c r="A407" s="419">
        <v>40618.0</v>
      </c>
      <c r="B407" s="420" t="s">
        <v>7702</v>
      </c>
      <c r="C407" s="420">
        <v>2013.0</v>
      </c>
      <c r="D407" s="497">
        <v>41562.0</v>
      </c>
      <c r="E407" s="422" t="s">
        <v>7703</v>
      </c>
      <c r="F407" s="394" t="s">
        <v>55</v>
      </c>
      <c r="G407" s="422" t="s">
        <v>17</v>
      </c>
      <c r="H407" s="394" t="s">
        <v>6846</v>
      </c>
      <c r="I407" s="497">
        <v>43438.0</v>
      </c>
      <c r="J407" s="422">
        <v>11.0</v>
      </c>
      <c r="K407" s="575" t="s">
        <v>238</v>
      </c>
      <c r="L407" s="394" t="s">
        <v>256</v>
      </c>
      <c r="M407" s="528">
        <f t="shared" si="3"/>
        <v>1876</v>
      </c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ht="12.75" customHeight="1">
      <c r="A408" s="425">
        <v>40718.0</v>
      </c>
      <c r="B408" s="426" t="s">
        <v>7704</v>
      </c>
      <c r="C408" s="426">
        <v>2014.0</v>
      </c>
      <c r="D408" s="500">
        <v>41779.0</v>
      </c>
      <c r="E408" s="428" t="s">
        <v>7705</v>
      </c>
      <c r="F408" s="397" t="s">
        <v>7706</v>
      </c>
      <c r="G408" s="428" t="s">
        <v>650</v>
      </c>
      <c r="H408" s="397" t="s">
        <v>4380</v>
      </c>
      <c r="I408" s="500">
        <v>43440.0</v>
      </c>
      <c r="J408" s="428">
        <v>11.0</v>
      </c>
      <c r="K408" s="575" t="s">
        <v>238</v>
      </c>
      <c r="L408" s="397" t="s">
        <v>258</v>
      </c>
      <c r="M408" s="529">
        <f t="shared" si="3"/>
        <v>1661</v>
      </c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419">
        <v>40818.0</v>
      </c>
      <c r="B409" s="420" t="s">
        <v>7707</v>
      </c>
      <c r="C409" s="420">
        <v>2015.0</v>
      </c>
      <c r="D409" s="497">
        <v>42338.0</v>
      </c>
      <c r="E409" s="422" t="s">
        <v>7708</v>
      </c>
      <c r="F409" s="394" t="s">
        <v>7709</v>
      </c>
      <c r="G409" s="422" t="s">
        <v>552</v>
      </c>
      <c r="H409" s="394" t="s">
        <v>712</v>
      </c>
      <c r="I409" s="497">
        <v>43440.0</v>
      </c>
      <c r="J409" s="422">
        <v>11.0</v>
      </c>
      <c r="K409" s="576" t="s">
        <v>228</v>
      </c>
      <c r="L409" s="394" t="s">
        <v>258</v>
      </c>
      <c r="M409" s="528">
        <f t="shared" si="3"/>
        <v>1102</v>
      </c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425">
        <v>40918.0</v>
      </c>
      <c r="B410" s="426" t="s">
        <v>7710</v>
      </c>
      <c r="C410" s="426">
        <v>2011.0</v>
      </c>
      <c r="D410" s="500">
        <v>40598.0</v>
      </c>
      <c r="E410" s="428" t="s">
        <v>7711</v>
      </c>
      <c r="F410" s="397" t="s">
        <v>7179</v>
      </c>
      <c r="G410" s="428" t="s">
        <v>552</v>
      </c>
      <c r="H410" s="397" t="s">
        <v>1091</v>
      </c>
      <c r="I410" s="500">
        <v>43440.0</v>
      </c>
      <c r="J410" s="428">
        <v>11.0</v>
      </c>
      <c r="K410" s="576" t="s">
        <v>228</v>
      </c>
      <c r="L410" s="397" t="s">
        <v>258</v>
      </c>
      <c r="M410" s="529">
        <f t="shared" si="3"/>
        <v>2842</v>
      </c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419">
        <v>41018.0</v>
      </c>
      <c r="B411" s="420" t="s">
        <v>7712</v>
      </c>
      <c r="C411" s="420">
        <v>2014.0</v>
      </c>
      <c r="D411" s="497">
        <v>41822.0</v>
      </c>
      <c r="E411" s="422" t="s">
        <v>7713</v>
      </c>
      <c r="F411" s="394" t="s">
        <v>701</v>
      </c>
      <c r="G411" s="422" t="s">
        <v>650</v>
      </c>
      <c r="H411" s="394" t="s">
        <v>2444</v>
      </c>
      <c r="I411" s="497">
        <v>43440.0</v>
      </c>
      <c r="J411" s="422">
        <v>11.0</v>
      </c>
      <c r="K411" s="575" t="s">
        <v>238</v>
      </c>
      <c r="L411" s="394" t="s">
        <v>256</v>
      </c>
      <c r="M411" s="528">
        <f t="shared" si="3"/>
        <v>1618</v>
      </c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425">
        <v>41118.0</v>
      </c>
      <c r="B412" s="426" t="s">
        <v>7714</v>
      </c>
      <c r="C412" s="426">
        <v>2013.0</v>
      </c>
      <c r="D412" s="500">
        <v>41548.0</v>
      </c>
      <c r="E412" s="428" t="s">
        <v>7715</v>
      </c>
      <c r="F412" s="397" t="s">
        <v>1895</v>
      </c>
      <c r="G412" s="428" t="s">
        <v>650</v>
      </c>
      <c r="H412" s="397" t="s">
        <v>2444</v>
      </c>
      <c r="I412" s="500">
        <v>43440.0</v>
      </c>
      <c r="J412" s="428">
        <v>11.0</v>
      </c>
      <c r="K412" s="576" t="s">
        <v>228</v>
      </c>
      <c r="L412" s="397" t="s">
        <v>256</v>
      </c>
      <c r="M412" s="529">
        <f t="shared" si="3"/>
        <v>1892</v>
      </c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419">
        <v>41218.0</v>
      </c>
      <c r="B413" s="420" t="s">
        <v>7716</v>
      </c>
      <c r="C413" s="420">
        <v>2012.0</v>
      </c>
      <c r="D413" s="497">
        <v>41156.0</v>
      </c>
      <c r="E413" s="422" t="s">
        <v>7717</v>
      </c>
      <c r="F413" s="394" t="s">
        <v>1846</v>
      </c>
      <c r="G413" s="422" t="s">
        <v>552</v>
      </c>
      <c r="H413" s="394" t="s">
        <v>7371</v>
      </c>
      <c r="I413" s="497">
        <v>43441.0</v>
      </c>
      <c r="J413" s="422">
        <v>11.0</v>
      </c>
      <c r="K413" s="575" t="s">
        <v>238</v>
      </c>
      <c r="L413" s="394" t="s">
        <v>258</v>
      </c>
      <c r="M413" s="528">
        <f t="shared" si="3"/>
        <v>2285</v>
      </c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425">
        <v>41318.0</v>
      </c>
      <c r="B414" s="426" t="s">
        <v>7718</v>
      </c>
      <c r="C414" s="426">
        <v>2013.0</v>
      </c>
      <c r="D414" s="500">
        <v>41390.0</v>
      </c>
      <c r="E414" s="428" t="s">
        <v>7719</v>
      </c>
      <c r="F414" s="397" t="s">
        <v>7720</v>
      </c>
      <c r="G414" s="428" t="s">
        <v>552</v>
      </c>
      <c r="H414" s="397" t="s">
        <v>50</v>
      </c>
      <c r="I414" s="500">
        <v>43445.0</v>
      </c>
      <c r="J414" s="428">
        <v>11.0</v>
      </c>
      <c r="K414" s="576" t="s">
        <v>228</v>
      </c>
      <c r="L414" s="397" t="s">
        <v>256</v>
      </c>
      <c r="M414" s="529">
        <f t="shared" si="3"/>
        <v>2055</v>
      </c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419">
        <v>41418.0</v>
      </c>
      <c r="B415" s="420" t="s">
        <v>7721</v>
      </c>
      <c r="C415" s="420">
        <v>2013.0</v>
      </c>
      <c r="D415" s="497">
        <v>41414.0</v>
      </c>
      <c r="E415" s="422" t="s">
        <v>7722</v>
      </c>
      <c r="F415" s="394" t="s">
        <v>44</v>
      </c>
      <c r="G415" s="422" t="s">
        <v>552</v>
      </c>
      <c r="H415" s="394" t="s">
        <v>7040</v>
      </c>
      <c r="I415" s="497">
        <v>43445.0</v>
      </c>
      <c r="J415" s="422">
        <v>11.0</v>
      </c>
      <c r="K415" s="576" t="s">
        <v>228</v>
      </c>
      <c r="L415" s="394" t="s">
        <v>258</v>
      </c>
      <c r="M415" s="528">
        <f t="shared" si="3"/>
        <v>2031</v>
      </c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425">
        <v>41518.0</v>
      </c>
      <c r="B416" s="426" t="s">
        <v>7723</v>
      </c>
      <c r="C416" s="426">
        <v>2014.0</v>
      </c>
      <c r="D416" s="500">
        <v>41648.0</v>
      </c>
      <c r="E416" s="428" t="s">
        <v>7724</v>
      </c>
      <c r="F416" s="397" t="s">
        <v>31</v>
      </c>
      <c r="G416" s="428" t="s">
        <v>552</v>
      </c>
      <c r="H416" s="397" t="s">
        <v>130</v>
      </c>
      <c r="I416" s="500">
        <v>43445.0</v>
      </c>
      <c r="J416" s="428">
        <v>11.0</v>
      </c>
      <c r="K416" s="576" t="s">
        <v>228</v>
      </c>
      <c r="L416" s="397" t="s">
        <v>258</v>
      </c>
      <c r="M416" s="529">
        <f t="shared" si="3"/>
        <v>1797</v>
      </c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419">
        <v>41618.0</v>
      </c>
      <c r="B417" s="420" t="s">
        <v>7725</v>
      </c>
      <c r="C417" s="420">
        <v>2013.0</v>
      </c>
      <c r="D417" s="497">
        <v>41548.0</v>
      </c>
      <c r="E417" s="422" t="s">
        <v>7726</v>
      </c>
      <c r="F417" s="394" t="s">
        <v>2939</v>
      </c>
      <c r="G417" s="422" t="s">
        <v>650</v>
      </c>
      <c r="H417" s="394" t="s">
        <v>2444</v>
      </c>
      <c r="I417" s="497">
        <v>43445.0</v>
      </c>
      <c r="J417" s="422">
        <v>12.0</v>
      </c>
      <c r="K417" s="576" t="s">
        <v>228</v>
      </c>
      <c r="L417" s="394" t="s">
        <v>256</v>
      </c>
      <c r="M417" s="528">
        <f t="shared" si="3"/>
        <v>1897</v>
      </c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425">
        <v>41718.0</v>
      </c>
      <c r="B418" s="426" t="s">
        <v>7727</v>
      </c>
      <c r="C418" s="426">
        <v>2012.0</v>
      </c>
      <c r="D418" s="500">
        <v>41143.0</v>
      </c>
      <c r="E418" s="428" t="s">
        <v>7728</v>
      </c>
      <c r="F418" s="397" t="s">
        <v>1846</v>
      </c>
      <c r="G418" s="428" t="s">
        <v>552</v>
      </c>
      <c r="H418" s="397" t="s">
        <v>775</v>
      </c>
      <c r="I418" s="500">
        <v>43445.0</v>
      </c>
      <c r="J418" s="428">
        <v>12.0</v>
      </c>
      <c r="K418" s="576" t="s">
        <v>228</v>
      </c>
      <c r="L418" s="397" t="s">
        <v>258</v>
      </c>
      <c r="M418" s="529">
        <f t="shared" si="3"/>
        <v>2302</v>
      </c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419">
        <v>41818.0</v>
      </c>
      <c r="B419" s="420" t="s">
        <v>7729</v>
      </c>
      <c r="C419" s="420">
        <v>2016.0</v>
      </c>
      <c r="D419" s="497">
        <v>42584.0</v>
      </c>
      <c r="E419" s="422" t="s">
        <v>7730</v>
      </c>
      <c r="F419" s="394" t="s">
        <v>7709</v>
      </c>
      <c r="G419" s="422" t="s">
        <v>552</v>
      </c>
      <c r="H419" s="394" t="s">
        <v>6846</v>
      </c>
      <c r="I419" s="497">
        <v>43446.0</v>
      </c>
      <c r="J419" s="422">
        <v>12.0</v>
      </c>
      <c r="K419" s="575" t="s">
        <v>238</v>
      </c>
      <c r="L419" s="394" t="s">
        <v>258</v>
      </c>
      <c r="M419" s="528">
        <f t="shared" si="3"/>
        <v>862</v>
      </c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425">
        <v>41918.0</v>
      </c>
      <c r="B420" s="426" t="s">
        <v>7731</v>
      </c>
      <c r="C420" s="426">
        <v>2013.0</v>
      </c>
      <c r="D420" s="500">
        <v>41484.0</v>
      </c>
      <c r="E420" s="428" t="s">
        <v>7732</v>
      </c>
      <c r="F420" s="397" t="s">
        <v>1834</v>
      </c>
      <c r="G420" s="428" t="s">
        <v>552</v>
      </c>
      <c r="H420" s="397" t="s">
        <v>130</v>
      </c>
      <c r="I420" s="500">
        <v>43448.0</v>
      </c>
      <c r="J420" s="428">
        <v>12.0</v>
      </c>
      <c r="K420" s="576" t="s">
        <v>228</v>
      </c>
      <c r="L420" s="397" t="s">
        <v>258</v>
      </c>
      <c r="M420" s="529">
        <f t="shared" si="3"/>
        <v>1964</v>
      </c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419">
        <v>42018.0</v>
      </c>
      <c r="B421" s="420" t="s">
        <v>7733</v>
      </c>
      <c r="C421" s="420">
        <v>2011.0</v>
      </c>
      <c r="D421" s="497">
        <v>40582.0</v>
      </c>
      <c r="E421" s="422" t="s">
        <v>7734</v>
      </c>
      <c r="F421" s="394" t="s">
        <v>963</v>
      </c>
      <c r="G421" s="422" t="s">
        <v>552</v>
      </c>
      <c r="H421" s="394" t="s">
        <v>596</v>
      </c>
      <c r="I421" s="497">
        <v>43448.0</v>
      </c>
      <c r="J421" s="422">
        <v>12.0</v>
      </c>
      <c r="K421" s="577" t="s">
        <v>234</v>
      </c>
      <c r="L421" s="394" t="s">
        <v>258</v>
      </c>
      <c r="M421" s="528">
        <f t="shared" si="3"/>
        <v>2866</v>
      </c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425">
        <v>42118.0</v>
      </c>
      <c r="B422" s="426" t="s">
        <v>7735</v>
      </c>
      <c r="C422" s="426">
        <v>2013.0</v>
      </c>
      <c r="D422" s="500">
        <v>41604.0</v>
      </c>
      <c r="E422" s="428" t="s">
        <v>7736</v>
      </c>
      <c r="F422" s="397" t="s">
        <v>1823</v>
      </c>
      <c r="G422" s="428" t="s">
        <v>552</v>
      </c>
      <c r="H422" s="397" t="s">
        <v>130</v>
      </c>
      <c r="I422" s="500">
        <v>43448.0</v>
      </c>
      <c r="J422" s="428">
        <v>12.0</v>
      </c>
      <c r="K422" s="576" t="s">
        <v>228</v>
      </c>
      <c r="L422" s="397" t="s">
        <v>258</v>
      </c>
      <c r="M422" s="529">
        <f t="shared" si="3"/>
        <v>1844</v>
      </c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419">
        <v>42218.0</v>
      </c>
      <c r="B423" s="420" t="s">
        <v>7737</v>
      </c>
      <c r="C423" s="420">
        <v>2013.0</v>
      </c>
      <c r="D423" s="497">
        <v>41604.0</v>
      </c>
      <c r="E423" s="422" t="s">
        <v>7738</v>
      </c>
      <c r="F423" s="394" t="s">
        <v>1823</v>
      </c>
      <c r="G423" s="422" t="s">
        <v>552</v>
      </c>
      <c r="H423" s="394" t="s">
        <v>130</v>
      </c>
      <c r="I423" s="497">
        <v>43448.0</v>
      </c>
      <c r="J423" s="422">
        <v>12.0</v>
      </c>
      <c r="K423" s="576" t="s">
        <v>228</v>
      </c>
      <c r="L423" s="394" t="s">
        <v>258</v>
      </c>
      <c r="M423" s="528">
        <f t="shared" si="3"/>
        <v>1844</v>
      </c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425">
        <v>42318.0</v>
      </c>
      <c r="B424" s="426" t="s">
        <v>7739</v>
      </c>
      <c r="C424" s="426">
        <v>2013.0</v>
      </c>
      <c r="D424" s="500">
        <v>41521.0</v>
      </c>
      <c r="E424" s="428" t="s">
        <v>7740</v>
      </c>
      <c r="F424" s="397" t="s">
        <v>44</v>
      </c>
      <c r="G424" s="428" t="s">
        <v>552</v>
      </c>
      <c r="H424" s="397" t="s">
        <v>130</v>
      </c>
      <c r="I424" s="500">
        <v>43448.0</v>
      </c>
      <c r="J424" s="428">
        <v>12.0</v>
      </c>
      <c r="K424" s="576" t="s">
        <v>228</v>
      </c>
      <c r="L424" s="397" t="s">
        <v>258</v>
      </c>
      <c r="M424" s="529">
        <f t="shared" si="3"/>
        <v>1927</v>
      </c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419">
        <v>42418.0</v>
      </c>
      <c r="B425" s="420" t="s">
        <v>7741</v>
      </c>
      <c r="C425" s="420">
        <v>2017.0</v>
      </c>
      <c r="D425" s="497">
        <v>43033.0</v>
      </c>
      <c r="E425" s="422" t="s">
        <v>7742</v>
      </c>
      <c r="F425" s="394" t="s">
        <v>171</v>
      </c>
      <c r="G425" s="422" t="s">
        <v>17</v>
      </c>
      <c r="H425" s="394" t="s">
        <v>112</v>
      </c>
      <c r="I425" s="497">
        <v>43451.0</v>
      </c>
      <c r="J425" s="422">
        <v>12.0</v>
      </c>
      <c r="K425" s="575" t="s">
        <v>238</v>
      </c>
      <c r="L425" s="394" t="s">
        <v>256</v>
      </c>
      <c r="M425" s="528">
        <f t="shared" si="3"/>
        <v>418</v>
      </c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425">
        <v>42518.0</v>
      </c>
      <c r="B426" s="426" t="s">
        <v>7743</v>
      </c>
      <c r="C426" s="426">
        <v>2013.0</v>
      </c>
      <c r="D426" s="500">
        <v>41521.0</v>
      </c>
      <c r="E426" s="428" t="s">
        <v>7744</v>
      </c>
      <c r="F426" s="397" t="s">
        <v>711</v>
      </c>
      <c r="G426" s="428" t="s">
        <v>17</v>
      </c>
      <c r="H426" s="397" t="s">
        <v>583</v>
      </c>
      <c r="I426" s="500">
        <v>43451.0</v>
      </c>
      <c r="J426" s="428">
        <v>12.0</v>
      </c>
      <c r="K426" s="575" t="s">
        <v>238</v>
      </c>
      <c r="L426" s="397" t="s">
        <v>256</v>
      </c>
      <c r="M426" s="529">
        <f t="shared" si="3"/>
        <v>1930</v>
      </c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419">
        <v>42618.0</v>
      </c>
      <c r="B427" s="420" t="s">
        <v>7745</v>
      </c>
      <c r="C427" s="420">
        <v>2015.0</v>
      </c>
      <c r="D427" s="497">
        <v>42186.0</v>
      </c>
      <c r="E427" s="422" t="s">
        <v>7746</v>
      </c>
      <c r="F427" s="394" t="s">
        <v>3810</v>
      </c>
      <c r="G427" s="422" t="s">
        <v>17</v>
      </c>
      <c r="H427" s="394" t="s">
        <v>596</v>
      </c>
      <c r="I427" s="497">
        <v>43451.0</v>
      </c>
      <c r="J427" s="422">
        <v>12.0</v>
      </c>
      <c r="K427" s="575" t="s">
        <v>238</v>
      </c>
      <c r="L427" s="394" t="s">
        <v>258</v>
      </c>
      <c r="M427" s="528">
        <f t="shared" si="3"/>
        <v>1265</v>
      </c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425">
        <v>42718.0</v>
      </c>
      <c r="B428" s="426" t="s">
        <v>7747</v>
      </c>
      <c r="C428" s="426">
        <v>2014.0</v>
      </c>
      <c r="D428" s="500">
        <v>41698.0</v>
      </c>
      <c r="E428" s="428" t="s">
        <v>7748</v>
      </c>
      <c r="F428" s="397" t="s">
        <v>7186</v>
      </c>
      <c r="G428" s="428" t="s">
        <v>17</v>
      </c>
      <c r="H428" s="397" t="s">
        <v>775</v>
      </c>
      <c r="I428" s="500">
        <v>43451.0</v>
      </c>
      <c r="J428" s="428">
        <v>12.0</v>
      </c>
      <c r="K428" s="575" t="s">
        <v>238</v>
      </c>
      <c r="L428" s="397" t="s">
        <v>258</v>
      </c>
      <c r="M428" s="529">
        <f t="shared" si="3"/>
        <v>1753</v>
      </c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419">
        <v>42818.0</v>
      </c>
      <c r="B429" s="420" t="s">
        <v>7749</v>
      </c>
      <c r="C429" s="420">
        <v>2012.0</v>
      </c>
      <c r="D429" s="497">
        <v>41271.0</v>
      </c>
      <c r="E429" s="422" t="s">
        <v>7750</v>
      </c>
      <c r="F429" s="394" t="s">
        <v>7186</v>
      </c>
      <c r="G429" s="422" t="s">
        <v>17</v>
      </c>
      <c r="H429" s="394" t="s">
        <v>881</v>
      </c>
      <c r="I429" s="497">
        <v>43451.0</v>
      </c>
      <c r="J429" s="422">
        <v>12.0</v>
      </c>
      <c r="K429" s="575" t="s">
        <v>238</v>
      </c>
      <c r="L429" s="394" t="s">
        <v>258</v>
      </c>
      <c r="M429" s="528">
        <f t="shared" si="3"/>
        <v>2180</v>
      </c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425">
        <v>42918.0</v>
      </c>
      <c r="B430" s="426" t="s">
        <v>7751</v>
      </c>
      <c r="C430" s="426">
        <v>2013.0</v>
      </c>
      <c r="D430" s="500">
        <v>41577.0</v>
      </c>
      <c r="E430" s="428" t="s">
        <v>7752</v>
      </c>
      <c r="F430" s="397" t="s">
        <v>7186</v>
      </c>
      <c r="G430" s="428" t="s">
        <v>17</v>
      </c>
      <c r="H430" s="397" t="s">
        <v>56</v>
      </c>
      <c r="I430" s="500">
        <v>43451.0</v>
      </c>
      <c r="J430" s="428">
        <v>12.0</v>
      </c>
      <c r="K430" s="575" t="s">
        <v>238</v>
      </c>
      <c r="L430" s="397" t="s">
        <v>258</v>
      </c>
      <c r="M430" s="529">
        <f t="shared" si="3"/>
        <v>1874</v>
      </c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419">
        <v>43018.0</v>
      </c>
      <c r="B431" s="420" t="s">
        <v>7753</v>
      </c>
      <c r="C431" s="420">
        <v>2013.0</v>
      </c>
      <c r="D431" s="497">
        <v>41495.0</v>
      </c>
      <c r="E431" s="422" t="s">
        <v>7754</v>
      </c>
      <c r="F431" s="394" t="s">
        <v>31</v>
      </c>
      <c r="G431" s="422" t="s">
        <v>17</v>
      </c>
      <c r="H431" s="394" t="s">
        <v>775</v>
      </c>
      <c r="I431" s="497">
        <v>43451.0</v>
      </c>
      <c r="J431" s="422">
        <v>12.0</v>
      </c>
      <c r="K431" s="577" t="s">
        <v>234</v>
      </c>
      <c r="L431" s="394" t="s">
        <v>258</v>
      </c>
      <c r="M431" s="528">
        <f t="shared" si="3"/>
        <v>1956</v>
      </c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425">
        <v>43118.0</v>
      </c>
      <c r="B432" s="426" t="s">
        <v>7755</v>
      </c>
      <c r="C432" s="426">
        <v>2014.0</v>
      </c>
      <c r="D432" s="500">
        <v>41765.0</v>
      </c>
      <c r="E432" s="428" t="s">
        <v>7756</v>
      </c>
      <c r="F432" s="397" t="s">
        <v>31</v>
      </c>
      <c r="G432" s="428" t="s">
        <v>17</v>
      </c>
      <c r="H432" s="397" t="s">
        <v>6826</v>
      </c>
      <c r="I432" s="500">
        <v>43451.0</v>
      </c>
      <c r="J432" s="428">
        <v>12.0</v>
      </c>
      <c r="K432" s="577" t="s">
        <v>234</v>
      </c>
      <c r="L432" s="397" t="s">
        <v>258</v>
      </c>
      <c r="M432" s="529">
        <f t="shared" si="3"/>
        <v>1686</v>
      </c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419">
        <v>43218.0</v>
      </c>
      <c r="B433" s="420" t="s">
        <v>7757</v>
      </c>
      <c r="C433" s="420">
        <v>2017.0</v>
      </c>
      <c r="D433" s="497">
        <v>42972.0</v>
      </c>
      <c r="E433" s="422" t="s">
        <v>7758</v>
      </c>
      <c r="F433" s="394" t="s">
        <v>31</v>
      </c>
      <c r="G433" s="422" t="s">
        <v>17</v>
      </c>
      <c r="H433" s="394" t="s">
        <v>56</v>
      </c>
      <c r="I433" s="497">
        <v>43451.0</v>
      </c>
      <c r="J433" s="422">
        <v>12.0</v>
      </c>
      <c r="K433" s="577" t="s">
        <v>234</v>
      </c>
      <c r="L433" s="394" t="s">
        <v>258</v>
      </c>
      <c r="M433" s="528">
        <f t="shared" si="3"/>
        <v>479</v>
      </c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425">
        <v>43318.0</v>
      </c>
      <c r="B434" s="426" t="s">
        <v>7759</v>
      </c>
      <c r="C434" s="426">
        <v>2014.0</v>
      </c>
      <c r="D434" s="500">
        <v>41789.0</v>
      </c>
      <c r="E434" s="428" t="s">
        <v>7760</v>
      </c>
      <c r="F434" s="397" t="s">
        <v>31</v>
      </c>
      <c r="G434" s="428" t="s">
        <v>17</v>
      </c>
      <c r="H434" s="397" t="s">
        <v>97</v>
      </c>
      <c r="I434" s="500">
        <v>43451.0</v>
      </c>
      <c r="J434" s="428">
        <v>12.0</v>
      </c>
      <c r="K434" s="577" t="s">
        <v>234</v>
      </c>
      <c r="L434" s="397" t="s">
        <v>258</v>
      </c>
      <c r="M434" s="529">
        <f t="shared" si="3"/>
        <v>1662</v>
      </c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419">
        <v>43418.0</v>
      </c>
      <c r="B435" s="420" t="s">
        <v>7761</v>
      </c>
      <c r="C435" s="420">
        <v>2018.0</v>
      </c>
      <c r="D435" s="497">
        <v>43285.0</v>
      </c>
      <c r="E435" s="422" t="s">
        <v>7762</v>
      </c>
      <c r="F435" s="503" t="s">
        <v>3725</v>
      </c>
      <c r="G435" s="422" t="s">
        <v>565</v>
      </c>
      <c r="H435" s="394" t="s">
        <v>3800</v>
      </c>
      <c r="I435" s="497">
        <v>43453.0</v>
      </c>
      <c r="J435" s="422">
        <v>12.0</v>
      </c>
      <c r="K435" s="582" t="s">
        <v>244</v>
      </c>
      <c r="L435" s="394" t="s">
        <v>260</v>
      </c>
      <c r="M435" s="528">
        <f t="shared" si="3"/>
        <v>168</v>
      </c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425">
        <v>43518.0</v>
      </c>
      <c r="B436" s="426" t="s">
        <v>7763</v>
      </c>
      <c r="C436" s="426">
        <v>2014.0</v>
      </c>
      <c r="D436" s="500">
        <v>41947.0</v>
      </c>
      <c r="E436" s="428" t="s">
        <v>7764</v>
      </c>
      <c r="F436" s="397" t="s">
        <v>6549</v>
      </c>
      <c r="G436" s="428" t="s">
        <v>552</v>
      </c>
      <c r="H436" s="397" t="s">
        <v>775</v>
      </c>
      <c r="I436" s="500">
        <v>43453.0</v>
      </c>
      <c r="J436" s="428">
        <v>12.0</v>
      </c>
      <c r="K436" s="575" t="s">
        <v>238</v>
      </c>
      <c r="L436" s="397" t="s">
        <v>258</v>
      </c>
      <c r="M436" s="529">
        <f t="shared" si="3"/>
        <v>1506</v>
      </c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419">
        <v>43618.0</v>
      </c>
      <c r="B437" s="420" t="s">
        <v>7765</v>
      </c>
      <c r="C437" s="420">
        <v>2017.0</v>
      </c>
      <c r="D437" s="497">
        <v>42984.0</v>
      </c>
      <c r="E437" s="422" t="s">
        <v>7766</v>
      </c>
      <c r="F437" s="394" t="s">
        <v>963</v>
      </c>
      <c r="G437" s="422" t="s">
        <v>552</v>
      </c>
      <c r="H437" s="394" t="s">
        <v>66</v>
      </c>
      <c r="I437" s="497">
        <v>43453.0</v>
      </c>
      <c r="J437" s="422">
        <v>12.0</v>
      </c>
      <c r="K437" s="575" t="s">
        <v>238</v>
      </c>
      <c r="L437" s="394" t="s">
        <v>258</v>
      </c>
      <c r="M437" s="528">
        <f t="shared" si="3"/>
        <v>469</v>
      </c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425">
        <v>43718.0</v>
      </c>
      <c r="B438" s="426" t="s">
        <v>7767</v>
      </c>
      <c r="C438" s="426">
        <v>2013.0</v>
      </c>
      <c r="D438" s="500">
        <v>41470.0</v>
      </c>
      <c r="E438" s="428" t="s">
        <v>7768</v>
      </c>
      <c r="F438" s="397" t="s">
        <v>1401</v>
      </c>
      <c r="G438" s="428" t="s">
        <v>552</v>
      </c>
      <c r="H438" s="397" t="s">
        <v>50</v>
      </c>
      <c r="I438" s="500">
        <v>43453.0</v>
      </c>
      <c r="J438" s="428">
        <v>12.0</v>
      </c>
      <c r="K438" s="575" t="s">
        <v>238</v>
      </c>
      <c r="L438" s="397" t="s">
        <v>256</v>
      </c>
      <c r="M438" s="529">
        <f t="shared" si="3"/>
        <v>1983</v>
      </c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419">
        <v>43818.0</v>
      </c>
      <c r="B439" s="420" t="s">
        <v>7769</v>
      </c>
      <c r="C439" s="420">
        <v>2015.0</v>
      </c>
      <c r="D439" s="497">
        <v>42314.0</v>
      </c>
      <c r="E439" s="422" t="s">
        <v>7770</v>
      </c>
      <c r="F439" s="394" t="s">
        <v>3572</v>
      </c>
      <c r="G439" s="422" t="s">
        <v>552</v>
      </c>
      <c r="H439" s="394" t="s">
        <v>97</v>
      </c>
      <c r="I439" s="497">
        <v>43455.0</v>
      </c>
      <c r="J439" s="422">
        <v>12.0</v>
      </c>
      <c r="K439" s="575" t="s">
        <v>238</v>
      </c>
      <c r="L439" s="394" t="s">
        <v>256</v>
      </c>
      <c r="M439" s="528">
        <f t="shared" si="3"/>
        <v>1141</v>
      </c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425">
        <v>43918.0</v>
      </c>
      <c r="B440" s="426" t="s">
        <v>7771</v>
      </c>
      <c r="C440" s="426">
        <v>2013.0</v>
      </c>
      <c r="D440" s="500">
        <v>41513.0</v>
      </c>
      <c r="E440" s="428" t="s">
        <v>7772</v>
      </c>
      <c r="F440" s="397" t="s">
        <v>5247</v>
      </c>
      <c r="G440" s="428" t="s">
        <v>552</v>
      </c>
      <c r="H440" s="397" t="s">
        <v>6846</v>
      </c>
      <c r="I440" s="500">
        <v>43455.0</v>
      </c>
      <c r="J440" s="428">
        <v>12.0</v>
      </c>
      <c r="K440" s="582" t="s">
        <v>244</v>
      </c>
      <c r="L440" s="397" t="s">
        <v>258</v>
      </c>
      <c r="M440" s="529">
        <f t="shared" si="3"/>
        <v>1942</v>
      </c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419">
        <v>44018.0</v>
      </c>
      <c r="B441" s="420" t="s">
        <v>7773</v>
      </c>
      <c r="C441" s="420">
        <v>2013.0</v>
      </c>
      <c r="D441" s="497">
        <v>41515.0</v>
      </c>
      <c r="E441" s="422" t="s">
        <v>7774</v>
      </c>
      <c r="F441" s="394" t="s">
        <v>563</v>
      </c>
      <c r="G441" s="422" t="s">
        <v>552</v>
      </c>
      <c r="H441" s="394" t="s">
        <v>1091</v>
      </c>
      <c r="I441" s="497">
        <v>43455.0</v>
      </c>
      <c r="J441" s="422">
        <v>12.0</v>
      </c>
      <c r="K441" s="575" t="s">
        <v>238</v>
      </c>
      <c r="L441" s="394" t="s">
        <v>256</v>
      </c>
      <c r="M441" s="528">
        <f t="shared" si="3"/>
        <v>1940</v>
      </c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425">
        <v>44118.0</v>
      </c>
      <c r="B442" s="426" t="s">
        <v>7775</v>
      </c>
      <c r="C442" s="426">
        <v>2014.0</v>
      </c>
      <c r="D442" s="500">
        <v>41822.0</v>
      </c>
      <c r="E442" s="428" t="s">
        <v>7776</v>
      </c>
      <c r="F442" s="397" t="s">
        <v>701</v>
      </c>
      <c r="G442" s="428" t="s">
        <v>650</v>
      </c>
      <c r="H442" s="397" t="s">
        <v>7777</v>
      </c>
      <c r="I442" s="500">
        <v>43461.0</v>
      </c>
      <c r="J442" s="428">
        <v>12.0</v>
      </c>
      <c r="K442" s="575" t="s">
        <v>238</v>
      </c>
      <c r="L442" s="397" t="s">
        <v>256</v>
      </c>
      <c r="M442" s="529">
        <f t="shared" si="3"/>
        <v>1639</v>
      </c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419">
        <v>44218.0</v>
      </c>
      <c r="B443" s="420" t="s">
        <v>7778</v>
      </c>
      <c r="C443" s="420">
        <v>2018.0</v>
      </c>
      <c r="D443" s="497">
        <v>43188.0</v>
      </c>
      <c r="E443" s="422" t="s">
        <v>7779</v>
      </c>
      <c r="F443" s="503" t="s">
        <v>2614</v>
      </c>
      <c r="G443" s="422" t="s">
        <v>569</v>
      </c>
      <c r="H443" s="394" t="s">
        <v>7486</v>
      </c>
      <c r="I443" s="497">
        <v>43461.0</v>
      </c>
      <c r="J443" s="422">
        <v>12.0</v>
      </c>
      <c r="K443" s="582" t="s">
        <v>244</v>
      </c>
      <c r="L443" s="394" t="s">
        <v>260</v>
      </c>
      <c r="M443" s="528">
        <f t="shared" si="3"/>
        <v>273</v>
      </c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425">
        <v>44318.0</v>
      </c>
      <c r="B444" s="426" t="s">
        <v>7780</v>
      </c>
      <c r="C444" s="426">
        <v>2017.0</v>
      </c>
      <c r="D444" s="500">
        <v>42942.0</v>
      </c>
      <c r="E444" s="428" t="s">
        <v>7781</v>
      </c>
      <c r="F444" s="397" t="s">
        <v>3078</v>
      </c>
      <c r="G444" s="428" t="s">
        <v>552</v>
      </c>
      <c r="H444" s="397" t="s">
        <v>66</v>
      </c>
      <c r="I444" s="500">
        <v>43461.0</v>
      </c>
      <c r="J444" s="428">
        <v>12.0</v>
      </c>
      <c r="K444" s="575" t="s">
        <v>238</v>
      </c>
      <c r="L444" s="397" t="s">
        <v>256</v>
      </c>
      <c r="M444" s="529">
        <f t="shared" si="3"/>
        <v>519</v>
      </c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419">
        <v>44418.0</v>
      </c>
      <c r="B445" s="420" t="s">
        <v>7782</v>
      </c>
      <c r="C445" s="420">
        <v>2011.0</v>
      </c>
      <c r="D445" s="497">
        <v>40826.0</v>
      </c>
      <c r="E445" s="422" t="s">
        <v>7783</v>
      </c>
      <c r="F445" s="394" t="s">
        <v>1464</v>
      </c>
      <c r="G445" s="422" t="s">
        <v>17</v>
      </c>
      <c r="H445" s="394" t="s">
        <v>26</v>
      </c>
      <c r="I445" s="497">
        <v>43462.0</v>
      </c>
      <c r="J445" s="422">
        <v>12.0</v>
      </c>
      <c r="K445" s="575" t="s">
        <v>238</v>
      </c>
      <c r="L445" s="394" t="s">
        <v>256</v>
      </c>
      <c r="M445" s="528">
        <f t="shared" si="3"/>
        <v>2636</v>
      </c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425">
        <v>44518.0</v>
      </c>
      <c r="B446" s="426" t="s">
        <v>7784</v>
      </c>
      <c r="C446" s="426">
        <v>2011.0</v>
      </c>
      <c r="D446" s="500">
        <v>40834.0</v>
      </c>
      <c r="E446" s="428" t="s">
        <v>7785</v>
      </c>
      <c r="F446" s="397" t="s">
        <v>1150</v>
      </c>
      <c r="G446" s="428" t="s">
        <v>17</v>
      </c>
      <c r="H446" s="397" t="s">
        <v>7000</v>
      </c>
      <c r="I446" s="500">
        <v>43462.0</v>
      </c>
      <c r="J446" s="428">
        <v>12.0</v>
      </c>
      <c r="K446" s="576" t="s">
        <v>228</v>
      </c>
      <c r="L446" s="397" t="s">
        <v>256</v>
      </c>
      <c r="M446" s="529">
        <f t="shared" si="3"/>
        <v>2628</v>
      </c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419">
        <v>44618.0</v>
      </c>
      <c r="B447" s="420" t="s">
        <v>7786</v>
      </c>
      <c r="C447" s="420">
        <v>2012.0</v>
      </c>
      <c r="D447" s="497">
        <v>41099.0</v>
      </c>
      <c r="E447" s="422" t="s">
        <v>7787</v>
      </c>
      <c r="F447" s="394" t="s">
        <v>1762</v>
      </c>
      <c r="G447" s="422" t="s">
        <v>17</v>
      </c>
      <c r="H447" s="394" t="s">
        <v>775</v>
      </c>
      <c r="I447" s="497">
        <v>43462.0</v>
      </c>
      <c r="J447" s="422">
        <v>12.0</v>
      </c>
      <c r="K447" s="575" t="s">
        <v>238</v>
      </c>
      <c r="L447" s="394" t="s">
        <v>256</v>
      </c>
      <c r="M447" s="528">
        <f t="shared" si="3"/>
        <v>2363</v>
      </c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425">
        <v>44718.0</v>
      </c>
      <c r="B448" s="426" t="s">
        <v>7788</v>
      </c>
      <c r="C448" s="426">
        <v>2015.0</v>
      </c>
      <c r="D448" s="500">
        <v>42076.0</v>
      </c>
      <c r="E448" s="428" t="s">
        <v>7789</v>
      </c>
      <c r="F448" s="397" t="s">
        <v>1464</v>
      </c>
      <c r="G448" s="428" t="s">
        <v>17</v>
      </c>
      <c r="H448" s="397" t="s">
        <v>6821</v>
      </c>
      <c r="I448" s="500">
        <v>43462.0</v>
      </c>
      <c r="J448" s="428">
        <v>12.0</v>
      </c>
      <c r="K448" s="575" t="s">
        <v>238</v>
      </c>
      <c r="L448" s="397" t="s">
        <v>256</v>
      </c>
      <c r="M448" s="529">
        <f t="shared" si="3"/>
        <v>1386</v>
      </c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419">
        <v>44818.0</v>
      </c>
      <c r="B449" s="420" t="s">
        <v>7790</v>
      </c>
      <c r="C449" s="420">
        <v>2015.0</v>
      </c>
      <c r="D449" s="497">
        <v>42335.0</v>
      </c>
      <c r="E449" s="422" t="s">
        <v>7791</v>
      </c>
      <c r="F449" s="394" t="s">
        <v>1464</v>
      </c>
      <c r="G449" s="422" t="s">
        <v>17</v>
      </c>
      <c r="H449" s="394" t="s">
        <v>112</v>
      </c>
      <c r="I449" s="497">
        <v>43462.0</v>
      </c>
      <c r="J449" s="422">
        <v>12.0</v>
      </c>
      <c r="K449" s="575" t="s">
        <v>238</v>
      </c>
      <c r="L449" s="394" t="s">
        <v>256</v>
      </c>
      <c r="M449" s="528">
        <f t="shared" si="3"/>
        <v>1127</v>
      </c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425">
        <v>44918.0</v>
      </c>
      <c r="B450" s="426" t="s">
        <v>7792</v>
      </c>
      <c r="C450" s="426">
        <v>2016.0</v>
      </c>
      <c r="D450" s="500">
        <v>42450.0</v>
      </c>
      <c r="E450" s="428" t="s">
        <v>7793</v>
      </c>
      <c r="F450" s="397" t="s">
        <v>1762</v>
      </c>
      <c r="G450" s="428" t="s">
        <v>17</v>
      </c>
      <c r="H450" s="397" t="s">
        <v>50</v>
      </c>
      <c r="I450" s="500">
        <v>43462.0</v>
      </c>
      <c r="J450" s="428">
        <v>12.0</v>
      </c>
      <c r="K450" s="575" t="s">
        <v>238</v>
      </c>
      <c r="L450" s="397" t="s">
        <v>256</v>
      </c>
      <c r="M450" s="529">
        <f t="shared" si="3"/>
        <v>1012</v>
      </c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419">
        <v>45018.0</v>
      </c>
      <c r="B451" s="420" t="s">
        <v>7794</v>
      </c>
      <c r="C451" s="420">
        <v>2016.0</v>
      </c>
      <c r="D451" s="497">
        <v>42488.0</v>
      </c>
      <c r="E451" s="422" t="s">
        <v>7795</v>
      </c>
      <c r="F451" s="394" t="s">
        <v>1762</v>
      </c>
      <c r="G451" s="422" t="s">
        <v>17</v>
      </c>
      <c r="H451" s="394" t="s">
        <v>5127</v>
      </c>
      <c r="I451" s="497">
        <v>43462.0</v>
      </c>
      <c r="J451" s="422">
        <v>12.0</v>
      </c>
      <c r="K451" s="575" t="s">
        <v>238</v>
      </c>
      <c r="L451" s="394" t="s">
        <v>256</v>
      </c>
      <c r="M451" s="528">
        <f t="shared" si="3"/>
        <v>974</v>
      </c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425">
        <v>45118.0</v>
      </c>
      <c r="B452" s="426" t="s">
        <v>7796</v>
      </c>
      <c r="C452" s="426">
        <v>2013.0</v>
      </c>
      <c r="D452" s="500">
        <v>41453.0</v>
      </c>
      <c r="E452" s="428" t="s">
        <v>7797</v>
      </c>
      <c r="F452" s="397" t="s">
        <v>6269</v>
      </c>
      <c r="G452" s="428" t="s">
        <v>34</v>
      </c>
      <c r="H452" s="397" t="s">
        <v>3788</v>
      </c>
      <c r="I452" s="500">
        <v>43462.0</v>
      </c>
      <c r="J452" s="428">
        <v>12.0</v>
      </c>
      <c r="K452" s="587" t="s">
        <v>238</v>
      </c>
      <c r="L452" s="397" t="s">
        <v>258</v>
      </c>
      <c r="M452" s="529">
        <f t="shared" si="3"/>
        <v>2009</v>
      </c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588"/>
      <c r="B453" s="589"/>
      <c r="C453" s="589"/>
      <c r="D453" s="590"/>
      <c r="E453" s="589"/>
      <c r="F453" s="589"/>
      <c r="G453" s="589"/>
      <c r="H453" s="589"/>
      <c r="I453" s="590"/>
      <c r="J453" s="589"/>
      <c r="K453" s="589"/>
      <c r="L453" s="589"/>
      <c r="M453" s="591"/>
      <c r="N453" s="589"/>
      <c r="O453" s="589"/>
      <c r="P453" s="589"/>
      <c r="Q453" s="589"/>
      <c r="R453" s="589"/>
      <c r="S453" s="589"/>
      <c r="T453" s="589"/>
      <c r="U453" s="589"/>
      <c r="V453" s="589"/>
      <c r="W453" s="589"/>
      <c r="X453" s="589"/>
      <c r="Y453" s="589"/>
      <c r="Z453" s="589"/>
    </row>
    <row r="454" ht="12.75" hidden="1" customHeight="1">
      <c r="A454" s="592"/>
      <c r="B454" s="593"/>
      <c r="C454" s="594"/>
      <c r="D454" s="595"/>
      <c r="E454" s="596"/>
      <c r="F454" s="597"/>
      <c r="G454" s="596"/>
      <c r="H454" s="597"/>
      <c r="I454" s="595"/>
      <c r="J454" s="593"/>
      <c r="K454" s="593"/>
      <c r="L454" s="593"/>
      <c r="M454" s="5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592"/>
      <c r="B455" s="593"/>
      <c r="C455" s="594"/>
      <c r="D455" s="595"/>
      <c r="E455" s="596"/>
      <c r="F455" s="597"/>
      <c r="G455" s="596"/>
      <c r="H455" s="597"/>
      <c r="I455" s="595"/>
      <c r="J455" s="593"/>
      <c r="K455" s="593"/>
      <c r="L455" s="593"/>
      <c r="M455" s="5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592"/>
      <c r="B456" s="593"/>
      <c r="C456" s="594"/>
      <c r="D456" s="595"/>
      <c r="E456" s="596"/>
      <c r="F456" s="597"/>
      <c r="G456" s="596"/>
      <c r="H456" s="597"/>
      <c r="I456" s="595"/>
      <c r="J456" s="593"/>
      <c r="K456" s="593"/>
      <c r="L456" s="593"/>
      <c r="M456" s="598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592"/>
      <c r="B457" s="593"/>
      <c r="C457" s="594"/>
      <c r="D457" s="595"/>
      <c r="E457" s="596"/>
      <c r="F457" s="597"/>
      <c r="G457" s="596"/>
      <c r="H457" s="597"/>
      <c r="I457" s="595"/>
      <c r="J457" s="593"/>
      <c r="K457" s="593"/>
      <c r="L457" s="593"/>
      <c r="M457" s="598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592"/>
      <c r="B458" s="593"/>
      <c r="C458" s="594"/>
      <c r="D458" s="595"/>
      <c r="E458" s="596"/>
      <c r="F458" s="597"/>
      <c r="G458" s="596"/>
      <c r="H458" s="597"/>
      <c r="I458" s="595"/>
      <c r="J458" s="593"/>
      <c r="K458" s="593"/>
      <c r="L458" s="593"/>
      <c r="M458" s="598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592"/>
      <c r="B459" s="593"/>
      <c r="C459" s="594"/>
      <c r="D459" s="595"/>
      <c r="E459" s="596"/>
      <c r="F459" s="597"/>
      <c r="G459" s="596"/>
      <c r="H459" s="597"/>
      <c r="I459" s="595"/>
      <c r="J459" s="593"/>
      <c r="K459" s="593"/>
      <c r="L459" s="593"/>
      <c r="M459" s="598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592"/>
      <c r="B460" s="593"/>
      <c r="C460" s="594"/>
      <c r="D460" s="595"/>
      <c r="E460" s="596"/>
      <c r="F460" s="597"/>
      <c r="G460" s="596"/>
      <c r="H460" s="597"/>
      <c r="I460" s="595"/>
      <c r="J460" s="593"/>
      <c r="K460" s="593"/>
      <c r="L460" s="593"/>
      <c r="M460" s="598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592"/>
      <c r="B461" s="593"/>
      <c r="C461" s="594"/>
      <c r="D461" s="595"/>
      <c r="E461" s="596"/>
      <c r="F461" s="597"/>
      <c r="G461" s="596"/>
      <c r="H461" s="597"/>
      <c r="I461" s="595"/>
      <c r="J461" s="593"/>
      <c r="K461" s="593"/>
      <c r="L461" s="593"/>
      <c r="M461" s="598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592"/>
      <c r="B462" s="593"/>
      <c r="C462" s="594"/>
      <c r="D462" s="595"/>
      <c r="E462" s="596"/>
      <c r="F462" s="597"/>
      <c r="G462" s="596"/>
      <c r="H462" s="597"/>
      <c r="I462" s="595"/>
      <c r="J462" s="593"/>
      <c r="K462" s="593"/>
      <c r="L462" s="593"/>
      <c r="M462" s="598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592"/>
      <c r="B463" s="593"/>
      <c r="C463" s="594"/>
      <c r="D463" s="595"/>
      <c r="E463" s="596"/>
      <c r="F463" s="597"/>
      <c r="G463" s="596"/>
      <c r="H463" s="597"/>
      <c r="I463" s="595"/>
      <c r="J463" s="593"/>
      <c r="K463" s="593"/>
      <c r="L463" s="593"/>
      <c r="M463" s="598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592"/>
      <c r="B464" s="593"/>
      <c r="C464" s="594"/>
      <c r="D464" s="595"/>
      <c r="E464" s="596"/>
      <c r="F464" s="597"/>
      <c r="G464" s="596"/>
      <c r="H464" s="597"/>
      <c r="I464" s="595"/>
      <c r="J464" s="593"/>
      <c r="K464" s="593"/>
      <c r="L464" s="593"/>
      <c r="M464" s="598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592"/>
      <c r="B465" s="593"/>
      <c r="C465" s="594"/>
      <c r="D465" s="595"/>
      <c r="E465" s="596"/>
      <c r="F465" s="597"/>
      <c r="G465" s="596"/>
      <c r="H465" s="597"/>
      <c r="I465" s="595"/>
      <c r="J465" s="593"/>
      <c r="K465" s="593"/>
      <c r="L465" s="593"/>
      <c r="M465" s="598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592"/>
      <c r="B466" s="593"/>
      <c r="C466" s="594"/>
      <c r="D466" s="595"/>
      <c r="E466" s="596"/>
      <c r="F466" s="597"/>
      <c r="G466" s="596"/>
      <c r="H466" s="597"/>
      <c r="I466" s="595"/>
      <c r="J466" s="593"/>
      <c r="K466" s="593"/>
      <c r="L466" s="593"/>
      <c r="M466" s="598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592"/>
      <c r="B467" s="593"/>
      <c r="C467" s="594"/>
      <c r="D467" s="595"/>
      <c r="E467" s="596"/>
      <c r="F467" s="597"/>
      <c r="G467" s="596"/>
      <c r="H467" s="597"/>
      <c r="I467" s="595"/>
      <c r="J467" s="593"/>
      <c r="K467" s="593"/>
      <c r="L467" s="593"/>
      <c r="M467" s="598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592"/>
      <c r="B468" s="593"/>
      <c r="C468" s="594"/>
      <c r="D468" s="595"/>
      <c r="E468" s="596"/>
      <c r="F468" s="597"/>
      <c r="G468" s="596"/>
      <c r="H468" s="597"/>
      <c r="I468" s="595"/>
      <c r="J468" s="593"/>
      <c r="K468" s="593"/>
      <c r="L468" s="593"/>
      <c r="M468" s="598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592"/>
      <c r="B469" s="593"/>
      <c r="C469" s="594"/>
      <c r="D469" s="595"/>
      <c r="E469" s="596"/>
      <c r="F469" s="597"/>
      <c r="G469" s="596"/>
      <c r="H469" s="597"/>
      <c r="I469" s="595"/>
      <c r="J469" s="593"/>
      <c r="K469" s="593"/>
      <c r="L469" s="593"/>
      <c r="M469" s="598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592"/>
      <c r="B470" s="593"/>
      <c r="C470" s="594"/>
      <c r="D470" s="595"/>
      <c r="E470" s="596"/>
      <c r="F470" s="597"/>
      <c r="G470" s="596"/>
      <c r="H470" s="597"/>
      <c r="I470" s="595"/>
      <c r="J470" s="593"/>
      <c r="K470" s="593"/>
      <c r="L470" s="593"/>
      <c r="M470" s="5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592"/>
      <c r="B471" s="593"/>
      <c r="C471" s="594"/>
      <c r="D471" s="595"/>
      <c r="E471" s="596"/>
      <c r="F471" s="597"/>
      <c r="G471" s="596"/>
      <c r="H471" s="597"/>
      <c r="I471" s="595"/>
      <c r="J471" s="593"/>
      <c r="K471" s="593"/>
      <c r="L471" s="593"/>
      <c r="M471" s="598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592"/>
      <c r="B472" s="593"/>
      <c r="C472" s="594"/>
      <c r="D472" s="595"/>
      <c r="E472" s="596"/>
      <c r="F472" s="597"/>
      <c r="G472" s="596"/>
      <c r="H472" s="597"/>
      <c r="I472" s="595"/>
      <c r="J472" s="593"/>
      <c r="K472" s="593"/>
      <c r="L472" s="593"/>
      <c r="M472" s="598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592"/>
      <c r="B473" s="593"/>
      <c r="C473" s="594"/>
      <c r="D473" s="595"/>
      <c r="E473" s="596"/>
      <c r="F473" s="597"/>
      <c r="G473" s="596"/>
      <c r="H473" s="597"/>
      <c r="I473" s="595"/>
      <c r="J473" s="593"/>
      <c r="K473" s="593"/>
      <c r="L473" s="593"/>
      <c r="M473" s="598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592"/>
      <c r="B474" s="593"/>
      <c r="C474" s="594"/>
      <c r="D474" s="595"/>
      <c r="E474" s="596"/>
      <c r="F474" s="597"/>
      <c r="G474" s="596"/>
      <c r="H474" s="597"/>
      <c r="I474" s="595"/>
      <c r="J474" s="593"/>
      <c r="K474" s="593"/>
      <c r="L474" s="593"/>
      <c r="M474" s="598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592"/>
      <c r="B475" s="593"/>
      <c r="C475" s="594"/>
      <c r="D475" s="595"/>
      <c r="E475" s="596"/>
      <c r="F475" s="597"/>
      <c r="G475" s="596"/>
      <c r="H475" s="597"/>
      <c r="I475" s="595"/>
      <c r="J475" s="593"/>
      <c r="K475" s="593"/>
      <c r="L475" s="593"/>
      <c r="M475" s="598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592"/>
      <c r="B476" s="593"/>
      <c r="C476" s="594"/>
      <c r="D476" s="595"/>
      <c r="E476" s="596"/>
      <c r="F476" s="597"/>
      <c r="G476" s="596"/>
      <c r="H476" s="597"/>
      <c r="I476" s="595"/>
      <c r="J476" s="593"/>
      <c r="K476" s="593"/>
      <c r="L476" s="593"/>
      <c r="M476" s="598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592"/>
      <c r="B477" s="593"/>
      <c r="C477" s="594"/>
      <c r="D477" s="595"/>
      <c r="E477" s="596"/>
      <c r="F477" s="597"/>
      <c r="G477" s="596"/>
      <c r="H477" s="597"/>
      <c r="I477" s="595"/>
      <c r="J477" s="593"/>
      <c r="K477" s="593"/>
      <c r="L477" s="593"/>
      <c r="M477" s="598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592"/>
      <c r="B478" s="593"/>
      <c r="C478" s="594"/>
      <c r="D478" s="595"/>
      <c r="E478" s="596"/>
      <c r="F478" s="597"/>
      <c r="G478" s="596"/>
      <c r="H478" s="597"/>
      <c r="I478" s="595"/>
      <c r="J478" s="593"/>
      <c r="K478" s="593"/>
      <c r="L478" s="593"/>
      <c r="M478" s="598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592"/>
      <c r="B479" s="593"/>
      <c r="C479" s="594"/>
      <c r="D479" s="595"/>
      <c r="E479" s="596"/>
      <c r="F479" s="597"/>
      <c r="G479" s="596"/>
      <c r="H479" s="597"/>
      <c r="I479" s="595"/>
      <c r="J479" s="593"/>
      <c r="K479" s="593"/>
      <c r="L479" s="593"/>
      <c r="M479" s="5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592"/>
      <c r="B480" s="593"/>
      <c r="C480" s="594"/>
      <c r="D480" s="595"/>
      <c r="E480" s="596"/>
      <c r="F480" s="597"/>
      <c r="G480" s="596"/>
      <c r="H480" s="597"/>
      <c r="I480" s="595"/>
      <c r="J480" s="593"/>
      <c r="K480" s="593"/>
      <c r="L480" s="593"/>
      <c r="M480" s="598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592"/>
      <c r="B481" s="593"/>
      <c r="C481" s="594"/>
      <c r="D481" s="595"/>
      <c r="E481" s="596"/>
      <c r="F481" s="597"/>
      <c r="G481" s="596"/>
      <c r="H481" s="597"/>
      <c r="I481" s="595"/>
      <c r="J481" s="593"/>
      <c r="K481" s="593"/>
      <c r="L481" s="593"/>
      <c r="M481" s="598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592"/>
      <c r="B482" s="593"/>
      <c r="C482" s="594"/>
      <c r="D482" s="595"/>
      <c r="E482" s="596"/>
      <c r="F482" s="597"/>
      <c r="G482" s="596"/>
      <c r="H482" s="597"/>
      <c r="I482" s="595"/>
      <c r="J482" s="593"/>
      <c r="K482" s="593"/>
      <c r="L482" s="593"/>
      <c r="M482" s="598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592"/>
      <c r="B483" s="593"/>
      <c r="C483" s="594"/>
      <c r="D483" s="595"/>
      <c r="E483" s="596"/>
      <c r="F483" s="597"/>
      <c r="G483" s="596"/>
      <c r="H483" s="597"/>
      <c r="I483" s="595"/>
      <c r="J483" s="593"/>
      <c r="K483" s="593"/>
      <c r="L483" s="593"/>
      <c r="M483" s="598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592"/>
      <c r="B484" s="593"/>
      <c r="C484" s="594"/>
      <c r="D484" s="595"/>
      <c r="E484" s="596"/>
      <c r="F484" s="597"/>
      <c r="G484" s="596"/>
      <c r="H484" s="597"/>
      <c r="I484" s="595"/>
      <c r="J484" s="593"/>
      <c r="K484" s="593"/>
      <c r="L484" s="593"/>
      <c r="M484" s="598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592"/>
      <c r="B485" s="593"/>
      <c r="C485" s="594"/>
      <c r="D485" s="595"/>
      <c r="E485" s="596"/>
      <c r="F485" s="597"/>
      <c r="G485" s="596"/>
      <c r="H485" s="597"/>
      <c r="I485" s="595"/>
      <c r="J485" s="593"/>
      <c r="K485" s="593"/>
      <c r="L485" s="593"/>
      <c r="M485" s="598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592"/>
      <c r="B486" s="593"/>
      <c r="C486" s="594"/>
      <c r="D486" s="595"/>
      <c r="E486" s="596"/>
      <c r="F486" s="597"/>
      <c r="G486" s="596"/>
      <c r="H486" s="597"/>
      <c r="I486" s="595"/>
      <c r="J486" s="593"/>
      <c r="K486" s="593"/>
      <c r="L486" s="593"/>
      <c r="M486" s="598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592"/>
      <c r="B487" s="593"/>
      <c r="C487" s="594"/>
      <c r="D487" s="595"/>
      <c r="E487" s="596"/>
      <c r="F487" s="597"/>
      <c r="G487" s="596"/>
      <c r="H487" s="597"/>
      <c r="I487" s="595"/>
      <c r="J487" s="593"/>
      <c r="K487" s="593"/>
      <c r="L487" s="593"/>
      <c r="M487" s="598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592"/>
      <c r="B488" s="593"/>
      <c r="C488" s="594"/>
      <c r="D488" s="595"/>
      <c r="E488" s="596"/>
      <c r="F488" s="597"/>
      <c r="G488" s="596"/>
      <c r="H488" s="597"/>
      <c r="I488" s="595"/>
      <c r="J488" s="593"/>
      <c r="K488" s="593"/>
      <c r="L488" s="593"/>
      <c r="M488" s="598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592"/>
      <c r="B489" s="593"/>
      <c r="C489" s="594"/>
      <c r="D489" s="595"/>
      <c r="E489" s="596"/>
      <c r="F489" s="597"/>
      <c r="G489" s="596"/>
      <c r="H489" s="597"/>
      <c r="I489" s="595"/>
      <c r="J489" s="593"/>
      <c r="K489" s="593"/>
      <c r="L489" s="593"/>
      <c r="M489" s="598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592"/>
      <c r="B490" s="593"/>
      <c r="C490" s="594"/>
      <c r="D490" s="595"/>
      <c r="E490" s="596"/>
      <c r="F490" s="597"/>
      <c r="G490" s="596"/>
      <c r="H490" s="597"/>
      <c r="I490" s="595"/>
      <c r="J490" s="593"/>
      <c r="K490" s="593"/>
      <c r="L490" s="593"/>
      <c r="M490" s="598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592"/>
      <c r="B491" s="593"/>
      <c r="C491" s="594"/>
      <c r="D491" s="595"/>
      <c r="E491" s="596"/>
      <c r="F491" s="597"/>
      <c r="G491" s="596"/>
      <c r="H491" s="597"/>
      <c r="I491" s="595"/>
      <c r="J491" s="593"/>
      <c r="K491" s="593"/>
      <c r="L491" s="593"/>
      <c r="M491" s="598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592"/>
      <c r="B492" s="593"/>
      <c r="C492" s="594"/>
      <c r="D492" s="595"/>
      <c r="E492" s="596"/>
      <c r="F492" s="597"/>
      <c r="G492" s="596"/>
      <c r="H492" s="597"/>
      <c r="I492" s="595"/>
      <c r="J492" s="593"/>
      <c r="K492" s="593"/>
      <c r="L492" s="593"/>
      <c r="M492" s="598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592"/>
      <c r="B493" s="593"/>
      <c r="C493" s="594"/>
      <c r="D493" s="595"/>
      <c r="E493" s="596"/>
      <c r="F493" s="597"/>
      <c r="G493" s="596"/>
      <c r="H493" s="597"/>
      <c r="I493" s="595"/>
      <c r="J493" s="593"/>
      <c r="K493" s="593"/>
      <c r="L493" s="593"/>
      <c r="M493" s="598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592"/>
      <c r="B494" s="593"/>
      <c r="C494" s="594"/>
      <c r="D494" s="595"/>
      <c r="E494" s="596"/>
      <c r="F494" s="597"/>
      <c r="G494" s="596"/>
      <c r="H494" s="597"/>
      <c r="I494" s="595"/>
      <c r="J494" s="593"/>
      <c r="K494" s="593"/>
      <c r="L494" s="593"/>
      <c r="M494" s="598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592"/>
      <c r="B495" s="593"/>
      <c r="C495" s="594"/>
      <c r="D495" s="595"/>
      <c r="E495" s="596"/>
      <c r="F495" s="597"/>
      <c r="G495" s="596"/>
      <c r="H495" s="597"/>
      <c r="I495" s="595"/>
      <c r="J495" s="593"/>
      <c r="K495" s="593"/>
      <c r="L495" s="593"/>
      <c r="M495" s="598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592"/>
      <c r="B496" s="593"/>
      <c r="C496" s="594"/>
      <c r="D496" s="595"/>
      <c r="E496" s="596"/>
      <c r="F496" s="597"/>
      <c r="G496" s="596"/>
      <c r="H496" s="597"/>
      <c r="I496" s="595"/>
      <c r="J496" s="593"/>
      <c r="K496" s="593"/>
      <c r="L496" s="593"/>
      <c r="M496" s="598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592"/>
      <c r="B497" s="593"/>
      <c r="C497" s="594"/>
      <c r="D497" s="595"/>
      <c r="E497" s="596"/>
      <c r="F497" s="597"/>
      <c r="G497" s="596"/>
      <c r="H497" s="597"/>
      <c r="I497" s="595"/>
      <c r="J497" s="593"/>
      <c r="K497" s="593"/>
      <c r="L497" s="593"/>
      <c r="M497" s="598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592"/>
      <c r="B498" s="593"/>
      <c r="C498" s="594"/>
      <c r="D498" s="595"/>
      <c r="E498" s="596"/>
      <c r="F498" s="597"/>
      <c r="G498" s="596"/>
      <c r="H498" s="597"/>
      <c r="I498" s="595"/>
      <c r="J498" s="593"/>
      <c r="K498" s="593"/>
      <c r="L498" s="593"/>
      <c r="M498" s="598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592"/>
      <c r="B499" s="593"/>
      <c r="C499" s="594"/>
      <c r="D499" s="595"/>
      <c r="E499" s="596"/>
      <c r="F499" s="597"/>
      <c r="G499" s="596"/>
      <c r="H499" s="597"/>
      <c r="I499" s="595"/>
      <c r="J499" s="593"/>
      <c r="K499" s="593"/>
      <c r="L499" s="593"/>
      <c r="M499" s="598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592"/>
      <c r="B500" s="593"/>
      <c r="C500" s="594"/>
      <c r="D500" s="595"/>
      <c r="E500" s="596"/>
      <c r="F500" s="597"/>
      <c r="G500" s="596"/>
      <c r="H500" s="597"/>
      <c r="I500" s="595"/>
      <c r="J500" s="593"/>
      <c r="K500" s="593"/>
      <c r="L500" s="593"/>
      <c r="M500" s="598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592"/>
      <c r="B501" s="593"/>
      <c r="C501" s="594"/>
      <c r="D501" s="595"/>
      <c r="E501" s="596"/>
      <c r="F501" s="597"/>
      <c r="G501" s="596"/>
      <c r="H501" s="597"/>
      <c r="I501" s="595"/>
      <c r="J501" s="593"/>
      <c r="K501" s="593"/>
      <c r="L501" s="593"/>
      <c r="M501" s="598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592"/>
      <c r="B502" s="593"/>
      <c r="C502" s="594"/>
      <c r="D502" s="595"/>
      <c r="E502" s="596"/>
      <c r="F502" s="597"/>
      <c r="G502" s="596"/>
      <c r="H502" s="597"/>
      <c r="I502" s="595"/>
      <c r="J502" s="593"/>
      <c r="K502" s="593"/>
      <c r="L502" s="593"/>
      <c r="M502" s="598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592"/>
      <c r="B503" s="593"/>
      <c r="C503" s="594"/>
      <c r="D503" s="595"/>
      <c r="E503" s="596"/>
      <c r="F503" s="597"/>
      <c r="G503" s="596"/>
      <c r="H503" s="597"/>
      <c r="I503" s="595"/>
      <c r="J503" s="593"/>
      <c r="K503" s="593"/>
      <c r="L503" s="593"/>
      <c r="M503" s="598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592"/>
      <c r="B504" s="593"/>
      <c r="C504" s="594"/>
      <c r="D504" s="595"/>
      <c r="E504" s="596"/>
      <c r="F504" s="597"/>
      <c r="G504" s="596"/>
      <c r="H504" s="597"/>
      <c r="I504" s="595"/>
      <c r="J504" s="593"/>
      <c r="K504" s="593"/>
      <c r="L504" s="593"/>
      <c r="M504" s="5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592"/>
      <c r="B505" s="593"/>
      <c r="C505" s="594"/>
      <c r="D505" s="595"/>
      <c r="E505" s="596"/>
      <c r="F505" s="597"/>
      <c r="G505" s="596"/>
      <c r="H505" s="597"/>
      <c r="I505" s="595"/>
      <c r="J505" s="593"/>
      <c r="K505" s="593"/>
      <c r="L505" s="593"/>
      <c r="M505" s="598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592"/>
      <c r="B506" s="593"/>
      <c r="C506" s="594"/>
      <c r="D506" s="595"/>
      <c r="E506" s="596"/>
      <c r="F506" s="597"/>
      <c r="G506" s="596"/>
      <c r="H506" s="597"/>
      <c r="I506" s="595"/>
      <c r="J506" s="593"/>
      <c r="K506" s="593"/>
      <c r="L506" s="593"/>
      <c r="M506" s="598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592"/>
      <c r="B507" s="593"/>
      <c r="C507" s="594"/>
      <c r="D507" s="595"/>
      <c r="E507" s="596"/>
      <c r="F507" s="597"/>
      <c r="G507" s="596"/>
      <c r="H507" s="597"/>
      <c r="I507" s="595"/>
      <c r="J507" s="593"/>
      <c r="K507" s="593"/>
      <c r="L507" s="593"/>
      <c r="M507" s="598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592"/>
      <c r="B508" s="593"/>
      <c r="C508" s="594"/>
      <c r="D508" s="595"/>
      <c r="E508" s="596"/>
      <c r="F508" s="597"/>
      <c r="G508" s="596"/>
      <c r="H508" s="597"/>
      <c r="I508" s="595"/>
      <c r="J508" s="593"/>
      <c r="K508" s="593"/>
      <c r="L508" s="593"/>
      <c r="M508" s="598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592"/>
      <c r="B509" s="593"/>
      <c r="C509" s="594"/>
      <c r="D509" s="595"/>
      <c r="E509" s="596"/>
      <c r="F509" s="597"/>
      <c r="G509" s="596"/>
      <c r="H509" s="597"/>
      <c r="I509" s="595"/>
      <c r="J509" s="593"/>
      <c r="K509" s="593"/>
      <c r="L509" s="593"/>
      <c r="M509" s="598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592"/>
      <c r="B510" s="593"/>
      <c r="C510" s="594"/>
      <c r="D510" s="595"/>
      <c r="E510" s="596"/>
      <c r="F510" s="597"/>
      <c r="G510" s="596"/>
      <c r="H510" s="597"/>
      <c r="I510" s="595"/>
      <c r="J510" s="593"/>
      <c r="K510" s="593"/>
      <c r="L510" s="593"/>
      <c r="M510" s="598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592"/>
      <c r="B511" s="593"/>
      <c r="C511" s="594"/>
      <c r="D511" s="595"/>
      <c r="E511" s="596"/>
      <c r="F511" s="597"/>
      <c r="G511" s="596"/>
      <c r="H511" s="597"/>
      <c r="I511" s="595"/>
      <c r="J511" s="593"/>
      <c r="K511" s="593"/>
      <c r="L511" s="593"/>
      <c r="M511" s="598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592"/>
      <c r="B512" s="593"/>
      <c r="C512" s="594"/>
      <c r="D512" s="595"/>
      <c r="E512" s="596"/>
      <c r="F512" s="597"/>
      <c r="G512" s="596"/>
      <c r="H512" s="597"/>
      <c r="I512" s="595"/>
      <c r="J512" s="593"/>
      <c r="K512" s="593"/>
      <c r="L512" s="593"/>
      <c r="M512" s="598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592"/>
      <c r="B513" s="593"/>
      <c r="C513" s="594"/>
      <c r="D513" s="595"/>
      <c r="E513" s="596"/>
      <c r="F513" s="597"/>
      <c r="G513" s="596"/>
      <c r="H513" s="597"/>
      <c r="I513" s="595"/>
      <c r="J513" s="593"/>
      <c r="K513" s="593"/>
      <c r="L513" s="593"/>
      <c r="M513" s="5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592"/>
      <c r="B514" s="593"/>
      <c r="C514" s="594"/>
      <c r="D514" s="595"/>
      <c r="E514" s="596"/>
      <c r="F514" s="597"/>
      <c r="G514" s="596"/>
      <c r="H514" s="597"/>
      <c r="I514" s="595"/>
      <c r="J514" s="593"/>
      <c r="K514" s="593"/>
      <c r="L514" s="593"/>
      <c r="M514" s="598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592"/>
      <c r="B515" s="593"/>
      <c r="C515" s="594"/>
      <c r="D515" s="595"/>
      <c r="E515" s="596"/>
      <c r="F515" s="597"/>
      <c r="G515" s="596"/>
      <c r="H515" s="597"/>
      <c r="I515" s="595"/>
      <c r="J515" s="593"/>
      <c r="K515" s="593"/>
      <c r="L515" s="593"/>
      <c r="M515" s="598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592"/>
      <c r="B516" s="593"/>
      <c r="C516" s="594"/>
      <c r="D516" s="595"/>
      <c r="E516" s="596"/>
      <c r="F516" s="597"/>
      <c r="G516" s="596"/>
      <c r="H516" s="597"/>
      <c r="I516" s="595"/>
      <c r="J516" s="593"/>
      <c r="K516" s="593"/>
      <c r="L516" s="593"/>
      <c r="M516" s="598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592"/>
      <c r="B517" s="593"/>
      <c r="C517" s="594"/>
      <c r="D517" s="595"/>
      <c r="E517" s="596"/>
      <c r="F517" s="597"/>
      <c r="G517" s="596"/>
      <c r="H517" s="597"/>
      <c r="I517" s="595"/>
      <c r="J517" s="593"/>
      <c r="K517" s="593"/>
      <c r="L517" s="593"/>
      <c r="M517" s="598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592"/>
      <c r="B518" s="593"/>
      <c r="C518" s="594"/>
      <c r="D518" s="595"/>
      <c r="E518" s="596"/>
      <c r="F518" s="597"/>
      <c r="G518" s="596"/>
      <c r="H518" s="597"/>
      <c r="I518" s="595"/>
      <c r="J518" s="593"/>
      <c r="K518" s="593"/>
      <c r="L518" s="593"/>
      <c r="M518" s="598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592"/>
      <c r="B519" s="593"/>
      <c r="C519" s="594"/>
      <c r="D519" s="595"/>
      <c r="E519" s="596"/>
      <c r="F519" s="597"/>
      <c r="G519" s="596"/>
      <c r="H519" s="597"/>
      <c r="I519" s="595"/>
      <c r="J519" s="593"/>
      <c r="K519" s="593"/>
      <c r="L519" s="593"/>
      <c r="M519" s="598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592"/>
      <c r="B520" s="593"/>
      <c r="C520" s="594"/>
      <c r="D520" s="595"/>
      <c r="E520" s="596"/>
      <c r="F520" s="597"/>
      <c r="G520" s="596"/>
      <c r="H520" s="597"/>
      <c r="I520" s="595"/>
      <c r="J520" s="593"/>
      <c r="K520" s="593"/>
      <c r="L520" s="593"/>
      <c r="M520" s="598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592"/>
      <c r="B521" s="593"/>
      <c r="C521" s="594"/>
      <c r="D521" s="595"/>
      <c r="E521" s="596"/>
      <c r="F521" s="597"/>
      <c r="G521" s="596"/>
      <c r="H521" s="597"/>
      <c r="I521" s="595"/>
      <c r="J521" s="593"/>
      <c r="K521" s="593"/>
      <c r="L521" s="593"/>
      <c r="M521" s="598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592"/>
      <c r="B522" s="593"/>
      <c r="C522" s="594"/>
      <c r="D522" s="595"/>
      <c r="E522" s="596"/>
      <c r="F522" s="597"/>
      <c r="G522" s="596"/>
      <c r="H522" s="597"/>
      <c r="I522" s="595"/>
      <c r="J522" s="593"/>
      <c r="K522" s="593"/>
      <c r="L522" s="593"/>
      <c r="M522" s="598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592"/>
      <c r="B523" s="593"/>
      <c r="C523" s="594"/>
      <c r="D523" s="595"/>
      <c r="E523" s="596"/>
      <c r="F523" s="597"/>
      <c r="G523" s="596"/>
      <c r="H523" s="597"/>
      <c r="I523" s="595"/>
      <c r="J523" s="593"/>
      <c r="K523" s="593"/>
      <c r="L523" s="593"/>
      <c r="M523" s="598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592"/>
      <c r="B524" s="593"/>
      <c r="C524" s="594"/>
      <c r="D524" s="595"/>
      <c r="E524" s="596"/>
      <c r="F524" s="597"/>
      <c r="G524" s="596"/>
      <c r="H524" s="597"/>
      <c r="I524" s="595"/>
      <c r="J524" s="593"/>
      <c r="K524" s="593"/>
      <c r="L524" s="593"/>
      <c r="M524" s="598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592"/>
      <c r="B525" s="593"/>
      <c r="C525" s="594"/>
      <c r="D525" s="595"/>
      <c r="E525" s="596"/>
      <c r="F525" s="597"/>
      <c r="G525" s="596"/>
      <c r="H525" s="597"/>
      <c r="I525" s="595"/>
      <c r="J525" s="593"/>
      <c r="K525" s="593"/>
      <c r="L525" s="593"/>
      <c r="M525" s="598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592"/>
      <c r="B526" s="593"/>
      <c r="C526" s="594"/>
      <c r="D526" s="595"/>
      <c r="E526" s="596"/>
      <c r="F526" s="597"/>
      <c r="G526" s="596"/>
      <c r="H526" s="597"/>
      <c r="I526" s="595"/>
      <c r="J526" s="593"/>
      <c r="K526" s="593"/>
      <c r="L526" s="593"/>
      <c r="M526" s="598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592"/>
      <c r="B527" s="593"/>
      <c r="C527" s="594"/>
      <c r="D527" s="595"/>
      <c r="E527" s="596"/>
      <c r="F527" s="597"/>
      <c r="G527" s="596"/>
      <c r="H527" s="597"/>
      <c r="I527" s="595"/>
      <c r="J527" s="593"/>
      <c r="K527" s="593"/>
      <c r="L527" s="593"/>
      <c r="M527" s="598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592"/>
      <c r="B528" s="593"/>
      <c r="C528" s="594"/>
      <c r="D528" s="595"/>
      <c r="E528" s="596"/>
      <c r="F528" s="597"/>
      <c r="G528" s="596"/>
      <c r="H528" s="597"/>
      <c r="I528" s="595"/>
      <c r="J528" s="593"/>
      <c r="K528" s="593"/>
      <c r="L528" s="593"/>
      <c r="M528" s="598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592"/>
      <c r="B529" s="593"/>
      <c r="C529" s="594"/>
      <c r="D529" s="595"/>
      <c r="E529" s="596"/>
      <c r="F529" s="597"/>
      <c r="G529" s="596"/>
      <c r="H529" s="597"/>
      <c r="I529" s="595"/>
      <c r="J529" s="593"/>
      <c r="K529" s="593"/>
      <c r="L529" s="593"/>
      <c r="M529" s="598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592"/>
      <c r="B530" s="593"/>
      <c r="C530" s="594"/>
      <c r="D530" s="595"/>
      <c r="E530" s="596"/>
      <c r="F530" s="597"/>
      <c r="G530" s="596"/>
      <c r="H530" s="597"/>
      <c r="I530" s="595"/>
      <c r="J530" s="593"/>
      <c r="K530" s="593"/>
      <c r="L530" s="593"/>
      <c r="M530" s="598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592"/>
      <c r="B531" s="593"/>
      <c r="C531" s="594"/>
      <c r="D531" s="595"/>
      <c r="E531" s="596"/>
      <c r="F531" s="597"/>
      <c r="G531" s="596"/>
      <c r="H531" s="597"/>
      <c r="I531" s="595"/>
      <c r="J531" s="593"/>
      <c r="K531" s="593"/>
      <c r="L531" s="593"/>
      <c r="M531" s="598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592"/>
      <c r="B532" s="593"/>
      <c r="C532" s="594"/>
      <c r="D532" s="595"/>
      <c r="E532" s="596"/>
      <c r="F532" s="597"/>
      <c r="G532" s="596"/>
      <c r="H532" s="597"/>
      <c r="I532" s="595"/>
      <c r="J532" s="593"/>
      <c r="K532" s="593"/>
      <c r="L532" s="593"/>
      <c r="M532" s="598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592"/>
      <c r="B533" s="593"/>
      <c r="C533" s="594"/>
      <c r="D533" s="595"/>
      <c r="E533" s="596"/>
      <c r="F533" s="597"/>
      <c r="G533" s="596"/>
      <c r="H533" s="597"/>
      <c r="I533" s="595"/>
      <c r="J533" s="593"/>
      <c r="K533" s="593"/>
      <c r="L533" s="593"/>
      <c r="M533" s="598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592"/>
      <c r="B534" s="593"/>
      <c r="C534" s="594"/>
      <c r="D534" s="595"/>
      <c r="E534" s="596"/>
      <c r="F534" s="597"/>
      <c r="G534" s="596"/>
      <c r="H534" s="597"/>
      <c r="I534" s="595"/>
      <c r="J534" s="593"/>
      <c r="K534" s="593"/>
      <c r="L534" s="593"/>
      <c r="M534" s="598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592"/>
      <c r="B535" s="593"/>
      <c r="C535" s="594"/>
      <c r="D535" s="595"/>
      <c r="E535" s="596"/>
      <c r="F535" s="597"/>
      <c r="G535" s="596"/>
      <c r="H535" s="597"/>
      <c r="I535" s="595"/>
      <c r="J535" s="593"/>
      <c r="K535" s="593"/>
      <c r="L535" s="593"/>
      <c r="M535" s="598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592"/>
      <c r="B536" s="593"/>
      <c r="C536" s="594"/>
      <c r="D536" s="595"/>
      <c r="E536" s="596"/>
      <c r="F536" s="597"/>
      <c r="G536" s="596"/>
      <c r="H536" s="597"/>
      <c r="I536" s="595"/>
      <c r="J536" s="593"/>
      <c r="K536" s="593"/>
      <c r="L536" s="593"/>
      <c r="M536" s="598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592"/>
      <c r="B537" s="593"/>
      <c r="C537" s="594"/>
      <c r="D537" s="595"/>
      <c r="E537" s="596"/>
      <c r="F537" s="597"/>
      <c r="G537" s="596"/>
      <c r="H537" s="597"/>
      <c r="I537" s="595"/>
      <c r="J537" s="593"/>
      <c r="K537" s="593"/>
      <c r="L537" s="593"/>
      <c r="M537" s="598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592"/>
      <c r="B538" s="593"/>
      <c r="C538" s="594"/>
      <c r="D538" s="595"/>
      <c r="E538" s="596"/>
      <c r="F538" s="597"/>
      <c r="G538" s="596"/>
      <c r="H538" s="597"/>
      <c r="I538" s="595"/>
      <c r="J538" s="593"/>
      <c r="K538" s="593"/>
      <c r="L538" s="593"/>
      <c r="M538" s="598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592"/>
      <c r="B539" s="593"/>
      <c r="C539" s="594"/>
      <c r="D539" s="595"/>
      <c r="E539" s="596"/>
      <c r="F539" s="597"/>
      <c r="G539" s="596"/>
      <c r="H539" s="597"/>
      <c r="I539" s="595"/>
      <c r="J539" s="593"/>
      <c r="K539" s="593"/>
      <c r="L539" s="593"/>
      <c r="M539" s="598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592"/>
      <c r="B540" s="593"/>
      <c r="C540" s="594"/>
      <c r="D540" s="595"/>
      <c r="E540" s="596"/>
      <c r="F540" s="597"/>
      <c r="G540" s="596"/>
      <c r="H540" s="597"/>
      <c r="I540" s="595"/>
      <c r="J540" s="593"/>
      <c r="K540" s="593"/>
      <c r="L540" s="593"/>
      <c r="M540" s="598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592"/>
      <c r="B541" s="593"/>
      <c r="C541" s="594"/>
      <c r="D541" s="595"/>
      <c r="E541" s="596"/>
      <c r="F541" s="597"/>
      <c r="G541" s="596"/>
      <c r="H541" s="597"/>
      <c r="I541" s="595"/>
      <c r="J541" s="593"/>
      <c r="K541" s="593"/>
      <c r="L541" s="593"/>
      <c r="M541" s="598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592"/>
      <c r="B542" s="593"/>
      <c r="C542" s="594"/>
      <c r="D542" s="595"/>
      <c r="E542" s="596"/>
      <c r="F542" s="597"/>
      <c r="G542" s="596"/>
      <c r="H542" s="597"/>
      <c r="I542" s="595"/>
      <c r="J542" s="593"/>
      <c r="K542" s="593"/>
      <c r="L542" s="593"/>
      <c r="M542" s="598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592"/>
      <c r="B543" s="593"/>
      <c r="C543" s="594"/>
      <c r="D543" s="595"/>
      <c r="E543" s="596"/>
      <c r="F543" s="597"/>
      <c r="G543" s="596"/>
      <c r="H543" s="597"/>
      <c r="I543" s="595"/>
      <c r="J543" s="593"/>
      <c r="K543" s="593"/>
      <c r="L543" s="593"/>
      <c r="M543" s="598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592"/>
      <c r="B544" s="593"/>
      <c r="C544" s="594"/>
      <c r="D544" s="595"/>
      <c r="E544" s="596"/>
      <c r="F544" s="597"/>
      <c r="G544" s="596"/>
      <c r="H544" s="597"/>
      <c r="I544" s="595"/>
      <c r="J544" s="593"/>
      <c r="K544" s="593"/>
      <c r="L544" s="593"/>
      <c r="M544" s="598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592"/>
      <c r="B545" s="593"/>
      <c r="C545" s="594"/>
      <c r="D545" s="595"/>
      <c r="E545" s="596"/>
      <c r="F545" s="597"/>
      <c r="G545" s="596"/>
      <c r="H545" s="597"/>
      <c r="I545" s="595"/>
      <c r="J545" s="593"/>
      <c r="K545" s="593"/>
      <c r="L545" s="593"/>
      <c r="M545" s="598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592"/>
      <c r="B546" s="593"/>
      <c r="C546" s="594"/>
      <c r="D546" s="595"/>
      <c r="E546" s="596"/>
      <c r="F546" s="597"/>
      <c r="G546" s="596"/>
      <c r="H546" s="597"/>
      <c r="I546" s="595"/>
      <c r="J546" s="593"/>
      <c r="K546" s="593"/>
      <c r="L546" s="593"/>
      <c r="M546" s="598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592"/>
      <c r="B547" s="593"/>
      <c r="C547" s="594"/>
      <c r="D547" s="595"/>
      <c r="E547" s="596"/>
      <c r="F547" s="597"/>
      <c r="G547" s="596"/>
      <c r="H547" s="597"/>
      <c r="I547" s="595"/>
      <c r="J547" s="593"/>
      <c r="K547" s="593"/>
      <c r="L547" s="593"/>
      <c r="M547" s="5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592"/>
      <c r="B548" s="593"/>
      <c r="C548" s="594"/>
      <c r="D548" s="595"/>
      <c r="E548" s="596"/>
      <c r="F548" s="597"/>
      <c r="G548" s="596"/>
      <c r="H548" s="597"/>
      <c r="I548" s="595"/>
      <c r="J548" s="593"/>
      <c r="K548" s="593"/>
      <c r="L548" s="593"/>
      <c r="M548" s="598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592"/>
      <c r="B549" s="593"/>
      <c r="C549" s="594"/>
      <c r="D549" s="595"/>
      <c r="E549" s="596"/>
      <c r="F549" s="597"/>
      <c r="G549" s="596"/>
      <c r="H549" s="597"/>
      <c r="I549" s="595"/>
      <c r="J549" s="593"/>
      <c r="K549" s="593"/>
      <c r="L549" s="593"/>
      <c r="M549" s="598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592"/>
      <c r="B550" s="593"/>
      <c r="C550" s="594"/>
      <c r="D550" s="595"/>
      <c r="E550" s="596"/>
      <c r="F550" s="597"/>
      <c r="G550" s="596"/>
      <c r="H550" s="597"/>
      <c r="I550" s="595"/>
      <c r="J550" s="593"/>
      <c r="K550" s="593"/>
      <c r="L550" s="593"/>
      <c r="M550" s="598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592"/>
      <c r="B551" s="593"/>
      <c r="C551" s="594"/>
      <c r="D551" s="595"/>
      <c r="E551" s="596"/>
      <c r="F551" s="597"/>
      <c r="G551" s="596"/>
      <c r="H551" s="597"/>
      <c r="I551" s="595"/>
      <c r="J551" s="593"/>
      <c r="K551" s="593"/>
      <c r="L551" s="593"/>
      <c r="M551" s="598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592"/>
      <c r="B552" s="593"/>
      <c r="C552" s="594"/>
      <c r="D552" s="595"/>
      <c r="E552" s="596"/>
      <c r="F552" s="597"/>
      <c r="G552" s="596"/>
      <c r="H552" s="597"/>
      <c r="I552" s="595"/>
      <c r="J552" s="593"/>
      <c r="K552" s="593"/>
      <c r="L552" s="593"/>
      <c r="M552" s="598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592"/>
      <c r="B553" s="593"/>
      <c r="C553" s="594"/>
      <c r="D553" s="595"/>
      <c r="E553" s="596"/>
      <c r="F553" s="597"/>
      <c r="G553" s="596"/>
      <c r="H553" s="597"/>
      <c r="I553" s="595"/>
      <c r="J553" s="593"/>
      <c r="K553" s="593"/>
      <c r="L553" s="593"/>
      <c r="M553" s="598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592"/>
      <c r="B554" s="593"/>
      <c r="C554" s="594"/>
      <c r="D554" s="595"/>
      <c r="E554" s="596"/>
      <c r="F554" s="597"/>
      <c r="G554" s="596"/>
      <c r="H554" s="597"/>
      <c r="I554" s="595"/>
      <c r="J554" s="593"/>
      <c r="K554" s="593"/>
      <c r="L554" s="593"/>
      <c r="M554" s="598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592"/>
      <c r="B555" s="593"/>
      <c r="C555" s="594"/>
      <c r="D555" s="595"/>
      <c r="E555" s="596"/>
      <c r="F555" s="597"/>
      <c r="G555" s="596"/>
      <c r="H555" s="597"/>
      <c r="I555" s="595"/>
      <c r="J555" s="593"/>
      <c r="K555" s="593"/>
      <c r="L555" s="593"/>
      <c r="M555" s="598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592"/>
      <c r="B556" s="593"/>
      <c r="C556" s="594"/>
      <c r="D556" s="595"/>
      <c r="E556" s="596"/>
      <c r="F556" s="597"/>
      <c r="G556" s="596"/>
      <c r="H556" s="597"/>
      <c r="I556" s="595"/>
      <c r="J556" s="593"/>
      <c r="K556" s="593"/>
      <c r="L556" s="593"/>
      <c r="M556" s="598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592"/>
      <c r="B557" s="593"/>
      <c r="C557" s="594"/>
      <c r="D557" s="595"/>
      <c r="E557" s="596"/>
      <c r="F557" s="597"/>
      <c r="G557" s="596"/>
      <c r="H557" s="597"/>
      <c r="I557" s="595"/>
      <c r="J557" s="593"/>
      <c r="K557" s="593"/>
      <c r="L557" s="593"/>
      <c r="M557" s="598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592"/>
      <c r="B558" s="593"/>
      <c r="C558" s="594"/>
      <c r="D558" s="595"/>
      <c r="E558" s="596"/>
      <c r="F558" s="597"/>
      <c r="G558" s="596"/>
      <c r="H558" s="597"/>
      <c r="I558" s="595"/>
      <c r="J558" s="593"/>
      <c r="K558" s="593"/>
      <c r="L558" s="593"/>
      <c r="M558" s="598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592"/>
      <c r="B559" s="593"/>
      <c r="C559" s="594"/>
      <c r="D559" s="595"/>
      <c r="E559" s="596"/>
      <c r="F559" s="597"/>
      <c r="G559" s="596"/>
      <c r="H559" s="597"/>
      <c r="I559" s="595"/>
      <c r="J559" s="593"/>
      <c r="K559" s="593"/>
      <c r="L559" s="593"/>
      <c r="M559" s="598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592"/>
      <c r="B560" s="593"/>
      <c r="C560" s="594"/>
      <c r="D560" s="595"/>
      <c r="E560" s="596"/>
      <c r="F560" s="597"/>
      <c r="G560" s="596"/>
      <c r="H560" s="597"/>
      <c r="I560" s="595"/>
      <c r="J560" s="593"/>
      <c r="K560" s="593"/>
      <c r="L560" s="593"/>
      <c r="M560" s="598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592"/>
      <c r="B561" s="593"/>
      <c r="C561" s="594"/>
      <c r="D561" s="595"/>
      <c r="E561" s="596"/>
      <c r="F561" s="597"/>
      <c r="G561" s="596"/>
      <c r="H561" s="597"/>
      <c r="I561" s="595"/>
      <c r="J561" s="593"/>
      <c r="K561" s="593"/>
      <c r="L561" s="593"/>
      <c r="M561" s="598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592"/>
      <c r="B562" s="593"/>
      <c r="C562" s="594"/>
      <c r="D562" s="595"/>
      <c r="E562" s="596"/>
      <c r="F562" s="597"/>
      <c r="G562" s="596"/>
      <c r="H562" s="597"/>
      <c r="I562" s="595"/>
      <c r="J562" s="593"/>
      <c r="K562" s="593"/>
      <c r="L562" s="593"/>
      <c r="M562" s="598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592"/>
      <c r="B563" s="593"/>
      <c r="C563" s="594"/>
      <c r="D563" s="595"/>
      <c r="E563" s="596"/>
      <c r="F563" s="597"/>
      <c r="G563" s="596"/>
      <c r="H563" s="597"/>
      <c r="I563" s="595"/>
      <c r="J563" s="593"/>
      <c r="K563" s="593"/>
      <c r="L563" s="593"/>
      <c r="M563" s="598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592"/>
      <c r="B564" s="593"/>
      <c r="C564" s="594"/>
      <c r="D564" s="595"/>
      <c r="E564" s="596"/>
      <c r="F564" s="597"/>
      <c r="G564" s="596"/>
      <c r="H564" s="597"/>
      <c r="I564" s="595"/>
      <c r="J564" s="593"/>
      <c r="K564" s="593"/>
      <c r="L564" s="593"/>
      <c r="M564" s="598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592"/>
      <c r="B565" s="593"/>
      <c r="C565" s="594"/>
      <c r="D565" s="595"/>
      <c r="E565" s="596"/>
      <c r="F565" s="597"/>
      <c r="G565" s="596"/>
      <c r="H565" s="597"/>
      <c r="I565" s="595"/>
      <c r="J565" s="593"/>
      <c r="K565" s="593"/>
      <c r="L565" s="593"/>
      <c r="M565" s="598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592"/>
      <c r="B566" s="593"/>
      <c r="C566" s="594"/>
      <c r="D566" s="595"/>
      <c r="E566" s="596"/>
      <c r="F566" s="597"/>
      <c r="G566" s="596"/>
      <c r="H566" s="597"/>
      <c r="I566" s="595"/>
      <c r="J566" s="593"/>
      <c r="K566" s="593"/>
      <c r="L566" s="593"/>
      <c r="M566" s="598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592"/>
      <c r="B567" s="593"/>
      <c r="C567" s="594"/>
      <c r="D567" s="595"/>
      <c r="E567" s="596"/>
      <c r="F567" s="597"/>
      <c r="G567" s="596"/>
      <c r="H567" s="597"/>
      <c r="I567" s="595"/>
      <c r="J567" s="593"/>
      <c r="K567" s="593"/>
      <c r="L567" s="593"/>
      <c r="M567" s="598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592"/>
      <c r="B568" s="593"/>
      <c r="C568" s="594"/>
      <c r="D568" s="595"/>
      <c r="E568" s="596"/>
      <c r="F568" s="597"/>
      <c r="G568" s="596"/>
      <c r="H568" s="597"/>
      <c r="I568" s="595"/>
      <c r="J568" s="593"/>
      <c r="K568" s="593"/>
      <c r="L568" s="593"/>
      <c r="M568" s="598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592"/>
      <c r="B569" s="593"/>
      <c r="C569" s="594"/>
      <c r="D569" s="595"/>
      <c r="E569" s="596"/>
      <c r="F569" s="597"/>
      <c r="G569" s="596"/>
      <c r="H569" s="597"/>
      <c r="I569" s="595"/>
      <c r="J569" s="593"/>
      <c r="K569" s="593"/>
      <c r="L569" s="593"/>
      <c r="M569" s="598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592"/>
      <c r="B570" s="593"/>
      <c r="C570" s="594"/>
      <c r="D570" s="595"/>
      <c r="E570" s="596"/>
      <c r="F570" s="597"/>
      <c r="G570" s="596"/>
      <c r="H570" s="597"/>
      <c r="I570" s="595"/>
      <c r="J570" s="593"/>
      <c r="K570" s="593"/>
      <c r="L570" s="593"/>
      <c r="M570" s="598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592"/>
      <c r="B571" s="593"/>
      <c r="C571" s="594"/>
      <c r="D571" s="595"/>
      <c r="E571" s="596"/>
      <c r="F571" s="597"/>
      <c r="G571" s="596"/>
      <c r="H571" s="597"/>
      <c r="I571" s="595"/>
      <c r="J571" s="593"/>
      <c r="K571" s="593"/>
      <c r="L571" s="593"/>
      <c r="M571" s="598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592"/>
      <c r="B572" s="593"/>
      <c r="C572" s="594"/>
      <c r="D572" s="595"/>
      <c r="E572" s="596"/>
      <c r="F572" s="597"/>
      <c r="G572" s="596"/>
      <c r="H572" s="597"/>
      <c r="I572" s="595"/>
      <c r="J572" s="593"/>
      <c r="K572" s="593"/>
      <c r="L572" s="593"/>
      <c r="M572" s="598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592"/>
      <c r="B573" s="593"/>
      <c r="C573" s="594"/>
      <c r="D573" s="595"/>
      <c r="E573" s="596"/>
      <c r="F573" s="597"/>
      <c r="G573" s="596"/>
      <c r="H573" s="597"/>
      <c r="I573" s="595"/>
      <c r="J573" s="593"/>
      <c r="K573" s="593"/>
      <c r="L573" s="593"/>
      <c r="M573" s="598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592"/>
      <c r="B574" s="593"/>
      <c r="C574" s="594"/>
      <c r="D574" s="595"/>
      <c r="E574" s="596"/>
      <c r="F574" s="597"/>
      <c r="G574" s="596"/>
      <c r="H574" s="597"/>
      <c r="I574" s="595"/>
      <c r="J574" s="593"/>
      <c r="K574" s="593"/>
      <c r="L574" s="593"/>
      <c r="M574" s="598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592"/>
      <c r="B575" s="593"/>
      <c r="C575" s="594"/>
      <c r="D575" s="595"/>
      <c r="E575" s="596"/>
      <c r="F575" s="597"/>
      <c r="G575" s="596"/>
      <c r="H575" s="597"/>
      <c r="I575" s="595"/>
      <c r="J575" s="593"/>
      <c r="K575" s="593"/>
      <c r="L575" s="593"/>
      <c r="M575" s="598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592"/>
      <c r="B576" s="593"/>
      <c r="C576" s="594"/>
      <c r="D576" s="595"/>
      <c r="E576" s="596"/>
      <c r="F576" s="597"/>
      <c r="G576" s="596"/>
      <c r="H576" s="597"/>
      <c r="I576" s="595"/>
      <c r="J576" s="593"/>
      <c r="K576" s="593"/>
      <c r="L576" s="593"/>
      <c r="M576" s="598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592"/>
      <c r="B577" s="593"/>
      <c r="C577" s="594"/>
      <c r="D577" s="595"/>
      <c r="E577" s="596"/>
      <c r="F577" s="597"/>
      <c r="G577" s="596"/>
      <c r="H577" s="597"/>
      <c r="I577" s="595"/>
      <c r="J577" s="593"/>
      <c r="K577" s="593"/>
      <c r="L577" s="593"/>
      <c r="M577" s="598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592"/>
      <c r="B578" s="593"/>
      <c r="C578" s="594"/>
      <c r="D578" s="595"/>
      <c r="E578" s="596"/>
      <c r="F578" s="597"/>
      <c r="G578" s="596"/>
      <c r="H578" s="597"/>
      <c r="I578" s="595"/>
      <c r="J578" s="593"/>
      <c r="K578" s="593"/>
      <c r="L578" s="593"/>
      <c r="M578" s="598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592"/>
      <c r="B579" s="593"/>
      <c r="C579" s="594"/>
      <c r="D579" s="595"/>
      <c r="E579" s="596"/>
      <c r="F579" s="597"/>
      <c r="G579" s="596"/>
      <c r="H579" s="597"/>
      <c r="I579" s="595"/>
      <c r="J579" s="593"/>
      <c r="K579" s="593"/>
      <c r="L579" s="593"/>
      <c r="M579" s="598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592"/>
      <c r="B580" s="593"/>
      <c r="C580" s="594"/>
      <c r="D580" s="595"/>
      <c r="E580" s="596"/>
      <c r="F580" s="597"/>
      <c r="G580" s="596"/>
      <c r="H580" s="597"/>
      <c r="I580" s="595"/>
      <c r="J580" s="593"/>
      <c r="K580" s="593"/>
      <c r="L580" s="593"/>
      <c r="M580" s="598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592"/>
      <c r="B581" s="593"/>
      <c r="C581" s="594"/>
      <c r="D581" s="595"/>
      <c r="E581" s="596"/>
      <c r="F581" s="597"/>
      <c r="G581" s="596"/>
      <c r="H581" s="597"/>
      <c r="I581" s="595"/>
      <c r="J581" s="593"/>
      <c r="K581" s="593"/>
      <c r="L581" s="593"/>
      <c r="M581" s="5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592"/>
      <c r="B582" s="593"/>
      <c r="C582" s="594"/>
      <c r="D582" s="595"/>
      <c r="E582" s="596"/>
      <c r="F582" s="597"/>
      <c r="G582" s="596"/>
      <c r="H582" s="597"/>
      <c r="I582" s="595"/>
      <c r="J582" s="593"/>
      <c r="K582" s="593"/>
      <c r="L582" s="593"/>
      <c r="M582" s="598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592"/>
      <c r="B583" s="593"/>
      <c r="C583" s="594"/>
      <c r="D583" s="595"/>
      <c r="E583" s="596"/>
      <c r="F583" s="597"/>
      <c r="G583" s="596"/>
      <c r="H583" s="597"/>
      <c r="I583" s="595"/>
      <c r="J583" s="593"/>
      <c r="K583" s="593"/>
      <c r="L583" s="593"/>
      <c r="M583" s="598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592"/>
      <c r="B584" s="593"/>
      <c r="C584" s="594"/>
      <c r="D584" s="595"/>
      <c r="E584" s="596"/>
      <c r="F584" s="597"/>
      <c r="G584" s="596"/>
      <c r="H584" s="597"/>
      <c r="I584" s="595"/>
      <c r="J584" s="593"/>
      <c r="K584" s="593"/>
      <c r="L584" s="593"/>
      <c r="M584" s="598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592"/>
      <c r="B585" s="593"/>
      <c r="C585" s="594"/>
      <c r="D585" s="595"/>
      <c r="E585" s="596"/>
      <c r="F585" s="597"/>
      <c r="G585" s="596"/>
      <c r="H585" s="597"/>
      <c r="I585" s="595"/>
      <c r="J585" s="593"/>
      <c r="K585" s="593"/>
      <c r="L585" s="593"/>
      <c r="M585" s="598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592"/>
      <c r="B586" s="593"/>
      <c r="C586" s="594"/>
      <c r="D586" s="595"/>
      <c r="E586" s="596"/>
      <c r="F586" s="597"/>
      <c r="G586" s="596"/>
      <c r="H586" s="597"/>
      <c r="I586" s="595"/>
      <c r="J586" s="593"/>
      <c r="K586" s="593"/>
      <c r="L586" s="593"/>
      <c r="M586" s="598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592"/>
      <c r="B587" s="593"/>
      <c r="C587" s="594"/>
      <c r="D587" s="595"/>
      <c r="E587" s="596"/>
      <c r="F587" s="597"/>
      <c r="G587" s="596"/>
      <c r="H587" s="597"/>
      <c r="I587" s="595"/>
      <c r="J587" s="593"/>
      <c r="K587" s="593"/>
      <c r="L587" s="593"/>
      <c r="M587" s="598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592"/>
      <c r="B588" s="593"/>
      <c r="C588" s="594"/>
      <c r="D588" s="595"/>
      <c r="E588" s="596"/>
      <c r="F588" s="597"/>
      <c r="G588" s="596"/>
      <c r="H588" s="597"/>
      <c r="I588" s="595"/>
      <c r="J588" s="593"/>
      <c r="K588" s="593"/>
      <c r="L588" s="593"/>
      <c r="M588" s="598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592"/>
      <c r="B589" s="593"/>
      <c r="C589" s="594"/>
      <c r="D589" s="595"/>
      <c r="E589" s="596"/>
      <c r="F589" s="597"/>
      <c r="G589" s="596"/>
      <c r="H589" s="597"/>
      <c r="I589" s="595"/>
      <c r="J589" s="593"/>
      <c r="K589" s="593"/>
      <c r="L589" s="593"/>
      <c r="M589" s="598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592"/>
      <c r="B590" s="593"/>
      <c r="C590" s="594"/>
      <c r="D590" s="595"/>
      <c r="E590" s="596"/>
      <c r="F590" s="597"/>
      <c r="G590" s="596"/>
      <c r="H590" s="597"/>
      <c r="I590" s="595"/>
      <c r="J590" s="593"/>
      <c r="K590" s="593"/>
      <c r="L590" s="593"/>
      <c r="M590" s="598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592"/>
      <c r="B591" s="593"/>
      <c r="C591" s="594"/>
      <c r="D591" s="595"/>
      <c r="E591" s="596"/>
      <c r="F591" s="597"/>
      <c r="G591" s="596"/>
      <c r="H591" s="597"/>
      <c r="I591" s="595"/>
      <c r="J591" s="593"/>
      <c r="K591" s="593"/>
      <c r="L591" s="593"/>
      <c r="M591" s="598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592"/>
      <c r="B592" s="593"/>
      <c r="C592" s="594"/>
      <c r="D592" s="595"/>
      <c r="E592" s="596"/>
      <c r="F592" s="597"/>
      <c r="G592" s="596"/>
      <c r="H592" s="597"/>
      <c r="I592" s="595"/>
      <c r="J592" s="593"/>
      <c r="K592" s="593"/>
      <c r="L592" s="593"/>
      <c r="M592" s="5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592"/>
      <c r="B593" s="593"/>
      <c r="C593" s="594"/>
      <c r="D593" s="595"/>
      <c r="E593" s="596"/>
      <c r="F593" s="597"/>
      <c r="G593" s="596"/>
      <c r="H593" s="597"/>
      <c r="I593" s="595"/>
      <c r="J593" s="593"/>
      <c r="K593" s="593"/>
      <c r="L593" s="593"/>
      <c r="M593" s="598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592"/>
      <c r="B594" s="593"/>
      <c r="C594" s="594"/>
      <c r="D594" s="595"/>
      <c r="E594" s="596"/>
      <c r="F594" s="597"/>
      <c r="G594" s="596"/>
      <c r="H594" s="597"/>
      <c r="I594" s="595"/>
      <c r="J594" s="593"/>
      <c r="K594" s="593"/>
      <c r="L594" s="593"/>
      <c r="M594" s="598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592"/>
      <c r="B595" s="593"/>
      <c r="C595" s="594"/>
      <c r="D595" s="595"/>
      <c r="E595" s="596"/>
      <c r="F595" s="597"/>
      <c r="G595" s="596"/>
      <c r="H595" s="597"/>
      <c r="I595" s="595"/>
      <c r="J595" s="593"/>
      <c r="K595" s="593"/>
      <c r="L595" s="593"/>
      <c r="M595" s="5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592"/>
      <c r="B596" s="593"/>
      <c r="C596" s="594"/>
      <c r="D596" s="595"/>
      <c r="E596" s="596"/>
      <c r="F596" s="597"/>
      <c r="G596" s="596"/>
      <c r="H596" s="597"/>
      <c r="I596" s="595"/>
      <c r="J596" s="593"/>
      <c r="K596" s="593"/>
      <c r="L596" s="593"/>
      <c r="M596" s="598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592"/>
      <c r="B597" s="593"/>
      <c r="C597" s="594"/>
      <c r="D597" s="595"/>
      <c r="E597" s="596"/>
      <c r="F597" s="597"/>
      <c r="G597" s="596"/>
      <c r="H597" s="597"/>
      <c r="I597" s="595"/>
      <c r="J597" s="593"/>
      <c r="K597" s="593"/>
      <c r="L597" s="593"/>
      <c r="M597" s="598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592"/>
      <c r="B598" s="593"/>
      <c r="C598" s="594"/>
      <c r="D598" s="595"/>
      <c r="E598" s="596"/>
      <c r="F598" s="597"/>
      <c r="G598" s="596"/>
      <c r="H598" s="597"/>
      <c r="I598" s="595"/>
      <c r="J598" s="593"/>
      <c r="K598" s="593"/>
      <c r="L598" s="593"/>
      <c r="M598" s="5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592"/>
      <c r="B599" s="593"/>
      <c r="C599" s="594"/>
      <c r="D599" s="595"/>
      <c r="E599" s="596"/>
      <c r="F599" s="597"/>
      <c r="G599" s="596"/>
      <c r="H599" s="597"/>
      <c r="I599" s="595"/>
      <c r="J599" s="593"/>
      <c r="K599" s="593"/>
      <c r="L599" s="593"/>
      <c r="M599" s="598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592"/>
      <c r="B600" s="593"/>
      <c r="C600" s="594"/>
      <c r="D600" s="595"/>
      <c r="E600" s="596"/>
      <c r="F600" s="597"/>
      <c r="G600" s="596"/>
      <c r="H600" s="597"/>
      <c r="I600" s="595"/>
      <c r="J600" s="593"/>
      <c r="K600" s="593"/>
      <c r="L600" s="593"/>
      <c r="M600" s="598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592"/>
      <c r="B601" s="593"/>
      <c r="C601" s="594"/>
      <c r="D601" s="595"/>
      <c r="E601" s="596"/>
      <c r="F601" s="597"/>
      <c r="G601" s="596"/>
      <c r="H601" s="597"/>
      <c r="I601" s="595"/>
      <c r="J601" s="593"/>
      <c r="K601" s="593"/>
      <c r="L601" s="593"/>
      <c r="M601" s="598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592"/>
      <c r="B602" s="593"/>
      <c r="C602" s="594"/>
      <c r="D602" s="595"/>
      <c r="E602" s="596"/>
      <c r="F602" s="597"/>
      <c r="G602" s="596"/>
      <c r="H602" s="597"/>
      <c r="I602" s="595"/>
      <c r="J602" s="593"/>
      <c r="K602" s="593"/>
      <c r="L602" s="593"/>
      <c r="M602" s="598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592"/>
      <c r="B603" s="593"/>
      <c r="C603" s="594"/>
      <c r="D603" s="595"/>
      <c r="E603" s="596"/>
      <c r="F603" s="597"/>
      <c r="G603" s="596"/>
      <c r="H603" s="597"/>
      <c r="I603" s="595"/>
      <c r="J603" s="593"/>
      <c r="K603" s="593"/>
      <c r="L603" s="593"/>
      <c r="M603" s="598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592"/>
      <c r="B604" s="593"/>
      <c r="C604" s="594"/>
      <c r="D604" s="595"/>
      <c r="E604" s="596"/>
      <c r="F604" s="597"/>
      <c r="G604" s="596"/>
      <c r="H604" s="597"/>
      <c r="I604" s="595"/>
      <c r="J604" s="593"/>
      <c r="K604" s="593"/>
      <c r="L604" s="593"/>
      <c r="M604" s="5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592"/>
      <c r="B605" s="593"/>
      <c r="C605" s="594"/>
      <c r="D605" s="595"/>
      <c r="E605" s="596"/>
      <c r="F605" s="597"/>
      <c r="G605" s="596"/>
      <c r="H605" s="597"/>
      <c r="I605" s="595"/>
      <c r="J605" s="593"/>
      <c r="K605" s="593"/>
      <c r="L605" s="593"/>
      <c r="M605" s="598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592"/>
      <c r="B606" s="593"/>
      <c r="C606" s="594"/>
      <c r="D606" s="595"/>
      <c r="E606" s="596"/>
      <c r="F606" s="597"/>
      <c r="G606" s="596"/>
      <c r="H606" s="597"/>
      <c r="I606" s="595"/>
      <c r="J606" s="593"/>
      <c r="K606" s="593"/>
      <c r="L606" s="593"/>
      <c r="M606" s="598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592"/>
      <c r="B607" s="593"/>
      <c r="C607" s="594"/>
      <c r="D607" s="595"/>
      <c r="E607" s="596"/>
      <c r="F607" s="597"/>
      <c r="G607" s="596"/>
      <c r="H607" s="597"/>
      <c r="I607" s="595"/>
      <c r="J607" s="593"/>
      <c r="K607" s="593"/>
      <c r="L607" s="593"/>
      <c r="M607" s="5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592"/>
      <c r="B608" s="593"/>
      <c r="C608" s="594"/>
      <c r="D608" s="595"/>
      <c r="E608" s="596"/>
      <c r="F608" s="597"/>
      <c r="G608" s="596"/>
      <c r="H608" s="597"/>
      <c r="I608" s="595"/>
      <c r="J608" s="593"/>
      <c r="K608" s="593"/>
      <c r="L608" s="593"/>
      <c r="M608" s="598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592"/>
      <c r="B609" s="593"/>
      <c r="C609" s="594"/>
      <c r="D609" s="595"/>
      <c r="E609" s="596"/>
      <c r="F609" s="597"/>
      <c r="G609" s="596"/>
      <c r="H609" s="597"/>
      <c r="I609" s="595"/>
      <c r="J609" s="593"/>
      <c r="K609" s="593"/>
      <c r="L609" s="593"/>
      <c r="M609" s="598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592"/>
      <c r="B610" s="593"/>
      <c r="C610" s="594"/>
      <c r="D610" s="595"/>
      <c r="E610" s="596"/>
      <c r="F610" s="597"/>
      <c r="G610" s="596"/>
      <c r="H610" s="597"/>
      <c r="I610" s="595"/>
      <c r="J610" s="593"/>
      <c r="K610" s="593"/>
      <c r="L610" s="593"/>
      <c r="M610" s="5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592"/>
      <c r="B611" s="593"/>
      <c r="C611" s="594"/>
      <c r="D611" s="595"/>
      <c r="E611" s="596"/>
      <c r="F611" s="597"/>
      <c r="G611" s="596"/>
      <c r="H611" s="597"/>
      <c r="I611" s="595"/>
      <c r="J611" s="593"/>
      <c r="K611" s="593"/>
      <c r="L611" s="593"/>
      <c r="M611" s="598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592"/>
      <c r="B612" s="593"/>
      <c r="C612" s="594"/>
      <c r="D612" s="595"/>
      <c r="E612" s="596"/>
      <c r="F612" s="597"/>
      <c r="G612" s="596"/>
      <c r="H612" s="597"/>
      <c r="I612" s="595"/>
      <c r="J612" s="593"/>
      <c r="K612" s="593"/>
      <c r="L612" s="593"/>
      <c r="M612" s="598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592"/>
      <c r="B613" s="593"/>
      <c r="C613" s="594"/>
      <c r="D613" s="595"/>
      <c r="E613" s="596"/>
      <c r="F613" s="597"/>
      <c r="G613" s="596"/>
      <c r="H613" s="597"/>
      <c r="I613" s="595"/>
      <c r="J613" s="593"/>
      <c r="K613" s="593"/>
      <c r="L613" s="593"/>
      <c r="M613" s="598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592"/>
      <c r="B614" s="593"/>
      <c r="C614" s="594"/>
      <c r="D614" s="595"/>
      <c r="E614" s="596"/>
      <c r="F614" s="597"/>
      <c r="G614" s="596"/>
      <c r="H614" s="597"/>
      <c r="I614" s="595"/>
      <c r="J614" s="593"/>
      <c r="K614" s="593"/>
      <c r="L614" s="593"/>
      <c r="M614" s="598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592"/>
      <c r="B615" s="593"/>
      <c r="C615" s="594"/>
      <c r="D615" s="595"/>
      <c r="E615" s="596"/>
      <c r="F615" s="597"/>
      <c r="G615" s="596"/>
      <c r="H615" s="597"/>
      <c r="I615" s="595"/>
      <c r="J615" s="593"/>
      <c r="K615" s="593"/>
      <c r="L615" s="593"/>
      <c r="M615" s="5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592"/>
      <c r="B616" s="593"/>
      <c r="C616" s="594"/>
      <c r="D616" s="595"/>
      <c r="E616" s="596"/>
      <c r="F616" s="597"/>
      <c r="G616" s="596"/>
      <c r="H616" s="597"/>
      <c r="I616" s="595"/>
      <c r="J616" s="593"/>
      <c r="K616" s="593"/>
      <c r="L616" s="593"/>
      <c r="M616" s="598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592"/>
      <c r="B617" s="593"/>
      <c r="C617" s="594"/>
      <c r="D617" s="595"/>
      <c r="E617" s="596"/>
      <c r="F617" s="597"/>
      <c r="G617" s="596"/>
      <c r="H617" s="597"/>
      <c r="I617" s="595"/>
      <c r="J617" s="593"/>
      <c r="K617" s="593"/>
      <c r="L617" s="593"/>
      <c r="M617" s="598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592"/>
      <c r="B618" s="593"/>
      <c r="C618" s="594"/>
      <c r="D618" s="595"/>
      <c r="E618" s="596"/>
      <c r="F618" s="597"/>
      <c r="G618" s="596"/>
      <c r="H618" s="597"/>
      <c r="I618" s="595"/>
      <c r="J618" s="593"/>
      <c r="K618" s="593"/>
      <c r="L618" s="593"/>
      <c r="M618" s="598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592"/>
      <c r="B619" s="593"/>
      <c r="C619" s="594"/>
      <c r="D619" s="595"/>
      <c r="E619" s="596"/>
      <c r="F619" s="597"/>
      <c r="G619" s="596"/>
      <c r="H619" s="597"/>
      <c r="I619" s="595"/>
      <c r="J619" s="593"/>
      <c r="K619" s="593"/>
      <c r="L619" s="593"/>
      <c r="M619" s="598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592"/>
      <c r="B620" s="593"/>
      <c r="C620" s="594"/>
      <c r="D620" s="595"/>
      <c r="E620" s="596"/>
      <c r="F620" s="597"/>
      <c r="G620" s="596"/>
      <c r="H620" s="597"/>
      <c r="I620" s="595"/>
      <c r="J620" s="593"/>
      <c r="K620" s="593"/>
      <c r="L620" s="593"/>
      <c r="M620" s="598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592"/>
      <c r="B621" s="593"/>
      <c r="C621" s="594"/>
      <c r="D621" s="595"/>
      <c r="E621" s="596"/>
      <c r="F621" s="597"/>
      <c r="G621" s="596"/>
      <c r="H621" s="597"/>
      <c r="I621" s="595"/>
      <c r="J621" s="593"/>
      <c r="K621" s="593"/>
      <c r="L621" s="593"/>
      <c r="M621" s="598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592"/>
      <c r="B622" s="593"/>
      <c r="C622" s="594"/>
      <c r="D622" s="595"/>
      <c r="E622" s="596"/>
      <c r="F622" s="597"/>
      <c r="G622" s="596"/>
      <c r="H622" s="597"/>
      <c r="I622" s="595"/>
      <c r="J622" s="593"/>
      <c r="K622" s="593"/>
      <c r="L622" s="593"/>
      <c r="M622" s="598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592"/>
      <c r="B623" s="593"/>
      <c r="C623" s="594"/>
      <c r="D623" s="595"/>
      <c r="E623" s="596"/>
      <c r="F623" s="597"/>
      <c r="G623" s="596"/>
      <c r="H623" s="597"/>
      <c r="I623" s="595"/>
      <c r="J623" s="593"/>
      <c r="K623" s="593"/>
      <c r="L623" s="593"/>
      <c r="M623" s="598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592"/>
      <c r="B624" s="593"/>
      <c r="C624" s="594"/>
      <c r="D624" s="595"/>
      <c r="E624" s="596"/>
      <c r="F624" s="597"/>
      <c r="G624" s="596"/>
      <c r="H624" s="597"/>
      <c r="I624" s="595"/>
      <c r="J624" s="593"/>
      <c r="K624" s="593"/>
      <c r="L624" s="593"/>
      <c r="M624" s="598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592"/>
      <c r="B625" s="593"/>
      <c r="C625" s="594"/>
      <c r="D625" s="595"/>
      <c r="E625" s="596"/>
      <c r="F625" s="597"/>
      <c r="G625" s="596"/>
      <c r="H625" s="597"/>
      <c r="I625" s="595"/>
      <c r="J625" s="593"/>
      <c r="K625" s="593"/>
      <c r="L625" s="593"/>
      <c r="M625" s="598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592"/>
      <c r="B626" s="593"/>
      <c r="C626" s="594"/>
      <c r="D626" s="595"/>
      <c r="E626" s="596"/>
      <c r="F626" s="597"/>
      <c r="G626" s="596"/>
      <c r="H626" s="597"/>
      <c r="I626" s="595"/>
      <c r="J626" s="593"/>
      <c r="K626" s="593"/>
      <c r="L626" s="593"/>
      <c r="M626" s="598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592"/>
      <c r="B627" s="593"/>
      <c r="C627" s="594"/>
      <c r="D627" s="595"/>
      <c r="E627" s="596"/>
      <c r="F627" s="597"/>
      <c r="G627" s="596"/>
      <c r="H627" s="597"/>
      <c r="I627" s="595"/>
      <c r="J627" s="593"/>
      <c r="K627" s="593"/>
      <c r="L627" s="593"/>
      <c r="M627" s="598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592"/>
      <c r="B628" s="593"/>
      <c r="C628" s="594"/>
      <c r="D628" s="595"/>
      <c r="E628" s="596"/>
      <c r="F628" s="597"/>
      <c r="G628" s="596"/>
      <c r="H628" s="597"/>
      <c r="I628" s="595"/>
      <c r="J628" s="593"/>
      <c r="K628" s="593"/>
      <c r="L628" s="593"/>
      <c r="M628" s="598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592"/>
      <c r="B629" s="593"/>
      <c r="C629" s="594"/>
      <c r="D629" s="595"/>
      <c r="E629" s="596"/>
      <c r="F629" s="597"/>
      <c r="G629" s="596"/>
      <c r="H629" s="597"/>
      <c r="I629" s="595"/>
      <c r="J629" s="593"/>
      <c r="K629" s="593"/>
      <c r="L629" s="593"/>
      <c r="M629" s="598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592"/>
      <c r="B630" s="593"/>
      <c r="C630" s="594"/>
      <c r="D630" s="595"/>
      <c r="E630" s="596"/>
      <c r="F630" s="597"/>
      <c r="G630" s="596"/>
      <c r="H630" s="597"/>
      <c r="I630" s="595"/>
      <c r="J630" s="593"/>
      <c r="K630" s="593"/>
      <c r="L630" s="593"/>
      <c r="M630" s="598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592"/>
      <c r="B631" s="593"/>
      <c r="C631" s="594"/>
      <c r="D631" s="595"/>
      <c r="E631" s="596"/>
      <c r="F631" s="597"/>
      <c r="G631" s="596"/>
      <c r="H631" s="597"/>
      <c r="I631" s="595"/>
      <c r="J631" s="593"/>
      <c r="K631" s="593"/>
      <c r="L631" s="593"/>
      <c r="M631" s="5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592"/>
      <c r="B632" s="593"/>
      <c r="C632" s="594"/>
      <c r="D632" s="595"/>
      <c r="E632" s="596"/>
      <c r="F632" s="597"/>
      <c r="G632" s="596"/>
      <c r="H632" s="597"/>
      <c r="I632" s="595"/>
      <c r="J632" s="593"/>
      <c r="K632" s="593"/>
      <c r="L632" s="593"/>
      <c r="M632" s="598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592"/>
      <c r="B633" s="593"/>
      <c r="C633" s="594"/>
      <c r="D633" s="595"/>
      <c r="E633" s="596"/>
      <c r="F633" s="597"/>
      <c r="G633" s="596"/>
      <c r="H633" s="597"/>
      <c r="I633" s="595"/>
      <c r="J633" s="593"/>
      <c r="K633" s="593"/>
      <c r="L633" s="593"/>
      <c r="M633" s="598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592"/>
      <c r="B634" s="593"/>
      <c r="C634" s="594"/>
      <c r="D634" s="595"/>
      <c r="E634" s="596"/>
      <c r="F634" s="597"/>
      <c r="G634" s="596"/>
      <c r="H634" s="597"/>
      <c r="I634" s="595"/>
      <c r="J634" s="593"/>
      <c r="K634" s="593"/>
      <c r="L634" s="593"/>
      <c r="M634" s="598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592"/>
      <c r="B635" s="593"/>
      <c r="C635" s="594"/>
      <c r="D635" s="595"/>
      <c r="E635" s="596"/>
      <c r="F635" s="597"/>
      <c r="G635" s="596"/>
      <c r="H635" s="597"/>
      <c r="I635" s="595"/>
      <c r="J635" s="593"/>
      <c r="K635" s="593"/>
      <c r="L635" s="593"/>
      <c r="M635" s="598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592"/>
      <c r="B636" s="593"/>
      <c r="C636" s="594"/>
      <c r="D636" s="595"/>
      <c r="E636" s="596"/>
      <c r="F636" s="597"/>
      <c r="G636" s="596"/>
      <c r="H636" s="597"/>
      <c r="I636" s="595"/>
      <c r="J636" s="593"/>
      <c r="K636" s="593"/>
      <c r="L636" s="593"/>
      <c r="M636" s="598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592"/>
      <c r="B637" s="593"/>
      <c r="C637" s="594"/>
      <c r="D637" s="595"/>
      <c r="E637" s="596"/>
      <c r="F637" s="597"/>
      <c r="G637" s="596"/>
      <c r="H637" s="597"/>
      <c r="I637" s="595"/>
      <c r="J637" s="593"/>
      <c r="K637" s="593"/>
      <c r="L637" s="593"/>
      <c r="M637" s="5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592"/>
      <c r="B638" s="593"/>
      <c r="C638" s="594"/>
      <c r="D638" s="595"/>
      <c r="E638" s="596"/>
      <c r="F638" s="597"/>
      <c r="G638" s="596"/>
      <c r="H638" s="597"/>
      <c r="I638" s="595"/>
      <c r="J638" s="593"/>
      <c r="K638" s="593"/>
      <c r="L638" s="593"/>
      <c r="M638" s="598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592"/>
      <c r="B639" s="593"/>
      <c r="C639" s="594"/>
      <c r="D639" s="595"/>
      <c r="E639" s="596"/>
      <c r="F639" s="597"/>
      <c r="G639" s="596"/>
      <c r="H639" s="597"/>
      <c r="I639" s="595"/>
      <c r="J639" s="593"/>
      <c r="K639" s="593"/>
      <c r="L639" s="593"/>
      <c r="M639" s="598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592"/>
      <c r="B640" s="593"/>
      <c r="C640" s="594"/>
      <c r="D640" s="595"/>
      <c r="E640" s="596"/>
      <c r="F640" s="597"/>
      <c r="G640" s="596"/>
      <c r="H640" s="597"/>
      <c r="I640" s="595"/>
      <c r="J640" s="593"/>
      <c r="K640" s="593"/>
      <c r="L640" s="593"/>
      <c r="M640" s="5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592"/>
      <c r="B641" s="593"/>
      <c r="C641" s="594"/>
      <c r="D641" s="595"/>
      <c r="E641" s="596"/>
      <c r="F641" s="597"/>
      <c r="G641" s="596"/>
      <c r="H641" s="597"/>
      <c r="I641" s="595"/>
      <c r="J641" s="593"/>
      <c r="K641" s="593"/>
      <c r="L641" s="593"/>
      <c r="M641" s="598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592"/>
      <c r="B642" s="593"/>
      <c r="C642" s="594"/>
      <c r="D642" s="595"/>
      <c r="E642" s="596"/>
      <c r="F642" s="597"/>
      <c r="G642" s="596"/>
      <c r="H642" s="597"/>
      <c r="I642" s="595"/>
      <c r="J642" s="593"/>
      <c r="K642" s="593"/>
      <c r="L642" s="593"/>
      <c r="M642" s="598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592"/>
      <c r="B643" s="593"/>
      <c r="C643" s="594"/>
      <c r="D643" s="595"/>
      <c r="E643" s="596"/>
      <c r="F643" s="597"/>
      <c r="G643" s="596"/>
      <c r="H643" s="597"/>
      <c r="I643" s="595"/>
      <c r="J643" s="593"/>
      <c r="K643" s="593"/>
      <c r="L643" s="593"/>
      <c r="M643" s="5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592"/>
      <c r="B644" s="593"/>
      <c r="C644" s="594"/>
      <c r="D644" s="595"/>
      <c r="E644" s="596"/>
      <c r="F644" s="597"/>
      <c r="G644" s="596"/>
      <c r="H644" s="597"/>
      <c r="I644" s="595"/>
      <c r="J644" s="593"/>
      <c r="K644" s="593"/>
      <c r="L644" s="593"/>
      <c r="M644" s="598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592"/>
      <c r="B645" s="593"/>
      <c r="C645" s="594"/>
      <c r="D645" s="595"/>
      <c r="E645" s="596"/>
      <c r="F645" s="597"/>
      <c r="G645" s="596"/>
      <c r="H645" s="597"/>
      <c r="I645" s="595"/>
      <c r="J645" s="593"/>
      <c r="K645" s="593"/>
      <c r="L645" s="593"/>
      <c r="M645" s="5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592"/>
      <c r="B646" s="593"/>
      <c r="C646" s="594"/>
      <c r="D646" s="595"/>
      <c r="E646" s="596"/>
      <c r="F646" s="597"/>
      <c r="G646" s="596"/>
      <c r="H646" s="597"/>
      <c r="I646" s="595"/>
      <c r="J646" s="593"/>
      <c r="K646" s="593"/>
      <c r="L646" s="593"/>
      <c r="M646" s="598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592"/>
      <c r="B647" s="593"/>
      <c r="C647" s="594"/>
      <c r="D647" s="595"/>
      <c r="E647" s="596"/>
      <c r="F647" s="597"/>
      <c r="G647" s="596"/>
      <c r="H647" s="597"/>
      <c r="I647" s="595"/>
      <c r="J647" s="593"/>
      <c r="K647" s="593"/>
      <c r="L647" s="593"/>
      <c r="M647" s="598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592"/>
      <c r="B648" s="593"/>
      <c r="C648" s="594"/>
      <c r="D648" s="595"/>
      <c r="E648" s="596"/>
      <c r="F648" s="597"/>
      <c r="G648" s="596"/>
      <c r="H648" s="597"/>
      <c r="I648" s="595"/>
      <c r="J648" s="593"/>
      <c r="K648" s="593"/>
      <c r="L648" s="593"/>
      <c r="M648" s="598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592"/>
      <c r="B649" s="593"/>
      <c r="C649" s="594"/>
      <c r="D649" s="595"/>
      <c r="E649" s="596"/>
      <c r="F649" s="597"/>
      <c r="G649" s="596"/>
      <c r="H649" s="597"/>
      <c r="I649" s="595"/>
      <c r="J649" s="593"/>
      <c r="K649" s="593"/>
      <c r="L649" s="593"/>
      <c r="M649" s="5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592"/>
      <c r="B650" s="593"/>
      <c r="C650" s="594"/>
      <c r="D650" s="595"/>
      <c r="E650" s="596"/>
      <c r="F650" s="597"/>
      <c r="G650" s="596"/>
      <c r="H650" s="597"/>
      <c r="I650" s="595"/>
      <c r="J650" s="593"/>
      <c r="K650" s="593"/>
      <c r="L650" s="593"/>
      <c r="M650" s="598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592"/>
      <c r="B651" s="593"/>
      <c r="C651" s="594"/>
      <c r="D651" s="595"/>
      <c r="E651" s="596"/>
      <c r="F651" s="597"/>
      <c r="G651" s="596"/>
      <c r="H651" s="597"/>
      <c r="I651" s="595"/>
      <c r="J651" s="593"/>
      <c r="K651" s="593"/>
      <c r="L651" s="593"/>
      <c r="M651" s="598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592"/>
      <c r="B652" s="593"/>
      <c r="C652" s="594"/>
      <c r="D652" s="595"/>
      <c r="E652" s="596"/>
      <c r="F652" s="597"/>
      <c r="G652" s="596"/>
      <c r="H652" s="597"/>
      <c r="I652" s="595"/>
      <c r="J652" s="593"/>
      <c r="K652" s="593"/>
      <c r="L652" s="593"/>
      <c r="M652" s="5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592"/>
      <c r="B653" s="593"/>
      <c r="C653" s="594"/>
      <c r="D653" s="595"/>
      <c r="E653" s="596"/>
      <c r="F653" s="597"/>
      <c r="G653" s="596"/>
      <c r="H653" s="597"/>
      <c r="I653" s="595"/>
      <c r="J653" s="593"/>
      <c r="K653" s="593"/>
      <c r="L653" s="593"/>
      <c r="M653" s="598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592"/>
      <c r="B654" s="593"/>
      <c r="C654" s="594"/>
      <c r="D654" s="595"/>
      <c r="E654" s="596"/>
      <c r="F654" s="597"/>
      <c r="G654" s="596"/>
      <c r="H654" s="597"/>
      <c r="I654" s="595"/>
      <c r="J654" s="593"/>
      <c r="K654" s="593"/>
      <c r="L654" s="593"/>
      <c r="M654" s="598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592"/>
      <c r="B655" s="593"/>
      <c r="C655" s="594"/>
      <c r="D655" s="595"/>
      <c r="E655" s="596"/>
      <c r="F655" s="597"/>
      <c r="G655" s="596"/>
      <c r="H655" s="597"/>
      <c r="I655" s="595"/>
      <c r="J655" s="593"/>
      <c r="K655" s="593"/>
      <c r="L655" s="593"/>
      <c r="M655" s="598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592"/>
      <c r="B656" s="593"/>
      <c r="C656" s="594"/>
      <c r="D656" s="595"/>
      <c r="E656" s="596"/>
      <c r="F656" s="597"/>
      <c r="G656" s="596"/>
      <c r="H656" s="597"/>
      <c r="I656" s="595"/>
      <c r="J656" s="593"/>
      <c r="K656" s="593"/>
      <c r="L656" s="593"/>
      <c r="M656" s="598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592"/>
      <c r="B657" s="593"/>
      <c r="C657" s="594"/>
      <c r="D657" s="595"/>
      <c r="E657" s="596"/>
      <c r="F657" s="597"/>
      <c r="G657" s="596"/>
      <c r="H657" s="597"/>
      <c r="I657" s="595"/>
      <c r="J657" s="593"/>
      <c r="K657" s="593"/>
      <c r="L657" s="593"/>
      <c r="M657" s="598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592"/>
      <c r="B658" s="593"/>
      <c r="C658" s="594"/>
      <c r="D658" s="595"/>
      <c r="E658" s="596"/>
      <c r="F658" s="597"/>
      <c r="G658" s="596"/>
      <c r="H658" s="597"/>
      <c r="I658" s="595"/>
      <c r="J658" s="593"/>
      <c r="K658" s="593"/>
      <c r="L658" s="593"/>
      <c r="M658" s="5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592"/>
      <c r="B659" s="593"/>
      <c r="C659" s="594"/>
      <c r="D659" s="595"/>
      <c r="E659" s="596"/>
      <c r="F659" s="597"/>
      <c r="G659" s="596"/>
      <c r="H659" s="597"/>
      <c r="I659" s="595"/>
      <c r="J659" s="593"/>
      <c r="K659" s="593"/>
      <c r="L659" s="593"/>
      <c r="M659" s="598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592"/>
      <c r="B660" s="593"/>
      <c r="C660" s="594"/>
      <c r="D660" s="595"/>
      <c r="E660" s="596"/>
      <c r="F660" s="597"/>
      <c r="G660" s="596"/>
      <c r="H660" s="597"/>
      <c r="I660" s="595"/>
      <c r="J660" s="593"/>
      <c r="K660" s="593"/>
      <c r="L660" s="593"/>
      <c r="M660" s="598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592"/>
      <c r="B661" s="593"/>
      <c r="C661" s="594"/>
      <c r="D661" s="595"/>
      <c r="E661" s="596"/>
      <c r="F661" s="597"/>
      <c r="G661" s="596"/>
      <c r="H661" s="597"/>
      <c r="I661" s="595"/>
      <c r="J661" s="593"/>
      <c r="K661" s="593"/>
      <c r="L661" s="593"/>
      <c r="M661" s="598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592"/>
      <c r="B662" s="593"/>
      <c r="C662" s="594"/>
      <c r="D662" s="595"/>
      <c r="E662" s="596"/>
      <c r="F662" s="597"/>
      <c r="G662" s="596"/>
      <c r="H662" s="597"/>
      <c r="I662" s="595"/>
      <c r="J662" s="593"/>
      <c r="K662" s="593"/>
      <c r="L662" s="593"/>
      <c r="M662" s="598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592"/>
      <c r="B663" s="593"/>
      <c r="C663" s="594"/>
      <c r="D663" s="595"/>
      <c r="E663" s="596"/>
      <c r="F663" s="597"/>
      <c r="G663" s="596"/>
      <c r="H663" s="597"/>
      <c r="I663" s="595"/>
      <c r="J663" s="593"/>
      <c r="K663" s="593"/>
      <c r="L663" s="593"/>
      <c r="M663" s="598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592"/>
      <c r="B664" s="593"/>
      <c r="C664" s="594"/>
      <c r="D664" s="595"/>
      <c r="E664" s="596"/>
      <c r="F664" s="597"/>
      <c r="G664" s="596"/>
      <c r="H664" s="597"/>
      <c r="I664" s="595"/>
      <c r="J664" s="593"/>
      <c r="K664" s="593"/>
      <c r="L664" s="593"/>
      <c r="M664" s="5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592"/>
      <c r="B665" s="593"/>
      <c r="C665" s="594"/>
      <c r="D665" s="595"/>
      <c r="E665" s="596"/>
      <c r="F665" s="597"/>
      <c r="G665" s="596"/>
      <c r="H665" s="597"/>
      <c r="I665" s="595"/>
      <c r="J665" s="593"/>
      <c r="K665" s="593"/>
      <c r="L665" s="593"/>
      <c r="M665" s="598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592"/>
      <c r="B666" s="593"/>
      <c r="C666" s="594"/>
      <c r="D666" s="595"/>
      <c r="E666" s="596"/>
      <c r="F666" s="597"/>
      <c r="G666" s="596"/>
      <c r="H666" s="597"/>
      <c r="I666" s="595"/>
      <c r="J666" s="593"/>
      <c r="K666" s="593"/>
      <c r="L666" s="593"/>
      <c r="M666" s="598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592"/>
      <c r="B667" s="593"/>
      <c r="C667" s="594"/>
      <c r="D667" s="595"/>
      <c r="E667" s="596"/>
      <c r="F667" s="597"/>
      <c r="G667" s="596"/>
      <c r="H667" s="597"/>
      <c r="I667" s="595"/>
      <c r="J667" s="593"/>
      <c r="K667" s="593"/>
      <c r="L667" s="593"/>
      <c r="M667" s="5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592"/>
      <c r="B668" s="593"/>
      <c r="C668" s="594"/>
      <c r="D668" s="595"/>
      <c r="E668" s="596"/>
      <c r="F668" s="597"/>
      <c r="G668" s="596"/>
      <c r="H668" s="597"/>
      <c r="I668" s="595"/>
      <c r="J668" s="593"/>
      <c r="K668" s="593"/>
      <c r="L668" s="593"/>
      <c r="M668" s="598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592"/>
      <c r="B669" s="593"/>
      <c r="C669" s="594"/>
      <c r="D669" s="595"/>
      <c r="E669" s="596"/>
      <c r="F669" s="597"/>
      <c r="G669" s="596"/>
      <c r="H669" s="597"/>
      <c r="I669" s="595"/>
      <c r="J669" s="593"/>
      <c r="K669" s="593"/>
      <c r="L669" s="593"/>
      <c r="M669" s="598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592"/>
      <c r="B670" s="593"/>
      <c r="C670" s="594"/>
      <c r="D670" s="595"/>
      <c r="E670" s="596"/>
      <c r="F670" s="597"/>
      <c r="G670" s="596"/>
      <c r="H670" s="597"/>
      <c r="I670" s="595"/>
      <c r="J670" s="593"/>
      <c r="K670" s="593"/>
      <c r="L670" s="593"/>
      <c r="M670" s="5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592"/>
      <c r="B671" s="593"/>
      <c r="C671" s="594"/>
      <c r="D671" s="595"/>
      <c r="E671" s="596"/>
      <c r="F671" s="597"/>
      <c r="G671" s="596"/>
      <c r="H671" s="597"/>
      <c r="I671" s="595"/>
      <c r="J671" s="593"/>
      <c r="K671" s="593"/>
      <c r="L671" s="593"/>
      <c r="M671" s="598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592"/>
      <c r="B672" s="593"/>
      <c r="C672" s="594"/>
      <c r="D672" s="595"/>
      <c r="E672" s="596"/>
      <c r="F672" s="597"/>
      <c r="G672" s="596"/>
      <c r="H672" s="597"/>
      <c r="I672" s="595"/>
      <c r="J672" s="593"/>
      <c r="K672" s="593"/>
      <c r="L672" s="593"/>
      <c r="M672" s="598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592"/>
      <c r="B673" s="593"/>
      <c r="C673" s="594"/>
      <c r="D673" s="595"/>
      <c r="E673" s="596"/>
      <c r="F673" s="597"/>
      <c r="G673" s="596"/>
      <c r="H673" s="597"/>
      <c r="I673" s="595"/>
      <c r="J673" s="593"/>
      <c r="K673" s="593"/>
      <c r="L673" s="593"/>
      <c r="M673" s="5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592"/>
      <c r="B674" s="593"/>
      <c r="C674" s="594"/>
      <c r="D674" s="595"/>
      <c r="E674" s="596"/>
      <c r="F674" s="597"/>
      <c r="G674" s="596"/>
      <c r="H674" s="597"/>
      <c r="I674" s="595"/>
      <c r="J674" s="593"/>
      <c r="K674" s="593"/>
      <c r="L674" s="593"/>
      <c r="M674" s="598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592"/>
      <c r="B675" s="593"/>
      <c r="C675" s="594"/>
      <c r="D675" s="595"/>
      <c r="E675" s="596"/>
      <c r="F675" s="597"/>
      <c r="G675" s="596"/>
      <c r="H675" s="597"/>
      <c r="I675" s="595"/>
      <c r="J675" s="593"/>
      <c r="K675" s="593"/>
      <c r="L675" s="593"/>
      <c r="M675" s="598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592"/>
      <c r="B676" s="593"/>
      <c r="C676" s="594"/>
      <c r="D676" s="595"/>
      <c r="E676" s="596"/>
      <c r="F676" s="597"/>
      <c r="G676" s="596"/>
      <c r="H676" s="597"/>
      <c r="I676" s="595"/>
      <c r="J676" s="593"/>
      <c r="K676" s="593"/>
      <c r="L676" s="593"/>
      <c r="M676" s="5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592"/>
      <c r="B677" s="593"/>
      <c r="C677" s="594"/>
      <c r="D677" s="595"/>
      <c r="E677" s="596"/>
      <c r="F677" s="597"/>
      <c r="G677" s="596"/>
      <c r="H677" s="597"/>
      <c r="I677" s="595"/>
      <c r="J677" s="593"/>
      <c r="K677" s="593"/>
      <c r="L677" s="593"/>
      <c r="M677" s="598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592"/>
      <c r="B678" s="593"/>
      <c r="C678" s="594"/>
      <c r="D678" s="595"/>
      <c r="E678" s="596"/>
      <c r="F678" s="597"/>
      <c r="G678" s="596"/>
      <c r="H678" s="597"/>
      <c r="I678" s="595"/>
      <c r="J678" s="593"/>
      <c r="K678" s="593"/>
      <c r="L678" s="593"/>
      <c r="M678" s="598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592"/>
      <c r="B679" s="593"/>
      <c r="C679" s="594"/>
      <c r="D679" s="595"/>
      <c r="E679" s="596"/>
      <c r="F679" s="597"/>
      <c r="G679" s="596"/>
      <c r="H679" s="597"/>
      <c r="I679" s="595"/>
      <c r="J679" s="593"/>
      <c r="K679" s="593"/>
      <c r="L679" s="593"/>
      <c r="M679" s="5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592"/>
      <c r="B680" s="593"/>
      <c r="C680" s="594"/>
      <c r="D680" s="595"/>
      <c r="E680" s="596"/>
      <c r="F680" s="597"/>
      <c r="G680" s="596"/>
      <c r="H680" s="597"/>
      <c r="I680" s="595"/>
      <c r="J680" s="593"/>
      <c r="K680" s="593"/>
      <c r="L680" s="593"/>
      <c r="M680" s="598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592"/>
      <c r="B681" s="593"/>
      <c r="C681" s="594"/>
      <c r="D681" s="595"/>
      <c r="E681" s="596"/>
      <c r="F681" s="597"/>
      <c r="G681" s="596"/>
      <c r="H681" s="597"/>
      <c r="I681" s="595"/>
      <c r="J681" s="593"/>
      <c r="K681" s="593"/>
      <c r="L681" s="593"/>
      <c r="M681" s="598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592"/>
      <c r="B682" s="593"/>
      <c r="C682" s="594"/>
      <c r="D682" s="595"/>
      <c r="E682" s="596"/>
      <c r="F682" s="597"/>
      <c r="G682" s="596"/>
      <c r="H682" s="597"/>
      <c r="I682" s="595"/>
      <c r="J682" s="593"/>
      <c r="K682" s="593"/>
      <c r="L682" s="593"/>
      <c r="M682" s="5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592"/>
      <c r="B683" s="593"/>
      <c r="C683" s="594"/>
      <c r="D683" s="595"/>
      <c r="E683" s="596"/>
      <c r="F683" s="597"/>
      <c r="G683" s="596"/>
      <c r="H683" s="597"/>
      <c r="I683" s="595"/>
      <c r="J683" s="593"/>
      <c r="K683" s="593"/>
      <c r="L683" s="593"/>
      <c r="M683" s="598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592"/>
      <c r="B684" s="593"/>
      <c r="C684" s="594"/>
      <c r="D684" s="595"/>
      <c r="E684" s="596"/>
      <c r="F684" s="597"/>
      <c r="G684" s="596"/>
      <c r="H684" s="597"/>
      <c r="I684" s="595"/>
      <c r="J684" s="593"/>
      <c r="K684" s="593"/>
      <c r="L684" s="593"/>
      <c r="M684" s="598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592"/>
      <c r="B685" s="593"/>
      <c r="C685" s="594"/>
      <c r="D685" s="595"/>
      <c r="E685" s="596"/>
      <c r="F685" s="597"/>
      <c r="G685" s="596"/>
      <c r="H685" s="597"/>
      <c r="I685" s="595"/>
      <c r="J685" s="593"/>
      <c r="K685" s="593"/>
      <c r="L685" s="593"/>
      <c r="M685" s="5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592"/>
      <c r="B686" s="593"/>
      <c r="C686" s="594"/>
      <c r="D686" s="595"/>
      <c r="E686" s="596"/>
      <c r="F686" s="597"/>
      <c r="G686" s="596"/>
      <c r="H686" s="597"/>
      <c r="I686" s="595"/>
      <c r="J686" s="593"/>
      <c r="K686" s="593"/>
      <c r="L686" s="593"/>
      <c r="M686" s="598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592"/>
      <c r="B687" s="593"/>
      <c r="C687" s="594"/>
      <c r="D687" s="595"/>
      <c r="E687" s="596"/>
      <c r="F687" s="597"/>
      <c r="G687" s="596"/>
      <c r="H687" s="597"/>
      <c r="I687" s="595"/>
      <c r="J687" s="593"/>
      <c r="K687" s="593"/>
      <c r="L687" s="593"/>
      <c r="M687" s="598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592"/>
      <c r="B688" s="593"/>
      <c r="C688" s="594"/>
      <c r="D688" s="595"/>
      <c r="E688" s="596"/>
      <c r="F688" s="597"/>
      <c r="G688" s="596"/>
      <c r="H688" s="597"/>
      <c r="I688" s="595"/>
      <c r="J688" s="593"/>
      <c r="K688" s="593"/>
      <c r="L688" s="593"/>
      <c r="M688" s="5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592"/>
      <c r="B689" s="593"/>
      <c r="C689" s="594"/>
      <c r="D689" s="595"/>
      <c r="E689" s="596"/>
      <c r="F689" s="597"/>
      <c r="G689" s="596"/>
      <c r="H689" s="597"/>
      <c r="I689" s="595"/>
      <c r="J689" s="593"/>
      <c r="K689" s="593"/>
      <c r="L689" s="593"/>
      <c r="M689" s="598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592"/>
      <c r="B690" s="593"/>
      <c r="C690" s="594"/>
      <c r="D690" s="595"/>
      <c r="E690" s="596"/>
      <c r="F690" s="597"/>
      <c r="G690" s="596"/>
      <c r="H690" s="597"/>
      <c r="I690" s="595"/>
      <c r="J690" s="593"/>
      <c r="K690" s="593"/>
      <c r="L690" s="593"/>
      <c r="M690" s="598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592"/>
      <c r="B691" s="593"/>
      <c r="C691" s="594"/>
      <c r="D691" s="595"/>
      <c r="E691" s="596"/>
      <c r="F691" s="597"/>
      <c r="G691" s="596"/>
      <c r="H691" s="597"/>
      <c r="I691" s="595"/>
      <c r="J691" s="593"/>
      <c r="K691" s="593"/>
      <c r="L691" s="593"/>
      <c r="M691" s="5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592"/>
      <c r="B692" s="593"/>
      <c r="C692" s="594"/>
      <c r="D692" s="595"/>
      <c r="E692" s="596"/>
      <c r="F692" s="597"/>
      <c r="G692" s="596"/>
      <c r="H692" s="597"/>
      <c r="I692" s="595"/>
      <c r="J692" s="593"/>
      <c r="K692" s="593"/>
      <c r="L692" s="593"/>
      <c r="M692" s="598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592"/>
      <c r="B693" s="593"/>
      <c r="C693" s="594"/>
      <c r="D693" s="595"/>
      <c r="E693" s="596"/>
      <c r="F693" s="597"/>
      <c r="G693" s="596"/>
      <c r="H693" s="597"/>
      <c r="I693" s="595"/>
      <c r="J693" s="593"/>
      <c r="K693" s="593"/>
      <c r="L693" s="593"/>
      <c r="M693" s="598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592"/>
      <c r="B694" s="593"/>
      <c r="C694" s="594"/>
      <c r="D694" s="595"/>
      <c r="E694" s="596"/>
      <c r="F694" s="597"/>
      <c r="G694" s="596"/>
      <c r="H694" s="597"/>
      <c r="I694" s="595"/>
      <c r="J694" s="593"/>
      <c r="K694" s="593"/>
      <c r="L694" s="593"/>
      <c r="M694" s="5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592"/>
      <c r="B695" s="593"/>
      <c r="C695" s="594"/>
      <c r="D695" s="595"/>
      <c r="E695" s="596"/>
      <c r="F695" s="597"/>
      <c r="G695" s="596"/>
      <c r="H695" s="597"/>
      <c r="I695" s="595"/>
      <c r="J695" s="593"/>
      <c r="K695" s="593"/>
      <c r="L695" s="593"/>
      <c r="M695" s="598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592"/>
      <c r="B696" s="593"/>
      <c r="C696" s="594"/>
      <c r="D696" s="595"/>
      <c r="E696" s="596"/>
      <c r="F696" s="597"/>
      <c r="G696" s="596"/>
      <c r="H696" s="597"/>
      <c r="I696" s="595"/>
      <c r="J696" s="593"/>
      <c r="K696" s="593"/>
      <c r="L696" s="593"/>
      <c r="M696" s="598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592"/>
      <c r="B697" s="593"/>
      <c r="C697" s="594"/>
      <c r="D697" s="595"/>
      <c r="E697" s="596"/>
      <c r="F697" s="597"/>
      <c r="G697" s="596"/>
      <c r="H697" s="597"/>
      <c r="I697" s="595"/>
      <c r="J697" s="593"/>
      <c r="K697" s="593"/>
      <c r="L697" s="593"/>
      <c r="M697" s="5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592"/>
      <c r="B698" s="593"/>
      <c r="C698" s="594"/>
      <c r="D698" s="595"/>
      <c r="E698" s="596"/>
      <c r="F698" s="597"/>
      <c r="G698" s="596"/>
      <c r="H698" s="597"/>
      <c r="I698" s="595"/>
      <c r="J698" s="593"/>
      <c r="K698" s="593"/>
      <c r="L698" s="593"/>
      <c r="M698" s="598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592"/>
      <c r="B699" s="593"/>
      <c r="C699" s="594"/>
      <c r="D699" s="595"/>
      <c r="E699" s="596"/>
      <c r="F699" s="597"/>
      <c r="G699" s="596"/>
      <c r="H699" s="597"/>
      <c r="I699" s="595"/>
      <c r="J699" s="593"/>
      <c r="K699" s="593"/>
      <c r="L699" s="593"/>
      <c r="M699" s="598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592"/>
      <c r="B700" s="593"/>
      <c r="C700" s="594"/>
      <c r="D700" s="595"/>
      <c r="E700" s="596"/>
      <c r="F700" s="597"/>
      <c r="G700" s="596"/>
      <c r="H700" s="597"/>
      <c r="I700" s="595"/>
      <c r="J700" s="593"/>
      <c r="K700" s="593"/>
      <c r="L700" s="593"/>
      <c r="M700" s="598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592"/>
      <c r="B701" s="593"/>
      <c r="C701" s="594"/>
      <c r="D701" s="595"/>
      <c r="E701" s="596"/>
      <c r="F701" s="597"/>
      <c r="G701" s="596"/>
      <c r="H701" s="597"/>
      <c r="I701" s="595"/>
      <c r="J701" s="593"/>
      <c r="K701" s="593"/>
      <c r="L701" s="593"/>
      <c r="M701" s="598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592"/>
      <c r="B702" s="593"/>
      <c r="C702" s="594"/>
      <c r="D702" s="595"/>
      <c r="E702" s="596"/>
      <c r="F702" s="597"/>
      <c r="G702" s="596"/>
      <c r="H702" s="597"/>
      <c r="I702" s="595"/>
      <c r="J702" s="593"/>
      <c r="K702" s="593"/>
      <c r="L702" s="593"/>
      <c r="M702" s="598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592"/>
      <c r="B703" s="593"/>
      <c r="C703" s="594"/>
      <c r="D703" s="595"/>
      <c r="E703" s="596"/>
      <c r="F703" s="597"/>
      <c r="G703" s="596"/>
      <c r="H703" s="597"/>
      <c r="I703" s="595"/>
      <c r="J703" s="593"/>
      <c r="K703" s="593"/>
      <c r="L703" s="593"/>
      <c r="M703" s="5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592"/>
      <c r="B704" s="593"/>
      <c r="C704" s="594"/>
      <c r="D704" s="595"/>
      <c r="E704" s="596"/>
      <c r="F704" s="597"/>
      <c r="G704" s="596"/>
      <c r="H704" s="597"/>
      <c r="I704" s="595"/>
      <c r="J704" s="593"/>
      <c r="K704" s="593"/>
      <c r="L704" s="593"/>
      <c r="M704" s="598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592"/>
      <c r="B705" s="593"/>
      <c r="C705" s="594"/>
      <c r="D705" s="595"/>
      <c r="E705" s="596"/>
      <c r="F705" s="597"/>
      <c r="G705" s="596"/>
      <c r="H705" s="597"/>
      <c r="I705" s="595"/>
      <c r="J705" s="593"/>
      <c r="K705" s="593"/>
      <c r="L705" s="593"/>
      <c r="M705" s="598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592"/>
      <c r="B706" s="593"/>
      <c r="C706" s="594"/>
      <c r="D706" s="595"/>
      <c r="E706" s="596"/>
      <c r="F706" s="597"/>
      <c r="G706" s="596"/>
      <c r="H706" s="597"/>
      <c r="I706" s="595"/>
      <c r="J706" s="593"/>
      <c r="K706" s="593"/>
      <c r="L706" s="593"/>
      <c r="M706" s="5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592"/>
      <c r="B707" s="593"/>
      <c r="C707" s="594"/>
      <c r="D707" s="595"/>
      <c r="E707" s="596"/>
      <c r="F707" s="597"/>
      <c r="G707" s="596"/>
      <c r="H707" s="597"/>
      <c r="I707" s="595"/>
      <c r="J707" s="593"/>
      <c r="K707" s="593"/>
      <c r="L707" s="593"/>
      <c r="M707" s="598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592"/>
      <c r="B708" s="593"/>
      <c r="C708" s="594"/>
      <c r="D708" s="595"/>
      <c r="E708" s="596"/>
      <c r="F708" s="597"/>
      <c r="G708" s="596"/>
      <c r="H708" s="597"/>
      <c r="I708" s="595"/>
      <c r="J708" s="593"/>
      <c r="K708" s="593"/>
      <c r="L708" s="593"/>
      <c r="M708" s="598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592"/>
      <c r="B709" s="593"/>
      <c r="C709" s="594"/>
      <c r="D709" s="595"/>
      <c r="E709" s="596"/>
      <c r="F709" s="597"/>
      <c r="G709" s="596"/>
      <c r="H709" s="597"/>
      <c r="I709" s="595"/>
      <c r="J709" s="593"/>
      <c r="K709" s="593"/>
      <c r="L709" s="593"/>
      <c r="M709" s="5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592"/>
      <c r="B710" s="593"/>
      <c r="C710" s="594"/>
      <c r="D710" s="595"/>
      <c r="E710" s="596"/>
      <c r="F710" s="597"/>
      <c r="G710" s="596"/>
      <c r="H710" s="597"/>
      <c r="I710" s="595"/>
      <c r="J710" s="593"/>
      <c r="K710" s="593"/>
      <c r="L710" s="593"/>
      <c r="M710" s="598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592"/>
      <c r="B711" s="593"/>
      <c r="C711" s="594"/>
      <c r="D711" s="595"/>
      <c r="E711" s="596"/>
      <c r="F711" s="597"/>
      <c r="G711" s="596"/>
      <c r="H711" s="597"/>
      <c r="I711" s="595"/>
      <c r="J711" s="593"/>
      <c r="K711" s="593"/>
      <c r="L711" s="593"/>
      <c r="M711" s="598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592"/>
      <c r="B712" s="593"/>
      <c r="C712" s="594"/>
      <c r="D712" s="595"/>
      <c r="E712" s="596"/>
      <c r="F712" s="597"/>
      <c r="G712" s="596"/>
      <c r="H712" s="597"/>
      <c r="I712" s="595"/>
      <c r="J712" s="593"/>
      <c r="K712" s="593"/>
      <c r="L712" s="593"/>
      <c r="M712" s="598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592"/>
      <c r="B713" s="593"/>
      <c r="C713" s="594"/>
      <c r="D713" s="595"/>
      <c r="E713" s="596"/>
      <c r="F713" s="597"/>
      <c r="G713" s="596"/>
      <c r="H713" s="597"/>
      <c r="I713" s="595"/>
      <c r="J713" s="593"/>
      <c r="K713" s="593"/>
      <c r="L713" s="593"/>
      <c r="M713" s="5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592"/>
      <c r="B714" s="593"/>
      <c r="C714" s="594"/>
      <c r="D714" s="595"/>
      <c r="E714" s="596"/>
      <c r="F714" s="597"/>
      <c r="G714" s="596"/>
      <c r="H714" s="597"/>
      <c r="I714" s="595"/>
      <c r="J714" s="593"/>
      <c r="K714" s="593"/>
      <c r="L714" s="593"/>
      <c r="M714" s="598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592"/>
      <c r="B715" s="593"/>
      <c r="C715" s="594"/>
      <c r="D715" s="595"/>
      <c r="E715" s="596"/>
      <c r="F715" s="597"/>
      <c r="G715" s="596"/>
      <c r="H715" s="597"/>
      <c r="I715" s="595"/>
      <c r="J715" s="593"/>
      <c r="K715" s="593"/>
      <c r="L715" s="593"/>
      <c r="M715" s="598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592"/>
      <c r="B716" s="593"/>
      <c r="C716" s="594"/>
      <c r="D716" s="595"/>
      <c r="E716" s="596"/>
      <c r="F716" s="597"/>
      <c r="G716" s="596"/>
      <c r="H716" s="597"/>
      <c r="I716" s="595"/>
      <c r="J716" s="593"/>
      <c r="K716" s="593"/>
      <c r="L716" s="593"/>
      <c r="M716" s="598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592"/>
      <c r="B717" s="593"/>
      <c r="C717" s="594"/>
      <c r="D717" s="595"/>
      <c r="E717" s="596"/>
      <c r="F717" s="597"/>
      <c r="G717" s="596"/>
      <c r="H717" s="597"/>
      <c r="I717" s="595"/>
      <c r="J717" s="593"/>
      <c r="K717" s="593"/>
      <c r="L717" s="593"/>
      <c r="M717" s="598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592"/>
      <c r="B718" s="593"/>
      <c r="C718" s="594"/>
      <c r="D718" s="595"/>
      <c r="E718" s="596"/>
      <c r="F718" s="597"/>
      <c r="G718" s="596"/>
      <c r="H718" s="597"/>
      <c r="I718" s="595"/>
      <c r="J718" s="593"/>
      <c r="K718" s="593"/>
      <c r="L718" s="593"/>
      <c r="M718" s="5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592"/>
      <c r="B719" s="593"/>
      <c r="C719" s="594"/>
      <c r="D719" s="595"/>
      <c r="E719" s="596"/>
      <c r="F719" s="597"/>
      <c r="G719" s="596"/>
      <c r="H719" s="597"/>
      <c r="I719" s="595"/>
      <c r="J719" s="593"/>
      <c r="K719" s="593"/>
      <c r="L719" s="593"/>
      <c r="M719" s="598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592"/>
      <c r="B720" s="593"/>
      <c r="C720" s="594"/>
      <c r="D720" s="595"/>
      <c r="E720" s="596"/>
      <c r="F720" s="597"/>
      <c r="G720" s="596"/>
      <c r="H720" s="597"/>
      <c r="I720" s="595"/>
      <c r="J720" s="593"/>
      <c r="K720" s="593"/>
      <c r="L720" s="593"/>
      <c r="M720" s="598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592"/>
      <c r="B721" s="593"/>
      <c r="C721" s="594"/>
      <c r="D721" s="595"/>
      <c r="E721" s="596"/>
      <c r="F721" s="597"/>
      <c r="G721" s="596"/>
      <c r="H721" s="597"/>
      <c r="I721" s="595"/>
      <c r="J721" s="593"/>
      <c r="K721" s="593"/>
      <c r="L721" s="593"/>
      <c r="M721" s="5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592"/>
      <c r="B722" s="593"/>
      <c r="C722" s="594"/>
      <c r="D722" s="595"/>
      <c r="E722" s="596"/>
      <c r="F722" s="597"/>
      <c r="G722" s="596"/>
      <c r="H722" s="597"/>
      <c r="I722" s="595"/>
      <c r="J722" s="593"/>
      <c r="K722" s="593"/>
      <c r="L722" s="593"/>
      <c r="M722" s="598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592"/>
      <c r="B723" s="593"/>
      <c r="C723" s="594"/>
      <c r="D723" s="595"/>
      <c r="E723" s="596"/>
      <c r="F723" s="597"/>
      <c r="G723" s="596"/>
      <c r="H723" s="597"/>
      <c r="I723" s="595"/>
      <c r="J723" s="593"/>
      <c r="K723" s="593"/>
      <c r="L723" s="593"/>
      <c r="M723" s="598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592"/>
      <c r="B724" s="593"/>
      <c r="C724" s="594"/>
      <c r="D724" s="595"/>
      <c r="E724" s="596"/>
      <c r="F724" s="597"/>
      <c r="G724" s="596"/>
      <c r="H724" s="597"/>
      <c r="I724" s="595"/>
      <c r="J724" s="593"/>
      <c r="K724" s="593"/>
      <c r="L724" s="593"/>
      <c r="M724" s="5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592"/>
      <c r="B725" s="593"/>
      <c r="C725" s="594"/>
      <c r="D725" s="595"/>
      <c r="E725" s="596"/>
      <c r="F725" s="597"/>
      <c r="G725" s="596"/>
      <c r="H725" s="597"/>
      <c r="I725" s="595"/>
      <c r="J725" s="593"/>
      <c r="K725" s="593"/>
      <c r="L725" s="593"/>
      <c r="M725" s="598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592"/>
      <c r="B726" s="593"/>
      <c r="C726" s="594"/>
      <c r="D726" s="595"/>
      <c r="E726" s="596"/>
      <c r="F726" s="597"/>
      <c r="G726" s="596"/>
      <c r="H726" s="597"/>
      <c r="I726" s="595"/>
      <c r="J726" s="593"/>
      <c r="K726" s="593"/>
      <c r="L726" s="593"/>
      <c r="M726" s="598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592"/>
      <c r="B727" s="593"/>
      <c r="C727" s="594"/>
      <c r="D727" s="595"/>
      <c r="E727" s="596"/>
      <c r="F727" s="597"/>
      <c r="G727" s="596"/>
      <c r="H727" s="597"/>
      <c r="I727" s="595"/>
      <c r="J727" s="593"/>
      <c r="K727" s="593"/>
      <c r="L727" s="593"/>
      <c r="M727" s="5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592"/>
      <c r="B728" s="593"/>
      <c r="C728" s="594"/>
      <c r="D728" s="595"/>
      <c r="E728" s="596"/>
      <c r="F728" s="597"/>
      <c r="G728" s="596"/>
      <c r="H728" s="597"/>
      <c r="I728" s="595"/>
      <c r="J728" s="593"/>
      <c r="K728" s="593"/>
      <c r="L728" s="593"/>
      <c r="M728" s="598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592"/>
      <c r="B729" s="593"/>
      <c r="C729" s="594"/>
      <c r="D729" s="595"/>
      <c r="E729" s="596"/>
      <c r="F729" s="597"/>
      <c r="G729" s="596"/>
      <c r="H729" s="597"/>
      <c r="I729" s="595"/>
      <c r="J729" s="593"/>
      <c r="K729" s="593"/>
      <c r="L729" s="593"/>
      <c r="M729" s="598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592"/>
      <c r="B730" s="593"/>
      <c r="C730" s="594"/>
      <c r="D730" s="595"/>
      <c r="E730" s="596"/>
      <c r="F730" s="597"/>
      <c r="G730" s="596"/>
      <c r="H730" s="597"/>
      <c r="I730" s="595"/>
      <c r="J730" s="593"/>
      <c r="K730" s="593"/>
      <c r="L730" s="593"/>
      <c r="M730" s="5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592"/>
      <c r="B731" s="593"/>
      <c r="C731" s="594"/>
      <c r="D731" s="595"/>
      <c r="E731" s="596"/>
      <c r="F731" s="597"/>
      <c r="G731" s="596"/>
      <c r="H731" s="597"/>
      <c r="I731" s="595"/>
      <c r="J731" s="593"/>
      <c r="K731" s="593"/>
      <c r="L731" s="593"/>
      <c r="M731" s="598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592"/>
      <c r="B732" s="593"/>
      <c r="C732" s="594"/>
      <c r="D732" s="595"/>
      <c r="E732" s="596"/>
      <c r="F732" s="597"/>
      <c r="G732" s="596"/>
      <c r="H732" s="597"/>
      <c r="I732" s="595"/>
      <c r="J732" s="593"/>
      <c r="K732" s="593"/>
      <c r="L732" s="593"/>
      <c r="M732" s="598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592"/>
      <c r="B733" s="593"/>
      <c r="C733" s="594"/>
      <c r="D733" s="595"/>
      <c r="E733" s="596"/>
      <c r="F733" s="597"/>
      <c r="G733" s="596"/>
      <c r="H733" s="597"/>
      <c r="I733" s="595"/>
      <c r="J733" s="593"/>
      <c r="K733" s="593"/>
      <c r="L733" s="593"/>
      <c r="M733" s="598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592"/>
      <c r="B734" s="593"/>
      <c r="C734" s="594"/>
      <c r="D734" s="595"/>
      <c r="E734" s="596"/>
      <c r="F734" s="597"/>
      <c r="G734" s="596"/>
      <c r="H734" s="597"/>
      <c r="I734" s="595"/>
      <c r="J734" s="593"/>
      <c r="K734" s="593"/>
      <c r="L734" s="593"/>
      <c r="M734" s="598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592"/>
      <c r="B735" s="593"/>
      <c r="C735" s="594"/>
      <c r="D735" s="595"/>
      <c r="E735" s="596"/>
      <c r="F735" s="597"/>
      <c r="G735" s="596"/>
      <c r="H735" s="597"/>
      <c r="I735" s="595"/>
      <c r="J735" s="593"/>
      <c r="K735" s="593"/>
      <c r="L735" s="593"/>
      <c r="M735" s="598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592"/>
      <c r="B736" s="593"/>
      <c r="C736" s="594"/>
      <c r="D736" s="595"/>
      <c r="E736" s="596"/>
      <c r="F736" s="597"/>
      <c r="G736" s="596"/>
      <c r="H736" s="597"/>
      <c r="I736" s="595"/>
      <c r="J736" s="593"/>
      <c r="K736" s="593"/>
      <c r="L736" s="593"/>
      <c r="M736" s="5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592"/>
      <c r="B737" s="593"/>
      <c r="C737" s="594"/>
      <c r="D737" s="595"/>
      <c r="E737" s="596"/>
      <c r="F737" s="597"/>
      <c r="G737" s="596"/>
      <c r="H737" s="597"/>
      <c r="I737" s="595"/>
      <c r="J737" s="593"/>
      <c r="K737" s="593"/>
      <c r="L737" s="593"/>
      <c r="M737" s="598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592"/>
      <c r="B738" s="593"/>
      <c r="C738" s="594"/>
      <c r="D738" s="595"/>
      <c r="E738" s="596"/>
      <c r="F738" s="597"/>
      <c r="G738" s="596"/>
      <c r="H738" s="597"/>
      <c r="I738" s="595"/>
      <c r="J738" s="593"/>
      <c r="K738" s="593"/>
      <c r="L738" s="593"/>
      <c r="M738" s="598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592"/>
      <c r="B739" s="593"/>
      <c r="C739" s="594"/>
      <c r="D739" s="595"/>
      <c r="E739" s="596"/>
      <c r="F739" s="597"/>
      <c r="G739" s="596"/>
      <c r="H739" s="597"/>
      <c r="I739" s="595"/>
      <c r="J739" s="593"/>
      <c r="K739" s="593"/>
      <c r="L739" s="593"/>
      <c r="M739" s="598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592"/>
      <c r="B740" s="593"/>
      <c r="C740" s="594"/>
      <c r="D740" s="595"/>
      <c r="E740" s="596"/>
      <c r="F740" s="597"/>
      <c r="G740" s="596"/>
      <c r="H740" s="597"/>
      <c r="I740" s="595"/>
      <c r="J740" s="593"/>
      <c r="K740" s="593"/>
      <c r="L740" s="593"/>
      <c r="M740" s="598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592"/>
      <c r="B741" s="593"/>
      <c r="C741" s="594"/>
      <c r="D741" s="595"/>
      <c r="E741" s="596"/>
      <c r="F741" s="597"/>
      <c r="G741" s="596"/>
      <c r="H741" s="597"/>
      <c r="I741" s="595"/>
      <c r="J741" s="593"/>
      <c r="K741" s="593"/>
      <c r="L741" s="593"/>
      <c r="M741" s="598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592"/>
      <c r="B742" s="593"/>
      <c r="C742" s="594"/>
      <c r="D742" s="595"/>
      <c r="E742" s="596"/>
      <c r="F742" s="597"/>
      <c r="G742" s="596"/>
      <c r="H742" s="597"/>
      <c r="I742" s="595"/>
      <c r="J742" s="593"/>
      <c r="K742" s="593"/>
      <c r="L742" s="593"/>
      <c r="M742" s="5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592"/>
      <c r="B743" s="593"/>
      <c r="C743" s="594"/>
      <c r="D743" s="595"/>
      <c r="E743" s="596"/>
      <c r="F743" s="597"/>
      <c r="G743" s="596"/>
      <c r="H743" s="597"/>
      <c r="I743" s="595"/>
      <c r="J743" s="593"/>
      <c r="K743" s="593"/>
      <c r="L743" s="593"/>
      <c r="M743" s="598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592"/>
      <c r="B744" s="593"/>
      <c r="C744" s="594"/>
      <c r="D744" s="595"/>
      <c r="E744" s="596"/>
      <c r="F744" s="597"/>
      <c r="G744" s="596"/>
      <c r="H744" s="597"/>
      <c r="I744" s="595"/>
      <c r="J744" s="593"/>
      <c r="K744" s="593"/>
      <c r="L744" s="593"/>
      <c r="M744" s="598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592"/>
      <c r="B745" s="593"/>
      <c r="C745" s="594"/>
      <c r="D745" s="595"/>
      <c r="E745" s="596"/>
      <c r="F745" s="597"/>
      <c r="G745" s="596"/>
      <c r="H745" s="597"/>
      <c r="I745" s="595"/>
      <c r="J745" s="593"/>
      <c r="K745" s="593"/>
      <c r="L745" s="593"/>
      <c r="M745" s="5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592"/>
      <c r="B746" s="593"/>
      <c r="C746" s="594"/>
      <c r="D746" s="595"/>
      <c r="E746" s="596"/>
      <c r="F746" s="597"/>
      <c r="G746" s="596"/>
      <c r="H746" s="597"/>
      <c r="I746" s="595"/>
      <c r="J746" s="593"/>
      <c r="K746" s="593"/>
      <c r="L746" s="593"/>
      <c r="M746" s="598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592"/>
      <c r="B747" s="593"/>
      <c r="C747" s="594"/>
      <c r="D747" s="595"/>
      <c r="E747" s="596"/>
      <c r="F747" s="597"/>
      <c r="G747" s="596"/>
      <c r="H747" s="597"/>
      <c r="I747" s="595"/>
      <c r="J747" s="593"/>
      <c r="K747" s="593"/>
      <c r="L747" s="593"/>
      <c r="M747" s="5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592"/>
      <c r="B748" s="593"/>
      <c r="C748" s="594"/>
      <c r="D748" s="595"/>
      <c r="E748" s="596"/>
      <c r="F748" s="597"/>
      <c r="G748" s="596"/>
      <c r="H748" s="597"/>
      <c r="I748" s="595"/>
      <c r="J748" s="593"/>
      <c r="K748" s="593"/>
      <c r="L748" s="593"/>
      <c r="M748" s="5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592"/>
      <c r="B749" s="593"/>
      <c r="C749" s="594"/>
      <c r="D749" s="595"/>
      <c r="E749" s="596"/>
      <c r="F749" s="597"/>
      <c r="G749" s="596"/>
      <c r="H749" s="597"/>
      <c r="I749" s="595"/>
      <c r="J749" s="593"/>
      <c r="K749" s="593"/>
      <c r="L749" s="593"/>
      <c r="M749" s="598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592"/>
      <c r="B750" s="593"/>
      <c r="C750" s="594"/>
      <c r="D750" s="595"/>
      <c r="E750" s="596"/>
      <c r="F750" s="597"/>
      <c r="G750" s="596"/>
      <c r="H750" s="597"/>
      <c r="I750" s="595"/>
      <c r="J750" s="593"/>
      <c r="K750" s="593"/>
      <c r="L750" s="593"/>
      <c r="M750" s="598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592"/>
      <c r="B751" s="593"/>
      <c r="C751" s="594"/>
      <c r="D751" s="595"/>
      <c r="E751" s="596"/>
      <c r="F751" s="597"/>
      <c r="G751" s="596"/>
      <c r="H751" s="597"/>
      <c r="I751" s="595"/>
      <c r="J751" s="593"/>
      <c r="K751" s="593"/>
      <c r="L751" s="593"/>
      <c r="M751" s="598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592"/>
      <c r="B752" s="593"/>
      <c r="C752" s="594"/>
      <c r="D752" s="595"/>
      <c r="E752" s="596"/>
      <c r="F752" s="597"/>
      <c r="G752" s="596"/>
      <c r="H752" s="597"/>
      <c r="I752" s="595"/>
      <c r="J752" s="593"/>
      <c r="K752" s="593"/>
      <c r="L752" s="593"/>
      <c r="M752" s="598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592"/>
      <c r="B753" s="593"/>
      <c r="C753" s="594"/>
      <c r="D753" s="595"/>
      <c r="E753" s="596"/>
      <c r="F753" s="597"/>
      <c r="G753" s="596"/>
      <c r="H753" s="597"/>
      <c r="I753" s="595"/>
      <c r="J753" s="593"/>
      <c r="K753" s="593"/>
      <c r="L753" s="593"/>
      <c r="M753" s="598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592"/>
      <c r="B754" s="593"/>
      <c r="C754" s="594"/>
      <c r="D754" s="595"/>
      <c r="E754" s="596"/>
      <c r="F754" s="597"/>
      <c r="G754" s="596"/>
      <c r="H754" s="597"/>
      <c r="I754" s="595"/>
      <c r="J754" s="593"/>
      <c r="K754" s="593"/>
      <c r="L754" s="593"/>
      <c r="M754" s="5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592"/>
      <c r="B755" s="593"/>
      <c r="C755" s="594"/>
      <c r="D755" s="595"/>
      <c r="E755" s="596"/>
      <c r="F755" s="597"/>
      <c r="G755" s="596"/>
      <c r="H755" s="597"/>
      <c r="I755" s="595"/>
      <c r="J755" s="593"/>
      <c r="K755" s="593"/>
      <c r="L755" s="593"/>
      <c r="M755" s="598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592"/>
      <c r="B756" s="593"/>
      <c r="C756" s="594"/>
      <c r="D756" s="595"/>
      <c r="E756" s="596"/>
      <c r="F756" s="597"/>
      <c r="G756" s="596"/>
      <c r="H756" s="597"/>
      <c r="I756" s="595"/>
      <c r="J756" s="593"/>
      <c r="K756" s="593"/>
      <c r="L756" s="593"/>
      <c r="M756" s="598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592"/>
      <c r="B757" s="593"/>
      <c r="C757" s="594"/>
      <c r="D757" s="595"/>
      <c r="E757" s="596"/>
      <c r="F757" s="597"/>
      <c r="G757" s="596"/>
      <c r="H757" s="597"/>
      <c r="I757" s="595"/>
      <c r="J757" s="593"/>
      <c r="K757" s="593"/>
      <c r="L757" s="593"/>
      <c r="M757" s="5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592"/>
      <c r="B758" s="593"/>
      <c r="C758" s="594"/>
      <c r="D758" s="595"/>
      <c r="E758" s="596"/>
      <c r="F758" s="597"/>
      <c r="G758" s="596"/>
      <c r="H758" s="597"/>
      <c r="I758" s="595"/>
      <c r="J758" s="593"/>
      <c r="K758" s="593"/>
      <c r="L758" s="593"/>
      <c r="M758" s="598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592"/>
      <c r="B759" s="593"/>
      <c r="C759" s="594"/>
      <c r="D759" s="595"/>
      <c r="E759" s="596"/>
      <c r="F759" s="597"/>
      <c r="G759" s="596"/>
      <c r="H759" s="597"/>
      <c r="I759" s="595"/>
      <c r="J759" s="593"/>
      <c r="K759" s="593"/>
      <c r="L759" s="593"/>
      <c r="M759" s="598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592"/>
      <c r="B760" s="593"/>
      <c r="C760" s="594"/>
      <c r="D760" s="595"/>
      <c r="E760" s="596"/>
      <c r="F760" s="597"/>
      <c r="G760" s="596"/>
      <c r="H760" s="597"/>
      <c r="I760" s="595"/>
      <c r="J760" s="593"/>
      <c r="K760" s="593"/>
      <c r="L760" s="593"/>
      <c r="M760" s="5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592"/>
      <c r="B761" s="593"/>
      <c r="C761" s="594"/>
      <c r="D761" s="595"/>
      <c r="E761" s="596"/>
      <c r="F761" s="597"/>
      <c r="G761" s="596"/>
      <c r="H761" s="597"/>
      <c r="I761" s="595"/>
      <c r="J761" s="593"/>
      <c r="K761" s="593"/>
      <c r="L761" s="593"/>
      <c r="M761" s="598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592"/>
      <c r="B762" s="593"/>
      <c r="C762" s="594"/>
      <c r="D762" s="595"/>
      <c r="E762" s="596"/>
      <c r="F762" s="597"/>
      <c r="G762" s="596"/>
      <c r="H762" s="597"/>
      <c r="I762" s="595"/>
      <c r="J762" s="593"/>
      <c r="K762" s="593"/>
      <c r="L762" s="593"/>
      <c r="M762" s="598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592"/>
      <c r="B763" s="593"/>
      <c r="C763" s="594"/>
      <c r="D763" s="595"/>
      <c r="E763" s="596"/>
      <c r="F763" s="597"/>
      <c r="G763" s="596"/>
      <c r="H763" s="597"/>
      <c r="I763" s="595"/>
      <c r="J763" s="593"/>
      <c r="K763" s="593"/>
      <c r="L763" s="593"/>
      <c r="M763" s="5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592"/>
      <c r="B764" s="593"/>
      <c r="C764" s="594"/>
      <c r="D764" s="595"/>
      <c r="E764" s="596"/>
      <c r="F764" s="597"/>
      <c r="G764" s="596"/>
      <c r="H764" s="597"/>
      <c r="I764" s="595"/>
      <c r="J764" s="593"/>
      <c r="K764" s="593"/>
      <c r="L764" s="593"/>
      <c r="M764" s="598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592"/>
      <c r="B765" s="593"/>
      <c r="C765" s="594"/>
      <c r="D765" s="595"/>
      <c r="E765" s="596"/>
      <c r="F765" s="597"/>
      <c r="G765" s="596"/>
      <c r="H765" s="597"/>
      <c r="I765" s="595"/>
      <c r="J765" s="593"/>
      <c r="K765" s="593"/>
      <c r="L765" s="593"/>
      <c r="M765" s="598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592"/>
      <c r="B766" s="593"/>
      <c r="C766" s="594"/>
      <c r="D766" s="595"/>
      <c r="E766" s="596"/>
      <c r="F766" s="597"/>
      <c r="G766" s="596"/>
      <c r="H766" s="597"/>
      <c r="I766" s="595"/>
      <c r="J766" s="593"/>
      <c r="K766" s="593"/>
      <c r="L766" s="593"/>
      <c r="M766" s="5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592"/>
      <c r="B767" s="593"/>
      <c r="C767" s="594"/>
      <c r="D767" s="595"/>
      <c r="E767" s="596"/>
      <c r="F767" s="597"/>
      <c r="G767" s="596"/>
      <c r="H767" s="597"/>
      <c r="I767" s="595"/>
      <c r="J767" s="593"/>
      <c r="K767" s="593"/>
      <c r="L767" s="593"/>
      <c r="M767" s="598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592"/>
      <c r="B768" s="593"/>
      <c r="C768" s="594"/>
      <c r="D768" s="595"/>
      <c r="E768" s="596"/>
      <c r="F768" s="597"/>
      <c r="G768" s="596"/>
      <c r="H768" s="597"/>
      <c r="I768" s="595"/>
      <c r="J768" s="593"/>
      <c r="K768" s="593"/>
      <c r="L768" s="593"/>
      <c r="M768" s="598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592"/>
      <c r="B769" s="593"/>
      <c r="C769" s="594"/>
      <c r="D769" s="595"/>
      <c r="E769" s="596"/>
      <c r="F769" s="597"/>
      <c r="G769" s="596"/>
      <c r="H769" s="597"/>
      <c r="I769" s="595"/>
      <c r="J769" s="593"/>
      <c r="K769" s="593"/>
      <c r="L769" s="593"/>
      <c r="M769" s="5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592"/>
      <c r="B770" s="593"/>
      <c r="C770" s="594"/>
      <c r="D770" s="595"/>
      <c r="E770" s="596"/>
      <c r="F770" s="597"/>
      <c r="G770" s="596"/>
      <c r="H770" s="597"/>
      <c r="I770" s="595"/>
      <c r="J770" s="593"/>
      <c r="K770" s="593"/>
      <c r="L770" s="593"/>
      <c r="M770" s="598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592"/>
      <c r="B771" s="593"/>
      <c r="C771" s="594"/>
      <c r="D771" s="595"/>
      <c r="E771" s="596"/>
      <c r="F771" s="597"/>
      <c r="G771" s="596"/>
      <c r="H771" s="597"/>
      <c r="I771" s="595"/>
      <c r="J771" s="593"/>
      <c r="K771" s="593"/>
      <c r="L771" s="593"/>
      <c r="M771" s="598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592"/>
      <c r="B772" s="593"/>
      <c r="C772" s="594"/>
      <c r="D772" s="595"/>
      <c r="E772" s="596"/>
      <c r="F772" s="597"/>
      <c r="G772" s="596"/>
      <c r="H772" s="597"/>
      <c r="I772" s="595"/>
      <c r="J772" s="593"/>
      <c r="K772" s="593"/>
      <c r="L772" s="593"/>
      <c r="M772" s="5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592"/>
      <c r="B773" s="593"/>
      <c r="C773" s="594"/>
      <c r="D773" s="595"/>
      <c r="E773" s="596"/>
      <c r="F773" s="597"/>
      <c r="G773" s="596"/>
      <c r="H773" s="597"/>
      <c r="I773" s="595"/>
      <c r="J773" s="593"/>
      <c r="K773" s="593"/>
      <c r="L773" s="593"/>
      <c r="M773" s="598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592"/>
      <c r="B774" s="593"/>
      <c r="C774" s="594"/>
      <c r="D774" s="595"/>
      <c r="E774" s="596"/>
      <c r="F774" s="597"/>
      <c r="G774" s="596"/>
      <c r="H774" s="597"/>
      <c r="I774" s="595"/>
      <c r="J774" s="593"/>
      <c r="K774" s="593"/>
      <c r="L774" s="593"/>
      <c r="M774" s="598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592"/>
      <c r="B775" s="593"/>
      <c r="C775" s="594"/>
      <c r="D775" s="595"/>
      <c r="E775" s="596"/>
      <c r="F775" s="597"/>
      <c r="G775" s="596"/>
      <c r="H775" s="597"/>
      <c r="I775" s="595"/>
      <c r="J775" s="593"/>
      <c r="K775" s="593"/>
      <c r="L775" s="593"/>
      <c r="M775" s="5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592"/>
      <c r="B776" s="593"/>
      <c r="C776" s="594"/>
      <c r="D776" s="595"/>
      <c r="E776" s="596"/>
      <c r="F776" s="597"/>
      <c r="G776" s="596"/>
      <c r="H776" s="597"/>
      <c r="I776" s="595"/>
      <c r="J776" s="593"/>
      <c r="K776" s="593"/>
      <c r="L776" s="593"/>
      <c r="M776" s="598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592"/>
      <c r="B777" s="593"/>
      <c r="C777" s="594"/>
      <c r="D777" s="595"/>
      <c r="E777" s="596"/>
      <c r="F777" s="597"/>
      <c r="G777" s="596"/>
      <c r="H777" s="597"/>
      <c r="I777" s="595"/>
      <c r="J777" s="593"/>
      <c r="K777" s="593"/>
      <c r="L777" s="593"/>
      <c r="M777" s="598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592"/>
      <c r="B778" s="593"/>
      <c r="C778" s="594"/>
      <c r="D778" s="595"/>
      <c r="E778" s="596"/>
      <c r="F778" s="597"/>
      <c r="G778" s="596"/>
      <c r="H778" s="597"/>
      <c r="I778" s="595"/>
      <c r="J778" s="593"/>
      <c r="K778" s="593"/>
      <c r="L778" s="593"/>
      <c r="M778" s="5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592"/>
      <c r="B779" s="593"/>
      <c r="C779" s="594"/>
      <c r="D779" s="595"/>
      <c r="E779" s="596"/>
      <c r="F779" s="597"/>
      <c r="G779" s="596"/>
      <c r="H779" s="597"/>
      <c r="I779" s="595"/>
      <c r="J779" s="593"/>
      <c r="K779" s="593"/>
      <c r="L779" s="593"/>
      <c r="M779" s="598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592"/>
      <c r="B780" s="593"/>
      <c r="C780" s="594"/>
      <c r="D780" s="595"/>
      <c r="E780" s="596"/>
      <c r="F780" s="597"/>
      <c r="G780" s="596"/>
      <c r="H780" s="597"/>
      <c r="I780" s="595"/>
      <c r="J780" s="593"/>
      <c r="K780" s="593"/>
      <c r="L780" s="593"/>
      <c r="M780" s="598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592"/>
      <c r="B781" s="593"/>
      <c r="C781" s="594"/>
      <c r="D781" s="595"/>
      <c r="E781" s="596"/>
      <c r="F781" s="597"/>
      <c r="G781" s="596"/>
      <c r="H781" s="597"/>
      <c r="I781" s="595"/>
      <c r="J781" s="593"/>
      <c r="K781" s="593"/>
      <c r="L781" s="593"/>
      <c r="M781" s="5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592"/>
      <c r="B782" s="593"/>
      <c r="C782" s="594"/>
      <c r="D782" s="595"/>
      <c r="E782" s="596"/>
      <c r="F782" s="597"/>
      <c r="G782" s="596"/>
      <c r="H782" s="597"/>
      <c r="I782" s="595"/>
      <c r="J782" s="593"/>
      <c r="K782" s="593"/>
      <c r="L782" s="593"/>
      <c r="M782" s="598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592"/>
      <c r="B783" s="593"/>
      <c r="C783" s="594"/>
      <c r="D783" s="595"/>
      <c r="E783" s="596"/>
      <c r="F783" s="597"/>
      <c r="G783" s="596"/>
      <c r="H783" s="597"/>
      <c r="I783" s="595"/>
      <c r="J783" s="593"/>
      <c r="K783" s="593"/>
      <c r="L783" s="593"/>
      <c r="M783" s="598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592"/>
      <c r="B784" s="593"/>
      <c r="C784" s="594"/>
      <c r="D784" s="595"/>
      <c r="E784" s="596"/>
      <c r="F784" s="597"/>
      <c r="G784" s="596"/>
      <c r="H784" s="597"/>
      <c r="I784" s="595"/>
      <c r="J784" s="593"/>
      <c r="K784" s="593"/>
      <c r="L784" s="593"/>
      <c r="M784" s="5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592"/>
      <c r="B785" s="593"/>
      <c r="C785" s="594"/>
      <c r="D785" s="595"/>
      <c r="E785" s="596"/>
      <c r="F785" s="597"/>
      <c r="G785" s="596"/>
      <c r="H785" s="597"/>
      <c r="I785" s="595"/>
      <c r="J785" s="593"/>
      <c r="K785" s="593"/>
      <c r="L785" s="593"/>
      <c r="M785" s="598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592"/>
      <c r="B786" s="593"/>
      <c r="C786" s="594"/>
      <c r="D786" s="595"/>
      <c r="E786" s="596"/>
      <c r="F786" s="597"/>
      <c r="G786" s="596"/>
      <c r="H786" s="597"/>
      <c r="I786" s="595"/>
      <c r="J786" s="593"/>
      <c r="K786" s="593"/>
      <c r="L786" s="593"/>
      <c r="M786" s="5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592"/>
      <c r="B787" s="593"/>
      <c r="C787" s="594"/>
      <c r="D787" s="595"/>
      <c r="E787" s="596"/>
      <c r="F787" s="597"/>
      <c r="G787" s="596"/>
      <c r="H787" s="597"/>
      <c r="I787" s="595"/>
      <c r="J787" s="593"/>
      <c r="K787" s="593"/>
      <c r="L787" s="593"/>
      <c r="M787" s="5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592"/>
      <c r="B788" s="593"/>
      <c r="C788" s="594"/>
      <c r="D788" s="595"/>
      <c r="E788" s="596"/>
      <c r="F788" s="597"/>
      <c r="G788" s="596"/>
      <c r="H788" s="597"/>
      <c r="I788" s="595"/>
      <c r="J788" s="593"/>
      <c r="K788" s="593"/>
      <c r="L788" s="593"/>
      <c r="M788" s="598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592"/>
      <c r="B789" s="593"/>
      <c r="C789" s="594"/>
      <c r="D789" s="595"/>
      <c r="E789" s="596"/>
      <c r="F789" s="597"/>
      <c r="G789" s="596"/>
      <c r="H789" s="597"/>
      <c r="I789" s="595"/>
      <c r="J789" s="593"/>
      <c r="K789" s="593"/>
      <c r="L789" s="593"/>
      <c r="M789" s="598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592"/>
      <c r="B790" s="593"/>
      <c r="C790" s="594"/>
      <c r="D790" s="595"/>
      <c r="E790" s="596"/>
      <c r="F790" s="597"/>
      <c r="G790" s="596"/>
      <c r="H790" s="597"/>
      <c r="I790" s="595"/>
      <c r="J790" s="593"/>
      <c r="K790" s="593"/>
      <c r="L790" s="593"/>
      <c r="M790" s="5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592"/>
      <c r="B791" s="593"/>
      <c r="C791" s="594"/>
      <c r="D791" s="595"/>
      <c r="E791" s="596"/>
      <c r="F791" s="597"/>
      <c r="G791" s="596"/>
      <c r="H791" s="597"/>
      <c r="I791" s="595"/>
      <c r="J791" s="593"/>
      <c r="K791" s="593"/>
      <c r="L791" s="593"/>
      <c r="M791" s="598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592"/>
      <c r="B792" s="593"/>
      <c r="C792" s="594"/>
      <c r="D792" s="595"/>
      <c r="E792" s="596"/>
      <c r="F792" s="597"/>
      <c r="G792" s="596"/>
      <c r="H792" s="597"/>
      <c r="I792" s="595"/>
      <c r="J792" s="593"/>
      <c r="K792" s="593"/>
      <c r="L792" s="593"/>
      <c r="M792" s="598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592"/>
      <c r="B793" s="593"/>
      <c r="C793" s="594"/>
      <c r="D793" s="595"/>
      <c r="E793" s="596"/>
      <c r="F793" s="597"/>
      <c r="G793" s="596"/>
      <c r="H793" s="597"/>
      <c r="I793" s="595"/>
      <c r="J793" s="593"/>
      <c r="K793" s="593"/>
      <c r="L793" s="593"/>
      <c r="M793" s="5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592"/>
      <c r="B794" s="593"/>
      <c r="C794" s="594"/>
      <c r="D794" s="595"/>
      <c r="E794" s="596"/>
      <c r="F794" s="597"/>
      <c r="G794" s="596"/>
      <c r="H794" s="597"/>
      <c r="I794" s="595"/>
      <c r="J794" s="593"/>
      <c r="K794" s="593"/>
      <c r="L794" s="593"/>
      <c r="M794" s="598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592"/>
      <c r="B795" s="593"/>
      <c r="C795" s="594"/>
      <c r="D795" s="595"/>
      <c r="E795" s="596"/>
      <c r="F795" s="597"/>
      <c r="G795" s="596"/>
      <c r="H795" s="597"/>
      <c r="I795" s="595"/>
      <c r="J795" s="593"/>
      <c r="K795" s="593"/>
      <c r="L795" s="593"/>
      <c r="M795" s="598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592"/>
      <c r="B796" s="593"/>
      <c r="C796" s="594"/>
      <c r="D796" s="595"/>
      <c r="E796" s="596"/>
      <c r="F796" s="597"/>
      <c r="G796" s="596"/>
      <c r="H796" s="597"/>
      <c r="I796" s="595"/>
      <c r="J796" s="593"/>
      <c r="K796" s="593"/>
      <c r="L796" s="593"/>
      <c r="M796" s="598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592"/>
      <c r="B797" s="593"/>
      <c r="C797" s="594"/>
      <c r="D797" s="595"/>
      <c r="E797" s="596"/>
      <c r="F797" s="597"/>
      <c r="G797" s="596"/>
      <c r="H797" s="597"/>
      <c r="I797" s="595"/>
      <c r="J797" s="593"/>
      <c r="K797" s="593"/>
      <c r="L797" s="593"/>
      <c r="M797" s="598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592"/>
      <c r="B798" s="593"/>
      <c r="C798" s="594"/>
      <c r="D798" s="595"/>
      <c r="E798" s="596"/>
      <c r="F798" s="597"/>
      <c r="G798" s="596"/>
      <c r="H798" s="597"/>
      <c r="I798" s="595"/>
      <c r="J798" s="593"/>
      <c r="K798" s="593"/>
      <c r="L798" s="593"/>
      <c r="M798" s="598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592"/>
      <c r="B799" s="593"/>
      <c r="C799" s="594"/>
      <c r="D799" s="595"/>
      <c r="E799" s="596"/>
      <c r="F799" s="597"/>
      <c r="G799" s="596"/>
      <c r="H799" s="597"/>
      <c r="I799" s="595"/>
      <c r="J799" s="593"/>
      <c r="K799" s="593"/>
      <c r="L799" s="593"/>
      <c r="M799" s="598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592"/>
      <c r="B800" s="593"/>
      <c r="C800" s="594"/>
      <c r="D800" s="595"/>
      <c r="E800" s="596"/>
      <c r="F800" s="597"/>
      <c r="G800" s="596"/>
      <c r="H800" s="597"/>
      <c r="I800" s="595"/>
      <c r="J800" s="593"/>
      <c r="K800" s="593"/>
      <c r="L800" s="593"/>
      <c r="M800" s="598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592"/>
      <c r="B801" s="593"/>
      <c r="C801" s="594"/>
      <c r="D801" s="595"/>
      <c r="E801" s="596"/>
      <c r="F801" s="597"/>
      <c r="G801" s="596"/>
      <c r="H801" s="597"/>
      <c r="I801" s="595"/>
      <c r="J801" s="593"/>
      <c r="K801" s="593"/>
      <c r="L801" s="593"/>
      <c r="M801" s="598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592"/>
      <c r="B802" s="593"/>
      <c r="C802" s="594"/>
      <c r="D802" s="595"/>
      <c r="E802" s="596"/>
      <c r="F802" s="597"/>
      <c r="G802" s="596"/>
      <c r="H802" s="597"/>
      <c r="I802" s="595"/>
      <c r="J802" s="593"/>
      <c r="K802" s="593"/>
      <c r="L802" s="593"/>
      <c r="M802" s="598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592"/>
      <c r="B803" s="593"/>
      <c r="C803" s="594"/>
      <c r="D803" s="595"/>
      <c r="E803" s="596"/>
      <c r="F803" s="597"/>
      <c r="G803" s="596"/>
      <c r="H803" s="597"/>
      <c r="I803" s="595"/>
      <c r="J803" s="593"/>
      <c r="K803" s="593"/>
      <c r="L803" s="593"/>
      <c r="M803" s="598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592"/>
      <c r="B804" s="593"/>
      <c r="C804" s="594"/>
      <c r="D804" s="595"/>
      <c r="E804" s="596"/>
      <c r="F804" s="597"/>
      <c r="G804" s="596"/>
      <c r="H804" s="597"/>
      <c r="I804" s="595"/>
      <c r="J804" s="593"/>
      <c r="K804" s="593"/>
      <c r="L804" s="593"/>
      <c r="M804" s="598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592"/>
      <c r="B805" s="593"/>
      <c r="C805" s="594"/>
      <c r="D805" s="595"/>
      <c r="E805" s="596"/>
      <c r="F805" s="597"/>
      <c r="G805" s="596"/>
      <c r="H805" s="597"/>
      <c r="I805" s="595"/>
      <c r="J805" s="593"/>
      <c r="K805" s="593"/>
      <c r="L805" s="593"/>
      <c r="M805" s="598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592"/>
      <c r="B806" s="593"/>
      <c r="C806" s="594"/>
      <c r="D806" s="595"/>
      <c r="E806" s="596"/>
      <c r="F806" s="597"/>
      <c r="G806" s="596"/>
      <c r="H806" s="597"/>
      <c r="I806" s="595"/>
      <c r="J806" s="593"/>
      <c r="K806" s="593"/>
      <c r="L806" s="593"/>
      <c r="M806" s="598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592"/>
      <c r="B807" s="593"/>
      <c r="C807" s="594"/>
      <c r="D807" s="595"/>
      <c r="E807" s="596"/>
      <c r="F807" s="597"/>
      <c r="G807" s="596"/>
      <c r="H807" s="597"/>
      <c r="I807" s="595"/>
      <c r="J807" s="593"/>
      <c r="K807" s="593"/>
      <c r="L807" s="593"/>
      <c r="M807" s="598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592"/>
      <c r="B808" s="593"/>
      <c r="C808" s="594"/>
      <c r="D808" s="595"/>
      <c r="E808" s="596"/>
      <c r="F808" s="597"/>
      <c r="G808" s="596"/>
      <c r="H808" s="597"/>
      <c r="I808" s="595"/>
      <c r="J808" s="593"/>
      <c r="K808" s="593"/>
      <c r="L808" s="593"/>
      <c r="M808" s="598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592"/>
      <c r="B809" s="593"/>
      <c r="C809" s="594"/>
      <c r="D809" s="595"/>
      <c r="E809" s="596"/>
      <c r="F809" s="597"/>
      <c r="G809" s="596"/>
      <c r="H809" s="597"/>
      <c r="I809" s="595"/>
      <c r="J809" s="593"/>
      <c r="K809" s="593"/>
      <c r="L809" s="593"/>
      <c r="M809" s="598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592"/>
      <c r="B810" s="593"/>
      <c r="C810" s="594"/>
      <c r="D810" s="595"/>
      <c r="E810" s="596"/>
      <c r="F810" s="597"/>
      <c r="G810" s="596"/>
      <c r="H810" s="597"/>
      <c r="I810" s="595"/>
      <c r="J810" s="593"/>
      <c r="K810" s="593"/>
      <c r="L810" s="593"/>
      <c r="M810" s="598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592"/>
      <c r="B811" s="593"/>
      <c r="C811" s="594"/>
      <c r="D811" s="595"/>
      <c r="E811" s="596"/>
      <c r="F811" s="597"/>
      <c r="G811" s="596"/>
      <c r="H811" s="597"/>
      <c r="I811" s="595"/>
      <c r="J811" s="593"/>
      <c r="K811" s="593"/>
      <c r="L811" s="593"/>
      <c r="M811" s="598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592"/>
      <c r="B812" s="593"/>
      <c r="C812" s="594"/>
      <c r="D812" s="595"/>
      <c r="E812" s="596"/>
      <c r="F812" s="597"/>
      <c r="G812" s="596"/>
      <c r="H812" s="597"/>
      <c r="I812" s="595"/>
      <c r="J812" s="593"/>
      <c r="K812" s="593"/>
      <c r="L812" s="593"/>
      <c r="M812" s="598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592"/>
      <c r="B813" s="593"/>
      <c r="C813" s="594"/>
      <c r="D813" s="595"/>
      <c r="E813" s="596"/>
      <c r="F813" s="597"/>
      <c r="G813" s="596"/>
      <c r="H813" s="597"/>
      <c r="I813" s="595"/>
      <c r="J813" s="593"/>
      <c r="K813" s="593"/>
      <c r="L813" s="593"/>
      <c r="M813" s="598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592"/>
      <c r="B814" s="593"/>
      <c r="C814" s="594"/>
      <c r="D814" s="595"/>
      <c r="E814" s="596"/>
      <c r="F814" s="597"/>
      <c r="G814" s="596"/>
      <c r="H814" s="597"/>
      <c r="I814" s="595"/>
      <c r="J814" s="593"/>
      <c r="K814" s="593"/>
      <c r="L814" s="593"/>
      <c r="M814" s="598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592"/>
      <c r="B815" s="593"/>
      <c r="C815" s="594"/>
      <c r="D815" s="595"/>
      <c r="E815" s="596"/>
      <c r="F815" s="597"/>
      <c r="G815" s="596"/>
      <c r="H815" s="597"/>
      <c r="I815" s="595"/>
      <c r="J815" s="593"/>
      <c r="K815" s="593"/>
      <c r="L815" s="593"/>
      <c r="M815" s="5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592"/>
      <c r="B816" s="593"/>
      <c r="C816" s="594"/>
      <c r="D816" s="595"/>
      <c r="E816" s="596"/>
      <c r="F816" s="597"/>
      <c r="G816" s="596"/>
      <c r="H816" s="597"/>
      <c r="I816" s="595"/>
      <c r="J816" s="593"/>
      <c r="K816" s="593"/>
      <c r="L816" s="593"/>
      <c r="M816" s="598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592"/>
      <c r="B817" s="593"/>
      <c r="C817" s="594"/>
      <c r="D817" s="595"/>
      <c r="E817" s="596"/>
      <c r="F817" s="597"/>
      <c r="G817" s="596"/>
      <c r="H817" s="597"/>
      <c r="I817" s="595"/>
      <c r="J817" s="593"/>
      <c r="K817" s="593"/>
      <c r="L817" s="593"/>
      <c r="M817" s="598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592"/>
      <c r="B818" s="593"/>
      <c r="C818" s="594"/>
      <c r="D818" s="595"/>
      <c r="E818" s="596"/>
      <c r="F818" s="597"/>
      <c r="G818" s="596"/>
      <c r="H818" s="597"/>
      <c r="I818" s="595"/>
      <c r="J818" s="593"/>
      <c r="K818" s="593"/>
      <c r="L818" s="593"/>
      <c r="M818" s="598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592"/>
      <c r="B819" s="593"/>
      <c r="C819" s="594"/>
      <c r="D819" s="595"/>
      <c r="E819" s="596"/>
      <c r="F819" s="597"/>
      <c r="G819" s="596"/>
      <c r="H819" s="597"/>
      <c r="I819" s="595"/>
      <c r="J819" s="593"/>
      <c r="K819" s="593"/>
      <c r="L819" s="593"/>
      <c r="M819" s="598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592"/>
      <c r="B820" s="593"/>
      <c r="C820" s="594"/>
      <c r="D820" s="595"/>
      <c r="E820" s="596"/>
      <c r="F820" s="597"/>
      <c r="G820" s="596"/>
      <c r="H820" s="597"/>
      <c r="I820" s="595"/>
      <c r="J820" s="593"/>
      <c r="K820" s="593"/>
      <c r="L820" s="593"/>
      <c r="M820" s="598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592"/>
      <c r="B821" s="593"/>
      <c r="C821" s="594"/>
      <c r="D821" s="595"/>
      <c r="E821" s="596"/>
      <c r="F821" s="597"/>
      <c r="G821" s="596"/>
      <c r="H821" s="597"/>
      <c r="I821" s="595"/>
      <c r="J821" s="593"/>
      <c r="K821" s="593"/>
      <c r="L821" s="593"/>
      <c r="M821" s="598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592"/>
      <c r="B822" s="593"/>
      <c r="C822" s="594"/>
      <c r="D822" s="595"/>
      <c r="E822" s="596"/>
      <c r="F822" s="597"/>
      <c r="G822" s="596"/>
      <c r="H822" s="597"/>
      <c r="I822" s="595"/>
      <c r="J822" s="593"/>
      <c r="K822" s="593"/>
      <c r="L822" s="593"/>
      <c r="M822" s="598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592"/>
      <c r="B823" s="593"/>
      <c r="C823" s="594"/>
      <c r="D823" s="595"/>
      <c r="E823" s="596"/>
      <c r="F823" s="597"/>
      <c r="G823" s="596"/>
      <c r="H823" s="597"/>
      <c r="I823" s="595"/>
      <c r="J823" s="593"/>
      <c r="K823" s="593"/>
      <c r="L823" s="593"/>
      <c r="M823" s="598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592"/>
      <c r="B824" s="593"/>
      <c r="C824" s="594"/>
      <c r="D824" s="595"/>
      <c r="E824" s="596"/>
      <c r="F824" s="597"/>
      <c r="G824" s="596"/>
      <c r="H824" s="597"/>
      <c r="I824" s="595"/>
      <c r="J824" s="593"/>
      <c r="K824" s="593"/>
      <c r="L824" s="593"/>
      <c r="M824" s="598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592"/>
      <c r="B825" s="593"/>
      <c r="C825" s="594"/>
      <c r="D825" s="595"/>
      <c r="E825" s="596"/>
      <c r="F825" s="597"/>
      <c r="G825" s="596"/>
      <c r="H825" s="597"/>
      <c r="I825" s="595"/>
      <c r="J825" s="593"/>
      <c r="K825" s="593"/>
      <c r="L825" s="593"/>
      <c r="M825" s="598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592"/>
      <c r="B826" s="593"/>
      <c r="C826" s="594"/>
      <c r="D826" s="595"/>
      <c r="E826" s="596"/>
      <c r="F826" s="597"/>
      <c r="G826" s="596"/>
      <c r="H826" s="597"/>
      <c r="I826" s="595"/>
      <c r="J826" s="593"/>
      <c r="K826" s="593"/>
      <c r="L826" s="593"/>
      <c r="M826" s="598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592"/>
      <c r="B827" s="593"/>
      <c r="C827" s="594"/>
      <c r="D827" s="595"/>
      <c r="E827" s="596"/>
      <c r="F827" s="597"/>
      <c r="G827" s="596"/>
      <c r="H827" s="597"/>
      <c r="I827" s="595"/>
      <c r="J827" s="593"/>
      <c r="K827" s="593"/>
      <c r="L827" s="593"/>
      <c r="M827" s="598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592"/>
      <c r="B828" s="593"/>
      <c r="C828" s="594"/>
      <c r="D828" s="595"/>
      <c r="E828" s="596"/>
      <c r="F828" s="597"/>
      <c r="G828" s="596"/>
      <c r="H828" s="597"/>
      <c r="I828" s="595"/>
      <c r="J828" s="593"/>
      <c r="K828" s="593"/>
      <c r="L828" s="593"/>
      <c r="M828" s="598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592"/>
      <c r="B829" s="593"/>
      <c r="C829" s="594"/>
      <c r="D829" s="595"/>
      <c r="E829" s="596"/>
      <c r="F829" s="597"/>
      <c r="G829" s="596"/>
      <c r="H829" s="597"/>
      <c r="I829" s="595"/>
      <c r="J829" s="593"/>
      <c r="K829" s="593"/>
      <c r="L829" s="593"/>
      <c r="M829" s="598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592"/>
      <c r="B830" s="593"/>
      <c r="C830" s="594"/>
      <c r="D830" s="595"/>
      <c r="E830" s="596"/>
      <c r="F830" s="597"/>
      <c r="G830" s="596"/>
      <c r="H830" s="597"/>
      <c r="I830" s="595"/>
      <c r="J830" s="593"/>
      <c r="K830" s="593"/>
      <c r="L830" s="593"/>
      <c r="M830" s="598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592"/>
      <c r="B831" s="593"/>
      <c r="C831" s="594"/>
      <c r="D831" s="595"/>
      <c r="E831" s="596"/>
      <c r="F831" s="597"/>
      <c r="G831" s="596"/>
      <c r="H831" s="597"/>
      <c r="I831" s="595"/>
      <c r="J831" s="593"/>
      <c r="K831" s="593"/>
      <c r="L831" s="593"/>
      <c r="M831" s="598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592"/>
      <c r="B832" s="593"/>
      <c r="C832" s="594"/>
      <c r="D832" s="595"/>
      <c r="E832" s="596"/>
      <c r="F832" s="597"/>
      <c r="G832" s="596"/>
      <c r="H832" s="597"/>
      <c r="I832" s="595"/>
      <c r="J832" s="593"/>
      <c r="K832" s="593"/>
      <c r="L832" s="593"/>
      <c r="M832" s="598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592"/>
      <c r="B833" s="593"/>
      <c r="C833" s="594"/>
      <c r="D833" s="595"/>
      <c r="E833" s="596"/>
      <c r="F833" s="597"/>
      <c r="G833" s="596"/>
      <c r="H833" s="597"/>
      <c r="I833" s="595"/>
      <c r="J833" s="593"/>
      <c r="K833" s="593"/>
      <c r="L833" s="593"/>
      <c r="M833" s="598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592"/>
      <c r="B834" s="593"/>
      <c r="C834" s="594"/>
      <c r="D834" s="595"/>
      <c r="E834" s="596"/>
      <c r="F834" s="597"/>
      <c r="G834" s="596"/>
      <c r="H834" s="597"/>
      <c r="I834" s="595"/>
      <c r="J834" s="593"/>
      <c r="K834" s="593"/>
      <c r="L834" s="593"/>
      <c r="M834" s="598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592"/>
      <c r="B835" s="593"/>
      <c r="C835" s="594"/>
      <c r="D835" s="595"/>
      <c r="E835" s="596"/>
      <c r="F835" s="597"/>
      <c r="G835" s="596"/>
      <c r="H835" s="597"/>
      <c r="I835" s="595"/>
      <c r="J835" s="593"/>
      <c r="K835" s="593"/>
      <c r="L835" s="593"/>
      <c r="M835" s="598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592"/>
      <c r="B836" s="593"/>
      <c r="C836" s="594"/>
      <c r="D836" s="595"/>
      <c r="E836" s="596"/>
      <c r="F836" s="597"/>
      <c r="G836" s="596"/>
      <c r="H836" s="597"/>
      <c r="I836" s="595"/>
      <c r="J836" s="593"/>
      <c r="K836" s="593"/>
      <c r="L836" s="593"/>
      <c r="M836" s="598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592"/>
      <c r="B837" s="593"/>
      <c r="C837" s="594"/>
      <c r="D837" s="595"/>
      <c r="E837" s="596"/>
      <c r="F837" s="597"/>
      <c r="G837" s="596"/>
      <c r="H837" s="597"/>
      <c r="I837" s="595"/>
      <c r="J837" s="593"/>
      <c r="K837" s="593"/>
      <c r="L837" s="593"/>
      <c r="M837" s="598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592"/>
      <c r="B838" s="593"/>
      <c r="C838" s="594"/>
      <c r="D838" s="595"/>
      <c r="E838" s="596"/>
      <c r="F838" s="597"/>
      <c r="G838" s="596"/>
      <c r="H838" s="597"/>
      <c r="I838" s="595"/>
      <c r="J838" s="593"/>
      <c r="K838" s="593"/>
      <c r="L838" s="593"/>
      <c r="M838" s="598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592"/>
      <c r="B839" s="593"/>
      <c r="C839" s="594"/>
      <c r="D839" s="595"/>
      <c r="E839" s="596"/>
      <c r="F839" s="597"/>
      <c r="G839" s="596"/>
      <c r="H839" s="597"/>
      <c r="I839" s="595"/>
      <c r="J839" s="593"/>
      <c r="K839" s="593"/>
      <c r="L839" s="593"/>
      <c r="M839" s="598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592"/>
      <c r="B840" s="593"/>
      <c r="C840" s="594"/>
      <c r="D840" s="595"/>
      <c r="E840" s="596"/>
      <c r="F840" s="597"/>
      <c r="G840" s="596"/>
      <c r="H840" s="597"/>
      <c r="I840" s="595"/>
      <c r="J840" s="593"/>
      <c r="K840" s="593"/>
      <c r="L840" s="593"/>
      <c r="M840" s="598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592"/>
      <c r="B841" s="593"/>
      <c r="C841" s="594"/>
      <c r="D841" s="595"/>
      <c r="E841" s="596"/>
      <c r="F841" s="597"/>
      <c r="G841" s="596"/>
      <c r="H841" s="597"/>
      <c r="I841" s="595"/>
      <c r="J841" s="593"/>
      <c r="K841" s="593"/>
      <c r="L841" s="593"/>
      <c r="M841" s="598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592"/>
      <c r="B842" s="593"/>
      <c r="C842" s="594"/>
      <c r="D842" s="595"/>
      <c r="E842" s="596"/>
      <c r="F842" s="597"/>
      <c r="G842" s="596"/>
      <c r="H842" s="597"/>
      <c r="I842" s="595"/>
      <c r="J842" s="593"/>
      <c r="K842" s="593"/>
      <c r="L842" s="593"/>
      <c r="M842" s="598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592"/>
      <c r="B843" s="593"/>
      <c r="C843" s="594"/>
      <c r="D843" s="595"/>
      <c r="E843" s="596"/>
      <c r="F843" s="597"/>
      <c r="G843" s="596"/>
      <c r="H843" s="597"/>
      <c r="I843" s="595"/>
      <c r="J843" s="593"/>
      <c r="K843" s="593"/>
      <c r="L843" s="593"/>
      <c r="M843" s="598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592"/>
      <c r="B844" s="593"/>
      <c r="C844" s="594"/>
      <c r="D844" s="595"/>
      <c r="E844" s="596"/>
      <c r="F844" s="597"/>
      <c r="G844" s="596"/>
      <c r="H844" s="597"/>
      <c r="I844" s="595"/>
      <c r="J844" s="593"/>
      <c r="K844" s="593"/>
      <c r="L844" s="593"/>
      <c r="M844" s="598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592"/>
      <c r="B845" s="593"/>
      <c r="C845" s="594"/>
      <c r="D845" s="595"/>
      <c r="E845" s="596"/>
      <c r="F845" s="597"/>
      <c r="G845" s="596"/>
      <c r="H845" s="597"/>
      <c r="I845" s="595"/>
      <c r="J845" s="593"/>
      <c r="K845" s="593"/>
      <c r="L845" s="593"/>
      <c r="M845" s="598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592"/>
      <c r="B846" s="593"/>
      <c r="C846" s="594"/>
      <c r="D846" s="595"/>
      <c r="E846" s="596"/>
      <c r="F846" s="597"/>
      <c r="G846" s="596"/>
      <c r="H846" s="597"/>
      <c r="I846" s="595"/>
      <c r="J846" s="593"/>
      <c r="K846" s="593"/>
      <c r="L846" s="593"/>
      <c r="M846" s="598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592"/>
      <c r="B847" s="593"/>
      <c r="C847" s="594"/>
      <c r="D847" s="595"/>
      <c r="E847" s="596"/>
      <c r="F847" s="597"/>
      <c r="G847" s="596"/>
      <c r="H847" s="597"/>
      <c r="I847" s="595"/>
      <c r="J847" s="593"/>
      <c r="K847" s="593"/>
      <c r="L847" s="593"/>
      <c r="M847" s="598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592"/>
      <c r="B848" s="593"/>
      <c r="C848" s="594"/>
      <c r="D848" s="595"/>
      <c r="E848" s="596"/>
      <c r="F848" s="597"/>
      <c r="G848" s="596"/>
      <c r="H848" s="597"/>
      <c r="I848" s="595"/>
      <c r="J848" s="593"/>
      <c r="K848" s="593"/>
      <c r="L848" s="593"/>
      <c r="M848" s="598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592"/>
      <c r="B849" s="593"/>
      <c r="C849" s="594"/>
      <c r="D849" s="595"/>
      <c r="E849" s="596"/>
      <c r="F849" s="597"/>
      <c r="G849" s="596"/>
      <c r="H849" s="597"/>
      <c r="I849" s="595"/>
      <c r="J849" s="593"/>
      <c r="K849" s="593"/>
      <c r="L849" s="593"/>
      <c r="M849" s="5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592"/>
      <c r="B850" s="593"/>
      <c r="C850" s="594"/>
      <c r="D850" s="595"/>
      <c r="E850" s="596"/>
      <c r="F850" s="597"/>
      <c r="G850" s="596"/>
      <c r="H850" s="597"/>
      <c r="I850" s="595"/>
      <c r="J850" s="593"/>
      <c r="K850" s="593"/>
      <c r="L850" s="593"/>
      <c r="M850" s="598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592"/>
      <c r="B851" s="593"/>
      <c r="C851" s="594"/>
      <c r="D851" s="595"/>
      <c r="E851" s="596"/>
      <c r="F851" s="597"/>
      <c r="G851" s="596"/>
      <c r="H851" s="597"/>
      <c r="I851" s="595"/>
      <c r="J851" s="593"/>
      <c r="K851" s="593"/>
      <c r="L851" s="593"/>
      <c r="M851" s="598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592"/>
      <c r="B852" s="593"/>
      <c r="C852" s="594"/>
      <c r="D852" s="595"/>
      <c r="E852" s="596"/>
      <c r="F852" s="597"/>
      <c r="G852" s="596"/>
      <c r="H852" s="597"/>
      <c r="I852" s="595"/>
      <c r="J852" s="593"/>
      <c r="K852" s="593"/>
      <c r="L852" s="593"/>
      <c r="M852" s="598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592"/>
      <c r="B853" s="593"/>
      <c r="C853" s="594"/>
      <c r="D853" s="595"/>
      <c r="E853" s="596"/>
      <c r="F853" s="597"/>
      <c r="G853" s="596"/>
      <c r="H853" s="597"/>
      <c r="I853" s="595"/>
      <c r="J853" s="593"/>
      <c r="K853" s="593"/>
      <c r="L853" s="593"/>
      <c r="M853" s="598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592"/>
      <c r="B854" s="593"/>
      <c r="C854" s="594"/>
      <c r="D854" s="595"/>
      <c r="E854" s="596"/>
      <c r="F854" s="597"/>
      <c r="G854" s="596"/>
      <c r="H854" s="597"/>
      <c r="I854" s="595"/>
      <c r="J854" s="593"/>
      <c r="K854" s="593"/>
      <c r="L854" s="593"/>
      <c r="M854" s="598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592"/>
      <c r="B855" s="593"/>
      <c r="C855" s="594"/>
      <c r="D855" s="595"/>
      <c r="E855" s="596"/>
      <c r="F855" s="597"/>
      <c r="G855" s="596"/>
      <c r="H855" s="597"/>
      <c r="I855" s="595"/>
      <c r="J855" s="593"/>
      <c r="K855" s="593"/>
      <c r="L855" s="593"/>
      <c r="M855" s="598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592"/>
      <c r="B856" s="593"/>
      <c r="C856" s="594"/>
      <c r="D856" s="595"/>
      <c r="E856" s="596"/>
      <c r="F856" s="597"/>
      <c r="G856" s="596"/>
      <c r="H856" s="597"/>
      <c r="I856" s="595"/>
      <c r="J856" s="593"/>
      <c r="K856" s="593"/>
      <c r="L856" s="593"/>
      <c r="M856" s="598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592"/>
      <c r="B857" s="593"/>
      <c r="C857" s="594"/>
      <c r="D857" s="595"/>
      <c r="E857" s="596"/>
      <c r="F857" s="597"/>
      <c r="G857" s="596"/>
      <c r="H857" s="597"/>
      <c r="I857" s="595"/>
      <c r="J857" s="593"/>
      <c r="K857" s="593"/>
      <c r="L857" s="593"/>
      <c r="M857" s="598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592"/>
      <c r="B858" s="593"/>
      <c r="C858" s="594"/>
      <c r="D858" s="595"/>
      <c r="E858" s="596"/>
      <c r="F858" s="597"/>
      <c r="G858" s="596"/>
      <c r="H858" s="597"/>
      <c r="I858" s="595"/>
      <c r="J858" s="593"/>
      <c r="K858" s="593"/>
      <c r="L858" s="593"/>
      <c r="M858" s="598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592"/>
      <c r="B859" s="593"/>
      <c r="C859" s="594"/>
      <c r="D859" s="595"/>
      <c r="E859" s="596"/>
      <c r="F859" s="597"/>
      <c r="G859" s="596"/>
      <c r="H859" s="597"/>
      <c r="I859" s="595"/>
      <c r="J859" s="593"/>
      <c r="K859" s="593"/>
      <c r="L859" s="593"/>
      <c r="M859" s="598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592"/>
      <c r="B860" s="593"/>
      <c r="C860" s="594"/>
      <c r="D860" s="595"/>
      <c r="E860" s="596"/>
      <c r="F860" s="597"/>
      <c r="G860" s="596"/>
      <c r="H860" s="597"/>
      <c r="I860" s="595"/>
      <c r="J860" s="593"/>
      <c r="K860" s="593"/>
      <c r="L860" s="593"/>
      <c r="M860" s="598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592"/>
      <c r="B861" s="593"/>
      <c r="C861" s="594"/>
      <c r="D861" s="595"/>
      <c r="E861" s="596"/>
      <c r="F861" s="597"/>
      <c r="G861" s="596"/>
      <c r="H861" s="597"/>
      <c r="I861" s="595"/>
      <c r="J861" s="593"/>
      <c r="K861" s="593"/>
      <c r="L861" s="593"/>
      <c r="M861" s="598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592"/>
      <c r="B862" s="593"/>
      <c r="C862" s="594"/>
      <c r="D862" s="595"/>
      <c r="E862" s="596"/>
      <c r="F862" s="597"/>
      <c r="G862" s="596"/>
      <c r="H862" s="597"/>
      <c r="I862" s="595"/>
      <c r="J862" s="593"/>
      <c r="K862" s="593"/>
      <c r="L862" s="593"/>
      <c r="M862" s="598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592"/>
      <c r="B863" s="593"/>
      <c r="C863" s="594"/>
      <c r="D863" s="595"/>
      <c r="E863" s="596"/>
      <c r="F863" s="597"/>
      <c r="G863" s="596"/>
      <c r="H863" s="597"/>
      <c r="I863" s="595"/>
      <c r="J863" s="593"/>
      <c r="K863" s="593"/>
      <c r="L863" s="593"/>
      <c r="M863" s="598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592"/>
      <c r="B864" s="593"/>
      <c r="C864" s="594"/>
      <c r="D864" s="595"/>
      <c r="E864" s="596"/>
      <c r="F864" s="597"/>
      <c r="G864" s="596"/>
      <c r="H864" s="597"/>
      <c r="I864" s="595"/>
      <c r="J864" s="593"/>
      <c r="K864" s="593"/>
      <c r="L864" s="593"/>
      <c r="M864" s="598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592"/>
      <c r="B865" s="593"/>
      <c r="C865" s="594"/>
      <c r="D865" s="595"/>
      <c r="E865" s="596"/>
      <c r="F865" s="597"/>
      <c r="G865" s="596"/>
      <c r="H865" s="597"/>
      <c r="I865" s="595"/>
      <c r="J865" s="593"/>
      <c r="K865" s="593"/>
      <c r="L865" s="593"/>
      <c r="M865" s="598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592"/>
      <c r="B866" s="593"/>
      <c r="C866" s="594"/>
      <c r="D866" s="595"/>
      <c r="E866" s="596"/>
      <c r="F866" s="597"/>
      <c r="G866" s="596"/>
      <c r="H866" s="597"/>
      <c r="I866" s="595"/>
      <c r="J866" s="593"/>
      <c r="K866" s="593"/>
      <c r="L866" s="593"/>
      <c r="M866" s="598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592"/>
      <c r="B867" s="593"/>
      <c r="C867" s="594"/>
      <c r="D867" s="595"/>
      <c r="E867" s="596"/>
      <c r="F867" s="597"/>
      <c r="G867" s="596"/>
      <c r="H867" s="597"/>
      <c r="I867" s="595"/>
      <c r="J867" s="593"/>
      <c r="K867" s="593"/>
      <c r="L867" s="593"/>
      <c r="M867" s="598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592"/>
      <c r="B868" s="593"/>
      <c r="C868" s="594"/>
      <c r="D868" s="595"/>
      <c r="E868" s="596"/>
      <c r="F868" s="597"/>
      <c r="G868" s="596"/>
      <c r="H868" s="597"/>
      <c r="I868" s="595"/>
      <c r="J868" s="593"/>
      <c r="K868" s="593"/>
      <c r="L868" s="593"/>
      <c r="M868" s="598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592"/>
      <c r="B869" s="593"/>
      <c r="C869" s="594"/>
      <c r="D869" s="595"/>
      <c r="E869" s="596"/>
      <c r="F869" s="597"/>
      <c r="G869" s="596"/>
      <c r="H869" s="597"/>
      <c r="I869" s="595"/>
      <c r="J869" s="593"/>
      <c r="K869" s="593"/>
      <c r="L869" s="593"/>
      <c r="M869" s="598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592"/>
      <c r="B870" s="593"/>
      <c r="C870" s="594"/>
      <c r="D870" s="595"/>
      <c r="E870" s="596"/>
      <c r="F870" s="597"/>
      <c r="G870" s="596"/>
      <c r="H870" s="597"/>
      <c r="I870" s="595"/>
      <c r="J870" s="593"/>
      <c r="K870" s="593"/>
      <c r="L870" s="593"/>
      <c r="M870" s="598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592"/>
      <c r="B871" s="593"/>
      <c r="C871" s="594"/>
      <c r="D871" s="595"/>
      <c r="E871" s="596"/>
      <c r="F871" s="597"/>
      <c r="G871" s="596"/>
      <c r="H871" s="597"/>
      <c r="I871" s="595"/>
      <c r="J871" s="593"/>
      <c r="K871" s="593"/>
      <c r="L871" s="593"/>
      <c r="M871" s="598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592"/>
      <c r="B872" s="593"/>
      <c r="C872" s="594"/>
      <c r="D872" s="595"/>
      <c r="E872" s="596"/>
      <c r="F872" s="597"/>
      <c r="G872" s="596"/>
      <c r="H872" s="597"/>
      <c r="I872" s="595"/>
      <c r="J872" s="593"/>
      <c r="K872" s="593"/>
      <c r="L872" s="593"/>
      <c r="M872" s="598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592"/>
      <c r="B873" s="593"/>
      <c r="C873" s="594"/>
      <c r="D873" s="595"/>
      <c r="E873" s="596"/>
      <c r="F873" s="597"/>
      <c r="G873" s="596"/>
      <c r="H873" s="597"/>
      <c r="I873" s="595"/>
      <c r="J873" s="593"/>
      <c r="K873" s="593"/>
      <c r="L873" s="593"/>
      <c r="M873" s="598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592"/>
      <c r="B874" s="593"/>
      <c r="C874" s="594"/>
      <c r="D874" s="595"/>
      <c r="E874" s="596"/>
      <c r="F874" s="597"/>
      <c r="G874" s="596"/>
      <c r="H874" s="597"/>
      <c r="I874" s="595"/>
      <c r="J874" s="593"/>
      <c r="K874" s="593"/>
      <c r="L874" s="593"/>
      <c r="M874" s="598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592"/>
      <c r="B875" s="593"/>
      <c r="C875" s="594"/>
      <c r="D875" s="595"/>
      <c r="E875" s="596"/>
      <c r="F875" s="597"/>
      <c r="G875" s="596"/>
      <c r="H875" s="597"/>
      <c r="I875" s="595"/>
      <c r="J875" s="593"/>
      <c r="K875" s="593"/>
      <c r="L875" s="593"/>
      <c r="M875" s="598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592"/>
      <c r="B876" s="593"/>
      <c r="C876" s="594"/>
      <c r="D876" s="595"/>
      <c r="E876" s="596"/>
      <c r="F876" s="597"/>
      <c r="G876" s="596"/>
      <c r="H876" s="597"/>
      <c r="I876" s="595"/>
      <c r="J876" s="593"/>
      <c r="K876" s="593"/>
      <c r="L876" s="593"/>
      <c r="M876" s="598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592"/>
      <c r="B877" s="593"/>
      <c r="C877" s="594"/>
      <c r="D877" s="595"/>
      <c r="E877" s="596"/>
      <c r="F877" s="597"/>
      <c r="G877" s="596"/>
      <c r="H877" s="597"/>
      <c r="I877" s="595"/>
      <c r="J877" s="593"/>
      <c r="K877" s="593"/>
      <c r="L877" s="593"/>
      <c r="M877" s="598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592"/>
      <c r="B878" s="593"/>
      <c r="C878" s="594"/>
      <c r="D878" s="595"/>
      <c r="E878" s="596"/>
      <c r="F878" s="597"/>
      <c r="G878" s="596"/>
      <c r="H878" s="597"/>
      <c r="I878" s="595"/>
      <c r="J878" s="593"/>
      <c r="K878" s="593"/>
      <c r="L878" s="593"/>
      <c r="M878" s="598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592"/>
      <c r="B879" s="593"/>
      <c r="C879" s="594"/>
      <c r="D879" s="595"/>
      <c r="E879" s="596"/>
      <c r="F879" s="597"/>
      <c r="G879" s="596"/>
      <c r="H879" s="597"/>
      <c r="I879" s="595"/>
      <c r="J879" s="593"/>
      <c r="K879" s="593"/>
      <c r="L879" s="593"/>
      <c r="M879" s="598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592"/>
      <c r="B880" s="593"/>
      <c r="C880" s="594"/>
      <c r="D880" s="595"/>
      <c r="E880" s="596"/>
      <c r="F880" s="597"/>
      <c r="G880" s="596"/>
      <c r="H880" s="597"/>
      <c r="I880" s="595"/>
      <c r="J880" s="593"/>
      <c r="K880" s="593"/>
      <c r="L880" s="593"/>
      <c r="M880" s="598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592"/>
      <c r="B881" s="593"/>
      <c r="C881" s="594"/>
      <c r="D881" s="595"/>
      <c r="E881" s="596"/>
      <c r="F881" s="597"/>
      <c r="G881" s="596"/>
      <c r="H881" s="597"/>
      <c r="I881" s="595"/>
      <c r="J881" s="593"/>
      <c r="K881" s="593"/>
      <c r="L881" s="593"/>
      <c r="M881" s="598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592"/>
      <c r="B882" s="593"/>
      <c r="C882" s="594"/>
      <c r="D882" s="595"/>
      <c r="E882" s="596"/>
      <c r="F882" s="597"/>
      <c r="G882" s="596"/>
      <c r="H882" s="597"/>
      <c r="I882" s="595"/>
      <c r="J882" s="593"/>
      <c r="K882" s="593"/>
      <c r="L882" s="593"/>
      <c r="M882" s="598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592"/>
      <c r="B883" s="593"/>
      <c r="C883" s="594"/>
      <c r="D883" s="595"/>
      <c r="E883" s="596"/>
      <c r="F883" s="597"/>
      <c r="G883" s="596"/>
      <c r="H883" s="597"/>
      <c r="I883" s="595"/>
      <c r="J883" s="593"/>
      <c r="K883" s="593"/>
      <c r="L883" s="593"/>
      <c r="M883" s="598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592"/>
      <c r="B884" s="593"/>
      <c r="C884" s="594"/>
      <c r="D884" s="595"/>
      <c r="E884" s="596"/>
      <c r="F884" s="597"/>
      <c r="G884" s="596"/>
      <c r="H884" s="597"/>
      <c r="I884" s="595"/>
      <c r="J884" s="593"/>
      <c r="K884" s="593"/>
      <c r="L884" s="593"/>
      <c r="M884" s="598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592"/>
      <c r="B885" s="593"/>
      <c r="C885" s="594"/>
      <c r="D885" s="595"/>
      <c r="E885" s="596"/>
      <c r="F885" s="597"/>
      <c r="G885" s="596"/>
      <c r="H885" s="597"/>
      <c r="I885" s="595"/>
      <c r="J885" s="593"/>
      <c r="K885" s="593"/>
      <c r="L885" s="593"/>
      <c r="M885" s="598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592"/>
      <c r="B886" s="593"/>
      <c r="C886" s="594"/>
      <c r="D886" s="595"/>
      <c r="E886" s="596"/>
      <c r="F886" s="597"/>
      <c r="G886" s="596"/>
      <c r="H886" s="597"/>
      <c r="I886" s="595"/>
      <c r="J886" s="593"/>
      <c r="K886" s="593"/>
      <c r="L886" s="593"/>
      <c r="M886" s="598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592"/>
      <c r="B887" s="593"/>
      <c r="C887" s="594"/>
      <c r="D887" s="595"/>
      <c r="E887" s="596"/>
      <c r="F887" s="597"/>
      <c r="G887" s="596"/>
      <c r="H887" s="597"/>
      <c r="I887" s="595"/>
      <c r="J887" s="593"/>
      <c r="K887" s="593"/>
      <c r="L887" s="593"/>
      <c r="M887" s="598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592"/>
      <c r="B888" s="593"/>
      <c r="C888" s="594"/>
      <c r="D888" s="595"/>
      <c r="E888" s="596"/>
      <c r="F888" s="597"/>
      <c r="G888" s="596"/>
      <c r="H888" s="597"/>
      <c r="I888" s="595"/>
      <c r="J888" s="593"/>
      <c r="K888" s="593"/>
      <c r="L888" s="593"/>
      <c r="M888" s="598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592"/>
      <c r="B889" s="593"/>
      <c r="C889" s="594"/>
      <c r="D889" s="595"/>
      <c r="E889" s="596"/>
      <c r="F889" s="597"/>
      <c r="G889" s="596"/>
      <c r="H889" s="597"/>
      <c r="I889" s="595"/>
      <c r="J889" s="593"/>
      <c r="K889" s="593"/>
      <c r="L889" s="593"/>
      <c r="M889" s="598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592"/>
      <c r="B890" s="593"/>
      <c r="C890" s="594"/>
      <c r="D890" s="595"/>
      <c r="E890" s="596"/>
      <c r="F890" s="597"/>
      <c r="G890" s="596"/>
      <c r="H890" s="597"/>
      <c r="I890" s="595"/>
      <c r="J890" s="593"/>
      <c r="K890" s="593"/>
      <c r="L890" s="593"/>
      <c r="M890" s="598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592"/>
      <c r="B891" s="593"/>
      <c r="C891" s="594"/>
      <c r="D891" s="595"/>
      <c r="E891" s="596"/>
      <c r="F891" s="597"/>
      <c r="G891" s="596"/>
      <c r="H891" s="597"/>
      <c r="I891" s="595"/>
      <c r="J891" s="593"/>
      <c r="K891" s="593"/>
      <c r="L891" s="593"/>
      <c r="M891" s="598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592"/>
      <c r="B892" s="593"/>
      <c r="C892" s="594"/>
      <c r="D892" s="595"/>
      <c r="E892" s="596"/>
      <c r="F892" s="597"/>
      <c r="G892" s="596"/>
      <c r="H892" s="597"/>
      <c r="I892" s="595"/>
      <c r="J892" s="593"/>
      <c r="K892" s="593"/>
      <c r="L892" s="593"/>
      <c r="M892" s="598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592"/>
      <c r="B893" s="593"/>
      <c r="C893" s="594"/>
      <c r="D893" s="595"/>
      <c r="E893" s="596"/>
      <c r="F893" s="597"/>
      <c r="G893" s="596"/>
      <c r="H893" s="597"/>
      <c r="I893" s="595"/>
      <c r="J893" s="593"/>
      <c r="K893" s="593"/>
      <c r="L893" s="593"/>
      <c r="M893" s="598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592"/>
      <c r="B894" s="593"/>
      <c r="C894" s="594"/>
      <c r="D894" s="595"/>
      <c r="E894" s="596"/>
      <c r="F894" s="597"/>
      <c r="G894" s="596"/>
      <c r="H894" s="597"/>
      <c r="I894" s="595"/>
      <c r="J894" s="593"/>
      <c r="K894" s="593"/>
      <c r="L894" s="593"/>
      <c r="M894" s="598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592"/>
      <c r="B895" s="593"/>
      <c r="C895" s="594"/>
      <c r="D895" s="595"/>
      <c r="E895" s="596"/>
      <c r="F895" s="597"/>
      <c r="G895" s="596"/>
      <c r="H895" s="597"/>
      <c r="I895" s="595"/>
      <c r="J895" s="593"/>
      <c r="K895" s="593"/>
      <c r="L895" s="593"/>
      <c r="M895" s="598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592"/>
      <c r="B896" s="593"/>
      <c r="C896" s="594"/>
      <c r="D896" s="595"/>
      <c r="E896" s="596"/>
      <c r="F896" s="597"/>
      <c r="G896" s="596"/>
      <c r="H896" s="597"/>
      <c r="I896" s="595"/>
      <c r="J896" s="593"/>
      <c r="K896" s="593"/>
      <c r="L896" s="593"/>
      <c r="M896" s="598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592"/>
      <c r="B897" s="593"/>
      <c r="C897" s="594"/>
      <c r="D897" s="595"/>
      <c r="E897" s="596"/>
      <c r="F897" s="597"/>
      <c r="G897" s="596"/>
      <c r="H897" s="597"/>
      <c r="I897" s="595"/>
      <c r="J897" s="593"/>
      <c r="K897" s="593"/>
      <c r="L897" s="593"/>
      <c r="M897" s="598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592"/>
      <c r="B898" s="593"/>
      <c r="C898" s="594"/>
      <c r="D898" s="595"/>
      <c r="E898" s="596"/>
      <c r="F898" s="597"/>
      <c r="G898" s="596"/>
      <c r="H898" s="597"/>
      <c r="I898" s="595"/>
      <c r="J898" s="593"/>
      <c r="K898" s="593"/>
      <c r="L898" s="593"/>
      <c r="M898" s="598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592"/>
      <c r="B899" s="593"/>
      <c r="C899" s="594"/>
      <c r="D899" s="595"/>
      <c r="E899" s="596"/>
      <c r="F899" s="597"/>
      <c r="G899" s="596"/>
      <c r="H899" s="597"/>
      <c r="I899" s="595"/>
      <c r="J899" s="593"/>
      <c r="K899" s="593"/>
      <c r="L899" s="593"/>
      <c r="M899" s="598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592"/>
      <c r="B900" s="593"/>
      <c r="C900" s="594"/>
      <c r="D900" s="595"/>
      <c r="E900" s="596"/>
      <c r="F900" s="597"/>
      <c r="G900" s="596"/>
      <c r="H900" s="597"/>
      <c r="I900" s="595"/>
      <c r="J900" s="593"/>
      <c r="K900" s="593"/>
      <c r="L900" s="593"/>
      <c r="M900" s="598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592"/>
      <c r="B901" s="593"/>
      <c r="C901" s="594"/>
      <c r="D901" s="595"/>
      <c r="E901" s="596"/>
      <c r="F901" s="597"/>
      <c r="G901" s="596"/>
      <c r="H901" s="597"/>
      <c r="I901" s="595"/>
      <c r="J901" s="593"/>
      <c r="K901" s="593"/>
      <c r="L901" s="593"/>
      <c r="M901" s="598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592"/>
      <c r="B902" s="593"/>
      <c r="C902" s="594"/>
      <c r="D902" s="595"/>
      <c r="E902" s="596"/>
      <c r="F902" s="597"/>
      <c r="G902" s="596"/>
      <c r="H902" s="597"/>
      <c r="I902" s="595"/>
      <c r="J902" s="593"/>
      <c r="K902" s="593"/>
      <c r="L902" s="593"/>
      <c r="M902" s="598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592"/>
      <c r="B903" s="593"/>
      <c r="C903" s="594"/>
      <c r="D903" s="595"/>
      <c r="E903" s="596"/>
      <c r="F903" s="597"/>
      <c r="G903" s="596"/>
      <c r="H903" s="597"/>
      <c r="I903" s="595"/>
      <c r="J903" s="593"/>
      <c r="K903" s="593"/>
      <c r="L903" s="593"/>
      <c r="M903" s="598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592"/>
      <c r="B904" s="593"/>
      <c r="C904" s="594"/>
      <c r="D904" s="595"/>
      <c r="E904" s="596"/>
      <c r="F904" s="597"/>
      <c r="G904" s="596"/>
      <c r="H904" s="597"/>
      <c r="I904" s="595"/>
      <c r="J904" s="593"/>
      <c r="K904" s="593"/>
      <c r="L904" s="593"/>
      <c r="M904" s="598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592"/>
      <c r="B905" s="593"/>
      <c r="C905" s="594"/>
      <c r="D905" s="595"/>
      <c r="E905" s="596"/>
      <c r="F905" s="597"/>
      <c r="G905" s="596"/>
      <c r="H905" s="597"/>
      <c r="I905" s="595"/>
      <c r="J905" s="593"/>
      <c r="K905" s="593"/>
      <c r="L905" s="593"/>
      <c r="M905" s="598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592"/>
      <c r="B906" s="593"/>
      <c r="C906" s="594"/>
      <c r="D906" s="595"/>
      <c r="E906" s="596"/>
      <c r="F906" s="597"/>
      <c r="G906" s="596"/>
      <c r="H906" s="597"/>
      <c r="I906" s="595"/>
      <c r="J906" s="593"/>
      <c r="K906" s="593"/>
      <c r="L906" s="593"/>
      <c r="M906" s="598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592"/>
      <c r="B907" s="593"/>
      <c r="C907" s="594"/>
      <c r="D907" s="595"/>
      <c r="E907" s="596"/>
      <c r="F907" s="597"/>
      <c r="G907" s="596"/>
      <c r="H907" s="597"/>
      <c r="I907" s="595"/>
      <c r="J907" s="593"/>
      <c r="K907" s="593"/>
      <c r="L907" s="593"/>
      <c r="M907" s="598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592"/>
      <c r="B908" s="593"/>
      <c r="C908" s="594"/>
      <c r="D908" s="595"/>
      <c r="E908" s="596"/>
      <c r="F908" s="597"/>
      <c r="G908" s="596"/>
      <c r="H908" s="597"/>
      <c r="I908" s="595"/>
      <c r="J908" s="593"/>
      <c r="K908" s="593"/>
      <c r="L908" s="593"/>
      <c r="M908" s="598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592"/>
      <c r="B909" s="593"/>
      <c r="C909" s="594"/>
      <c r="D909" s="595"/>
      <c r="E909" s="596"/>
      <c r="F909" s="597"/>
      <c r="G909" s="596"/>
      <c r="H909" s="597"/>
      <c r="I909" s="595"/>
      <c r="J909" s="593"/>
      <c r="K909" s="593"/>
      <c r="L909" s="593"/>
      <c r="M909" s="598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592"/>
      <c r="B910" s="593"/>
      <c r="C910" s="594"/>
      <c r="D910" s="595"/>
      <c r="E910" s="596"/>
      <c r="F910" s="597"/>
      <c r="G910" s="596"/>
      <c r="H910" s="597"/>
      <c r="I910" s="595"/>
      <c r="J910" s="593"/>
      <c r="K910" s="593"/>
      <c r="L910" s="593"/>
      <c r="M910" s="598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592"/>
      <c r="B911" s="593"/>
      <c r="C911" s="594"/>
      <c r="D911" s="595"/>
      <c r="E911" s="596"/>
      <c r="F911" s="597"/>
      <c r="G911" s="596"/>
      <c r="H911" s="597"/>
      <c r="I911" s="595"/>
      <c r="J911" s="593"/>
      <c r="K911" s="593"/>
      <c r="L911" s="593"/>
      <c r="M911" s="598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592"/>
      <c r="B912" s="593"/>
      <c r="C912" s="594"/>
      <c r="D912" s="595"/>
      <c r="E912" s="596"/>
      <c r="F912" s="597"/>
      <c r="G912" s="596"/>
      <c r="H912" s="597"/>
      <c r="I912" s="595"/>
      <c r="J912" s="593"/>
      <c r="K912" s="593"/>
      <c r="L912" s="593"/>
      <c r="M912" s="598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592"/>
      <c r="B913" s="593"/>
      <c r="C913" s="594"/>
      <c r="D913" s="595"/>
      <c r="E913" s="596"/>
      <c r="F913" s="597"/>
      <c r="G913" s="596"/>
      <c r="H913" s="597"/>
      <c r="I913" s="595"/>
      <c r="J913" s="593"/>
      <c r="K913" s="593"/>
      <c r="L913" s="593"/>
      <c r="M913" s="598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592"/>
      <c r="B914" s="593"/>
      <c r="C914" s="594"/>
      <c r="D914" s="595"/>
      <c r="E914" s="596"/>
      <c r="F914" s="597"/>
      <c r="G914" s="596"/>
      <c r="H914" s="597"/>
      <c r="I914" s="595"/>
      <c r="J914" s="593"/>
      <c r="K914" s="593"/>
      <c r="L914" s="593"/>
      <c r="M914" s="598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592"/>
      <c r="B915" s="593"/>
      <c r="C915" s="594"/>
      <c r="D915" s="595"/>
      <c r="E915" s="596"/>
      <c r="F915" s="597"/>
      <c r="G915" s="596"/>
      <c r="H915" s="597"/>
      <c r="I915" s="595"/>
      <c r="J915" s="593"/>
      <c r="K915" s="593"/>
      <c r="L915" s="593"/>
      <c r="M915" s="598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592"/>
      <c r="B916" s="593"/>
      <c r="C916" s="594"/>
      <c r="D916" s="595"/>
      <c r="E916" s="596"/>
      <c r="F916" s="597"/>
      <c r="G916" s="596"/>
      <c r="H916" s="597"/>
      <c r="I916" s="595"/>
      <c r="J916" s="593"/>
      <c r="K916" s="593"/>
      <c r="L916" s="593"/>
      <c r="M916" s="598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592"/>
      <c r="B917" s="593"/>
      <c r="C917" s="594"/>
      <c r="D917" s="595"/>
      <c r="E917" s="596"/>
      <c r="F917" s="597"/>
      <c r="G917" s="596"/>
      <c r="H917" s="597"/>
      <c r="I917" s="595"/>
      <c r="J917" s="593"/>
      <c r="K917" s="593"/>
      <c r="L917" s="593"/>
      <c r="M917" s="598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592"/>
      <c r="B918" s="593"/>
      <c r="C918" s="594"/>
      <c r="D918" s="595"/>
      <c r="E918" s="596"/>
      <c r="F918" s="597"/>
      <c r="G918" s="596"/>
      <c r="H918" s="597"/>
      <c r="I918" s="595"/>
      <c r="J918" s="593"/>
      <c r="K918" s="593"/>
      <c r="L918" s="593"/>
      <c r="M918" s="598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592"/>
      <c r="B919" s="593"/>
      <c r="C919" s="594"/>
      <c r="D919" s="595"/>
      <c r="E919" s="596"/>
      <c r="F919" s="597"/>
      <c r="G919" s="596"/>
      <c r="H919" s="597"/>
      <c r="I919" s="595"/>
      <c r="J919" s="593"/>
      <c r="K919" s="593"/>
      <c r="L919" s="593"/>
      <c r="M919" s="598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592"/>
      <c r="B920" s="593"/>
      <c r="C920" s="594"/>
      <c r="D920" s="595"/>
      <c r="E920" s="596"/>
      <c r="F920" s="597"/>
      <c r="G920" s="596"/>
      <c r="H920" s="597"/>
      <c r="I920" s="595"/>
      <c r="J920" s="593"/>
      <c r="K920" s="593"/>
      <c r="L920" s="593"/>
      <c r="M920" s="598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592"/>
      <c r="B921" s="593"/>
      <c r="C921" s="594"/>
      <c r="D921" s="595"/>
      <c r="E921" s="596"/>
      <c r="F921" s="597"/>
      <c r="G921" s="596"/>
      <c r="H921" s="597"/>
      <c r="I921" s="595"/>
      <c r="J921" s="593"/>
      <c r="K921" s="593"/>
      <c r="L921" s="593"/>
      <c r="M921" s="598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592"/>
      <c r="B922" s="593"/>
      <c r="C922" s="594"/>
      <c r="D922" s="595"/>
      <c r="E922" s="596"/>
      <c r="F922" s="597"/>
      <c r="G922" s="596"/>
      <c r="H922" s="597"/>
      <c r="I922" s="595"/>
      <c r="J922" s="593"/>
      <c r="K922" s="593"/>
      <c r="L922" s="593"/>
      <c r="M922" s="598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592"/>
      <c r="B923" s="593"/>
      <c r="C923" s="594"/>
      <c r="D923" s="595"/>
      <c r="E923" s="596"/>
      <c r="F923" s="597"/>
      <c r="G923" s="596"/>
      <c r="H923" s="597"/>
      <c r="I923" s="595"/>
      <c r="J923" s="593"/>
      <c r="K923" s="593"/>
      <c r="L923" s="593"/>
      <c r="M923" s="598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592"/>
      <c r="B924" s="593"/>
      <c r="C924" s="594"/>
      <c r="D924" s="595"/>
      <c r="E924" s="596"/>
      <c r="F924" s="597"/>
      <c r="G924" s="596"/>
      <c r="H924" s="597"/>
      <c r="I924" s="595"/>
      <c r="J924" s="593"/>
      <c r="K924" s="593"/>
      <c r="L924" s="593"/>
      <c r="M924" s="598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592"/>
      <c r="B925" s="593"/>
      <c r="C925" s="594"/>
      <c r="D925" s="595"/>
      <c r="E925" s="596"/>
      <c r="F925" s="597"/>
      <c r="G925" s="596"/>
      <c r="H925" s="597"/>
      <c r="I925" s="595"/>
      <c r="J925" s="593"/>
      <c r="K925" s="593"/>
      <c r="L925" s="593"/>
      <c r="M925" s="598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592"/>
      <c r="B926" s="593"/>
      <c r="C926" s="594"/>
      <c r="D926" s="595"/>
      <c r="E926" s="596"/>
      <c r="F926" s="597"/>
      <c r="G926" s="596"/>
      <c r="H926" s="597"/>
      <c r="I926" s="595"/>
      <c r="J926" s="593"/>
      <c r="K926" s="593"/>
      <c r="L926" s="593"/>
      <c r="M926" s="598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592"/>
      <c r="B927" s="593"/>
      <c r="C927" s="594"/>
      <c r="D927" s="595"/>
      <c r="E927" s="596"/>
      <c r="F927" s="597"/>
      <c r="G927" s="596"/>
      <c r="H927" s="597"/>
      <c r="I927" s="595"/>
      <c r="J927" s="593"/>
      <c r="K927" s="593"/>
      <c r="L927" s="593"/>
      <c r="M927" s="598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592"/>
      <c r="B928" s="593"/>
      <c r="C928" s="594"/>
      <c r="D928" s="595"/>
      <c r="E928" s="596"/>
      <c r="F928" s="597"/>
      <c r="G928" s="596"/>
      <c r="H928" s="597"/>
      <c r="I928" s="595"/>
      <c r="J928" s="593"/>
      <c r="K928" s="593"/>
      <c r="L928" s="593"/>
      <c r="M928" s="598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592"/>
      <c r="B929" s="593"/>
      <c r="C929" s="594"/>
      <c r="D929" s="595"/>
      <c r="E929" s="596"/>
      <c r="F929" s="597"/>
      <c r="G929" s="596"/>
      <c r="H929" s="597"/>
      <c r="I929" s="595"/>
      <c r="J929" s="593"/>
      <c r="K929" s="593"/>
      <c r="L929" s="593"/>
      <c r="M929" s="598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592"/>
      <c r="B930" s="593"/>
      <c r="C930" s="594"/>
      <c r="D930" s="595"/>
      <c r="E930" s="596"/>
      <c r="F930" s="597"/>
      <c r="G930" s="596"/>
      <c r="H930" s="597"/>
      <c r="I930" s="595"/>
      <c r="J930" s="593"/>
      <c r="K930" s="593"/>
      <c r="L930" s="593"/>
      <c r="M930" s="598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592"/>
      <c r="B931" s="593"/>
      <c r="C931" s="594"/>
      <c r="D931" s="595"/>
      <c r="E931" s="596"/>
      <c r="F931" s="597"/>
      <c r="G931" s="596"/>
      <c r="H931" s="597"/>
      <c r="I931" s="595"/>
      <c r="J931" s="593"/>
      <c r="K931" s="593"/>
      <c r="L931" s="593"/>
      <c r="M931" s="598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592"/>
      <c r="B932" s="593"/>
      <c r="C932" s="594"/>
      <c r="D932" s="595"/>
      <c r="E932" s="596"/>
      <c r="F932" s="597"/>
      <c r="G932" s="596"/>
      <c r="H932" s="597"/>
      <c r="I932" s="595"/>
      <c r="J932" s="593"/>
      <c r="K932" s="593"/>
      <c r="L932" s="593"/>
      <c r="M932" s="598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592"/>
      <c r="B933" s="593"/>
      <c r="C933" s="594"/>
      <c r="D933" s="595"/>
      <c r="E933" s="596"/>
      <c r="F933" s="597"/>
      <c r="G933" s="596"/>
      <c r="H933" s="597"/>
      <c r="I933" s="595"/>
      <c r="J933" s="593"/>
      <c r="K933" s="593"/>
      <c r="L933" s="593"/>
      <c r="M933" s="598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592"/>
      <c r="B934" s="593"/>
      <c r="C934" s="594"/>
      <c r="D934" s="595"/>
      <c r="E934" s="596"/>
      <c r="F934" s="597"/>
      <c r="G934" s="596"/>
      <c r="H934" s="597"/>
      <c r="I934" s="595"/>
      <c r="J934" s="593"/>
      <c r="K934" s="593"/>
      <c r="L934" s="593"/>
      <c r="M934" s="598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592"/>
      <c r="B935" s="593"/>
      <c r="C935" s="594"/>
      <c r="D935" s="595"/>
      <c r="E935" s="596"/>
      <c r="F935" s="597"/>
      <c r="G935" s="596"/>
      <c r="H935" s="597"/>
      <c r="I935" s="595"/>
      <c r="J935" s="593"/>
      <c r="K935" s="593"/>
      <c r="L935" s="593"/>
      <c r="M935" s="598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592"/>
      <c r="B936" s="593"/>
      <c r="C936" s="594"/>
      <c r="D936" s="595"/>
      <c r="E936" s="596"/>
      <c r="F936" s="597"/>
      <c r="G936" s="596"/>
      <c r="H936" s="597"/>
      <c r="I936" s="595"/>
      <c r="J936" s="593"/>
      <c r="K936" s="593"/>
      <c r="L936" s="593"/>
      <c r="M936" s="598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592"/>
      <c r="B937" s="593"/>
      <c r="C937" s="594"/>
      <c r="D937" s="595"/>
      <c r="E937" s="596"/>
      <c r="F937" s="597"/>
      <c r="G937" s="596"/>
      <c r="H937" s="597"/>
      <c r="I937" s="595"/>
      <c r="J937" s="593"/>
      <c r="K937" s="593"/>
      <c r="L937" s="593"/>
      <c r="M937" s="598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592"/>
      <c r="B938" s="593"/>
      <c r="C938" s="594"/>
      <c r="D938" s="595"/>
      <c r="E938" s="596"/>
      <c r="F938" s="597"/>
      <c r="G938" s="596"/>
      <c r="H938" s="597"/>
      <c r="I938" s="595"/>
      <c r="J938" s="593"/>
      <c r="K938" s="593"/>
      <c r="L938" s="593"/>
      <c r="M938" s="598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592"/>
      <c r="B939" s="593"/>
      <c r="C939" s="594"/>
      <c r="D939" s="595"/>
      <c r="E939" s="596"/>
      <c r="F939" s="597"/>
      <c r="G939" s="596"/>
      <c r="H939" s="597"/>
      <c r="I939" s="595"/>
      <c r="J939" s="593"/>
      <c r="K939" s="593"/>
      <c r="L939" s="593"/>
      <c r="M939" s="598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592"/>
      <c r="B940" s="593"/>
      <c r="C940" s="594"/>
      <c r="D940" s="595"/>
      <c r="E940" s="596"/>
      <c r="F940" s="597"/>
      <c r="G940" s="596"/>
      <c r="H940" s="597"/>
      <c r="I940" s="595"/>
      <c r="J940" s="593"/>
      <c r="K940" s="593"/>
      <c r="L940" s="593"/>
      <c r="M940" s="598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592"/>
      <c r="B941" s="593"/>
      <c r="C941" s="594"/>
      <c r="D941" s="595"/>
      <c r="E941" s="596"/>
      <c r="F941" s="597"/>
      <c r="G941" s="596"/>
      <c r="H941" s="597"/>
      <c r="I941" s="595"/>
      <c r="J941" s="593"/>
      <c r="K941" s="593"/>
      <c r="L941" s="593"/>
      <c r="M941" s="598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592"/>
      <c r="B942" s="593"/>
      <c r="C942" s="594"/>
      <c r="D942" s="595"/>
      <c r="E942" s="596"/>
      <c r="F942" s="597"/>
      <c r="G942" s="596"/>
      <c r="H942" s="597"/>
      <c r="I942" s="595"/>
      <c r="J942" s="593"/>
      <c r="K942" s="593"/>
      <c r="L942" s="593"/>
      <c r="M942" s="598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592"/>
      <c r="B943" s="593"/>
      <c r="C943" s="594"/>
      <c r="D943" s="595"/>
      <c r="E943" s="596"/>
      <c r="F943" s="597"/>
      <c r="G943" s="596"/>
      <c r="H943" s="597"/>
      <c r="I943" s="595"/>
      <c r="J943" s="593"/>
      <c r="K943" s="593"/>
      <c r="L943" s="593"/>
      <c r="M943" s="598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592"/>
      <c r="B944" s="593"/>
      <c r="C944" s="594"/>
      <c r="D944" s="595"/>
      <c r="E944" s="596"/>
      <c r="F944" s="597"/>
      <c r="G944" s="596"/>
      <c r="H944" s="597"/>
      <c r="I944" s="595"/>
      <c r="J944" s="593"/>
      <c r="K944" s="593"/>
      <c r="L944" s="593"/>
      <c r="M944" s="598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592"/>
      <c r="B945" s="593"/>
      <c r="C945" s="594"/>
      <c r="D945" s="595"/>
      <c r="E945" s="596"/>
      <c r="F945" s="597"/>
      <c r="G945" s="596"/>
      <c r="H945" s="597"/>
      <c r="I945" s="595"/>
      <c r="J945" s="593"/>
      <c r="K945" s="593"/>
      <c r="L945" s="593"/>
      <c r="M945" s="598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592"/>
      <c r="B946" s="593"/>
      <c r="C946" s="594"/>
      <c r="D946" s="595"/>
      <c r="E946" s="596"/>
      <c r="F946" s="597"/>
      <c r="G946" s="596"/>
      <c r="H946" s="597"/>
      <c r="I946" s="595"/>
      <c r="J946" s="593"/>
      <c r="K946" s="593"/>
      <c r="L946" s="593"/>
      <c r="M946" s="598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592"/>
      <c r="B947" s="593"/>
      <c r="C947" s="594"/>
      <c r="D947" s="595"/>
      <c r="E947" s="596"/>
      <c r="F947" s="597"/>
      <c r="G947" s="596"/>
      <c r="H947" s="597"/>
      <c r="I947" s="595"/>
      <c r="J947" s="593"/>
      <c r="K947" s="593"/>
      <c r="L947" s="593"/>
      <c r="M947" s="598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592"/>
      <c r="B948" s="593"/>
      <c r="C948" s="594"/>
      <c r="D948" s="595"/>
      <c r="E948" s="596"/>
      <c r="F948" s="597"/>
      <c r="G948" s="596"/>
      <c r="H948" s="597"/>
      <c r="I948" s="595"/>
      <c r="J948" s="593"/>
      <c r="K948" s="593"/>
      <c r="L948" s="593"/>
      <c r="M948" s="598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592"/>
      <c r="B949" s="593"/>
      <c r="C949" s="594"/>
      <c r="D949" s="595"/>
      <c r="E949" s="596"/>
      <c r="F949" s="597"/>
      <c r="G949" s="596"/>
      <c r="H949" s="597"/>
      <c r="I949" s="595"/>
      <c r="J949" s="593"/>
      <c r="K949" s="593"/>
      <c r="L949" s="593"/>
      <c r="M949" s="598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592"/>
      <c r="B950" s="593"/>
      <c r="C950" s="594"/>
      <c r="D950" s="595"/>
      <c r="E950" s="596"/>
      <c r="F950" s="597"/>
      <c r="G950" s="596"/>
      <c r="H950" s="597"/>
      <c r="I950" s="595"/>
      <c r="J950" s="593"/>
      <c r="K950" s="593"/>
      <c r="L950" s="593"/>
      <c r="M950" s="598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592"/>
      <c r="B951" s="593"/>
      <c r="C951" s="594"/>
      <c r="D951" s="595"/>
      <c r="E951" s="596"/>
      <c r="F951" s="597"/>
      <c r="G951" s="596"/>
      <c r="H951" s="597"/>
      <c r="I951" s="595"/>
      <c r="J951" s="593"/>
      <c r="K951" s="593"/>
      <c r="L951" s="593"/>
      <c r="M951" s="598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592"/>
      <c r="B952" s="593"/>
      <c r="C952" s="594"/>
      <c r="D952" s="595"/>
      <c r="E952" s="596"/>
      <c r="F952" s="597"/>
      <c r="G952" s="596"/>
      <c r="H952" s="597"/>
      <c r="I952" s="595"/>
      <c r="J952" s="593"/>
      <c r="K952" s="593"/>
      <c r="L952" s="593"/>
      <c r="M952" s="598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592"/>
      <c r="B953" s="593"/>
      <c r="C953" s="594"/>
      <c r="D953" s="595"/>
      <c r="E953" s="596"/>
      <c r="F953" s="597"/>
      <c r="G953" s="596"/>
      <c r="H953" s="597"/>
      <c r="I953" s="595"/>
      <c r="J953" s="593"/>
      <c r="K953" s="593"/>
      <c r="L953" s="593"/>
      <c r="M953" s="598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592"/>
      <c r="B954" s="593"/>
      <c r="C954" s="594"/>
      <c r="D954" s="595"/>
      <c r="E954" s="596"/>
      <c r="F954" s="597"/>
      <c r="G954" s="596"/>
      <c r="H954" s="597"/>
      <c r="I954" s="595"/>
      <c r="J954" s="593"/>
      <c r="K954" s="593"/>
      <c r="L954" s="593"/>
      <c r="M954" s="598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592"/>
      <c r="B955" s="593"/>
      <c r="C955" s="594"/>
      <c r="D955" s="595"/>
      <c r="E955" s="596"/>
      <c r="F955" s="597"/>
      <c r="G955" s="596"/>
      <c r="H955" s="597"/>
      <c r="I955" s="595"/>
      <c r="J955" s="593"/>
      <c r="K955" s="593"/>
      <c r="L955" s="593"/>
      <c r="M955" s="598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592"/>
      <c r="B956" s="593"/>
      <c r="C956" s="594"/>
      <c r="D956" s="595"/>
      <c r="E956" s="596"/>
      <c r="F956" s="597"/>
      <c r="G956" s="596"/>
      <c r="H956" s="597"/>
      <c r="I956" s="595"/>
      <c r="J956" s="593"/>
      <c r="K956" s="593"/>
      <c r="L956" s="593"/>
      <c r="M956" s="598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592"/>
      <c r="B957" s="593"/>
      <c r="C957" s="594"/>
      <c r="D957" s="595"/>
      <c r="E957" s="596"/>
      <c r="F957" s="597"/>
      <c r="G957" s="596"/>
      <c r="H957" s="597"/>
      <c r="I957" s="595"/>
      <c r="J957" s="593"/>
      <c r="K957" s="593"/>
      <c r="L957" s="593"/>
      <c r="M957" s="598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592"/>
      <c r="B958" s="593"/>
      <c r="C958" s="594"/>
      <c r="D958" s="595"/>
      <c r="E958" s="596"/>
      <c r="F958" s="597"/>
      <c r="G958" s="596"/>
      <c r="H958" s="597"/>
      <c r="I958" s="595"/>
      <c r="J958" s="593"/>
      <c r="K958" s="593"/>
      <c r="L958" s="593"/>
      <c r="M958" s="598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592"/>
      <c r="B959" s="593"/>
      <c r="C959" s="594"/>
      <c r="D959" s="595"/>
      <c r="E959" s="596"/>
      <c r="F959" s="597"/>
      <c r="G959" s="596"/>
      <c r="H959" s="597"/>
      <c r="I959" s="595"/>
      <c r="J959" s="593"/>
      <c r="K959" s="593"/>
      <c r="L959" s="593"/>
      <c r="M959" s="598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592"/>
      <c r="B960" s="593"/>
      <c r="C960" s="594"/>
      <c r="D960" s="595"/>
      <c r="E960" s="596"/>
      <c r="F960" s="597"/>
      <c r="G960" s="596"/>
      <c r="H960" s="597"/>
      <c r="I960" s="595"/>
      <c r="J960" s="593"/>
      <c r="K960" s="593"/>
      <c r="L960" s="593"/>
      <c r="M960" s="598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592"/>
      <c r="B961" s="593"/>
      <c r="C961" s="594"/>
      <c r="D961" s="595"/>
      <c r="E961" s="596"/>
      <c r="F961" s="597"/>
      <c r="G961" s="596"/>
      <c r="H961" s="597"/>
      <c r="I961" s="595"/>
      <c r="J961" s="593"/>
      <c r="K961" s="593"/>
      <c r="L961" s="593"/>
      <c r="M961" s="598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592"/>
      <c r="B962" s="593"/>
      <c r="C962" s="594"/>
      <c r="D962" s="595"/>
      <c r="E962" s="596"/>
      <c r="F962" s="597"/>
      <c r="G962" s="596"/>
      <c r="H962" s="597"/>
      <c r="I962" s="595"/>
      <c r="J962" s="593"/>
      <c r="K962" s="593"/>
      <c r="L962" s="593"/>
      <c r="M962" s="598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592"/>
      <c r="B963" s="593"/>
      <c r="C963" s="594"/>
      <c r="D963" s="595"/>
      <c r="E963" s="596"/>
      <c r="F963" s="597"/>
      <c r="G963" s="596"/>
      <c r="H963" s="597"/>
      <c r="I963" s="595"/>
      <c r="J963" s="593"/>
      <c r="K963" s="593"/>
      <c r="L963" s="593"/>
      <c r="M963" s="598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592"/>
      <c r="B964" s="593"/>
      <c r="C964" s="594"/>
      <c r="D964" s="595"/>
      <c r="E964" s="596"/>
      <c r="F964" s="597"/>
      <c r="G964" s="596"/>
      <c r="H964" s="597"/>
      <c r="I964" s="595"/>
      <c r="J964" s="593"/>
      <c r="K964" s="593"/>
      <c r="L964" s="593"/>
      <c r="M964" s="598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592"/>
      <c r="B965" s="593"/>
      <c r="C965" s="594"/>
      <c r="D965" s="595"/>
      <c r="E965" s="596"/>
      <c r="F965" s="597"/>
      <c r="G965" s="596"/>
      <c r="H965" s="597"/>
      <c r="I965" s="595"/>
      <c r="J965" s="593"/>
      <c r="K965" s="593"/>
      <c r="L965" s="593"/>
      <c r="M965" s="598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592"/>
      <c r="B966" s="593"/>
      <c r="C966" s="594"/>
      <c r="D966" s="595"/>
      <c r="E966" s="596"/>
      <c r="F966" s="597"/>
      <c r="G966" s="596"/>
      <c r="H966" s="597"/>
      <c r="I966" s="595"/>
      <c r="J966" s="593"/>
      <c r="K966" s="593"/>
      <c r="L966" s="593"/>
      <c r="M966" s="598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592"/>
      <c r="B967" s="593"/>
      <c r="C967" s="594"/>
      <c r="D967" s="595"/>
      <c r="E967" s="596"/>
      <c r="F967" s="597"/>
      <c r="G967" s="596"/>
      <c r="H967" s="597"/>
      <c r="I967" s="595"/>
      <c r="J967" s="593"/>
      <c r="K967" s="593"/>
      <c r="L967" s="593"/>
      <c r="M967" s="598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592"/>
      <c r="B968" s="593"/>
      <c r="C968" s="594"/>
      <c r="D968" s="595"/>
      <c r="E968" s="596"/>
      <c r="F968" s="597"/>
      <c r="G968" s="596"/>
      <c r="H968" s="597"/>
      <c r="I968" s="595"/>
      <c r="J968" s="593"/>
      <c r="K968" s="593"/>
      <c r="L968" s="593"/>
      <c r="M968" s="598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592"/>
      <c r="B969" s="593"/>
      <c r="C969" s="594"/>
      <c r="D969" s="595"/>
      <c r="E969" s="596"/>
      <c r="F969" s="597"/>
      <c r="G969" s="596"/>
      <c r="H969" s="597"/>
      <c r="I969" s="595"/>
      <c r="J969" s="593"/>
      <c r="K969" s="593"/>
      <c r="L969" s="593"/>
      <c r="M969" s="598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592"/>
      <c r="B970" s="593"/>
      <c r="C970" s="594"/>
      <c r="D970" s="595"/>
      <c r="E970" s="596"/>
      <c r="F970" s="597"/>
      <c r="G970" s="596"/>
      <c r="H970" s="597"/>
      <c r="I970" s="595"/>
      <c r="J970" s="593"/>
      <c r="K970" s="593"/>
      <c r="L970" s="593"/>
      <c r="M970" s="598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592"/>
      <c r="B971" s="593"/>
      <c r="C971" s="594"/>
      <c r="D971" s="595"/>
      <c r="E971" s="596"/>
      <c r="F971" s="597"/>
      <c r="G971" s="596"/>
      <c r="H971" s="597"/>
      <c r="I971" s="595"/>
      <c r="J971" s="593"/>
      <c r="K971" s="593"/>
      <c r="L971" s="593"/>
      <c r="M971" s="598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592"/>
      <c r="B972" s="593"/>
      <c r="C972" s="594"/>
      <c r="D972" s="595"/>
      <c r="E972" s="596"/>
      <c r="F972" s="597"/>
      <c r="G972" s="596"/>
      <c r="H972" s="597"/>
      <c r="I972" s="595"/>
      <c r="J972" s="593"/>
      <c r="K972" s="593"/>
      <c r="L972" s="593"/>
      <c r="M972" s="598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592"/>
      <c r="B973" s="593"/>
      <c r="C973" s="594"/>
      <c r="D973" s="595"/>
      <c r="E973" s="596"/>
      <c r="F973" s="597"/>
      <c r="G973" s="596"/>
      <c r="H973" s="597"/>
      <c r="I973" s="595"/>
      <c r="J973" s="593"/>
      <c r="K973" s="593"/>
      <c r="L973" s="593"/>
      <c r="M973" s="598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592"/>
      <c r="B974" s="593"/>
      <c r="C974" s="594"/>
      <c r="D974" s="595"/>
      <c r="E974" s="596"/>
      <c r="F974" s="597"/>
      <c r="G974" s="596"/>
      <c r="H974" s="597"/>
      <c r="I974" s="595"/>
      <c r="J974" s="593"/>
      <c r="K974" s="593"/>
      <c r="L974" s="593"/>
      <c r="M974" s="598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592"/>
      <c r="B975" s="593"/>
      <c r="C975" s="594"/>
      <c r="D975" s="595"/>
      <c r="E975" s="596"/>
      <c r="F975" s="597"/>
      <c r="G975" s="596"/>
      <c r="H975" s="597"/>
      <c r="I975" s="595"/>
      <c r="J975" s="593"/>
      <c r="K975" s="593"/>
      <c r="L975" s="593"/>
      <c r="M975" s="598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592"/>
      <c r="B976" s="593"/>
      <c r="C976" s="594"/>
      <c r="D976" s="595"/>
      <c r="E976" s="596"/>
      <c r="F976" s="597"/>
      <c r="G976" s="596"/>
      <c r="H976" s="597"/>
      <c r="I976" s="595"/>
      <c r="J976" s="593"/>
      <c r="K976" s="593"/>
      <c r="L976" s="593"/>
      <c r="M976" s="598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592"/>
      <c r="B977" s="593"/>
      <c r="C977" s="594"/>
      <c r="D977" s="595"/>
      <c r="E977" s="596"/>
      <c r="F977" s="597"/>
      <c r="G977" s="596"/>
      <c r="H977" s="597"/>
      <c r="I977" s="595"/>
      <c r="J977" s="593"/>
      <c r="K977" s="593"/>
      <c r="L977" s="593"/>
      <c r="M977" s="598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592"/>
      <c r="B978" s="593"/>
      <c r="C978" s="594"/>
      <c r="D978" s="595"/>
      <c r="E978" s="596"/>
      <c r="F978" s="597"/>
      <c r="G978" s="596"/>
      <c r="H978" s="597"/>
      <c r="I978" s="595"/>
      <c r="J978" s="593"/>
      <c r="K978" s="593"/>
      <c r="L978" s="593"/>
      <c r="M978" s="598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592"/>
      <c r="B979" s="593"/>
      <c r="C979" s="594"/>
      <c r="D979" s="595"/>
      <c r="E979" s="596"/>
      <c r="F979" s="597"/>
      <c r="G979" s="596"/>
      <c r="H979" s="597"/>
      <c r="I979" s="595"/>
      <c r="J979" s="593"/>
      <c r="K979" s="593"/>
      <c r="L979" s="593"/>
      <c r="M979" s="598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592"/>
      <c r="B980" s="593"/>
      <c r="C980" s="594"/>
      <c r="D980" s="595"/>
      <c r="E980" s="596"/>
      <c r="F980" s="597"/>
      <c r="G980" s="596"/>
      <c r="H980" s="597"/>
      <c r="I980" s="595"/>
      <c r="J980" s="593"/>
      <c r="K980" s="593"/>
      <c r="L980" s="593"/>
      <c r="M980" s="598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592"/>
      <c r="B981" s="593"/>
      <c r="C981" s="594"/>
      <c r="D981" s="595"/>
      <c r="E981" s="596"/>
      <c r="F981" s="597"/>
      <c r="G981" s="596"/>
      <c r="H981" s="597"/>
      <c r="I981" s="595"/>
      <c r="J981" s="593"/>
      <c r="K981" s="593"/>
      <c r="L981" s="593"/>
      <c r="M981" s="598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592"/>
      <c r="B982" s="593"/>
      <c r="C982" s="594"/>
      <c r="D982" s="595"/>
      <c r="E982" s="596"/>
      <c r="F982" s="597"/>
      <c r="G982" s="596"/>
      <c r="H982" s="597"/>
      <c r="I982" s="595"/>
      <c r="J982" s="593"/>
      <c r="K982" s="593"/>
      <c r="L982" s="593"/>
      <c r="M982" s="598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592"/>
      <c r="B983" s="593"/>
      <c r="C983" s="594"/>
      <c r="D983" s="595"/>
      <c r="E983" s="596"/>
      <c r="F983" s="597"/>
      <c r="G983" s="596"/>
      <c r="H983" s="597"/>
      <c r="I983" s="595"/>
      <c r="J983" s="593"/>
      <c r="K983" s="593"/>
      <c r="L983" s="593"/>
      <c r="M983" s="598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592"/>
      <c r="B984" s="593"/>
      <c r="C984" s="594"/>
      <c r="D984" s="595"/>
      <c r="E984" s="596"/>
      <c r="F984" s="597"/>
      <c r="G984" s="596"/>
      <c r="H984" s="597"/>
      <c r="I984" s="595"/>
      <c r="J984" s="593"/>
      <c r="K984" s="593"/>
      <c r="L984" s="593"/>
      <c r="M984" s="598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592"/>
      <c r="B985" s="593"/>
      <c r="C985" s="594"/>
      <c r="D985" s="595"/>
      <c r="E985" s="596"/>
      <c r="F985" s="597"/>
      <c r="G985" s="596"/>
      <c r="H985" s="597"/>
      <c r="I985" s="595"/>
      <c r="J985" s="593"/>
      <c r="K985" s="593"/>
      <c r="L985" s="593"/>
      <c r="M985" s="598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592"/>
      <c r="B986" s="593"/>
      <c r="C986" s="594"/>
      <c r="D986" s="595"/>
      <c r="E986" s="596"/>
      <c r="F986" s="597"/>
      <c r="G986" s="596"/>
      <c r="H986" s="597"/>
      <c r="I986" s="595"/>
      <c r="J986" s="593"/>
      <c r="K986" s="593"/>
      <c r="L986" s="593"/>
      <c r="M986" s="598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592"/>
      <c r="B987" s="593"/>
      <c r="C987" s="594"/>
      <c r="D987" s="595"/>
      <c r="E987" s="596"/>
      <c r="F987" s="597"/>
      <c r="G987" s="596"/>
      <c r="H987" s="597"/>
      <c r="I987" s="595"/>
      <c r="J987" s="593"/>
      <c r="K987" s="593"/>
      <c r="L987" s="593"/>
      <c r="M987" s="598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592"/>
      <c r="B988" s="593"/>
      <c r="C988" s="594"/>
      <c r="D988" s="595"/>
      <c r="E988" s="596"/>
      <c r="F988" s="597"/>
      <c r="G988" s="596"/>
      <c r="H988" s="597"/>
      <c r="I988" s="595"/>
      <c r="J988" s="593"/>
      <c r="K988" s="593"/>
      <c r="L988" s="593"/>
      <c r="M988" s="598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592"/>
      <c r="B989" s="593"/>
      <c r="C989" s="594"/>
      <c r="D989" s="595"/>
      <c r="E989" s="596"/>
      <c r="F989" s="597"/>
      <c r="G989" s="596"/>
      <c r="H989" s="597"/>
      <c r="I989" s="595"/>
      <c r="J989" s="593"/>
      <c r="K989" s="593"/>
      <c r="L989" s="593"/>
      <c r="M989" s="598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592"/>
      <c r="B990" s="593"/>
      <c r="C990" s="594"/>
      <c r="D990" s="595"/>
      <c r="E990" s="596"/>
      <c r="F990" s="597"/>
      <c r="G990" s="596"/>
      <c r="H990" s="597"/>
      <c r="I990" s="595"/>
      <c r="J990" s="593"/>
      <c r="K990" s="593"/>
      <c r="L990" s="593"/>
      <c r="M990" s="598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592"/>
      <c r="B991" s="593"/>
      <c r="C991" s="594"/>
      <c r="D991" s="595"/>
      <c r="E991" s="596"/>
      <c r="F991" s="597"/>
      <c r="G991" s="596"/>
      <c r="H991" s="597"/>
      <c r="I991" s="595"/>
      <c r="J991" s="593"/>
      <c r="K991" s="593"/>
      <c r="L991" s="593"/>
      <c r="M991" s="598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592"/>
      <c r="B992" s="593"/>
      <c r="C992" s="594"/>
      <c r="D992" s="595"/>
      <c r="E992" s="596"/>
      <c r="F992" s="597"/>
      <c r="G992" s="596"/>
      <c r="H992" s="597"/>
      <c r="I992" s="595"/>
      <c r="J992" s="593"/>
      <c r="K992" s="593"/>
      <c r="L992" s="593"/>
      <c r="M992" s="598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592"/>
      <c r="B993" s="593"/>
      <c r="C993" s="594"/>
      <c r="D993" s="595"/>
      <c r="E993" s="596"/>
      <c r="F993" s="597"/>
      <c r="G993" s="596"/>
      <c r="H993" s="597"/>
      <c r="I993" s="595"/>
      <c r="J993" s="593"/>
      <c r="K993" s="593"/>
      <c r="L993" s="593"/>
      <c r="M993" s="598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592"/>
      <c r="B994" s="593"/>
      <c r="C994" s="594"/>
      <c r="D994" s="595"/>
      <c r="E994" s="596"/>
      <c r="F994" s="597"/>
      <c r="G994" s="596"/>
      <c r="H994" s="597"/>
      <c r="I994" s="595"/>
      <c r="J994" s="593"/>
      <c r="K994" s="593"/>
      <c r="L994" s="593"/>
      <c r="M994" s="598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592"/>
      <c r="B995" s="593"/>
      <c r="C995" s="594"/>
      <c r="D995" s="595"/>
      <c r="E995" s="596"/>
      <c r="F995" s="597"/>
      <c r="G995" s="596"/>
      <c r="H995" s="597"/>
      <c r="I995" s="595"/>
      <c r="J995" s="593"/>
      <c r="K995" s="593"/>
      <c r="L995" s="593"/>
      <c r="M995" s="598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592"/>
      <c r="B996" s="593"/>
      <c r="C996" s="594"/>
      <c r="D996" s="595"/>
      <c r="E996" s="596"/>
      <c r="F996" s="597"/>
      <c r="G996" s="596"/>
      <c r="H996" s="597"/>
      <c r="I996" s="595"/>
      <c r="J996" s="593"/>
      <c r="K996" s="593"/>
      <c r="L996" s="593"/>
      <c r="M996" s="598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592"/>
      <c r="B997" s="593"/>
      <c r="C997" s="594"/>
      <c r="D997" s="595"/>
      <c r="E997" s="596"/>
      <c r="F997" s="597"/>
      <c r="G997" s="596"/>
      <c r="H997" s="597"/>
      <c r="I997" s="595"/>
      <c r="J997" s="593"/>
      <c r="K997" s="593"/>
      <c r="L997" s="593"/>
      <c r="M997" s="598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592"/>
      <c r="B998" s="593"/>
      <c r="C998" s="594"/>
      <c r="D998" s="595"/>
      <c r="E998" s="596"/>
      <c r="F998" s="597"/>
      <c r="G998" s="596"/>
      <c r="H998" s="597"/>
      <c r="I998" s="595"/>
      <c r="J998" s="593"/>
      <c r="K998" s="593"/>
      <c r="L998" s="593"/>
      <c r="M998" s="598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592"/>
      <c r="B999" s="593"/>
      <c r="C999" s="594"/>
      <c r="D999" s="595"/>
      <c r="E999" s="596"/>
      <c r="F999" s="597"/>
      <c r="G999" s="596"/>
      <c r="H999" s="597"/>
      <c r="I999" s="595"/>
      <c r="J999" s="593"/>
      <c r="K999" s="593"/>
      <c r="L999" s="593"/>
      <c r="M999" s="598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592"/>
      <c r="B1000" s="593"/>
      <c r="C1000" s="594"/>
      <c r="D1000" s="595"/>
      <c r="E1000" s="596"/>
      <c r="F1000" s="597"/>
      <c r="G1000" s="596"/>
      <c r="H1000" s="597"/>
      <c r="I1000" s="595"/>
      <c r="J1000" s="593"/>
      <c r="K1000" s="593"/>
      <c r="L1000" s="593"/>
      <c r="M1000" s="598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L$45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6.14"/>
    <col customWidth="1" min="2" max="3" width="24.71"/>
    <col customWidth="1" min="4" max="4" width="23.43"/>
    <col customWidth="1" min="5" max="5" width="46.57"/>
    <col customWidth="1" min="6" max="6" width="61.71"/>
    <col customWidth="1" min="7" max="7" width="15.29"/>
    <col customWidth="1" min="8" max="8" width="29.86"/>
    <col customWidth="1" min="9" max="9" width="24.71"/>
    <col customWidth="1" min="10" max="10" width="25.57"/>
    <col customWidth="1" min="11" max="11" width="63.71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99" t="s">
        <v>0</v>
      </c>
      <c r="B1" s="600" t="s">
        <v>1</v>
      </c>
      <c r="C1" s="600" t="s">
        <v>2</v>
      </c>
      <c r="D1" s="601" t="s">
        <v>3</v>
      </c>
      <c r="E1" s="602" t="s">
        <v>4</v>
      </c>
      <c r="F1" s="602" t="s">
        <v>5</v>
      </c>
      <c r="G1" s="602" t="s">
        <v>6</v>
      </c>
      <c r="H1" s="603" t="s">
        <v>7</v>
      </c>
      <c r="I1" s="604" t="s">
        <v>8</v>
      </c>
      <c r="J1" s="605" t="s">
        <v>193</v>
      </c>
      <c r="K1" s="605" t="s">
        <v>10</v>
      </c>
      <c r="L1" s="605" t="s">
        <v>11</v>
      </c>
      <c r="M1" s="606" t="s">
        <v>12</v>
      </c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</row>
    <row r="2" ht="12.75" customHeight="1">
      <c r="A2" s="419">
        <v>117.0</v>
      </c>
      <c r="B2" s="420" t="s">
        <v>7798</v>
      </c>
      <c r="C2" s="420">
        <v>2011.0</v>
      </c>
      <c r="D2" s="497">
        <v>40550.0</v>
      </c>
      <c r="E2" s="422" t="s">
        <v>7799</v>
      </c>
      <c r="F2" s="394" t="s">
        <v>1957</v>
      </c>
      <c r="G2" s="422" t="s">
        <v>17</v>
      </c>
      <c r="H2" s="394" t="s">
        <v>740</v>
      </c>
      <c r="I2" s="497">
        <v>42746.0</v>
      </c>
      <c r="J2" s="422">
        <v>1.0</v>
      </c>
      <c r="K2" s="607" t="s">
        <v>244</v>
      </c>
      <c r="L2" s="420" t="s">
        <v>258</v>
      </c>
      <c r="M2" s="316">
        <f t="shared" ref="M2:M118" si="1">I2-D2</f>
        <v>2196</v>
      </c>
      <c r="N2" s="256"/>
      <c r="O2" s="545" t="s">
        <v>7800</v>
      </c>
      <c r="P2" s="318"/>
      <c r="Q2" s="15"/>
      <c r="R2" s="15"/>
      <c r="S2" s="15"/>
      <c r="T2" s="15"/>
      <c r="U2" s="256"/>
      <c r="V2" s="256"/>
      <c r="W2" s="256"/>
      <c r="X2" s="256"/>
      <c r="Y2" s="256"/>
      <c r="Z2" s="256"/>
    </row>
    <row r="3" ht="12.75" customHeight="1">
      <c r="A3" s="425">
        <v>217.0</v>
      </c>
      <c r="B3" s="426" t="s">
        <v>7801</v>
      </c>
      <c r="C3" s="426">
        <v>2012.0</v>
      </c>
      <c r="D3" s="500">
        <v>41115.0</v>
      </c>
      <c r="E3" s="428" t="s">
        <v>7802</v>
      </c>
      <c r="F3" s="397" t="s">
        <v>563</v>
      </c>
      <c r="G3" s="428" t="s">
        <v>552</v>
      </c>
      <c r="H3" s="397" t="s">
        <v>50</v>
      </c>
      <c r="I3" s="500">
        <v>42748.0</v>
      </c>
      <c r="J3" s="428">
        <v>1.0</v>
      </c>
      <c r="K3" s="608" t="s">
        <v>234</v>
      </c>
      <c r="L3" s="426" t="s">
        <v>256</v>
      </c>
      <c r="M3" s="319">
        <f t="shared" si="1"/>
        <v>1633</v>
      </c>
      <c r="N3" s="256"/>
      <c r="O3" s="320" t="s">
        <v>27</v>
      </c>
      <c r="P3" s="320">
        <f>COUNTIF($G$2:$G$476,"PT")</f>
        <v>0</v>
      </c>
      <c r="Q3" s="15"/>
      <c r="R3" s="15"/>
      <c r="S3" s="15"/>
      <c r="T3" s="15"/>
      <c r="U3" s="256"/>
      <c r="V3" s="256"/>
      <c r="W3" s="256"/>
      <c r="X3" s="256"/>
      <c r="Y3" s="256"/>
      <c r="Z3" s="256"/>
    </row>
    <row r="4" ht="12.75" customHeight="1">
      <c r="A4" s="419">
        <v>317.0</v>
      </c>
      <c r="B4" s="420" t="s">
        <v>7803</v>
      </c>
      <c r="C4" s="420">
        <v>2016.0</v>
      </c>
      <c r="D4" s="497">
        <v>42458.0</v>
      </c>
      <c r="E4" s="422" t="s">
        <v>7804</v>
      </c>
      <c r="F4" s="394" t="s">
        <v>7805</v>
      </c>
      <c r="G4" s="422" t="s">
        <v>565</v>
      </c>
      <c r="H4" s="394" t="s">
        <v>601</v>
      </c>
      <c r="I4" s="497">
        <v>42755.0</v>
      </c>
      <c r="J4" s="422">
        <v>1.0</v>
      </c>
      <c r="K4" s="609" t="s">
        <v>238</v>
      </c>
      <c r="L4" s="420" t="s">
        <v>260</v>
      </c>
      <c r="M4" s="316">
        <f t="shared" si="1"/>
        <v>297</v>
      </c>
      <c r="N4" s="256"/>
      <c r="O4" s="321" t="s">
        <v>34</v>
      </c>
      <c r="P4" s="321">
        <f>COUNTIF($G$2:$G$476,"PTN")</f>
        <v>5</v>
      </c>
      <c r="Q4" s="25"/>
      <c r="R4" s="25"/>
      <c r="S4" s="25"/>
      <c r="T4" s="25"/>
      <c r="U4" s="256"/>
      <c r="V4" s="256"/>
      <c r="W4" s="256"/>
      <c r="X4" s="256"/>
      <c r="Y4" s="256"/>
      <c r="Z4" s="256"/>
    </row>
    <row r="5" ht="12.75" customHeight="1">
      <c r="A5" s="425">
        <v>417.0</v>
      </c>
      <c r="B5" s="426" t="s">
        <v>7806</v>
      </c>
      <c r="C5" s="426">
        <v>2010.0</v>
      </c>
      <c r="D5" s="500">
        <v>40207.0</v>
      </c>
      <c r="E5" s="428" t="s">
        <v>7807</v>
      </c>
      <c r="F5" s="397" t="s">
        <v>719</v>
      </c>
      <c r="G5" s="428" t="s">
        <v>552</v>
      </c>
      <c r="H5" s="397" t="s">
        <v>5016</v>
      </c>
      <c r="I5" s="500">
        <v>42759.0</v>
      </c>
      <c r="J5" s="428">
        <v>1.0</v>
      </c>
      <c r="K5" s="610" t="s">
        <v>228</v>
      </c>
      <c r="L5" s="426" t="s">
        <v>256</v>
      </c>
      <c r="M5" s="319">
        <f t="shared" si="1"/>
        <v>2552</v>
      </c>
      <c r="N5" s="256"/>
      <c r="O5" s="322" t="s">
        <v>40</v>
      </c>
      <c r="P5" s="322">
        <f>COUNTIF($G$2:$G$476,"PTE")</f>
        <v>177</v>
      </c>
      <c r="Q5" s="25"/>
      <c r="R5" s="25"/>
      <c r="S5" s="25"/>
      <c r="T5" s="25"/>
      <c r="U5" s="256"/>
      <c r="V5" s="256"/>
      <c r="W5" s="256"/>
      <c r="X5" s="256"/>
      <c r="Y5" s="256"/>
      <c r="Z5" s="256"/>
    </row>
    <row r="6" ht="12.75" customHeight="1">
      <c r="A6" s="419">
        <v>517.0</v>
      </c>
      <c r="B6" s="420" t="s">
        <v>7808</v>
      </c>
      <c r="C6" s="420">
        <v>2011.0</v>
      </c>
      <c r="D6" s="497">
        <v>40808.0</v>
      </c>
      <c r="E6" s="422" t="s">
        <v>7809</v>
      </c>
      <c r="F6" s="394" t="s">
        <v>1108</v>
      </c>
      <c r="G6" s="422" t="s">
        <v>17</v>
      </c>
      <c r="H6" s="394" t="s">
        <v>7810</v>
      </c>
      <c r="I6" s="497">
        <v>42765.0</v>
      </c>
      <c r="J6" s="422">
        <v>1.0</v>
      </c>
      <c r="K6" s="609" t="s">
        <v>238</v>
      </c>
      <c r="L6" s="420" t="s">
        <v>256</v>
      </c>
      <c r="M6" s="316">
        <f t="shared" si="1"/>
        <v>1957</v>
      </c>
      <c r="N6" s="611"/>
      <c r="O6" s="321" t="s">
        <v>46</v>
      </c>
      <c r="P6" s="321">
        <f>COUNTIF($G$2:$G$476,"Pré-Mistura")</f>
        <v>4</v>
      </c>
      <c r="Q6" s="25"/>
      <c r="R6" s="25"/>
      <c r="S6" s="25"/>
      <c r="T6" s="25"/>
      <c r="U6" s="256"/>
      <c r="V6" s="256"/>
      <c r="W6" s="256"/>
      <c r="X6" s="256"/>
      <c r="Y6" s="256"/>
      <c r="Z6" s="256"/>
    </row>
    <row r="7" ht="12.75" customHeight="1">
      <c r="A7" s="425">
        <v>617.0</v>
      </c>
      <c r="B7" s="426" t="s">
        <v>7811</v>
      </c>
      <c r="C7" s="426">
        <v>2011.0</v>
      </c>
      <c r="D7" s="500">
        <v>40679.0</v>
      </c>
      <c r="E7" s="428" t="s">
        <v>7812</v>
      </c>
      <c r="F7" s="397" t="s">
        <v>7268</v>
      </c>
      <c r="G7" s="428" t="s">
        <v>17</v>
      </c>
      <c r="H7" s="397" t="s">
        <v>153</v>
      </c>
      <c r="I7" s="500">
        <v>42766.0</v>
      </c>
      <c r="J7" s="428">
        <v>1.0</v>
      </c>
      <c r="K7" s="607" t="s">
        <v>244</v>
      </c>
      <c r="L7" s="426" t="s">
        <v>256</v>
      </c>
      <c r="M7" s="319">
        <f t="shared" si="1"/>
        <v>2087</v>
      </c>
      <c r="N7" s="256"/>
      <c r="O7" s="322" t="s">
        <v>553</v>
      </c>
      <c r="P7" s="322">
        <f>COUNTIF($G$2:$G$476,"PF")</f>
        <v>36</v>
      </c>
      <c r="Q7" s="25"/>
      <c r="R7" s="25"/>
      <c r="S7" s="25"/>
      <c r="T7" s="25"/>
      <c r="U7" s="256"/>
      <c r="V7" s="256"/>
      <c r="W7" s="256"/>
      <c r="X7" s="256"/>
      <c r="Y7" s="256"/>
      <c r="Z7" s="256"/>
    </row>
    <row r="8" ht="12.75" customHeight="1">
      <c r="A8" s="419">
        <v>717.0</v>
      </c>
      <c r="B8" s="420" t="s">
        <v>7813</v>
      </c>
      <c r="C8" s="420">
        <v>2012.0</v>
      </c>
      <c r="D8" s="497">
        <v>40919.0</v>
      </c>
      <c r="E8" s="422" t="s">
        <v>7814</v>
      </c>
      <c r="F8" s="394" t="s">
        <v>7815</v>
      </c>
      <c r="G8" s="422" t="s">
        <v>17</v>
      </c>
      <c r="H8" s="394" t="s">
        <v>50</v>
      </c>
      <c r="I8" s="497">
        <v>42767.0</v>
      </c>
      <c r="J8" s="422">
        <v>2.0</v>
      </c>
      <c r="K8" s="610" t="s">
        <v>228</v>
      </c>
      <c r="L8" s="420" t="s">
        <v>256</v>
      </c>
      <c r="M8" s="316">
        <f t="shared" si="1"/>
        <v>1848</v>
      </c>
      <c r="N8" s="256"/>
      <c r="O8" s="321" t="s">
        <v>547</v>
      </c>
      <c r="P8" s="321">
        <f>COUNTIF($G$2:$G$476,"PFN")</f>
        <v>9</v>
      </c>
      <c r="Q8" s="25"/>
      <c r="R8" s="25"/>
      <c r="S8" s="25"/>
      <c r="T8" s="25"/>
      <c r="U8" s="256"/>
      <c r="V8" s="256"/>
      <c r="W8" s="256"/>
      <c r="X8" s="256"/>
      <c r="Y8" s="256"/>
      <c r="Z8" s="256"/>
    </row>
    <row r="9" ht="12.75" customHeight="1">
      <c r="A9" s="425">
        <v>817.0</v>
      </c>
      <c r="B9" s="426" t="s">
        <v>7816</v>
      </c>
      <c r="C9" s="426">
        <v>2012.0</v>
      </c>
      <c r="D9" s="500">
        <v>41199.0</v>
      </c>
      <c r="E9" s="428" t="s">
        <v>7817</v>
      </c>
      <c r="F9" s="397" t="s">
        <v>1401</v>
      </c>
      <c r="G9" s="428" t="s">
        <v>17</v>
      </c>
      <c r="H9" s="397" t="s">
        <v>596</v>
      </c>
      <c r="I9" s="500">
        <v>42767.0</v>
      </c>
      <c r="J9" s="428">
        <v>2.0</v>
      </c>
      <c r="K9" s="609" t="s">
        <v>238</v>
      </c>
      <c r="L9" s="426" t="s">
        <v>258</v>
      </c>
      <c r="M9" s="319">
        <f t="shared" si="1"/>
        <v>1568</v>
      </c>
      <c r="N9" s="256"/>
      <c r="O9" s="322" t="s">
        <v>560</v>
      </c>
      <c r="P9" s="322">
        <f>COUNTIF($G$2:$G$476,"PF/PTE")</f>
        <v>131</v>
      </c>
      <c r="Q9" s="25"/>
      <c r="R9" s="25"/>
      <c r="S9" s="25"/>
      <c r="T9" s="25"/>
      <c r="U9" s="256"/>
      <c r="V9" s="256"/>
      <c r="W9" s="256"/>
      <c r="X9" s="256"/>
      <c r="Y9" s="256"/>
      <c r="Z9" s="256"/>
    </row>
    <row r="10" ht="12.75" customHeight="1">
      <c r="A10" s="419">
        <v>917.0</v>
      </c>
      <c r="B10" s="420" t="s">
        <v>7818</v>
      </c>
      <c r="C10" s="420">
        <v>2014.0</v>
      </c>
      <c r="D10" s="497">
        <v>41754.0</v>
      </c>
      <c r="E10" s="422" t="s">
        <v>7819</v>
      </c>
      <c r="F10" s="394" t="s">
        <v>1401</v>
      </c>
      <c r="G10" s="422" t="s">
        <v>17</v>
      </c>
      <c r="H10" s="394" t="s">
        <v>50</v>
      </c>
      <c r="I10" s="497">
        <v>42767.0</v>
      </c>
      <c r="J10" s="422">
        <v>2.0</v>
      </c>
      <c r="K10" s="609" t="s">
        <v>238</v>
      </c>
      <c r="L10" s="420" t="s">
        <v>258</v>
      </c>
      <c r="M10" s="316">
        <f t="shared" si="1"/>
        <v>1013</v>
      </c>
      <c r="N10" s="611"/>
      <c r="O10" s="321" t="s">
        <v>565</v>
      </c>
      <c r="P10" s="321">
        <f>COUNTIF($G$2:$G$476,"Bio")</f>
        <v>21</v>
      </c>
      <c r="Q10" s="25"/>
      <c r="R10" s="25"/>
      <c r="S10" s="25"/>
      <c r="T10" s="25"/>
      <c r="U10" s="256"/>
      <c r="V10" s="256"/>
      <c r="W10" s="256"/>
      <c r="X10" s="256"/>
      <c r="Y10" s="256"/>
      <c r="Z10" s="256"/>
    </row>
    <row r="11" ht="12.75" customHeight="1">
      <c r="A11" s="425">
        <v>1017.0</v>
      </c>
      <c r="B11" s="426" t="s">
        <v>7820</v>
      </c>
      <c r="C11" s="426">
        <v>2014.0</v>
      </c>
      <c r="D11" s="500">
        <v>41800.0</v>
      </c>
      <c r="E11" s="428" t="s">
        <v>7821</v>
      </c>
      <c r="F11" s="397" t="s">
        <v>1401</v>
      </c>
      <c r="G11" s="428" t="s">
        <v>17</v>
      </c>
      <c r="H11" s="397" t="s">
        <v>97</v>
      </c>
      <c r="I11" s="500">
        <v>42767.0</v>
      </c>
      <c r="J11" s="428">
        <v>2.0</v>
      </c>
      <c r="K11" s="609" t="s">
        <v>238</v>
      </c>
      <c r="L11" s="426" t="s">
        <v>258</v>
      </c>
      <c r="M11" s="319">
        <f t="shared" si="1"/>
        <v>967</v>
      </c>
      <c r="N11" s="611"/>
      <c r="O11" s="323" t="s">
        <v>569</v>
      </c>
      <c r="P11" s="323">
        <f>COUNTIF($G$2:$G$476,"Bio/Org")</f>
        <v>21</v>
      </c>
      <c r="Q11" s="25"/>
      <c r="R11" s="25"/>
      <c r="S11" s="25"/>
      <c r="T11" s="25"/>
      <c r="U11" s="256"/>
      <c r="V11" s="256"/>
      <c r="W11" s="256"/>
      <c r="X11" s="256"/>
      <c r="Y11" s="256"/>
      <c r="Z11" s="256"/>
    </row>
    <row r="12" ht="12.75" customHeight="1">
      <c r="A12" s="419">
        <v>1117.0</v>
      </c>
      <c r="B12" s="420" t="s">
        <v>7822</v>
      </c>
      <c r="C12" s="420">
        <v>2011.0</v>
      </c>
      <c r="D12" s="497">
        <v>40696.0</v>
      </c>
      <c r="E12" s="422" t="s">
        <v>7823</v>
      </c>
      <c r="F12" s="394" t="s">
        <v>1401</v>
      </c>
      <c r="G12" s="422" t="s">
        <v>17</v>
      </c>
      <c r="H12" s="394" t="s">
        <v>50</v>
      </c>
      <c r="I12" s="497">
        <v>42767.0</v>
      </c>
      <c r="J12" s="422">
        <v>2.0</v>
      </c>
      <c r="K12" s="609" t="s">
        <v>238</v>
      </c>
      <c r="L12" s="420" t="s">
        <v>258</v>
      </c>
      <c r="M12" s="316">
        <f t="shared" si="1"/>
        <v>2071</v>
      </c>
      <c r="N12" s="256"/>
      <c r="O12" s="324" t="s">
        <v>51</v>
      </c>
      <c r="P12" s="325">
        <f>SUM(P3:P11)</f>
        <v>404</v>
      </c>
      <c r="Q12" s="25"/>
      <c r="R12" s="25"/>
      <c r="S12" s="25"/>
      <c r="T12" s="25"/>
      <c r="U12" s="256"/>
      <c r="V12" s="256"/>
      <c r="W12" s="256"/>
      <c r="X12" s="256"/>
      <c r="Y12" s="256"/>
      <c r="Z12" s="256"/>
    </row>
    <row r="13" ht="12.75" customHeight="1">
      <c r="A13" s="425">
        <v>1217.0</v>
      </c>
      <c r="B13" s="426" t="s">
        <v>7824</v>
      </c>
      <c r="C13" s="426">
        <v>2013.0</v>
      </c>
      <c r="D13" s="500">
        <v>41457.0</v>
      </c>
      <c r="E13" s="428" t="s">
        <v>7825</v>
      </c>
      <c r="F13" s="397" t="s">
        <v>1401</v>
      </c>
      <c r="G13" s="428" t="s">
        <v>17</v>
      </c>
      <c r="H13" s="397" t="s">
        <v>4553</v>
      </c>
      <c r="I13" s="500">
        <v>42767.0</v>
      </c>
      <c r="J13" s="428">
        <v>2.0</v>
      </c>
      <c r="K13" s="609" t="s">
        <v>238</v>
      </c>
      <c r="L13" s="426" t="s">
        <v>258</v>
      </c>
      <c r="M13" s="319">
        <f t="shared" si="1"/>
        <v>1310</v>
      </c>
      <c r="N13" s="256"/>
      <c r="O13" s="25"/>
      <c r="P13" s="25"/>
      <c r="Q13" s="25"/>
      <c r="R13" s="326"/>
      <c r="S13" s="326"/>
      <c r="T13" s="25"/>
      <c r="U13" s="256"/>
      <c r="V13" s="256"/>
      <c r="W13" s="256"/>
      <c r="X13" s="256"/>
      <c r="Y13" s="256"/>
      <c r="Z13" s="256"/>
    </row>
    <row r="14" ht="13.5" customHeight="1">
      <c r="A14" s="419">
        <v>1317.0</v>
      </c>
      <c r="B14" s="420" t="s">
        <v>7826</v>
      </c>
      <c r="C14" s="420">
        <v>2013.0</v>
      </c>
      <c r="D14" s="497">
        <v>41460.0</v>
      </c>
      <c r="E14" s="422" t="s">
        <v>7827</v>
      </c>
      <c r="F14" s="394" t="s">
        <v>1401</v>
      </c>
      <c r="G14" s="422" t="s">
        <v>17</v>
      </c>
      <c r="H14" s="394" t="s">
        <v>901</v>
      </c>
      <c r="I14" s="497">
        <v>42767.0</v>
      </c>
      <c r="J14" s="422">
        <v>2.0</v>
      </c>
      <c r="K14" s="609" t="s">
        <v>238</v>
      </c>
      <c r="L14" s="420" t="s">
        <v>258</v>
      </c>
      <c r="M14" s="316">
        <f t="shared" si="1"/>
        <v>1307</v>
      </c>
      <c r="N14" s="256"/>
      <c r="O14" s="327" t="s">
        <v>61</v>
      </c>
      <c r="P14" s="102"/>
      <c r="Q14" s="102"/>
      <c r="R14" s="102"/>
      <c r="S14" s="103"/>
      <c r="T14" s="25"/>
      <c r="U14" s="256"/>
      <c r="V14" s="256"/>
      <c r="W14" s="256"/>
      <c r="X14" s="256"/>
      <c r="Y14" s="256"/>
      <c r="Z14" s="256"/>
    </row>
    <row r="15" ht="14.25" customHeight="1">
      <c r="A15" s="425">
        <v>1417.0</v>
      </c>
      <c r="B15" s="426" t="s">
        <v>7828</v>
      </c>
      <c r="C15" s="426">
        <v>2013.0</v>
      </c>
      <c r="D15" s="500">
        <v>41465.0</v>
      </c>
      <c r="E15" s="428" t="s">
        <v>7829</v>
      </c>
      <c r="F15" s="397" t="s">
        <v>1401</v>
      </c>
      <c r="G15" s="428" t="s">
        <v>17</v>
      </c>
      <c r="H15" s="397" t="s">
        <v>583</v>
      </c>
      <c r="I15" s="500">
        <v>42767.0</v>
      </c>
      <c r="J15" s="428">
        <v>2.0</v>
      </c>
      <c r="K15" s="609" t="s">
        <v>238</v>
      </c>
      <c r="L15" s="426" t="s">
        <v>258</v>
      </c>
      <c r="M15" s="319">
        <f t="shared" si="1"/>
        <v>1302</v>
      </c>
      <c r="N15" s="256"/>
      <c r="O15" s="328"/>
      <c r="P15" s="329"/>
      <c r="Q15" s="329"/>
      <c r="R15" s="329"/>
      <c r="S15" s="330"/>
      <c r="T15" s="25"/>
      <c r="U15" s="256"/>
      <c r="V15" s="256"/>
      <c r="W15" s="256"/>
      <c r="X15" s="256"/>
      <c r="Y15" s="256"/>
      <c r="Z15" s="256"/>
    </row>
    <row r="16" ht="12.75" customHeight="1">
      <c r="A16" s="419">
        <v>1517.0</v>
      </c>
      <c r="B16" s="420" t="s">
        <v>7830</v>
      </c>
      <c r="C16" s="420">
        <v>2013.0</v>
      </c>
      <c r="D16" s="497">
        <v>41515.0</v>
      </c>
      <c r="E16" s="422" t="s">
        <v>7831</v>
      </c>
      <c r="F16" s="394" t="s">
        <v>1401</v>
      </c>
      <c r="G16" s="422" t="s">
        <v>17</v>
      </c>
      <c r="H16" s="394" t="s">
        <v>601</v>
      </c>
      <c r="I16" s="497">
        <v>42767.0</v>
      </c>
      <c r="J16" s="422">
        <v>2.0</v>
      </c>
      <c r="K16" s="609" t="s">
        <v>238</v>
      </c>
      <c r="L16" s="420" t="s">
        <v>258</v>
      </c>
      <c r="M16" s="316">
        <f t="shared" si="1"/>
        <v>1252</v>
      </c>
      <c r="N16" s="256"/>
      <c r="O16" s="331" t="s">
        <v>7832</v>
      </c>
      <c r="P16" s="332"/>
      <c r="Q16" s="332"/>
      <c r="R16" s="332"/>
      <c r="S16" s="333"/>
      <c r="T16" s="25"/>
      <c r="U16" s="256"/>
      <c r="V16" s="256"/>
      <c r="W16" s="256"/>
      <c r="X16" s="256"/>
      <c r="Y16" s="256"/>
      <c r="Z16" s="256"/>
    </row>
    <row r="17" ht="12.75" customHeight="1">
      <c r="A17" s="425">
        <v>1617.0</v>
      </c>
      <c r="B17" s="426" t="s">
        <v>7833</v>
      </c>
      <c r="C17" s="426">
        <v>2016.0</v>
      </c>
      <c r="D17" s="500">
        <v>42468.0</v>
      </c>
      <c r="E17" s="428" t="s">
        <v>7834</v>
      </c>
      <c r="F17" s="397" t="s">
        <v>1401</v>
      </c>
      <c r="G17" s="428" t="s">
        <v>17</v>
      </c>
      <c r="H17" s="397" t="s">
        <v>3482</v>
      </c>
      <c r="I17" s="500">
        <v>42767.0</v>
      </c>
      <c r="J17" s="428">
        <v>2.0</v>
      </c>
      <c r="K17" s="609" t="s">
        <v>238</v>
      </c>
      <c r="L17" s="426" t="s">
        <v>258</v>
      </c>
      <c r="M17" s="319">
        <f t="shared" si="1"/>
        <v>299</v>
      </c>
      <c r="N17" s="256"/>
      <c r="O17" s="334" t="s">
        <v>7835</v>
      </c>
      <c r="P17" s="113"/>
      <c r="Q17" s="113"/>
      <c r="R17" s="113"/>
      <c r="S17" s="114"/>
      <c r="T17" s="25"/>
      <c r="U17" s="256"/>
      <c r="V17" s="256"/>
      <c r="W17" s="256"/>
      <c r="X17" s="256"/>
      <c r="Y17" s="256"/>
      <c r="Z17" s="256"/>
    </row>
    <row r="18" ht="12.75" customHeight="1">
      <c r="A18" s="419">
        <v>1717.0</v>
      </c>
      <c r="B18" s="420" t="s">
        <v>7836</v>
      </c>
      <c r="C18" s="420">
        <v>2016.0</v>
      </c>
      <c r="D18" s="497">
        <v>42566.0</v>
      </c>
      <c r="E18" s="422" t="s">
        <v>7837</v>
      </c>
      <c r="F18" s="394" t="s">
        <v>1401</v>
      </c>
      <c r="G18" s="422" t="s">
        <v>17</v>
      </c>
      <c r="H18" s="394" t="s">
        <v>573</v>
      </c>
      <c r="I18" s="497">
        <v>42767.0</v>
      </c>
      <c r="J18" s="422">
        <v>2.0</v>
      </c>
      <c r="K18" s="609" t="s">
        <v>238</v>
      </c>
      <c r="L18" s="420" t="s">
        <v>258</v>
      </c>
      <c r="M18" s="316">
        <f t="shared" si="1"/>
        <v>201</v>
      </c>
      <c r="N18" s="256"/>
      <c r="O18" s="335" t="s">
        <v>7838</v>
      </c>
      <c r="P18" s="113"/>
      <c r="Q18" s="113"/>
      <c r="R18" s="113"/>
      <c r="S18" s="114"/>
      <c r="T18" s="25"/>
      <c r="U18" s="256"/>
      <c r="V18" s="256"/>
      <c r="W18" s="256"/>
      <c r="X18" s="256"/>
      <c r="Y18" s="256"/>
      <c r="Z18" s="256"/>
    </row>
    <row r="19" ht="12.75" customHeight="1">
      <c r="A19" s="425">
        <v>1817.0</v>
      </c>
      <c r="B19" s="426" t="s">
        <v>7839</v>
      </c>
      <c r="C19" s="426">
        <v>2016.0</v>
      </c>
      <c r="D19" s="500">
        <v>42604.0</v>
      </c>
      <c r="E19" s="428" t="s">
        <v>7840</v>
      </c>
      <c r="F19" s="397" t="s">
        <v>7805</v>
      </c>
      <c r="G19" s="428" t="s">
        <v>565</v>
      </c>
      <c r="H19" s="397" t="s">
        <v>601</v>
      </c>
      <c r="I19" s="500">
        <v>42768.0</v>
      </c>
      <c r="J19" s="428">
        <v>2.0</v>
      </c>
      <c r="K19" s="609" t="s">
        <v>238</v>
      </c>
      <c r="L19" s="426" t="s">
        <v>260</v>
      </c>
      <c r="M19" s="319">
        <f t="shared" si="1"/>
        <v>164</v>
      </c>
      <c r="N19" s="256"/>
      <c r="O19" s="334" t="s">
        <v>7841</v>
      </c>
      <c r="P19" s="113"/>
      <c r="Q19" s="113"/>
      <c r="R19" s="113"/>
      <c r="S19" s="114"/>
      <c r="T19" s="25"/>
      <c r="U19" s="256"/>
      <c r="V19" s="256"/>
      <c r="W19" s="256"/>
      <c r="X19" s="256"/>
      <c r="Y19" s="256"/>
      <c r="Z19" s="256"/>
    </row>
    <row r="20" ht="12.75" customHeight="1">
      <c r="A20" s="419">
        <v>1917.0</v>
      </c>
      <c r="B20" s="420" t="s">
        <v>7842</v>
      </c>
      <c r="C20" s="420">
        <v>2015.0</v>
      </c>
      <c r="D20" s="497">
        <v>42181.0</v>
      </c>
      <c r="E20" s="422" t="s">
        <v>7843</v>
      </c>
      <c r="F20" s="394" t="s">
        <v>2611</v>
      </c>
      <c r="G20" s="422" t="s">
        <v>565</v>
      </c>
      <c r="H20" s="394" t="s">
        <v>6239</v>
      </c>
      <c r="I20" s="497">
        <v>42772.0</v>
      </c>
      <c r="J20" s="422">
        <v>2.0</v>
      </c>
      <c r="K20" s="608" t="s">
        <v>234</v>
      </c>
      <c r="L20" s="420" t="s">
        <v>260</v>
      </c>
      <c r="M20" s="316">
        <f t="shared" si="1"/>
        <v>591</v>
      </c>
      <c r="N20" s="256"/>
      <c r="O20" s="335" t="s">
        <v>7844</v>
      </c>
      <c r="P20" s="113"/>
      <c r="Q20" s="113"/>
      <c r="R20" s="113"/>
      <c r="S20" s="114"/>
      <c r="T20" s="25"/>
      <c r="U20" s="256"/>
      <c r="V20" s="256"/>
      <c r="W20" s="256"/>
      <c r="X20" s="256"/>
      <c r="Y20" s="256"/>
      <c r="Z20" s="256"/>
    </row>
    <row r="21" ht="12.75" customHeight="1">
      <c r="A21" s="425">
        <v>2017.0</v>
      </c>
      <c r="B21" s="426" t="s">
        <v>7845</v>
      </c>
      <c r="C21" s="426">
        <v>2012.0</v>
      </c>
      <c r="D21" s="500">
        <v>41031.0</v>
      </c>
      <c r="E21" s="428" t="s">
        <v>7846</v>
      </c>
      <c r="F21" s="397" t="s">
        <v>1554</v>
      </c>
      <c r="G21" s="428" t="s">
        <v>17</v>
      </c>
      <c r="H21" s="397" t="s">
        <v>7847</v>
      </c>
      <c r="I21" s="500">
        <v>42774.0</v>
      </c>
      <c r="J21" s="428">
        <v>2.0</v>
      </c>
      <c r="K21" s="610" t="s">
        <v>228</v>
      </c>
      <c r="L21" s="426" t="s">
        <v>258</v>
      </c>
      <c r="M21" s="319">
        <f t="shared" si="1"/>
        <v>1743</v>
      </c>
      <c r="N21" s="256"/>
      <c r="O21" s="334" t="s">
        <v>7848</v>
      </c>
      <c r="P21" s="113"/>
      <c r="Q21" s="113"/>
      <c r="R21" s="113"/>
      <c r="S21" s="114"/>
      <c r="T21" s="25"/>
      <c r="U21" s="256"/>
      <c r="V21" s="256"/>
      <c r="W21" s="256"/>
      <c r="X21" s="256"/>
      <c r="Y21" s="256"/>
      <c r="Z21" s="256"/>
    </row>
    <row r="22" ht="12.75" customHeight="1">
      <c r="A22" s="419">
        <v>2117.0</v>
      </c>
      <c r="B22" s="420" t="s">
        <v>7849</v>
      </c>
      <c r="C22" s="420">
        <v>2015.0</v>
      </c>
      <c r="D22" s="497">
        <v>42209.0</v>
      </c>
      <c r="E22" s="422" t="s">
        <v>7850</v>
      </c>
      <c r="F22" s="394" t="s">
        <v>171</v>
      </c>
      <c r="G22" s="422" t="s">
        <v>17</v>
      </c>
      <c r="H22" s="394" t="s">
        <v>4756</v>
      </c>
      <c r="I22" s="497">
        <v>42774.0</v>
      </c>
      <c r="J22" s="422">
        <v>2.0</v>
      </c>
      <c r="K22" s="609" t="s">
        <v>238</v>
      </c>
      <c r="L22" s="420" t="s">
        <v>256</v>
      </c>
      <c r="M22" s="316">
        <f t="shared" si="1"/>
        <v>565</v>
      </c>
      <c r="N22" s="256"/>
      <c r="O22" s="335" t="s">
        <v>7851</v>
      </c>
      <c r="P22" s="113"/>
      <c r="Q22" s="113"/>
      <c r="R22" s="113"/>
      <c r="S22" s="114"/>
      <c r="T22" s="25"/>
      <c r="U22" s="256"/>
      <c r="V22" s="256"/>
      <c r="W22" s="256"/>
      <c r="X22" s="256"/>
      <c r="Y22" s="256"/>
      <c r="Z22" s="256"/>
    </row>
    <row r="23" ht="12.75" customHeight="1">
      <c r="A23" s="425">
        <v>2217.0</v>
      </c>
      <c r="B23" s="426" t="s">
        <v>7852</v>
      </c>
      <c r="C23" s="426">
        <v>2013.0</v>
      </c>
      <c r="D23" s="500">
        <v>41632.0</v>
      </c>
      <c r="E23" s="428" t="s">
        <v>7853</v>
      </c>
      <c r="F23" s="397" t="s">
        <v>1762</v>
      </c>
      <c r="G23" s="428" t="s">
        <v>552</v>
      </c>
      <c r="H23" s="397" t="s">
        <v>66</v>
      </c>
      <c r="I23" s="500">
        <v>42775.0</v>
      </c>
      <c r="J23" s="428">
        <v>2.0</v>
      </c>
      <c r="K23" s="609" t="s">
        <v>238</v>
      </c>
      <c r="L23" s="426" t="s">
        <v>256</v>
      </c>
      <c r="M23" s="319">
        <f t="shared" si="1"/>
        <v>1143</v>
      </c>
      <c r="N23" s="256"/>
      <c r="O23" s="334" t="s">
        <v>7854</v>
      </c>
      <c r="P23" s="113"/>
      <c r="Q23" s="113"/>
      <c r="R23" s="113"/>
      <c r="S23" s="114"/>
      <c r="T23" s="25"/>
      <c r="U23" s="256"/>
      <c r="V23" s="256"/>
      <c r="W23" s="256"/>
      <c r="X23" s="256"/>
      <c r="Y23" s="256"/>
      <c r="Z23" s="256"/>
    </row>
    <row r="24" ht="12.75" customHeight="1">
      <c r="A24" s="419">
        <v>2317.0</v>
      </c>
      <c r="B24" s="420" t="s">
        <v>7855</v>
      </c>
      <c r="C24" s="420">
        <v>2015.0</v>
      </c>
      <c r="D24" s="497">
        <v>42108.0</v>
      </c>
      <c r="E24" s="422" t="s">
        <v>7856</v>
      </c>
      <c r="F24" s="394" t="s">
        <v>7857</v>
      </c>
      <c r="G24" s="422" t="s">
        <v>565</v>
      </c>
      <c r="H24" s="394" t="s">
        <v>705</v>
      </c>
      <c r="I24" s="497">
        <v>42776.0</v>
      </c>
      <c r="J24" s="422">
        <v>2.0</v>
      </c>
      <c r="K24" s="610" t="s">
        <v>228</v>
      </c>
      <c r="L24" s="420" t="s">
        <v>260</v>
      </c>
      <c r="M24" s="316">
        <f t="shared" si="1"/>
        <v>668</v>
      </c>
      <c r="N24" s="256"/>
      <c r="O24" s="336" t="s">
        <v>7858</v>
      </c>
      <c r="P24" s="118"/>
      <c r="Q24" s="118"/>
      <c r="R24" s="118"/>
      <c r="S24" s="119"/>
      <c r="T24" s="25"/>
      <c r="U24" s="256"/>
      <c r="V24" s="256"/>
      <c r="W24" s="256"/>
      <c r="X24" s="256"/>
      <c r="Y24" s="256"/>
      <c r="Z24" s="256"/>
    </row>
    <row r="25" ht="12.75" customHeight="1">
      <c r="A25" s="425">
        <v>2417.0</v>
      </c>
      <c r="B25" s="426" t="s">
        <v>7859</v>
      </c>
      <c r="C25" s="426">
        <v>2015.0</v>
      </c>
      <c r="D25" s="500">
        <v>42108.0</v>
      </c>
      <c r="E25" s="428" t="s">
        <v>7860</v>
      </c>
      <c r="F25" s="397" t="s">
        <v>7857</v>
      </c>
      <c r="G25" s="428" t="s">
        <v>565</v>
      </c>
      <c r="H25" s="397" t="s">
        <v>705</v>
      </c>
      <c r="I25" s="500">
        <v>42776.0</v>
      </c>
      <c r="J25" s="428">
        <v>2.0</v>
      </c>
      <c r="K25" s="610" t="s">
        <v>228</v>
      </c>
      <c r="L25" s="426" t="s">
        <v>260</v>
      </c>
      <c r="M25" s="319">
        <f t="shared" si="1"/>
        <v>668</v>
      </c>
      <c r="N25" s="256"/>
      <c r="O25" s="25"/>
      <c r="P25" s="25"/>
      <c r="Q25" s="25"/>
      <c r="R25" s="25"/>
      <c r="S25" s="25"/>
      <c r="T25" s="25"/>
      <c r="U25" s="256"/>
      <c r="V25" s="256"/>
      <c r="W25" s="256"/>
      <c r="X25" s="256"/>
      <c r="Y25" s="256"/>
      <c r="Z25" s="256"/>
    </row>
    <row r="26" ht="13.5" customHeight="1">
      <c r="A26" s="419">
        <v>2517.0</v>
      </c>
      <c r="B26" s="420" t="s">
        <v>7861</v>
      </c>
      <c r="C26" s="420">
        <v>2015.0</v>
      </c>
      <c r="D26" s="497">
        <v>42132.0</v>
      </c>
      <c r="E26" s="422" t="s">
        <v>7862</v>
      </c>
      <c r="F26" s="394" t="s">
        <v>3544</v>
      </c>
      <c r="G26" s="422" t="s">
        <v>565</v>
      </c>
      <c r="H26" s="394" t="s">
        <v>6239</v>
      </c>
      <c r="I26" s="497">
        <v>42776.0</v>
      </c>
      <c r="J26" s="422">
        <v>2.0</v>
      </c>
      <c r="K26" s="608" t="s">
        <v>234</v>
      </c>
      <c r="L26" s="420" t="s">
        <v>260</v>
      </c>
      <c r="M26" s="316">
        <f t="shared" si="1"/>
        <v>644</v>
      </c>
      <c r="N26" s="256"/>
      <c r="O26" s="327" t="s">
        <v>617</v>
      </c>
      <c r="P26" s="102"/>
      <c r="Q26" s="102"/>
      <c r="R26" s="102"/>
      <c r="S26" s="103"/>
      <c r="T26" s="25"/>
      <c r="U26" s="256"/>
      <c r="V26" s="256"/>
      <c r="W26" s="256"/>
      <c r="X26" s="256"/>
      <c r="Y26" s="256"/>
      <c r="Z26" s="256"/>
    </row>
    <row r="27" ht="15.0" customHeight="1">
      <c r="A27" s="425">
        <v>2617.0</v>
      </c>
      <c r="B27" s="426" t="s">
        <v>7863</v>
      </c>
      <c r="C27" s="426">
        <v>2015.0</v>
      </c>
      <c r="D27" s="500">
        <v>42181.0</v>
      </c>
      <c r="E27" s="428" t="s">
        <v>7864</v>
      </c>
      <c r="F27" s="397" t="s">
        <v>3544</v>
      </c>
      <c r="G27" s="428" t="s">
        <v>565</v>
      </c>
      <c r="H27" s="397" t="s">
        <v>6239</v>
      </c>
      <c r="I27" s="500">
        <v>42776.0</v>
      </c>
      <c r="J27" s="428">
        <v>2.0</v>
      </c>
      <c r="K27" s="608" t="s">
        <v>234</v>
      </c>
      <c r="L27" s="426" t="s">
        <v>260</v>
      </c>
      <c r="M27" s="319">
        <f t="shared" si="1"/>
        <v>595</v>
      </c>
      <c r="N27" s="256"/>
      <c r="O27" s="104"/>
      <c r="P27" s="105"/>
      <c r="Q27" s="105"/>
      <c r="R27" s="105"/>
      <c r="S27" s="106"/>
      <c r="T27" s="25"/>
      <c r="U27" s="256"/>
      <c r="V27" s="256"/>
      <c r="W27" s="256"/>
      <c r="X27" s="256"/>
      <c r="Y27" s="256"/>
      <c r="Z27" s="256"/>
    </row>
    <row r="28" ht="15.0" customHeight="1">
      <c r="A28" s="419">
        <v>2717.0</v>
      </c>
      <c r="B28" s="420" t="s">
        <v>7865</v>
      </c>
      <c r="C28" s="420">
        <v>2010.0</v>
      </c>
      <c r="D28" s="497">
        <v>40266.0</v>
      </c>
      <c r="E28" s="422" t="s">
        <v>7866</v>
      </c>
      <c r="F28" s="394" t="s">
        <v>7815</v>
      </c>
      <c r="G28" s="422" t="s">
        <v>17</v>
      </c>
      <c r="H28" s="394" t="s">
        <v>4597</v>
      </c>
      <c r="I28" s="497">
        <v>42776.0</v>
      </c>
      <c r="J28" s="422">
        <v>2.0</v>
      </c>
      <c r="K28" s="610" t="s">
        <v>228</v>
      </c>
      <c r="L28" s="420" t="s">
        <v>256</v>
      </c>
      <c r="M28" s="316">
        <f t="shared" si="1"/>
        <v>2510</v>
      </c>
      <c r="N28" s="256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6"/>
      <c r="V28" s="256"/>
      <c r="W28" s="256"/>
      <c r="X28" s="256"/>
      <c r="Y28" s="256"/>
      <c r="Z28" s="256"/>
    </row>
    <row r="29" ht="15.0" customHeight="1">
      <c r="A29" s="425">
        <v>2817.0</v>
      </c>
      <c r="B29" s="426" t="s">
        <v>7867</v>
      </c>
      <c r="C29" s="426">
        <v>2014.0</v>
      </c>
      <c r="D29" s="500">
        <v>41780.0</v>
      </c>
      <c r="E29" s="428" t="s">
        <v>7868</v>
      </c>
      <c r="F29" s="397" t="s">
        <v>171</v>
      </c>
      <c r="G29" s="428" t="s">
        <v>17</v>
      </c>
      <c r="H29" s="397" t="s">
        <v>583</v>
      </c>
      <c r="I29" s="500">
        <v>42776.0</v>
      </c>
      <c r="J29" s="428">
        <v>2.0</v>
      </c>
      <c r="K29" s="609" t="s">
        <v>238</v>
      </c>
      <c r="L29" s="426" t="s">
        <v>256</v>
      </c>
      <c r="M29" s="319">
        <f t="shared" si="1"/>
        <v>996</v>
      </c>
      <c r="N29" s="256"/>
      <c r="O29" s="322">
        <v>2005.0</v>
      </c>
      <c r="P29" s="342">
        <f>COUNTIF($C$2:$C$503,"2005")</f>
        <v>0</v>
      </c>
      <c r="Q29" s="332"/>
      <c r="R29" s="333"/>
      <c r="S29" s="343">
        <f>P29/P42</f>
        <v>0</v>
      </c>
      <c r="T29" s="25"/>
      <c r="U29" s="256"/>
      <c r="V29" s="256"/>
      <c r="W29" s="256"/>
      <c r="X29" s="256"/>
      <c r="Y29" s="256"/>
      <c r="Z29" s="256"/>
    </row>
    <row r="30" ht="12.75" customHeight="1">
      <c r="A30" s="419">
        <v>2917.0</v>
      </c>
      <c r="B30" s="420" t="s">
        <v>7869</v>
      </c>
      <c r="C30" s="420">
        <v>2013.0</v>
      </c>
      <c r="D30" s="497">
        <v>41586.0</v>
      </c>
      <c r="E30" s="422" t="s">
        <v>7870</v>
      </c>
      <c r="F30" s="394" t="s">
        <v>1177</v>
      </c>
      <c r="G30" s="422" t="s">
        <v>17</v>
      </c>
      <c r="H30" s="394" t="s">
        <v>740</v>
      </c>
      <c r="I30" s="497">
        <v>42776.0</v>
      </c>
      <c r="J30" s="422">
        <v>2.0</v>
      </c>
      <c r="K30" s="609" t="s">
        <v>238</v>
      </c>
      <c r="L30" s="420" t="s">
        <v>258</v>
      </c>
      <c r="M30" s="316">
        <f t="shared" si="1"/>
        <v>1190</v>
      </c>
      <c r="N30" s="256"/>
      <c r="O30" s="321">
        <v>2006.0</v>
      </c>
      <c r="P30" s="344">
        <f>COUNTIF($C$2:$C$503,"2006")</f>
        <v>0</v>
      </c>
      <c r="Q30" s="113"/>
      <c r="R30" s="114"/>
      <c r="S30" s="345">
        <f>P30/P42</f>
        <v>0</v>
      </c>
      <c r="T30" s="25"/>
      <c r="U30" s="256"/>
      <c r="V30" s="256"/>
      <c r="W30" s="256"/>
      <c r="X30" s="256"/>
      <c r="Y30" s="256"/>
      <c r="Z30" s="256"/>
    </row>
    <row r="31" ht="12.75" customHeight="1">
      <c r="A31" s="425">
        <v>3017.0</v>
      </c>
      <c r="B31" s="426" t="s">
        <v>7871</v>
      </c>
      <c r="C31" s="426">
        <v>2012.0</v>
      </c>
      <c r="D31" s="500">
        <v>41257.0</v>
      </c>
      <c r="E31" s="428" t="s">
        <v>7872</v>
      </c>
      <c r="F31" s="397" t="s">
        <v>171</v>
      </c>
      <c r="G31" s="428" t="s">
        <v>17</v>
      </c>
      <c r="H31" s="397" t="s">
        <v>596</v>
      </c>
      <c r="I31" s="500">
        <v>42776.0</v>
      </c>
      <c r="J31" s="428">
        <v>2.0</v>
      </c>
      <c r="K31" s="609" t="s">
        <v>238</v>
      </c>
      <c r="L31" s="426" t="s">
        <v>256</v>
      </c>
      <c r="M31" s="319">
        <f t="shared" si="1"/>
        <v>1519</v>
      </c>
      <c r="N31" s="256"/>
      <c r="O31" s="322">
        <v>2007.0</v>
      </c>
      <c r="P31" s="346">
        <f>COUNTIF($C$2:$C$503,"2007")</f>
        <v>0</v>
      </c>
      <c r="Q31" s="113"/>
      <c r="R31" s="114"/>
      <c r="S31" s="343">
        <f>(P31/P42)</f>
        <v>0</v>
      </c>
      <c r="T31" s="25"/>
      <c r="U31" s="256"/>
      <c r="V31" s="256"/>
      <c r="W31" s="256"/>
      <c r="X31" s="256"/>
      <c r="Y31" s="256"/>
      <c r="Z31" s="256"/>
    </row>
    <row r="32" ht="12.75" customHeight="1">
      <c r="A32" s="419">
        <v>3117.0</v>
      </c>
      <c r="B32" s="420" t="s">
        <v>7873</v>
      </c>
      <c r="C32" s="420">
        <v>2010.0</v>
      </c>
      <c r="D32" s="497">
        <v>40498.0</v>
      </c>
      <c r="E32" s="422" t="s">
        <v>7874</v>
      </c>
      <c r="F32" s="394" t="s">
        <v>963</v>
      </c>
      <c r="G32" s="422" t="s">
        <v>17</v>
      </c>
      <c r="H32" s="394" t="s">
        <v>1749</v>
      </c>
      <c r="I32" s="497">
        <v>42779.0</v>
      </c>
      <c r="J32" s="422">
        <v>2.0</v>
      </c>
      <c r="K32" s="610" t="s">
        <v>228</v>
      </c>
      <c r="L32" s="420" t="s">
        <v>258</v>
      </c>
      <c r="M32" s="316">
        <f t="shared" si="1"/>
        <v>2281</v>
      </c>
      <c r="N32" s="256"/>
      <c r="O32" s="321">
        <v>2008.0</v>
      </c>
      <c r="P32" s="344">
        <f>COUNTIF($C$2:$C$503,"2008")</f>
        <v>2</v>
      </c>
      <c r="Q32" s="113"/>
      <c r="R32" s="114"/>
      <c r="S32" s="345">
        <f>(P32/P42)</f>
        <v>0.00495049505</v>
      </c>
      <c r="T32" s="25"/>
      <c r="U32" s="256"/>
      <c r="V32" s="256"/>
      <c r="W32" s="256"/>
      <c r="X32" s="256"/>
      <c r="Y32" s="256"/>
      <c r="Z32" s="256"/>
    </row>
    <row r="33" ht="12.75" customHeight="1">
      <c r="A33" s="425">
        <v>3217.0</v>
      </c>
      <c r="B33" s="426" t="s">
        <v>7875</v>
      </c>
      <c r="C33" s="426">
        <v>2014.0</v>
      </c>
      <c r="D33" s="500">
        <v>41960.0</v>
      </c>
      <c r="E33" s="428" t="s">
        <v>7876</v>
      </c>
      <c r="F33" s="397" t="s">
        <v>4511</v>
      </c>
      <c r="G33" s="428" t="s">
        <v>565</v>
      </c>
      <c r="H33" s="397" t="s">
        <v>18</v>
      </c>
      <c r="I33" s="500">
        <v>42779.0</v>
      </c>
      <c r="J33" s="428">
        <v>2.0</v>
      </c>
      <c r="K33" s="609" t="s">
        <v>238</v>
      </c>
      <c r="L33" s="426" t="s">
        <v>260</v>
      </c>
      <c r="M33" s="319">
        <f t="shared" si="1"/>
        <v>819</v>
      </c>
      <c r="N33" s="256"/>
      <c r="O33" s="322">
        <v>2009.0</v>
      </c>
      <c r="P33" s="346">
        <f>COUNTIF($C$2:$C$503,"2009")</f>
        <v>30</v>
      </c>
      <c r="Q33" s="113"/>
      <c r="R33" s="114"/>
      <c r="S33" s="343">
        <f>(P33/P42)</f>
        <v>0.07425742574</v>
      </c>
      <c r="T33" s="25"/>
      <c r="U33" s="256"/>
      <c r="V33" s="256"/>
      <c r="W33" s="256"/>
      <c r="X33" s="256"/>
      <c r="Y33" s="256"/>
      <c r="Z33" s="256"/>
    </row>
    <row r="34" ht="12.75" customHeight="1">
      <c r="A34" s="419">
        <v>3317.0</v>
      </c>
      <c r="B34" s="420" t="s">
        <v>7877</v>
      </c>
      <c r="C34" s="420">
        <v>2010.0</v>
      </c>
      <c r="D34" s="497">
        <v>40501.0</v>
      </c>
      <c r="E34" s="422" t="s">
        <v>7878</v>
      </c>
      <c r="F34" s="394" t="s">
        <v>963</v>
      </c>
      <c r="G34" s="422" t="s">
        <v>17</v>
      </c>
      <c r="H34" s="394" t="s">
        <v>596</v>
      </c>
      <c r="I34" s="497">
        <v>42781.0</v>
      </c>
      <c r="J34" s="422">
        <v>2.0</v>
      </c>
      <c r="K34" s="610" t="s">
        <v>228</v>
      </c>
      <c r="L34" s="420" t="s">
        <v>258</v>
      </c>
      <c r="M34" s="316">
        <f t="shared" si="1"/>
        <v>2280</v>
      </c>
      <c r="N34" s="256"/>
      <c r="O34" s="321">
        <v>2010.0</v>
      </c>
      <c r="P34" s="344">
        <f>COUNTIF($C$2:$C$503,"2010")</f>
        <v>39</v>
      </c>
      <c r="Q34" s="113"/>
      <c r="R34" s="114"/>
      <c r="S34" s="345">
        <f>(P34/P42)</f>
        <v>0.09653465347</v>
      </c>
      <c r="T34" s="25"/>
      <c r="U34" s="256"/>
      <c r="V34" s="256"/>
      <c r="W34" s="256"/>
      <c r="X34" s="256"/>
      <c r="Y34" s="256"/>
      <c r="Z34" s="256"/>
    </row>
    <row r="35" ht="12.75" customHeight="1">
      <c r="A35" s="425">
        <v>3417.0</v>
      </c>
      <c r="B35" s="426" t="s">
        <v>7879</v>
      </c>
      <c r="C35" s="426">
        <v>2011.0</v>
      </c>
      <c r="D35" s="500">
        <v>40738.0</v>
      </c>
      <c r="E35" s="428" t="s">
        <v>7880</v>
      </c>
      <c r="F35" s="397" t="s">
        <v>171</v>
      </c>
      <c r="G35" s="428" t="s">
        <v>17</v>
      </c>
      <c r="H35" s="397" t="s">
        <v>50</v>
      </c>
      <c r="I35" s="500">
        <v>42781.0</v>
      </c>
      <c r="J35" s="428">
        <v>2.0</v>
      </c>
      <c r="K35" s="609" t="s">
        <v>238</v>
      </c>
      <c r="L35" s="426" t="s">
        <v>256</v>
      </c>
      <c r="M35" s="319">
        <f t="shared" si="1"/>
        <v>2043</v>
      </c>
      <c r="N35" s="256"/>
      <c r="O35" s="322">
        <v>2011.0</v>
      </c>
      <c r="P35" s="346">
        <f>COUNTIF($C$2:$C$503,"2011")</f>
        <v>59</v>
      </c>
      <c r="Q35" s="113"/>
      <c r="R35" s="114"/>
      <c r="S35" s="343">
        <f>(P35/P42)</f>
        <v>0.146039604</v>
      </c>
      <c r="T35" s="25"/>
      <c r="U35" s="256"/>
      <c r="V35" s="256"/>
      <c r="W35" s="256"/>
      <c r="X35" s="256"/>
      <c r="Y35" s="256"/>
      <c r="Z35" s="256"/>
    </row>
    <row r="36" ht="12.75" customHeight="1">
      <c r="A36" s="419">
        <v>3517.0</v>
      </c>
      <c r="B36" s="420" t="s">
        <v>7881</v>
      </c>
      <c r="C36" s="420">
        <v>2014.0</v>
      </c>
      <c r="D36" s="497">
        <v>41978.0</v>
      </c>
      <c r="E36" s="422" t="s">
        <v>7882</v>
      </c>
      <c r="F36" s="394" t="s">
        <v>171</v>
      </c>
      <c r="G36" s="422" t="s">
        <v>17</v>
      </c>
      <c r="H36" s="394" t="s">
        <v>66</v>
      </c>
      <c r="I36" s="497">
        <v>42781.0</v>
      </c>
      <c r="J36" s="422">
        <v>2.0</v>
      </c>
      <c r="K36" s="609" t="s">
        <v>238</v>
      </c>
      <c r="L36" s="420" t="s">
        <v>256</v>
      </c>
      <c r="M36" s="316">
        <f t="shared" si="1"/>
        <v>803</v>
      </c>
      <c r="N36" s="256"/>
      <c r="O36" s="321">
        <v>2012.0</v>
      </c>
      <c r="P36" s="344">
        <f>COUNTIF($C$2:$C$503,"2012")</f>
        <v>57</v>
      </c>
      <c r="Q36" s="113"/>
      <c r="R36" s="114"/>
      <c r="S36" s="345">
        <f>(P36/P42)</f>
        <v>0.1410891089</v>
      </c>
      <c r="T36" s="25"/>
      <c r="U36" s="256"/>
      <c r="V36" s="256"/>
      <c r="W36" s="256"/>
      <c r="X36" s="256"/>
      <c r="Y36" s="256"/>
      <c r="Z36" s="256"/>
    </row>
    <row r="37" ht="12.75" customHeight="1">
      <c r="A37" s="425">
        <v>3617.0</v>
      </c>
      <c r="B37" s="426" t="s">
        <v>7883</v>
      </c>
      <c r="C37" s="426">
        <v>2013.0</v>
      </c>
      <c r="D37" s="500">
        <v>41376.0</v>
      </c>
      <c r="E37" s="428" t="s">
        <v>7884</v>
      </c>
      <c r="F37" s="397" t="s">
        <v>171</v>
      </c>
      <c r="G37" s="428" t="s">
        <v>17</v>
      </c>
      <c r="H37" s="397" t="s">
        <v>5016</v>
      </c>
      <c r="I37" s="500">
        <v>42781.0</v>
      </c>
      <c r="J37" s="428">
        <v>2.0</v>
      </c>
      <c r="K37" s="609" t="s">
        <v>238</v>
      </c>
      <c r="L37" s="426" t="s">
        <v>256</v>
      </c>
      <c r="M37" s="319">
        <f t="shared" si="1"/>
        <v>1405</v>
      </c>
      <c r="N37" s="256"/>
      <c r="O37" s="322">
        <v>2013.0</v>
      </c>
      <c r="P37" s="346">
        <f>COUNTIF($C$2:$C$503,"2013")</f>
        <v>55</v>
      </c>
      <c r="Q37" s="113"/>
      <c r="R37" s="114"/>
      <c r="S37" s="343">
        <f>(P37/P42)</f>
        <v>0.1361386139</v>
      </c>
      <c r="T37" s="25"/>
      <c r="U37" s="256"/>
      <c r="V37" s="256"/>
      <c r="W37" s="256"/>
      <c r="X37" s="256"/>
      <c r="Y37" s="256"/>
      <c r="Z37" s="256"/>
    </row>
    <row r="38" ht="12.75" customHeight="1">
      <c r="A38" s="419">
        <v>3717.0</v>
      </c>
      <c r="B38" s="420" t="s">
        <v>7885</v>
      </c>
      <c r="C38" s="420">
        <v>2012.0</v>
      </c>
      <c r="D38" s="497">
        <v>41257.0</v>
      </c>
      <c r="E38" s="422" t="s">
        <v>7886</v>
      </c>
      <c r="F38" s="394" t="s">
        <v>171</v>
      </c>
      <c r="G38" s="422" t="s">
        <v>17</v>
      </c>
      <c r="H38" s="394" t="s">
        <v>7847</v>
      </c>
      <c r="I38" s="497">
        <v>42781.0</v>
      </c>
      <c r="J38" s="422">
        <v>2.0</v>
      </c>
      <c r="K38" s="609" t="s">
        <v>238</v>
      </c>
      <c r="L38" s="420" t="s">
        <v>256</v>
      </c>
      <c r="M38" s="316">
        <f t="shared" si="1"/>
        <v>1524</v>
      </c>
      <c r="N38" s="611"/>
      <c r="O38" s="321">
        <v>2014.0</v>
      </c>
      <c r="P38" s="344">
        <f>COUNTIF($C$2:$C$503,"2014")</f>
        <v>61</v>
      </c>
      <c r="Q38" s="113"/>
      <c r="R38" s="114"/>
      <c r="S38" s="345">
        <f>(P38/P42)</f>
        <v>0.150990099</v>
      </c>
      <c r="T38" s="25"/>
      <c r="U38" s="256"/>
      <c r="V38" s="256"/>
      <c r="W38" s="256"/>
      <c r="X38" s="256"/>
      <c r="Y38" s="256"/>
      <c r="Z38" s="256"/>
    </row>
    <row r="39" ht="12.75" customHeight="1">
      <c r="A39" s="425">
        <v>3817.0</v>
      </c>
      <c r="B39" s="426" t="s">
        <v>7887</v>
      </c>
      <c r="C39" s="426">
        <v>2011.0</v>
      </c>
      <c r="D39" s="500">
        <v>40602.0</v>
      </c>
      <c r="E39" s="428" t="s">
        <v>7888</v>
      </c>
      <c r="F39" s="397" t="s">
        <v>7186</v>
      </c>
      <c r="G39" s="428" t="s">
        <v>17</v>
      </c>
      <c r="H39" s="397" t="s">
        <v>5016</v>
      </c>
      <c r="I39" s="500">
        <v>42781.0</v>
      </c>
      <c r="J39" s="428">
        <v>2.0</v>
      </c>
      <c r="K39" s="609" t="s">
        <v>238</v>
      </c>
      <c r="L39" s="426" t="s">
        <v>258</v>
      </c>
      <c r="M39" s="319">
        <f t="shared" si="1"/>
        <v>2179</v>
      </c>
      <c r="N39" s="256"/>
      <c r="O39" s="322">
        <v>2015.0</v>
      </c>
      <c r="P39" s="346">
        <f>COUNTIF($C$2:$C$503,"2015")</f>
        <v>51</v>
      </c>
      <c r="Q39" s="113"/>
      <c r="R39" s="114"/>
      <c r="S39" s="343">
        <f>(P39/P42)</f>
        <v>0.1262376238</v>
      </c>
      <c r="T39" s="25"/>
      <c r="U39" s="256"/>
      <c r="V39" s="256"/>
      <c r="W39" s="256"/>
      <c r="X39" s="256"/>
      <c r="Y39" s="256"/>
      <c r="Z39" s="256"/>
    </row>
    <row r="40" ht="12.75" customHeight="1">
      <c r="A40" s="419">
        <v>3917.0</v>
      </c>
      <c r="B40" s="420" t="s">
        <v>7889</v>
      </c>
      <c r="C40" s="420">
        <v>2013.0</v>
      </c>
      <c r="D40" s="497">
        <v>41298.0</v>
      </c>
      <c r="E40" s="422" t="s">
        <v>7890</v>
      </c>
      <c r="F40" s="394" t="s">
        <v>171</v>
      </c>
      <c r="G40" s="422" t="s">
        <v>17</v>
      </c>
      <c r="H40" s="394" t="s">
        <v>66</v>
      </c>
      <c r="I40" s="497">
        <v>42783.0</v>
      </c>
      <c r="J40" s="422">
        <v>2.0</v>
      </c>
      <c r="K40" s="609" t="s">
        <v>238</v>
      </c>
      <c r="L40" s="420" t="s">
        <v>256</v>
      </c>
      <c r="M40" s="316">
        <f t="shared" si="1"/>
        <v>1485</v>
      </c>
      <c r="N40" s="256"/>
      <c r="O40" s="321">
        <v>2016.0</v>
      </c>
      <c r="P40" s="344">
        <f>COUNTIF($C$2:$C$503,"2016")</f>
        <v>35</v>
      </c>
      <c r="Q40" s="113"/>
      <c r="R40" s="114"/>
      <c r="S40" s="345">
        <f>(P40/P42)</f>
        <v>0.08663366337</v>
      </c>
      <c r="T40" s="25"/>
      <c r="U40" s="256"/>
      <c r="V40" s="256"/>
      <c r="W40" s="256"/>
      <c r="X40" s="256"/>
      <c r="Y40" s="256"/>
      <c r="Z40" s="256"/>
    </row>
    <row r="41" ht="12.75" customHeight="1">
      <c r="A41" s="425">
        <v>4017.0</v>
      </c>
      <c r="B41" s="426" t="s">
        <v>7891</v>
      </c>
      <c r="C41" s="426">
        <v>2015.0</v>
      </c>
      <c r="D41" s="500">
        <v>42104.0</v>
      </c>
      <c r="E41" s="428" t="s">
        <v>7892</v>
      </c>
      <c r="F41" s="397" t="s">
        <v>134</v>
      </c>
      <c r="G41" s="428" t="s">
        <v>17</v>
      </c>
      <c r="H41" s="397" t="s">
        <v>97</v>
      </c>
      <c r="I41" s="500">
        <v>42786.0</v>
      </c>
      <c r="J41" s="428">
        <v>2.0</v>
      </c>
      <c r="K41" s="608" t="s">
        <v>234</v>
      </c>
      <c r="L41" s="426" t="s">
        <v>258</v>
      </c>
      <c r="M41" s="319">
        <f t="shared" si="1"/>
        <v>682</v>
      </c>
      <c r="N41" s="256"/>
      <c r="O41" s="322">
        <v>2017.0</v>
      </c>
      <c r="P41" s="346">
        <f>COUNTIF($C$2:$C$503,"2017")</f>
        <v>15</v>
      </c>
      <c r="Q41" s="113"/>
      <c r="R41" s="114"/>
      <c r="S41" s="343">
        <f>(P41/P42)</f>
        <v>0.03712871287</v>
      </c>
      <c r="T41" s="25"/>
      <c r="U41" s="256"/>
      <c r="V41" s="256"/>
      <c r="W41" s="256"/>
      <c r="X41" s="256"/>
      <c r="Y41" s="256"/>
      <c r="Z41" s="256"/>
    </row>
    <row r="42" ht="12.75" customHeight="1">
      <c r="A42" s="419">
        <v>4117.0</v>
      </c>
      <c r="B42" s="420" t="s">
        <v>7893</v>
      </c>
      <c r="C42" s="420">
        <v>2012.0</v>
      </c>
      <c r="D42" s="497">
        <v>41229.0</v>
      </c>
      <c r="E42" s="422" t="s">
        <v>7894</v>
      </c>
      <c r="F42" s="394" t="s">
        <v>134</v>
      </c>
      <c r="G42" s="422" t="s">
        <v>17</v>
      </c>
      <c r="H42" s="394" t="s">
        <v>5016</v>
      </c>
      <c r="I42" s="497">
        <v>42786.0</v>
      </c>
      <c r="J42" s="422">
        <v>2.0</v>
      </c>
      <c r="K42" s="608" t="s">
        <v>234</v>
      </c>
      <c r="L42" s="420" t="s">
        <v>258</v>
      </c>
      <c r="M42" s="316">
        <f t="shared" si="1"/>
        <v>1557</v>
      </c>
      <c r="N42" s="256"/>
      <c r="O42" s="348" t="s">
        <v>179</v>
      </c>
      <c r="P42" s="349">
        <f>SUM(P29:R41)</f>
        <v>404</v>
      </c>
      <c r="Q42" s="350"/>
      <c r="R42" s="351"/>
      <c r="S42" s="352">
        <f>SUM(S29:S41)</f>
        <v>1</v>
      </c>
      <c r="T42" s="25"/>
      <c r="U42" s="256"/>
      <c r="V42" s="256"/>
      <c r="W42" s="256"/>
      <c r="X42" s="256"/>
      <c r="Y42" s="256"/>
      <c r="Z42" s="256"/>
    </row>
    <row r="43" ht="12.75" customHeight="1">
      <c r="A43" s="425">
        <v>4217.0</v>
      </c>
      <c r="B43" s="426" t="s">
        <v>7895</v>
      </c>
      <c r="C43" s="426">
        <v>2013.0</v>
      </c>
      <c r="D43" s="500">
        <v>41533.0</v>
      </c>
      <c r="E43" s="428" t="s">
        <v>7896</v>
      </c>
      <c r="F43" s="397" t="s">
        <v>1401</v>
      </c>
      <c r="G43" s="428" t="s">
        <v>17</v>
      </c>
      <c r="H43" s="397" t="s">
        <v>3482</v>
      </c>
      <c r="I43" s="500">
        <v>42786.0</v>
      </c>
      <c r="J43" s="428">
        <v>2.0</v>
      </c>
      <c r="K43" s="609" t="s">
        <v>238</v>
      </c>
      <c r="L43" s="426" t="s">
        <v>258</v>
      </c>
      <c r="M43" s="319">
        <f t="shared" si="1"/>
        <v>1253</v>
      </c>
      <c r="N43" s="256"/>
      <c r="O43" s="25"/>
      <c r="P43" s="25"/>
      <c r="Q43" s="25"/>
      <c r="R43" s="25"/>
      <c r="S43" s="25"/>
      <c r="T43" s="25"/>
      <c r="U43" s="256"/>
      <c r="V43" s="256"/>
      <c r="W43" s="256"/>
      <c r="X43" s="256"/>
      <c r="Y43" s="256"/>
      <c r="Z43" s="256"/>
    </row>
    <row r="44" ht="13.5" customHeight="1">
      <c r="A44" s="419">
        <v>4317.0</v>
      </c>
      <c r="B44" s="420" t="s">
        <v>7897</v>
      </c>
      <c r="C44" s="420">
        <v>2016.0</v>
      </c>
      <c r="D44" s="497">
        <v>42510.0</v>
      </c>
      <c r="E44" s="422" t="s">
        <v>7898</v>
      </c>
      <c r="F44" s="394" t="s">
        <v>1401</v>
      </c>
      <c r="G44" s="422" t="s">
        <v>17</v>
      </c>
      <c r="H44" s="394" t="s">
        <v>7899</v>
      </c>
      <c r="I44" s="497">
        <v>42787.0</v>
      </c>
      <c r="J44" s="422">
        <v>2.0</v>
      </c>
      <c r="K44" s="609" t="s">
        <v>238</v>
      </c>
      <c r="L44" s="420" t="s">
        <v>258</v>
      </c>
      <c r="M44" s="316">
        <f t="shared" si="1"/>
        <v>277</v>
      </c>
      <c r="N44" s="256"/>
      <c r="O44" s="327" t="s">
        <v>692</v>
      </c>
      <c r="P44" s="102"/>
      <c r="Q44" s="102"/>
      <c r="R44" s="102"/>
      <c r="S44" s="103"/>
      <c r="T44" s="25"/>
      <c r="U44" s="256"/>
      <c r="V44" s="256"/>
      <c r="W44" s="256"/>
      <c r="X44" s="256"/>
      <c r="Y44" s="256"/>
      <c r="Z44" s="256"/>
    </row>
    <row r="45" ht="15.0" customHeight="1">
      <c r="A45" s="425">
        <v>4417.0</v>
      </c>
      <c r="B45" s="426" t="s">
        <v>7900</v>
      </c>
      <c r="C45" s="426">
        <v>2014.0</v>
      </c>
      <c r="D45" s="500">
        <v>41953.0</v>
      </c>
      <c r="E45" s="428" t="s">
        <v>7901</v>
      </c>
      <c r="F45" s="397" t="s">
        <v>171</v>
      </c>
      <c r="G45" s="428" t="s">
        <v>17</v>
      </c>
      <c r="H45" s="397" t="s">
        <v>583</v>
      </c>
      <c r="I45" s="500">
        <v>42787.0</v>
      </c>
      <c r="J45" s="428">
        <v>2.0</v>
      </c>
      <c r="K45" s="609" t="s">
        <v>238</v>
      </c>
      <c r="L45" s="426" t="s">
        <v>256</v>
      </c>
      <c r="M45" s="319">
        <f t="shared" si="1"/>
        <v>834</v>
      </c>
      <c r="N45" s="256"/>
      <c r="O45" s="104"/>
      <c r="P45" s="105"/>
      <c r="Q45" s="105"/>
      <c r="R45" s="105"/>
      <c r="S45" s="106"/>
      <c r="T45" s="25"/>
      <c r="U45" s="256"/>
      <c r="V45" s="256"/>
      <c r="W45" s="256"/>
      <c r="X45" s="256"/>
      <c r="Y45" s="256"/>
      <c r="Z45" s="256"/>
    </row>
    <row r="46" ht="15.0" customHeight="1">
      <c r="A46" s="419">
        <v>4517.0</v>
      </c>
      <c r="B46" s="420" t="s">
        <v>7902</v>
      </c>
      <c r="C46" s="420">
        <v>2011.0</v>
      </c>
      <c r="D46" s="497">
        <v>40841.0</v>
      </c>
      <c r="E46" s="422" t="s">
        <v>7903</v>
      </c>
      <c r="F46" s="394" t="s">
        <v>171</v>
      </c>
      <c r="G46" s="422" t="s">
        <v>17</v>
      </c>
      <c r="H46" s="394" t="s">
        <v>7904</v>
      </c>
      <c r="I46" s="497">
        <v>42787.0</v>
      </c>
      <c r="J46" s="422">
        <v>2.0</v>
      </c>
      <c r="K46" s="610" t="s">
        <v>228</v>
      </c>
      <c r="L46" s="420" t="s">
        <v>256</v>
      </c>
      <c r="M46" s="316">
        <f t="shared" si="1"/>
        <v>1946</v>
      </c>
      <c r="N46" s="256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256"/>
      <c r="V46" s="256"/>
      <c r="W46" s="256"/>
      <c r="X46" s="256"/>
      <c r="Y46" s="256"/>
      <c r="Z46" s="256"/>
    </row>
    <row r="47" ht="12.75" customHeight="1">
      <c r="A47" s="425">
        <v>4617.0</v>
      </c>
      <c r="B47" s="426" t="s">
        <v>7905</v>
      </c>
      <c r="C47" s="426">
        <v>2015.0</v>
      </c>
      <c r="D47" s="500">
        <v>42215.0</v>
      </c>
      <c r="E47" s="428" t="s">
        <v>7906</v>
      </c>
      <c r="F47" s="397" t="s">
        <v>171</v>
      </c>
      <c r="G47" s="428" t="s">
        <v>17</v>
      </c>
      <c r="H47" s="397" t="s">
        <v>7907</v>
      </c>
      <c r="I47" s="500">
        <v>42787.0</v>
      </c>
      <c r="J47" s="428">
        <v>2.0</v>
      </c>
      <c r="K47" s="609" t="s">
        <v>238</v>
      </c>
      <c r="L47" s="426" t="s">
        <v>256</v>
      </c>
      <c r="M47" s="319">
        <f t="shared" si="1"/>
        <v>572</v>
      </c>
      <c r="N47" s="611"/>
      <c r="O47" s="353" t="s">
        <v>195</v>
      </c>
      <c r="P47" s="342">
        <f>COUNTIF($J$2:$J$476,"1")</f>
        <v>6</v>
      </c>
      <c r="Q47" s="332"/>
      <c r="R47" s="333"/>
      <c r="S47" s="354">
        <f>(P47/P59)</f>
        <v>0.01485148515</v>
      </c>
      <c r="T47" s="25"/>
      <c r="U47" s="256"/>
      <c r="V47" s="256"/>
      <c r="W47" s="256"/>
      <c r="X47" s="256"/>
      <c r="Y47" s="256"/>
      <c r="Z47" s="256"/>
    </row>
    <row r="48" ht="12.75" customHeight="1">
      <c r="A48" s="419">
        <v>4717.0</v>
      </c>
      <c r="B48" s="420" t="s">
        <v>7908</v>
      </c>
      <c r="C48" s="420">
        <v>2009.0</v>
      </c>
      <c r="D48" s="497">
        <v>40163.0</v>
      </c>
      <c r="E48" s="422" t="s">
        <v>7909</v>
      </c>
      <c r="F48" s="394" t="s">
        <v>4405</v>
      </c>
      <c r="G48" s="422" t="s">
        <v>552</v>
      </c>
      <c r="H48" s="394" t="s">
        <v>66</v>
      </c>
      <c r="I48" s="497">
        <v>42788.0</v>
      </c>
      <c r="J48" s="422">
        <v>2.0</v>
      </c>
      <c r="K48" s="609" t="s">
        <v>238</v>
      </c>
      <c r="L48" s="420" t="s">
        <v>256</v>
      </c>
      <c r="M48" s="316">
        <f t="shared" si="1"/>
        <v>2625</v>
      </c>
      <c r="N48" s="256"/>
      <c r="O48" s="321" t="s">
        <v>197</v>
      </c>
      <c r="P48" s="344">
        <f>COUNTIF($J$2:$J$476,"2")</f>
        <v>46</v>
      </c>
      <c r="Q48" s="113"/>
      <c r="R48" s="114"/>
      <c r="S48" s="345">
        <f>(P48/P59)</f>
        <v>0.1138613861</v>
      </c>
      <c r="T48" s="25"/>
      <c r="U48" s="256"/>
      <c r="V48" s="256"/>
      <c r="W48" s="256"/>
      <c r="X48" s="256"/>
      <c r="Y48" s="256"/>
      <c r="Z48" s="256"/>
    </row>
    <row r="49" ht="12.75" customHeight="1">
      <c r="A49" s="425">
        <v>4817.0</v>
      </c>
      <c r="B49" s="426" t="s">
        <v>7910</v>
      </c>
      <c r="C49" s="426">
        <v>2014.0</v>
      </c>
      <c r="D49" s="500">
        <v>41892.0</v>
      </c>
      <c r="E49" s="428" t="s">
        <v>7911</v>
      </c>
      <c r="F49" s="397" t="s">
        <v>171</v>
      </c>
      <c r="G49" s="428" t="s">
        <v>17</v>
      </c>
      <c r="H49" s="397" t="s">
        <v>901</v>
      </c>
      <c r="I49" s="500">
        <v>42790.0</v>
      </c>
      <c r="J49" s="428">
        <v>2.0</v>
      </c>
      <c r="K49" s="609" t="s">
        <v>238</v>
      </c>
      <c r="L49" s="426" t="s">
        <v>256</v>
      </c>
      <c r="M49" s="319">
        <f t="shared" si="1"/>
        <v>898</v>
      </c>
      <c r="N49" s="256"/>
      <c r="O49" s="322" t="s">
        <v>199</v>
      </c>
      <c r="P49" s="346">
        <f>COUNTIF($J$2:$J$476,"3")</f>
        <v>41</v>
      </c>
      <c r="Q49" s="113"/>
      <c r="R49" s="114"/>
      <c r="S49" s="343">
        <f>(P49/P59)</f>
        <v>0.1014851485</v>
      </c>
      <c r="T49" s="25"/>
      <c r="U49" s="256"/>
      <c r="V49" s="256"/>
      <c r="W49" s="256"/>
      <c r="X49" s="256"/>
      <c r="Y49" s="256"/>
      <c r="Z49" s="256"/>
    </row>
    <row r="50" ht="12.75" customHeight="1">
      <c r="A50" s="419">
        <v>4917.0</v>
      </c>
      <c r="B50" s="420" t="s">
        <v>7912</v>
      </c>
      <c r="C50" s="420">
        <v>2015.0</v>
      </c>
      <c r="D50" s="497">
        <v>42083.0</v>
      </c>
      <c r="E50" s="422" t="s">
        <v>7913</v>
      </c>
      <c r="F50" s="394" t="s">
        <v>171</v>
      </c>
      <c r="G50" s="422" t="s">
        <v>17</v>
      </c>
      <c r="H50" s="394" t="s">
        <v>153</v>
      </c>
      <c r="I50" s="497">
        <v>42790.0</v>
      </c>
      <c r="J50" s="422">
        <v>2.0</v>
      </c>
      <c r="K50" s="609" t="s">
        <v>238</v>
      </c>
      <c r="L50" s="420" t="s">
        <v>256</v>
      </c>
      <c r="M50" s="316">
        <f t="shared" si="1"/>
        <v>707</v>
      </c>
      <c r="N50" s="256"/>
      <c r="O50" s="321" t="s">
        <v>201</v>
      </c>
      <c r="P50" s="344">
        <f>COUNTIF($J$2:$J$476,"4")</f>
        <v>20</v>
      </c>
      <c r="Q50" s="113"/>
      <c r="R50" s="114"/>
      <c r="S50" s="345">
        <f>(P50/P59)</f>
        <v>0.0495049505</v>
      </c>
      <c r="T50" s="25"/>
      <c r="U50" s="256"/>
      <c r="V50" s="256"/>
      <c r="W50" s="256"/>
      <c r="X50" s="256"/>
      <c r="Y50" s="256"/>
      <c r="Z50" s="256"/>
    </row>
    <row r="51" ht="12.75" customHeight="1">
      <c r="A51" s="425">
        <v>5017.0</v>
      </c>
      <c r="B51" s="426" t="s">
        <v>7914</v>
      </c>
      <c r="C51" s="426">
        <v>2011.0</v>
      </c>
      <c r="D51" s="500">
        <v>40711.0</v>
      </c>
      <c r="E51" s="428" t="s">
        <v>7915</v>
      </c>
      <c r="F51" s="397" t="s">
        <v>7916</v>
      </c>
      <c r="G51" s="428" t="s">
        <v>552</v>
      </c>
      <c r="H51" s="397" t="s">
        <v>130</v>
      </c>
      <c r="I51" s="500">
        <v>42790.0</v>
      </c>
      <c r="J51" s="428">
        <v>2.0</v>
      </c>
      <c r="K51" s="609" t="s">
        <v>238</v>
      </c>
      <c r="L51" s="426" t="s">
        <v>256</v>
      </c>
      <c r="M51" s="319">
        <f t="shared" si="1"/>
        <v>2079</v>
      </c>
      <c r="N51" s="612"/>
      <c r="O51" s="322" t="s">
        <v>203</v>
      </c>
      <c r="P51" s="346">
        <f>COUNTIF($J$2:$J$476,"5")</f>
        <v>31</v>
      </c>
      <c r="Q51" s="113"/>
      <c r="R51" s="114"/>
      <c r="S51" s="343">
        <f>(P51/P59)</f>
        <v>0.07673267327</v>
      </c>
      <c r="T51" s="25"/>
      <c r="U51" s="256"/>
      <c r="V51" s="256"/>
      <c r="W51" s="256"/>
      <c r="X51" s="256"/>
      <c r="Y51" s="256"/>
      <c r="Z51" s="256"/>
    </row>
    <row r="52" ht="12.75" customHeight="1">
      <c r="A52" s="419">
        <v>5117.0</v>
      </c>
      <c r="B52" s="420" t="s">
        <v>7917</v>
      </c>
      <c r="C52" s="420">
        <v>2012.0</v>
      </c>
      <c r="D52" s="497">
        <v>41094.0</v>
      </c>
      <c r="E52" s="422" t="s">
        <v>7918</v>
      </c>
      <c r="F52" s="394" t="s">
        <v>7916</v>
      </c>
      <c r="G52" s="422" t="s">
        <v>552</v>
      </c>
      <c r="H52" s="394" t="s">
        <v>130</v>
      </c>
      <c r="I52" s="497">
        <v>42790.0</v>
      </c>
      <c r="J52" s="422">
        <v>2.0</v>
      </c>
      <c r="K52" s="609" t="s">
        <v>238</v>
      </c>
      <c r="L52" s="420" t="s">
        <v>256</v>
      </c>
      <c r="M52" s="316">
        <f t="shared" si="1"/>
        <v>1696</v>
      </c>
      <c r="N52" s="256"/>
      <c r="O52" s="321" t="s">
        <v>205</v>
      </c>
      <c r="P52" s="344">
        <f>COUNTIF($J$2:$J$476,"6")</f>
        <v>26</v>
      </c>
      <c r="Q52" s="113"/>
      <c r="R52" s="114"/>
      <c r="S52" s="345">
        <f>(P52/P59)</f>
        <v>0.06435643564</v>
      </c>
      <c r="T52" s="25"/>
      <c r="U52" s="256"/>
      <c r="V52" s="256"/>
      <c r="W52" s="256"/>
      <c r="X52" s="256"/>
      <c r="Y52" s="256"/>
      <c r="Z52" s="256"/>
    </row>
    <row r="53" ht="12.75" customHeight="1">
      <c r="A53" s="425">
        <v>5217.0</v>
      </c>
      <c r="B53" s="426" t="s">
        <v>7919</v>
      </c>
      <c r="C53" s="426">
        <v>2012.0</v>
      </c>
      <c r="D53" s="500">
        <v>41094.0</v>
      </c>
      <c r="E53" s="428" t="s">
        <v>7920</v>
      </c>
      <c r="F53" s="397" t="s">
        <v>7916</v>
      </c>
      <c r="G53" s="428" t="s">
        <v>552</v>
      </c>
      <c r="H53" s="397" t="s">
        <v>130</v>
      </c>
      <c r="I53" s="500">
        <v>42790.0</v>
      </c>
      <c r="J53" s="428">
        <v>2.0</v>
      </c>
      <c r="K53" s="609" t="s">
        <v>238</v>
      </c>
      <c r="L53" s="426" t="s">
        <v>256</v>
      </c>
      <c r="M53" s="319">
        <f t="shared" si="1"/>
        <v>1696</v>
      </c>
      <c r="N53" s="256"/>
      <c r="O53" s="322" t="s">
        <v>207</v>
      </c>
      <c r="P53" s="346">
        <f>COUNTIF($J$2:$J$476,"7")</f>
        <v>32</v>
      </c>
      <c r="Q53" s="113"/>
      <c r="R53" s="114"/>
      <c r="S53" s="343">
        <f>(P53/P59)</f>
        <v>0.07920792079</v>
      </c>
      <c r="T53" s="25"/>
      <c r="U53" s="256"/>
      <c r="V53" s="256"/>
      <c r="W53" s="256"/>
      <c r="X53" s="256"/>
      <c r="Y53" s="256"/>
      <c r="Z53" s="256"/>
    </row>
    <row r="54" ht="12.75" customHeight="1">
      <c r="A54" s="419">
        <v>5317.0</v>
      </c>
      <c r="B54" s="420" t="s">
        <v>7921</v>
      </c>
      <c r="C54" s="420">
        <v>2009.0</v>
      </c>
      <c r="D54" s="497">
        <v>40003.0</v>
      </c>
      <c r="E54" s="422" t="s">
        <v>7922</v>
      </c>
      <c r="F54" s="394" t="s">
        <v>563</v>
      </c>
      <c r="G54" s="422" t="s">
        <v>552</v>
      </c>
      <c r="H54" s="394" t="s">
        <v>740</v>
      </c>
      <c r="I54" s="497">
        <v>42800.0</v>
      </c>
      <c r="J54" s="422">
        <v>3.0</v>
      </c>
      <c r="K54" s="608" t="s">
        <v>234</v>
      </c>
      <c r="L54" s="420" t="s">
        <v>256</v>
      </c>
      <c r="M54" s="316">
        <f t="shared" si="1"/>
        <v>2797</v>
      </c>
      <c r="N54" s="256"/>
      <c r="O54" s="321" t="s">
        <v>209</v>
      </c>
      <c r="P54" s="344">
        <f>COUNTIF($J$2:$J$476,"8")</f>
        <v>36</v>
      </c>
      <c r="Q54" s="113"/>
      <c r="R54" s="114"/>
      <c r="S54" s="345">
        <f>(P54/P59)</f>
        <v>0.08910891089</v>
      </c>
      <c r="T54" s="25"/>
      <c r="U54" s="256"/>
      <c r="V54" s="256"/>
      <c r="W54" s="256"/>
      <c r="X54" s="256"/>
      <c r="Y54" s="256"/>
      <c r="Z54" s="256"/>
    </row>
    <row r="55" ht="13.5" customHeight="1">
      <c r="A55" s="425">
        <v>5417.0</v>
      </c>
      <c r="B55" s="426" t="s">
        <v>7923</v>
      </c>
      <c r="C55" s="426">
        <v>2010.0</v>
      </c>
      <c r="D55" s="500">
        <v>40263.0</v>
      </c>
      <c r="E55" s="428" t="s">
        <v>7924</v>
      </c>
      <c r="F55" s="397" t="s">
        <v>963</v>
      </c>
      <c r="G55" s="428" t="s">
        <v>552</v>
      </c>
      <c r="H55" s="397" t="s">
        <v>130</v>
      </c>
      <c r="I55" s="500">
        <v>42804.0</v>
      </c>
      <c r="J55" s="428">
        <v>3.0</v>
      </c>
      <c r="K55" s="610" t="s">
        <v>228</v>
      </c>
      <c r="L55" s="426" t="s">
        <v>258</v>
      </c>
      <c r="M55" s="319">
        <f t="shared" si="1"/>
        <v>2541</v>
      </c>
      <c r="N55" s="256"/>
      <c r="O55" s="322" t="s">
        <v>211</v>
      </c>
      <c r="P55" s="346">
        <f>COUNTIF($J$2:$J$476,"9")</f>
        <v>4</v>
      </c>
      <c r="Q55" s="113"/>
      <c r="R55" s="114"/>
      <c r="S55" s="343">
        <f>(P55/P59)</f>
        <v>0.009900990099</v>
      </c>
      <c r="T55" s="25"/>
      <c r="U55" s="256"/>
      <c r="V55" s="256"/>
      <c r="W55" s="256"/>
      <c r="X55" s="256"/>
      <c r="Y55" s="256"/>
      <c r="Z55" s="256"/>
    </row>
    <row r="56" ht="13.5" customHeight="1">
      <c r="A56" s="419">
        <v>5517.0</v>
      </c>
      <c r="B56" s="420" t="s">
        <v>7925</v>
      </c>
      <c r="C56" s="420">
        <v>2011.0</v>
      </c>
      <c r="D56" s="497">
        <v>40616.0</v>
      </c>
      <c r="E56" s="422" t="s">
        <v>7926</v>
      </c>
      <c r="F56" s="394" t="s">
        <v>963</v>
      </c>
      <c r="G56" s="422" t="s">
        <v>552</v>
      </c>
      <c r="H56" s="394" t="s">
        <v>130</v>
      </c>
      <c r="I56" s="497">
        <v>42804.0</v>
      </c>
      <c r="J56" s="422">
        <v>3.0</v>
      </c>
      <c r="K56" s="609" t="s">
        <v>238</v>
      </c>
      <c r="L56" s="420" t="s">
        <v>258</v>
      </c>
      <c r="M56" s="316">
        <f t="shared" si="1"/>
        <v>2188</v>
      </c>
      <c r="N56" s="256"/>
      <c r="O56" s="321" t="s">
        <v>213</v>
      </c>
      <c r="P56" s="344">
        <f>COUNTIF($J$2:$J$476,"10")</f>
        <v>29</v>
      </c>
      <c r="Q56" s="113"/>
      <c r="R56" s="114"/>
      <c r="S56" s="345">
        <f>(P56/P59)</f>
        <v>0.07178217822</v>
      </c>
      <c r="T56" s="25"/>
      <c r="U56" s="256"/>
      <c r="V56" s="256"/>
      <c r="W56" s="256"/>
      <c r="X56" s="256"/>
      <c r="Y56" s="256"/>
      <c r="Z56" s="256"/>
    </row>
    <row r="57" ht="12.75" customHeight="1">
      <c r="A57" s="425">
        <v>5617.0</v>
      </c>
      <c r="B57" s="426" t="s">
        <v>7927</v>
      </c>
      <c r="C57" s="426">
        <v>2010.0</v>
      </c>
      <c r="D57" s="500">
        <v>40420.0</v>
      </c>
      <c r="E57" s="428" t="s">
        <v>7928</v>
      </c>
      <c r="F57" s="397" t="s">
        <v>7929</v>
      </c>
      <c r="G57" s="428" t="s">
        <v>34</v>
      </c>
      <c r="H57" s="397" t="s">
        <v>1002</v>
      </c>
      <c r="I57" s="500">
        <v>42804.0</v>
      </c>
      <c r="J57" s="428">
        <v>3.0</v>
      </c>
      <c r="K57" s="609" t="s">
        <v>238</v>
      </c>
      <c r="L57" s="426" t="s">
        <v>256</v>
      </c>
      <c r="M57" s="319">
        <f t="shared" si="1"/>
        <v>2384</v>
      </c>
      <c r="N57" s="256"/>
      <c r="O57" s="322" t="s">
        <v>215</v>
      </c>
      <c r="P57" s="346">
        <f>COUNTIF($J$2:$J$476,"11")</f>
        <v>59</v>
      </c>
      <c r="Q57" s="113"/>
      <c r="R57" s="114"/>
      <c r="S57" s="343">
        <f>(P57/P59)</f>
        <v>0.146039604</v>
      </c>
      <c r="T57" s="25"/>
      <c r="U57" s="256"/>
      <c r="V57" s="256"/>
      <c r="W57" s="256"/>
      <c r="X57" s="256"/>
      <c r="Y57" s="256"/>
      <c r="Z57" s="256"/>
    </row>
    <row r="58" ht="12.75" customHeight="1">
      <c r="A58" s="419">
        <v>5717.0</v>
      </c>
      <c r="B58" s="420" t="s">
        <v>7930</v>
      </c>
      <c r="C58" s="420">
        <v>2010.0</v>
      </c>
      <c r="D58" s="497">
        <v>40494.0</v>
      </c>
      <c r="E58" s="422" t="s">
        <v>7931</v>
      </c>
      <c r="F58" s="394" t="s">
        <v>7932</v>
      </c>
      <c r="G58" s="422" t="s">
        <v>547</v>
      </c>
      <c r="H58" s="394" t="s">
        <v>1002</v>
      </c>
      <c r="I58" s="497">
        <v>42804.0</v>
      </c>
      <c r="J58" s="422">
        <v>3.0</v>
      </c>
      <c r="K58" s="610" t="s">
        <v>228</v>
      </c>
      <c r="L58" s="420" t="s">
        <v>256</v>
      </c>
      <c r="M58" s="316">
        <f t="shared" si="1"/>
        <v>2310</v>
      </c>
      <c r="N58" s="256"/>
      <c r="O58" s="355" t="s">
        <v>217</v>
      </c>
      <c r="P58" s="344">
        <f>COUNTIF($J$2:$J$476,"12")</f>
        <v>74</v>
      </c>
      <c r="Q58" s="113"/>
      <c r="R58" s="114"/>
      <c r="S58" s="356">
        <f>(P58/P59)</f>
        <v>0.1831683168</v>
      </c>
      <c r="T58" s="25"/>
      <c r="U58" s="256"/>
      <c r="V58" s="256"/>
      <c r="W58" s="256"/>
      <c r="X58" s="256"/>
      <c r="Y58" s="256"/>
      <c r="Z58" s="256"/>
    </row>
    <row r="59" ht="12.75" customHeight="1">
      <c r="A59" s="425">
        <v>5817.0</v>
      </c>
      <c r="B59" s="426" t="s">
        <v>7933</v>
      </c>
      <c r="C59" s="426">
        <v>2011.0</v>
      </c>
      <c r="D59" s="500">
        <v>40602.0</v>
      </c>
      <c r="E59" s="428" t="s">
        <v>7934</v>
      </c>
      <c r="F59" s="397" t="s">
        <v>1177</v>
      </c>
      <c r="G59" s="428" t="s">
        <v>552</v>
      </c>
      <c r="H59" s="397" t="s">
        <v>740</v>
      </c>
      <c r="I59" s="500">
        <v>42810.0</v>
      </c>
      <c r="J59" s="428">
        <v>3.0</v>
      </c>
      <c r="K59" s="610" t="s">
        <v>228</v>
      </c>
      <c r="L59" s="426" t="s">
        <v>258</v>
      </c>
      <c r="M59" s="319">
        <f t="shared" si="1"/>
        <v>2208</v>
      </c>
      <c r="N59" s="256"/>
      <c r="O59" s="348" t="s">
        <v>219</v>
      </c>
      <c r="P59" s="349">
        <f>SUM(P47:R58)</f>
        <v>404</v>
      </c>
      <c r="Q59" s="350"/>
      <c r="R59" s="351"/>
      <c r="S59" s="352">
        <f>SUM(S47:S58)</f>
        <v>1</v>
      </c>
      <c r="T59" s="25"/>
      <c r="U59" s="256"/>
      <c r="V59" s="256"/>
      <c r="W59" s="256"/>
      <c r="X59" s="256"/>
      <c r="Y59" s="256"/>
      <c r="Z59" s="256"/>
    </row>
    <row r="60" ht="12.75" customHeight="1">
      <c r="A60" s="419">
        <v>5917.0</v>
      </c>
      <c r="B60" s="420" t="s">
        <v>7935</v>
      </c>
      <c r="C60" s="420">
        <v>2014.0</v>
      </c>
      <c r="D60" s="497">
        <v>41912.0</v>
      </c>
      <c r="E60" s="422" t="s">
        <v>7936</v>
      </c>
      <c r="F60" s="394" t="s">
        <v>2611</v>
      </c>
      <c r="G60" s="422" t="s">
        <v>565</v>
      </c>
      <c r="H60" s="394" t="s">
        <v>18</v>
      </c>
      <c r="I60" s="497">
        <v>42810.0</v>
      </c>
      <c r="J60" s="422">
        <v>3.0</v>
      </c>
      <c r="K60" s="609" t="s">
        <v>238</v>
      </c>
      <c r="L60" s="420" t="s">
        <v>260</v>
      </c>
      <c r="M60" s="316">
        <f t="shared" si="1"/>
        <v>898</v>
      </c>
      <c r="N60" s="256"/>
      <c r="O60" s="25"/>
      <c r="P60" s="25"/>
      <c r="Q60" s="25"/>
      <c r="R60" s="25"/>
      <c r="S60" s="25"/>
      <c r="T60" s="25"/>
      <c r="U60" s="256"/>
      <c r="V60" s="256"/>
      <c r="W60" s="256"/>
      <c r="X60" s="256"/>
      <c r="Y60" s="256"/>
      <c r="Z60" s="256"/>
    </row>
    <row r="61" ht="13.5" customHeight="1">
      <c r="A61" s="425">
        <v>6017.0</v>
      </c>
      <c r="B61" s="426" t="s">
        <v>7937</v>
      </c>
      <c r="C61" s="426">
        <v>2013.0</v>
      </c>
      <c r="D61" s="500">
        <v>41288.0</v>
      </c>
      <c r="E61" s="428" t="s">
        <v>7938</v>
      </c>
      <c r="F61" s="397" t="s">
        <v>134</v>
      </c>
      <c r="G61" s="428" t="s">
        <v>552</v>
      </c>
      <c r="H61" s="397" t="s">
        <v>901</v>
      </c>
      <c r="I61" s="500">
        <v>42810.0</v>
      </c>
      <c r="J61" s="428">
        <v>3.0</v>
      </c>
      <c r="K61" s="609" t="s">
        <v>238</v>
      </c>
      <c r="L61" s="426" t="s">
        <v>258</v>
      </c>
      <c r="M61" s="319">
        <f t="shared" si="1"/>
        <v>1522</v>
      </c>
      <c r="N61" s="256"/>
      <c r="O61" s="357" t="s">
        <v>222</v>
      </c>
      <c r="P61" s="102"/>
      <c r="Q61" s="102"/>
      <c r="R61" s="102"/>
      <c r="S61" s="102"/>
      <c r="T61" s="103"/>
      <c r="U61" s="256"/>
      <c r="V61" s="256"/>
      <c r="W61" s="256"/>
      <c r="X61" s="256"/>
      <c r="Y61" s="256"/>
      <c r="Z61" s="256"/>
    </row>
    <row r="62" ht="12.75" customHeight="1">
      <c r="A62" s="419">
        <v>6117.0</v>
      </c>
      <c r="B62" s="420" t="s">
        <v>7939</v>
      </c>
      <c r="C62" s="420">
        <v>2012.0</v>
      </c>
      <c r="D62" s="497">
        <v>41184.0</v>
      </c>
      <c r="E62" s="422" t="s">
        <v>7940</v>
      </c>
      <c r="F62" s="394" t="s">
        <v>963</v>
      </c>
      <c r="G62" s="422" t="s">
        <v>552</v>
      </c>
      <c r="H62" s="394" t="s">
        <v>50</v>
      </c>
      <c r="I62" s="497">
        <v>42810.0</v>
      </c>
      <c r="J62" s="422">
        <v>3.0</v>
      </c>
      <c r="K62" s="609" t="s">
        <v>238</v>
      </c>
      <c r="L62" s="420" t="s">
        <v>258</v>
      </c>
      <c r="M62" s="316">
        <f t="shared" si="1"/>
        <v>1626</v>
      </c>
      <c r="N62" s="256"/>
      <c r="O62" s="104"/>
      <c r="P62" s="105"/>
      <c r="Q62" s="105"/>
      <c r="R62" s="105"/>
      <c r="S62" s="105"/>
      <c r="T62" s="106"/>
      <c r="U62" s="256"/>
      <c r="V62" s="256"/>
      <c r="W62" s="256"/>
      <c r="X62" s="256"/>
      <c r="Y62" s="256"/>
      <c r="Z62" s="256"/>
    </row>
    <row r="63" ht="12.75" customHeight="1">
      <c r="A63" s="425">
        <v>6217.0</v>
      </c>
      <c r="B63" s="426" t="s">
        <v>7941</v>
      </c>
      <c r="C63" s="426">
        <v>2011.0</v>
      </c>
      <c r="D63" s="500">
        <v>40728.0</v>
      </c>
      <c r="E63" s="428" t="s">
        <v>7942</v>
      </c>
      <c r="F63" s="397" t="s">
        <v>563</v>
      </c>
      <c r="G63" s="428" t="s">
        <v>552</v>
      </c>
      <c r="H63" s="397" t="s">
        <v>56</v>
      </c>
      <c r="I63" s="500">
        <v>42811.0</v>
      </c>
      <c r="J63" s="428">
        <v>3.0</v>
      </c>
      <c r="K63" s="610" t="s">
        <v>228</v>
      </c>
      <c r="L63" s="426" t="s">
        <v>256</v>
      </c>
      <c r="M63" s="319">
        <f t="shared" si="1"/>
        <v>2083</v>
      </c>
      <c r="N63" s="256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256"/>
      <c r="V63" s="256"/>
      <c r="W63" s="256"/>
      <c r="X63" s="256"/>
      <c r="Y63" s="256"/>
      <c r="Z63" s="256"/>
    </row>
    <row r="64" ht="13.5" customHeight="1">
      <c r="A64" s="419">
        <v>6317.0</v>
      </c>
      <c r="B64" s="420" t="s">
        <v>7943</v>
      </c>
      <c r="C64" s="420">
        <v>2010.0</v>
      </c>
      <c r="D64" s="497">
        <v>40402.0</v>
      </c>
      <c r="E64" s="422" t="s">
        <v>7944</v>
      </c>
      <c r="F64" s="394" t="s">
        <v>963</v>
      </c>
      <c r="G64" s="422" t="s">
        <v>17</v>
      </c>
      <c r="H64" s="394" t="s">
        <v>1749</v>
      </c>
      <c r="I64" s="497">
        <v>42811.0</v>
      </c>
      <c r="J64" s="422">
        <v>3.0</v>
      </c>
      <c r="K64" s="609" t="s">
        <v>238</v>
      </c>
      <c r="L64" s="420" t="s">
        <v>256</v>
      </c>
      <c r="M64" s="316">
        <f t="shared" si="1"/>
        <v>2409</v>
      </c>
      <c r="N64" s="256"/>
      <c r="O64" s="522" t="s">
        <v>228</v>
      </c>
      <c r="P64" s="523"/>
      <c r="Q64" s="523"/>
      <c r="R64" s="524"/>
      <c r="S64" s="365">
        <f>COUNTIF($K$2:$K$476,"I - Extremamente tóxico")</f>
        <v>134</v>
      </c>
      <c r="T64" s="366">
        <f>(S64/S76)</f>
        <v>0.3316831683</v>
      </c>
      <c r="U64" s="256"/>
      <c r="V64" s="256"/>
      <c r="W64" s="256"/>
      <c r="X64" s="256"/>
      <c r="Y64" s="256"/>
      <c r="Z64" s="256"/>
    </row>
    <row r="65" ht="14.25" customHeight="1">
      <c r="A65" s="425">
        <v>6417.0</v>
      </c>
      <c r="B65" s="426" t="s">
        <v>7945</v>
      </c>
      <c r="C65" s="426">
        <v>2010.0</v>
      </c>
      <c r="D65" s="500">
        <v>40406.0</v>
      </c>
      <c r="E65" s="428" t="s">
        <v>7946</v>
      </c>
      <c r="F65" s="397" t="s">
        <v>963</v>
      </c>
      <c r="G65" s="428" t="s">
        <v>17</v>
      </c>
      <c r="H65" s="397" t="s">
        <v>596</v>
      </c>
      <c r="I65" s="500">
        <v>42811.0</v>
      </c>
      <c r="J65" s="428">
        <v>3.0</v>
      </c>
      <c r="K65" s="610" t="s">
        <v>228</v>
      </c>
      <c r="L65" s="426" t="s">
        <v>258</v>
      </c>
      <c r="M65" s="319">
        <f t="shared" si="1"/>
        <v>2405</v>
      </c>
      <c r="N65" s="256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256"/>
      <c r="V65" s="256"/>
      <c r="W65" s="256"/>
      <c r="X65" s="256"/>
      <c r="Y65" s="256"/>
      <c r="Z65" s="256"/>
    </row>
    <row r="66" ht="12.75" customHeight="1">
      <c r="A66" s="419">
        <v>6517.0</v>
      </c>
      <c r="B66" s="420" t="s">
        <v>7947</v>
      </c>
      <c r="C66" s="420">
        <v>2013.0</v>
      </c>
      <c r="D66" s="497">
        <v>41628.0</v>
      </c>
      <c r="E66" s="422" t="s">
        <v>7948</v>
      </c>
      <c r="F66" s="394" t="s">
        <v>1401</v>
      </c>
      <c r="G66" s="422" t="s">
        <v>17</v>
      </c>
      <c r="H66" s="394" t="s">
        <v>66</v>
      </c>
      <c r="I66" s="497">
        <v>42811.0</v>
      </c>
      <c r="J66" s="422">
        <v>3.0</v>
      </c>
      <c r="K66" s="609" t="s">
        <v>238</v>
      </c>
      <c r="L66" s="420" t="s">
        <v>258</v>
      </c>
      <c r="M66" s="316">
        <f t="shared" si="1"/>
        <v>1183</v>
      </c>
      <c r="N66" s="256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256"/>
      <c r="V66" s="256"/>
      <c r="W66" s="256"/>
      <c r="X66" s="256"/>
      <c r="Y66" s="256"/>
      <c r="Z66" s="256"/>
    </row>
    <row r="67" ht="12.75" customHeight="1">
      <c r="A67" s="425">
        <v>6617.0</v>
      </c>
      <c r="B67" s="426" t="s">
        <v>7949</v>
      </c>
      <c r="C67" s="426">
        <v>2016.0</v>
      </c>
      <c r="D67" s="500">
        <v>42613.0</v>
      </c>
      <c r="E67" s="428" t="s">
        <v>7950</v>
      </c>
      <c r="F67" s="397" t="s">
        <v>1401</v>
      </c>
      <c r="G67" s="428" t="s">
        <v>17</v>
      </c>
      <c r="H67" s="397" t="s">
        <v>66</v>
      </c>
      <c r="I67" s="500">
        <v>42811.0</v>
      </c>
      <c r="J67" s="428">
        <v>3.0</v>
      </c>
      <c r="K67" s="609" t="s">
        <v>238</v>
      </c>
      <c r="L67" s="426" t="s">
        <v>258</v>
      </c>
      <c r="M67" s="319">
        <f t="shared" si="1"/>
        <v>198</v>
      </c>
      <c r="N67" s="256"/>
      <c r="O67" s="372" t="s">
        <v>234</v>
      </c>
      <c r="P67" s="368"/>
      <c r="Q67" s="368"/>
      <c r="R67" s="369"/>
      <c r="S67" s="373">
        <f>COUNTIF($K$2:$K$476,"II - Altamente tóxico")</f>
        <v>56</v>
      </c>
      <c r="T67" s="374">
        <f>(S67/S76)</f>
        <v>0.1386138614</v>
      </c>
      <c r="U67" s="256"/>
      <c r="V67" s="256"/>
      <c r="W67" s="256"/>
      <c r="X67" s="256"/>
      <c r="Y67" s="256"/>
      <c r="Z67" s="256"/>
    </row>
    <row r="68" ht="12.75" customHeight="1">
      <c r="A68" s="419">
        <v>6717.0</v>
      </c>
      <c r="B68" s="420" t="s">
        <v>7951</v>
      </c>
      <c r="C68" s="420">
        <v>2011.0</v>
      </c>
      <c r="D68" s="497">
        <v>40805.0</v>
      </c>
      <c r="E68" s="422" t="s">
        <v>7952</v>
      </c>
      <c r="F68" s="394" t="s">
        <v>1255</v>
      </c>
      <c r="G68" s="422" t="s">
        <v>17</v>
      </c>
      <c r="H68" s="394" t="s">
        <v>125</v>
      </c>
      <c r="I68" s="497">
        <v>42814.0</v>
      </c>
      <c r="J68" s="422">
        <v>3.0</v>
      </c>
      <c r="K68" s="609" t="s">
        <v>238</v>
      </c>
      <c r="L68" s="420" t="s">
        <v>256</v>
      </c>
      <c r="M68" s="316">
        <f t="shared" si="1"/>
        <v>2009</v>
      </c>
      <c r="N68" s="256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256"/>
      <c r="V68" s="256"/>
      <c r="W68" s="256"/>
      <c r="X68" s="256"/>
      <c r="Y68" s="256"/>
      <c r="Z68" s="256"/>
    </row>
    <row r="69" ht="12.75" customHeight="1">
      <c r="A69" s="425">
        <v>6817.0</v>
      </c>
      <c r="B69" s="426" t="s">
        <v>7953</v>
      </c>
      <c r="C69" s="426">
        <v>2013.0</v>
      </c>
      <c r="D69" s="500">
        <v>41486.0</v>
      </c>
      <c r="E69" s="428" t="s">
        <v>7954</v>
      </c>
      <c r="F69" s="397" t="s">
        <v>1255</v>
      </c>
      <c r="G69" s="428" t="s">
        <v>17</v>
      </c>
      <c r="H69" s="397" t="s">
        <v>583</v>
      </c>
      <c r="I69" s="500">
        <v>42814.0</v>
      </c>
      <c r="J69" s="428">
        <v>3.0</v>
      </c>
      <c r="K69" s="609" t="s">
        <v>238</v>
      </c>
      <c r="L69" s="426" t="s">
        <v>256</v>
      </c>
      <c r="M69" s="319">
        <f t="shared" si="1"/>
        <v>1328</v>
      </c>
      <c r="N69" s="256"/>
      <c r="O69" s="375" t="s">
        <v>238</v>
      </c>
      <c r="P69" s="368"/>
      <c r="Q69" s="368"/>
      <c r="R69" s="369"/>
      <c r="S69" s="376">
        <f>COUNTIF($K$2:$K$476,"III - Medianamente tóxico")</f>
        <v>165</v>
      </c>
      <c r="T69" s="377">
        <f>(S69/S76)</f>
        <v>0.4084158416</v>
      </c>
      <c r="U69" s="256"/>
      <c r="V69" s="256"/>
      <c r="W69" s="256"/>
      <c r="X69" s="256"/>
      <c r="Y69" s="256"/>
      <c r="Z69" s="256"/>
    </row>
    <row r="70" ht="12.75" customHeight="1">
      <c r="A70" s="419">
        <v>6917.0</v>
      </c>
      <c r="B70" s="420" t="s">
        <v>7955</v>
      </c>
      <c r="C70" s="420">
        <v>2014.0</v>
      </c>
      <c r="D70" s="497">
        <v>41687.0</v>
      </c>
      <c r="E70" s="422" t="s">
        <v>7956</v>
      </c>
      <c r="F70" s="394" t="s">
        <v>1255</v>
      </c>
      <c r="G70" s="422" t="s">
        <v>17</v>
      </c>
      <c r="H70" s="394" t="s">
        <v>901</v>
      </c>
      <c r="I70" s="497">
        <v>42814.0</v>
      </c>
      <c r="J70" s="422">
        <v>3.0</v>
      </c>
      <c r="K70" s="609" t="s">
        <v>238</v>
      </c>
      <c r="L70" s="420" t="s">
        <v>256</v>
      </c>
      <c r="M70" s="316">
        <f t="shared" si="1"/>
        <v>1127</v>
      </c>
      <c r="N70" s="256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256"/>
      <c r="V70" s="256"/>
      <c r="W70" s="256"/>
      <c r="X70" s="256"/>
      <c r="Y70" s="256"/>
      <c r="Z70" s="256"/>
    </row>
    <row r="71" ht="12.75" customHeight="1">
      <c r="A71" s="425">
        <v>7017.0</v>
      </c>
      <c r="B71" s="426" t="s">
        <v>7957</v>
      </c>
      <c r="C71" s="426">
        <v>2013.0</v>
      </c>
      <c r="D71" s="500">
        <v>41565.0</v>
      </c>
      <c r="E71" s="428" t="s">
        <v>7958</v>
      </c>
      <c r="F71" s="397" t="s">
        <v>1255</v>
      </c>
      <c r="G71" s="428" t="s">
        <v>17</v>
      </c>
      <c r="H71" s="397" t="s">
        <v>1588</v>
      </c>
      <c r="I71" s="500">
        <v>42814.0</v>
      </c>
      <c r="J71" s="428">
        <v>3.0</v>
      </c>
      <c r="K71" s="609" t="s">
        <v>238</v>
      </c>
      <c r="L71" s="426" t="s">
        <v>256</v>
      </c>
      <c r="M71" s="319">
        <f t="shared" si="1"/>
        <v>1249</v>
      </c>
      <c r="N71" s="256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256"/>
      <c r="V71" s="256"/>
      <c r="W71" s="256"/>
      <c r="X71" s="256"/>
      <c r="Y71" s="256"/>
      <c r="Z71" s="256"/>
    </row>
    <row r="72" ht="12.75" customHeight="1">
      <c r="A72" s="419">
        <v>7117.0</v>
      </c>
      <c r="B72" s="420" t="s">
        <v>7959</v>
      </c>
      <c r="C72" s="420">
        <v>2016.0</v>
      </c>
      <c r="D72" s="497">
        <v>42457.0</v>
      </c>
      <c r="E72" s="422" t="s">
        <v>7960</v>
      </c>
      <c r="F72" s="394" t="s">
        <v>1255</v>
      </c>
      <c r="G72" s="422" t="s">
        <v>17</v>
      </c>
      <c r="H72" s="394" t="s">
        <v>153</v>
      </c>
      <c r="I72" s="497">
        <v>42814.0</v>
      </c>
      <c r="J72" s="422">
        <v>3.0</v>
      </c>
      <c r="K72" s="609" t="s">
        <v>238</v>
      </c>
      <c r="L72" s="420" t="s">
        <v>256</v>
      </c>
      <c r="M72" s="316">
        <f t="shared" si="1"/>
        <v>357</v>
      </c>
      <c r="N72" s="256"/>
      <c r="O72" s="378" t="s">
        <v>244</v>
      </c>
      <c r="P72" s="368"/>
      <c r="Q72" s="368"/>
      <c r="R72" s="369"/>
      <c r="S72" s="379">
        <f>COUNTIF($K$2:$K$476,"IV - Pouco tóxico")</f>
        <v>43</v>
      </c>
      <c r="T72" s="380">
        <f>(S72/S76)</f>
        <v>0.1064356436</v>
      </c>
      <c r="U72" s="256"/>
      <c r="V72" s="256"/>
      <c r="W72" s="256"/>
      <c r="X72" s="256"/>
      <c r="Y72" s="256"/>
      <c r="Z72" s="256"/>
    </row>
    <row r="73" ht="12.75" customHeight="1">
      <c r="A73" s="425">
        <v>7217.0</v>
      </c>
      <c r="B73" s="426" t="s">
        <v>7961</v>
      </c>
      <c r="C73" s="426">
        <v>2014.0</v>
      </c>
      <c r="D73" s="500">
        <v>41731.0</v>
      </c>
      <c r="E73" s="428" t="s">
        <v>7962</v>
      </c>
      <c r="F73" s="397" t="s">
        <v>1554</v>
      </c>
      <c r="G73" s="428" t="s">
        <v>17</v>
      </c>
      <c r="H73" s="397" t="s">
        <v>1421</v>
      </c>
      <c r="I73" s="500">
        <v>42814.0</v>
      </c>
      <c r="J73" s="428">
        <v>3.0</v>
      </c>
      <c r="K73" s="610" t="s">
        <v>228</v>
      </c>
      <c r="L73" s="426" t="s">
        <v>258</v>
      </c>
      <c r="M73" s="319">
        <f t="shared" si="1"/>
        <v>1083</v>
      </c>
      <c r="N73" s="256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256"/>
      <c r="V73" s="256"/>
      <c r="W73" s="256"/>
      <c r="X73" s="256"/>
      <c r="Y73" s="256"/>
      <c r="Z73" s="256"/>
    </row>
    <row r="74" ht="12.75" customHeight="1">
      <c r="A74" s="419">
        <v>7317.0</v>
      </c>
      <c r="B74" s="420" t="s">
        <v>7963</v>
      </c>
      <c r="C74" s="420">
        <v>2012.0</v>
      </c>
      <c r="D74" s="497">
        <v>40969.0</v>
      </c>
      <c r="E74" s="422" t="s">
        <v>7964</v>
      </c>
      <c r="F74" s="394" t="s">
        <v>1232</v>
      </c>
      <c r="G74" s="422" t="s">
        <v>17</v>
      </c>
      <c r="H74" s="394" t="s">
        <v>153</v>
      </c>
      <c r="I74" s="497">
        <v>42815.0</v>
      </c>
      <c r="J74" s="422">
        <v>3.0</v>
      </c>
      <c r="K74" s="610" t="s">
        <v>228</v>
      </c>
      <c r="L74" s="420" t="s">
        <v>258</v>
      </c>
      <c r="M74" s="316">
        <f t="shared" si="1"/>
        <v>1846</v>
      </c>
      <c r="N74" s="256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6</v>
      </c>
      <c r="T74" s="380">
        <f>(S74/S76)</f>
        <v>0.01485148515</v>
      </c>
      <c r="U74" s="256"/>
      <c r="V74" s="256"/>
      <c r="W74" s="256"/>
      <c r="X74" s="256"/>
      <c r="Y74" s="256"/>
      <c r="Z74" s="256"/>
    </row>
    <row r="75" ht="12.75" customHeight="1">
      <c r="A75" s="425">
        <v>7417.0</v>
      </c>
      <c r="B75" s="426" t="s">
        <v>7965</v>
      </c>
      <c r="C75" s="426">
        <v>2010.0</v>
      </c>
      <c r="D75" s="500">
        <v>40212.0</v>
      </c>
      <c r="E75" s="428" t="s">
        <v>7966</v>
      </c>
      <c r="F75" s="397" t="s">
        <v>162</v>
      </c>
      <c r="G75" s="428" t="s">
        <v>17</v>
      </c>
      <c r="H75" s="397" t="s">
        <v>740</v>
      </c>
      <c r="I75" s="500">
        <v>42815.0</v>
      </c>
      <c r="J75" s="428">
        <v>3.0</v>
      </c>
      <c r="K75" s="609" t="s">
        <v>238</v>
      </c>
      <c r="L75" s="426" t="s">
        <v>258</v>
      </c>
      <c r="M75" s="319">
        <f t="shared" si="1"/>
        <v>2603</v>
      </c>
      <c r="N75" s="256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256"/>
      <c r="V75" s="256"/>
      <c r="W75" s="256"/>
      <c r="X75" s="256"/>
      <c r="Y75" s="256"/>
      <c r="Z75" s="256"/>
    </row>
    <row r="76" ht="13.5" customHeight="1">
      <c r="A76" s="419">
        <v>7517.0</v>
      </c>
      <c r="B76" s="420" t="s">
        <v>7967</v>
      </c>
      <c r="C76" s="420">
        <v>2013.0</v>
      </c>
      <c r="D76" s="497">
        <v>41521.0</v>
      </c>
      <c r="E76" s="422" t="s">
        <v>7968</v>
      </c>
      <c r="F76" s="394" t="s">
        <v>892</v>
      </c>
      <c r="G76" s="422" t="s">
        <v>552</v>
      </c>
      <c r="H76" s="394" t="s">
        <v>1749</v>
      </c>
      <c r="I76" s="497">
        <v>42816.0</v>
      </c>
      <c r="J76" s="422">
        <v>3.0</v>
      </c>
      <c r="K76" s="609" t="s">
        <v>238</v>
      </c>
      <c r="L76" s="420" t="s">
        <v>256</v>
      </c>
      <c r="M76" s="316">
        <f t="shared" si="1"/>
        <v>1295</v>
      </c>
      <c r="N76" s="256"/>
      <c r="O76" s="386" t="s">
        <v>219</v>
      </c>
      <c r="P76" s="332"/>
      <c r="Q76" s="332"/>
      <c r="R76" s="387"/>
      <c r="S76" s="388">
        <f>SUM(S64:S75)</f>
        <v>404</v>
      </c>
      <c r="T76" s="389">
        <f>(S76/S76)</f>
        <v>1</v>
      </c>
      <c r="U76" s="256"/>
      <c r="V76" s="256"/>
      <c r="W76" s="256"/>
      <c r="X76" s="256"/>
      <c r="Y76" s="256"/>
      <c r="Z76" s="256"/>
    </row>
    <row r="77" ht="12.75" customHeight="1">
      <c r="A77" s="425">
        <v>7617.0</v>
      </c>
      <c r="B77" s="426" t="s">
        <v>7969</v>
      </c>
      <c r="C77" s="426">
        <v>2013.0</v>
      </c>
      <c r="D77" s="500">
        <v>41523.0</v>
      </c>
      <c r="E77" s="428" t="s">
        <v>7970</v>
      </c>
      <c r="F77" s="397" t="s">
        <v>892</v>
      </c>
      <c r="G77" s="428" t="s">
        <v>552</v>
      </c>
      <c r="H77" s="397" t="s">
        <v>596</v>
      </c>
      <c r="I77" s="500">
        <v>42816.0</v>
      </c>
      <c r="J77" s="428">
        <v>3.0</v>
      </c>
      <c r="K77" s="609" t="s">
        <v>238</v>
      </c>
      <c r="L77" s="426" t="s">
        <v>256</v>
      </c>
      <c r="M77" s="319">
        <f t="shared" si="1"/>
        <v>1293</v>
      </c>
      <c r="N77" s="256"/>
      <c r="O77" s="25"/>
      <c r="P77" s="25"/>
      <c r="Q77" s="25"/>
      <c r="R77" s="25"/>
      <c r="S77" s="25"/>
      <c r="T77" s="25"/>
      <c r="U77" s="256"/>
      <c r="V77" s="256"/>
      <c r="W77" s="256"/>
      <c r="X77" s="256"/>
      <c r="Y77" s="256"/>
      <c r="Z77" s="256"/>
    </row>
    <row r="78" ht="13.5" customHeight="1">
      <c r="A78" s="419">
        <v>7717.0</v>
      </c>
      <c r="B78" s="420" t="s">
        <v>7971</v>
      </c>
      <c r="C78" s="420">
        <v>2015.0</v>
      </c>
      <c r="D78" s="497">
        <v>42207.0</v>
      </c>
      <c r="E78" s="422" t="s">
        <v>7972</v>
      </c>
      <c r="F78" s="394" t="s">
        <v>171</v>
      </c>
      <c r="G78" s="422" t="s">
        <v>17</v>
      </c>
      <c r="H78" s="394" t="s">
        <v>153</v>
      </c>
      <c r="I78" s="497">
        <v>42817.0</v>
      </c>
      <c r="J78" s="422">
        <v>3.0</v>
      </c>
      <c r="K78" s="609" t="s">
        <v>238</v>
      </c>
      <c r="L78" s="420" t="s">
        <v>256</v>
      </c>
      <c r="M78" s="316">
        <f t="shared" si="1"/>
        <v>610</v>
      </c>
      <c r="N78" s="256"/>
      <c r="O78" s="357" t="s">
        <v>11</v>
      </c>
      <c r="P78" s="102"/>
      <c r="Q78" s="102"/>
      <c r="R78" s="102"/>
      <c r="S78" s="102"/>
      <c r="T78" s="103"/>
      <c r="U78" s="256"/>
      <c r="V78" s="256"/>
      <c r="W78" s="256"/>
      <c r="X78" s="256"/>
      <c r="Y78" s="256"/>
      <c r="Z78" s="256"/>
    </row>
    <row r="79" ht="12.75" customHeight="1">
      <c r="A79" s="425">
        <v>7817.0</v>
      </c>
      <c r="B79" s="426" t="s">
        <v>7973</v>
      </c>
      <c r="C79" s="426">
        <v>2013.0</v>
      </c>
      <c r="D79" s="500">
        <v>41579.0</v>
      </c>
      <c r="E79" s="428" t="s">
        <v>7974</v>
      </c>
      <c r="F79" s="397" t="s">
        <v>711</v>
      </c>
      <c r="G79" s="428" t="s">
        <v>17</v>
      </c>
      <c r="H79" s="397" t="s">
        <v>3482</v>
      </c>
      <c r="I79" s="500">
        <v>42817.0</v>
      </c>
      <c r="J79" s="428">
        <v>3.0</v>
      </c>
      <c r="K79" s="609" t="s">
        <v>238</v>
      </c>
      <c r="L79" s="426" t="s">
        <v>256</v>
      </c>
      <c r="M79" s="319">
        <f t="shared" si="1"/>
        <v>1238</v>
      </c>
      <c r="N79" s="256"/>
      <c r="O79" s="104"/>
      <c r="P79" s="105"/>
      <c r="Q79" s="105"/>
      <c r="R79" s="105"/>
      <c r="S79" s="105"/>
      <c r="T79" s="106"/>
      <c r="U79" s="256"/>
      <c r="V79" s="256"/>
      <c r="W79" s="256"/>
      <c r="X79" s="256"/>
      <c r="Y79" s="256"/>
      <c r="Z79" s="256"/>
    </row>
    <row r="80" ht="12.75" customHeight="1">
      <c r="A80" s="419">
        <v>7917.0</v>
      </c>
      <c r="B80" s="420" t="s">
        <v>7975</v>
      </c>
      <c r="C80" s="420">
        <v>2010.0</v>
      </c>
      <c r="D80" s="497">
        <v>40393.0</v>
      </c>
      <c r="E80" s="422" t="s">
        <v>7976</v>
      </c>
      <c r="F80" s="394" t="s">
        <v>1108</v>
      </c>
      <c r="G80" s="422" t="s">
        <v>17</v>
      </c>
      <c r="H80" s="394" t="s">
        <v>153</v>
      </c>
      <c r="I80" s="497">
        <v>42817.0</v>
      </c>
      <c r="J80" s="422">
        <v>3.0</v>
      </c>
      <c r="K80" s="609" t="s">
        <v>238</v>
      </c>
      <c r="L80" s="420" t="s">
        <v>256</v>
      </c>
      <c r="M80" s="316">
        <f t="shared" si="1"/>
        <v>2424</v>
      </c>
      <c r="N80" s="256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256"/>
      <c r="V80" s="256"/>
      <c r="W80" s="256"/>
      <c r="X80" s="256"/>
      <c r="Y80" s="256"/>
      <c r="Z80" s="256"/>
    </row>
    <row r="81" ht="13.5" customHeight="1">
      <c r="A81" s="425">
        <v>8017.0</v>
      </c>
      <c r="B81" s="426" t="s">
        <v>7977</v>
      </c>
      <c r="C81" s="426">
        <v>2015.0</v>
      </c>
      <c r="D81" s="500">
        <v>42094.0</v>
      </c>
      <c r="E81" s="428" t="s">
        <v>7978</v>
      </c>
      <c r="F81" s="397" t="s">
        <v>7979</v>
      </c>
      <c r="G81" s="428" t="s">
        <v>650</v>
      </c>
      <c r="H81" s="397" t="s">
        <v>1002</v>
      </c>
      <c r="I81" s="500">
        <v>42822.0</v>
      </c>
      <c r="J81" s="428">
        <v>3.0</v>
      </c>
      <c r="K81" s="608" t="s">
        <v>234</v>
      </c>
      <c r="L81" s="426" t="s">
        <v>254</v>
      </c>
      <c r="M81" s="319">
        <f t="shared" si="1"/>
        <v>728</v>
      </c>
      <c r="N81" s="256"/>
      <c r="O81" s="527" t="s">
        <v>254</v>
      </c>
      <c r="P81" s="332"/>
      <c r="Q81" s="332"/>
      <c r="R81" s="333"/>
      <c r="S81" s="394">
        <f>COUNTIF($L$2:$L$476,"I - Produto altamente perigoso ao meio ambiente")</f>
        <v>13</v>
      </c>
      <c r="T81" s="395">
        <f>(S81/S85)</f>
        <v>0.03217821782</v>
      </c>
      <c r="U81" s="256"/>
      <c r="V81" s="256"/>
      <c r="W81" s="256"/>
      <c r="X81" s="256"/>
      <c r="Y81" s="256"/>
      <c r="Z81" s="256"/>
    </row>
    <row r="82" ht="13.5" customHeight="1">
      <c r="A82" s="419">
        <v>8117.0</v>
      </c>
      <c r="B82" s="420" t="s">
        <v>7980</v>
      </c>
      <c r="C82" s="420">
        <v>2011.0</v>
      </c>
      <c r="D82" s="497">
        <v>40773.0</v>
      </c>
      <c r="E82" s="422" t="s">
        <v>7981</v>
      </c>
      <c r="F82" s="394" t="s">
        <v>563</v>
      </c>
      <c r="G82" s="422" t="s">
        <v>17</v>
      </c>
      <c r="H82" s="394" t="s">
        <v>5171</v>
      </c>
      <c r="I82" s="497">
        <v>42823.0</v>
      </c>
      <c r="J82" s="422">
        <v>3.0</v>
      </c>
      <c r="K82" s="608" t="s">
        <v>234</v>
      </c>
      <c r="L82" s="420" t="s">
        <v>256</v>
      </c>
      <c r="M82" s="316">
        <f t="shared" si="1"/>
        <v>2050</v>
      </c>
      <c r="N82" s="256"/>
      <c r="O82" s="396" t="s">
        <v>256</v>
      </c>
      <c r="P82" s="113"/>
      <c r="Q82" s="113"/>
      <c r="R82" s="114"/>
      <c r="S82" s="397">
        <f>COUNTIF($L$2:$L$476,"II - Produto muito perigoso ao meio ambiente")</f>
        <v>202</v>
      </c>
      <c r="T82" s="398">
        <f>(S82/S85)</f>
        <v>0.5</v>
      </c>
      <c r="U82" s="256"/>
      <c r="V82" s="256"/>
      <c r="W82" s="256"/>
      <c r="X82" s="256"/>
      <c r="Y82" s="256"/>
      <c r="Z82" s="256"/>
    </row>
    <row r="83" ht="13.5" customHeight="1">
      <c r="A83" s="425">
        <v>8217.0</v>
      </c>
      <c r="B83" s="426" t="s">
        <v>7980</v>
      </c>
      <c r="C83" s="426">
        <v>2011.0</v>
      </c>
      <c r="D83" s="500">
        <v>40773.0</v>
      </c>
      <c r="E83" s="428" t="s">
        <v>7982</v>
      </c>
      <c r="F83" s="397" t="s">
        <v>563</v>
      </c>
      <c r="G83" s="428" t="s">
        <v>17</v>
      </c>
      <c r="H83" s="397" t="s">
        <v>130</v>
      </c>
      <c r="I83" s="500">
        <v>42823.0</v>
      </c>
      <c r="J83" s="428">
        <v>3.0</v>
      </c>
      <c r="K83" s="608" t="s">
        <v>234</v>
      </c>
      <c r="L83" s="426" t="s">
        <v>256</v>
      </c>
      <c r="M83" s="319">
        <f t="shared" si="1"/>
        <v>2050</v>
      </c>
      <c r="N83" s="256"/>
      <c r="O83" s="399" t="s">
        <v>258</v>
      </c>
      <c r="P83" s="113"/>
      <c r="Q83" s="113"/>
      <c r="R83" s="114"/>
      <c r="S83" s="394">
        <f>COUNTIF($L$2:$L$476,"III - Produto perigoso ao meio ambiente")</f>
        <v>141</v>
      </c>
      <c r="T83" s="395">
        <f>(S83/S85)</f>
        <v>0.349009901</v>
      </c>
      <c r="U83" s="256"/>
      <c r="V83" s="256"/>
      <c r="W83" s="256"/>
      <c r="X83" s="256"/>
      <c r="Y83" s="256"/>
      <c r="Z83" s="256"/>
    </row>
    <row r="84" ht="14.25" customHeight="1">
      <c r="A84" s="419">
        <v>8317.0</v>
      </c>
      <c r="B84" s="420" t="s">
        <v>7983</v>
      </c>
      <c r="C84" s="420">
        <v>2014.0</v>
      </c>
      <c r="D84" s="497">
        <v>41705.0</v>
      </c>
      <c r="E84" s="422" t="s">
        <v>7984</v>
      </c>
      <c r="F84" s="394" t="s">
        <v>7985</v>
      </c>
      <c r="G84" s="422" t="s">
        <v>547</v>
      </c>
      <c r="H84" s="394" t="s">
        <v>705</v>
      </c>
      <c r="I84" s="497">
        <v>42823.0</v>
      </c>
      <c r="J84" s="422">
        <v>3.0</v>
      </c>
      <c r="K84" s="609" t="s">
        <v>238</v>
      </c>
      <c r="L84" s="420" t="s">
        <v>256</v>
      </c>
      <c r="M84" s="316">
        <f t="shared" si="1"/>
        <v>1118</v>
      </c>
      <c r="N84" s="256"/>
      <c r="O84" s="396" t="s">
        <v>260</v>
      </c>
      <c r="P84" s="113"/>
      <c r="Q84" s="113"/>
      <c r="R84" s="114"/>
      <c r="S84" s="397">
        <f>COUNTIF($L$2:$L$476,"IV - Produto pouco perigoso ao meio ambiente")</f>
        <v>48</v>
      </c>
      <c r="T84" s="398">
        <f>(S84/S85)</f>
        <v>0.1188118812</v>
      </c>
      <c r="U84" s="256"/>
      <c r="V84" s="256"/>
      <c r="W84" s="256"/>
      <c r="X84" s="256"/>
      <c r="Y84" s="256"/>
      <c r="Z84" s="256"/>
    </row>
    <row r="85" ht="12.75" customHeight="1">
      <c r="A85" s="425">
        <v>8417.0</v>
      </c>
      <c r="B85" s="426" t="s">
        <v>7986</v>
      </c>
      <c r="C85" s="426">
        <v>2015.0</v>
      </c>
      <c r="D85" s="500">
        <v>42187.0</v>
      </c>
      <c r="E85" s="428" t="s">
        <v>7987</v>
      </c>
      <c r="F85" s="397" t="s">
        <v>1232</v>
      </c>
      <c r="G85" s="428" t="s">
        <v>17</v>
      </c>
      <c r="H85" s="397" t="s">
        <v>7988</v>
      </c>
      <c r="I85" s="500">
        <v>42825.0</v>
      </c>
      <c r="J85" s="428">
        <v>3.0</v>
      </c>
      <c r="K85" s="610" t="s">
        <v>228</v>
      </c>
      <c r="L85" s="426" t="s">
        <v>256</v>
      </c>
      <c r="M85" s="319">
        <f t="shared" si="1"/>
        <v>638</v>
      </c>
      <c r="N85" s="256"/>
      <c r="O85" s="358" t="s">
        <v>219</v>
      </c>
      <c r="P85" s="359"/>
      <c r="Q85" s="359"/>
      <c r="R85" s="360"/>
      <c r="S85" s="388">
        <f>SUM(S81:S84)</f>
        <v>404</v>
      </c>
      <c r="T85" s="389">
        <f>(S85/S85)</f>
        <v>1</v>
      </c>
      <c r="U85" s="256"/>
      <c r="V85" s="256"/>
      <c r="W85" s="256"/>
      <c r="X85" s="256"/>
      <c r="Y85" s="256"/>
      <c r="Z85" s="256"/>
    </row>
    <row r="86" ht="12.75" customHeight="1">
      <c r="A86" s="419">
        <v>8517.0</v>
      </c>
      <c r="B86" s="420" t="s">
        <v>7989</v>
      </c>
      <c r="C86" s="420">
        <v>2011.0</v>
      </c>
      <c r="D86" s="497">
        <v>40584.0</v>
      </c>
      <c r="E86" s="422" t="s">
        <v>7990</v>
      </c>
      <c r="F86" s="394" t="s">
        <v>947</v>
      </c>
      <c r="G86" s="422" t="s">
        <v>552</v>
      </c>
      <c r="H86" s="394" t="s">
        <v>7991</v>
      </c>
      <c r="I86" s="497">
        <v>42825.0</v>
      </c>
      <c r="J86" s="422">
        <v>3.0</v>
      </c>
      <c r="K86" s="607" t="s">
        <v>244</v>
      </c>
      <c r="L86" s="420" t="s">
        <v>258</v>
      </c>
      <c r="M86" s="316">
        <f t="shared" si="1"/>
        <v>2241</v>
      </c>
      <c r="N86" s="256"/>
      <c r="O86" s="25"/>
      <c r="P86" s="25"/>
      <c r="Q86" s="25"/>
      <c r="R86" s="25"/>
      <c r="S86" s="25"/>
      <c r="T86" s="25"/>
      <c r="U86" s="256"/>
      <c r="V86" s="256"/>
      <c r="W86" s="256"/>
      <c r="X86" s="256"/>
      <c r="Y86" s="256"/>
      <c r="Z86" s="256"/>
    </row>
    <row r="87" ht="13.5" customHeight="1">
      <c r="A87" s="425">
        <v>8617.0</v>
      </c>
      <c r="B87" s="426" t="s">
        <v>7992</v>
      </c>
      <c r="C87" s="426">
        <v>2011.0</v>
      </c>
      <c r="D87" s="500">
        <v>40592.0</v>
      </c>
      <c r="E87" s="428" t="s">
        <v>7993</v>
      </c>
      <c r="F87" s="397" t="s">
        <v>947</v>
      </c>
      <c r="G87" s="428" t="s">
        <v>552</v>
      </c>
      <c r="H87" s="397" t="s">
        <v>7991</v>
      </c>
      <c r="I87" s="500">
        <v>42825.0</v>
      </c>
      <c r="J87" s="428">
        <v>3.0</v>
      </c>
      <c r="K87" s="607" t="s">
        <v>244</v>
      </c>
      <c r="L87" s="426" t="s">
        <v>258</v>
      </c>
      <c r="M87" s="319">
        <f t="shared" si="1"/>
        <v>2233</v>
      </c>
      <c r="N87" s="256"/>
      <c r="O87" s="403" t="s">
        <v>264</v>
      </c>
      <c r="P87" s="404"/>
      <c r="Q87" s="404"/>
      <c r="R87" s="405"/>
      <c r="S87" s="25"/>
      <c r="T87" s="25"/>
      <c r="U87" s="256"/>
      <c r="V87" s="256"/>
      <c r="W87" s="256"/>
      <c r="X87" s="256"/>
      <c r="Y87" s="256"/>
      <c r="Z87" s="256"/>
    </row>
    <row r="88" ht="12.75" customHeight="1">
      <c r="A88" s="419">
        <v>8717.0</v>
      </c>
      <c r="B88" s="420" t="s">
        <v>7994</v>
      </c>
      <c r="C88" s="420">
        <v>2011.0</v>
      </c>
      <c r="D88" s="497">
        <v>40592.0</v>
      </c>
      <c r="E88" s="422" t="s">
        <v>7995</v>
      </c>
      <c r="F88" s="394" t="s">
        <v>947</v>
      </c>
      <c r="G88" s="422" t="s">
        <v>552</v>
      </c>
      <c r="H88" s="394" t="s">
        <v>7991</v>
      </c>
      <c r="I88" s="497">
        <v>42825.0</v>
      </c>
      <c r="J88" s="422">
        <v>3.0</v>
      </c>
      <c r="K88" s="607" t="s">
        <v>244</v>
      </c>
      <c r="L88" s="420" t="s">
        <v>258</v>
      </c>
      <c r="M88" s="316">
        <f t="shared" si="1"/>
        <v>2233</v>
      </c>
      <c r="N88" s="256"/>
      <c r="O88" s="406"/>
      <c r="P88" s="105"/>
      <c r="Q88" s="105"/>
      <c r="R88" s="407"/>
      <c r="S88" s="25"/>
      <c r="T88" s="25"/>
      <c r="U88" s="256"/>
      <c r="V88" s="256"/>
      <c r="W88" s="256"/>
      <c r="X88" s="256"/>
      <c r="Y88" s="256"/>
      <c r="Z88" s="256"/>
    </row>
    <row r="89" ht="12.75" customHeight="1">
      <c r="A89" s="425">
        <v>8817.0</v>
      </c>
      <c r="B89" s="426" t="s">
        <v>7996</v>
      </c>
      <c r="C89" s="426">
        <v>2011.0</v>
      </c>
      <c r="D89" s="500">
        <v>40690.0</v>
      </c>
      <c r="E89" s="428" t="s">
        <v>7997</v>
      </c>
      <c r="F89" s="397" t="s">
        <v>563</v>
      </c>
      <c r="G89" s="428" t="s">
        <v>552</v>
      </c>
      <c r="H89" s="397" t="s">
        <v>50</v>
      </c>
      <c r="I89" s="500">
        <v>42825.0</v>
      </c>
      <c r="J89" s="428">
        <v>3.0</v>
      </c>
      <c r="K89" s="608" t="s">
        <v>234</v>
      </c>
      <c r="L89" s="426" t="s">
        <v>256</v>
      </c>
      <c r="M89" s="319">
        <f t="shared" si="1"/>
        <v>2135</v>
      </c>
      <c r="N89" s="256"/>
      <c r="O89" s="408" t="s">
        <v>267</v>
      </c>
      <c r="P89" s="409" t="s">
        <v>268</v>
      </c>
      <c r="Q89" s="410"/>
      <c r="R89" s="411"/>
      <c r="S89" s="25"/>
      <c r="T89" s="25"/>
      <c r="U89" s="256"/>
      <c r="V89" s="256"/>
      <c r="W89" s="256"/>
      <c r="X89" s="256"/>
      <c r="Y89" s="256"/>
      <c r="Z89" s="256"/>
    </row>
    <row r="90" ht="12.75" customHeight="1">
      <c r="A90" s="419">
        <v>8917.0</v>
      </c>
      <c r="B90" s="420" t="s">
        <v>7998</v>
      </c>
      <c r="C90" s="420">
        <v>2009.0</v>
      </c>
      <c r="D90" s="497">
        <v>39948.0</v>
      </c>
      <c r="E90" s="422" t="s">
        <v>7999</v>
      </c>
      <c r="F90" s="394" t="s">
        <v>102</v>
      </c>
      <c r="G90" s="422" t="s">
        <v>650</v>
      </c>
      <c r="H90" s="394" t="s">
        <v>923</v>
      </c>
      <c r="I90" s="497">
        <v>42825.0</v>
      </c>
      <c r="J90" s="422">
        <v>3.0</v>
      </c>
      <c r="K90" s="607" t="s">
        <v>244</v>
      </c>
      <c r="L90" s="420" t="s">
        <v>258</v>
      </c>
      <c r="M90" s="316">
        <f t="shared" si="1"/>
        <v>2877</v>
      </c>
      <c r="N90" s="256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256"/>
      <c r="V90" s="256"/>
      <c r="W90" s="256"/>
      <c r="X90" s="256"/>
      <c r="Y90" s="256"/>
      <c r="Z90" s="256"/>
    </row>
    <row r="91" ht="12.75" customHeight="1">
      <c r="A91" s="425">
        <v>9017.0</v>
      </c>
      <c r="B91" s="426" t="s">
        <v>8000</v>
      </c>
      <c r="C91" s="426">
        <v>2016.0</v>
      </c>
      <c r="D91" s="500">
        <v>42634.0</v>
      </c>
      <c r="E91" s="428" t="s">
        <v>8001</v>
      </c>
      <c r="F91" s="397" t="s">
        <v>2343</v>
      </c>
      <c r="G91" s="428" t="s">
        <v>569</v>
      </c>
      <c r="H91" s="397" t="s">
        <v>8002</v>
      </c>
      <c r="I91" s="500">
        <v>42825.0</v>
      </c>
      <c r="J91" s="428">
        <v>3.0</v>
      </c>
      <c r="K91" s="607" t="s">
        <v>244</v>
      </c>
      <c r="L91" s="426" t="s">
        <v>260</v>
      </c>
      <c r="M91" s="319">
        <f t="shared" si="1"/>
        <v>191</v>
      </c>
      <c r="N91" s="256"/>
      <c r="O91" s="414" t="s">
        <v>34</v>
      </c>
      <c r="P91" s="415">
        <f>AVERAGEIF(G2:G477,"PTN",M2:M477)</f>
        <v>1986.8</v>
      </c>
      <c r="Q91" s="368"/>
      <c r="R91" s="369"/>
      <c r="S91" s="25"/>
      <c r="T91" s="25"/>
      <c r="U91" s="256"/>
      <c r="V91" s="256"/>
      <c r="W91" s="256"/>
      <c r="X91" s="256"/>
      <c r="Y91" s="256"/>
      <c r="Z91" s="256"/>
    </row>
    <row r="92" ht="12.75" customHeight="1">
      <c r="A92" s="419">
        <v>9117.0</v>
      </c>
      <c r="B92" s="420" t="s">
        <v>8003</v>
      </c>
      <c r="C92" s="420">
        <v>2011.0</v>
      </c>
      <c r="D92" s="497">
        <v>40758.0</v>
      </c>
      <c r="E92" s="422" t="s">
        <v>8004</v>
      </c>
      <c r="F92" s="394" t="s">
        <v>1232</v>
      </c>
      <c r="G92" s="422" t="s">
        <v>17</v>
      </c>
      <c r="H92" s="394" t="s">
        <v>153</v>
      </c>
      <c r="I92" s="497">
        <v>42825.0</v>
      </c>
      <c r="J92" s="422">
        <v>3.0</v>
      </c>
      <c r="K92" s="610" t="s">
        <v>228</v>
      </c>
      <c r="L92" s="420" t="s">
        <v>256</v>
      </c>
      <c r="M92" s="316">
        <f t="shared" si="1"/>
        <v>2067</v>
      </c>
      <c r="N92" s="256"/>
      <c r="O92" s="412" t="s">
        <v>17</v>
      </c>
      <c r="P92" s="413">
        <f>AVERAGEIF(G2:G476,"PTE",M2:M476)</f>
        <v>1537.960452</v>
      </c>
      <c r="Q92" s="368"/>
      <c r="R92" s="369"/>
      <c r="S92" s="25"/>
      <c r="T92" s="25"/>
      <c r="U92" s="256"/>
      <c r="V92" s="256"/>
      <c r="W92" s="256"/>
      <c r="X92" s="256"/>
      <c r="Y92" s="256"/>
      <c r="Z92" s="256"/>
    </row>
    <row r="93" ht="12.75" customHeight="1">
      <c r="A93" s="425">
        <v>9217.0</v>
      </c>
      <c r="B93" s="426" t="s">
        <v>8005</v>
      </c>
      <c r="C93" s="426">
        <v>2014.0</v>
      </c>
      <c r="D93" s="500">
        <v>41941.0</v>
      </c>
      <c r="E93" s="428" t="s">
        <v>8006</v>
      </c>
      <c r="F93" s="397" t="s">
        <v>1823</v>
      </c>
      <c r="G93" s="428" t="s">
        <v>17</v>
      </c>
      <c r="H93" s="397" t="s">
        <v>573</v>
      </c>
      <c r="I93" s="500">
        <v>42825.0</v>
      </c>
      <c r="J93" s="428">
        <v>3.0</v>
      </c>
      <c r="K93" s="610" t="s">
        <v>228</v>
      </c>
      <c r="L93" s="426" t="s">
        <v>256</v>
      </c>
      <c r="M93" s="319">
        <f t="shared" si="1"/>
        <v>884</v>
      </c>
      <c r="N93" s="256"/>
      <c r="O93" s="414" t="s">
        <v>46</v>
      </c>
      <c r="P93" s="415">
        <f>AVERAGEIF(G2:G476,"Pré-Mistura",M2:M476)</f>
        <v>1127.5</v>
      </c>
      <c r="Q93" s="368"/>
      <c r="R93" s="369"/>
      <c r="S93" s="25"/>
      <c r="T93" s="25"/>
      <c r="U93" s="256"/>
      <c r="V93" s="256"/>
      <c r="W93" s="256"/>
      <c r="X93" s="256"/>
      <c r="Y93" s="256"/>
      <c r="Z93" s="256"/>
    </row>
    <row r="94" ht="12.75" customHeight="1">
      <c r="A94" s="419">
        <v>9317.0</v>
      </c>
      <c r="B94" s="420" t="s">
        <v>8007</v>
      </c>
      <c r="C94" s="420">
        <v>2013.0</v>
      </c>
      <c r="D94" s="497">
        <v>41320.0</v>
      </c>
      <c r="E94" s="422" t="s">
        <v>8008</v>
      </c>
      <c r="F94" s="394" t="s">
        <v>1823</v>
      </c>
      <c r="G94" s="422" t="s">
        <v>17</v>
      </c>
      <c r="H94" s="394" t="s">
        <v>130</v>
      </c>
      <c r="I94" s="497">
        <v>42825.0</v>
      </c>
      <c r="J94" s="422">
        <v>3.0</v>
      </c>
      <c r="K94" s="610" t="s">
        <v>228</v>
      </c>
      <c r="L94" s="420" t="s">
        <v>256</v>
      </c>
      <c r="M94" s="316">
        <f t="shared" si="1"/>
        <v>1505</v>
      </c>
      <c r="N94" s="256"/>
      <c r="O94" s="412" t="s">
        <v>650</v>
      </c>
      <c r="P94" s="413">
        <f>AVERAGEIF(G2:G476,"PF",M2:M476)</f>
        <v>1785.416667</v>
      </c>
      <c r="Q94" s="368"/>
      <c r="R94" s="369"/>
      <c r="S94" s="25"/>
      <c r="T94" s="25"/>
      <c r="U94" s="256"/>
      <c r="V94" s="256"/>
      <c r="W94" s="256"/>
      <c r="X94" s="256"/>
      <c r="Y94" s="256"/>
      <c r="Z94" s="256"/>
    </row>
    <row r="95" ht="12.75" customHeight="1">
      <c r="A95" s="425">
        <v>9417.0</v>
      </c>
      <c r="B95" s="426" t="s">
        <v>8009</v>
      </c>
      <c r="C95" s="426">
        <v>2014.0</v>
      </c>
      <c r="D95" s="500">
        <v>42003.0</v>
      </c>
      <c r="E95" s="428" t="s">
        <v>8010</v>
      </c>
      <c r="F95" s="397" t="s">
        <v>8011</v>
      </c>
      <c r="G95" s="428" t="s">
        <v>650</v>
      </c>
      <c r="H95" s="397" t="s">
        <v>1002</v>
      </c>
      <c r="I95" s="500">
        <v>42830.0</v>
      </c>
      <c r="J95" s="428">
        <v>4.0</v>
      </c>
      <c r="K95" s="609" t="s">
        <v>238</v>
      </c>
      <c r="L95" s="426" t="s">
        <v>254</v>
      </c>
      <c r="M95" s="319">
        <f t="shared" si="1"/>
        <v>827</v>
      </c>
      <c r="N95" s="256"/>
      <c r="O95" s="414" t="s">
        <v>547</v>
      </c>
      <c r="P95" s="415">
        <f>AVERAGEIF(G2:G476,"PFN",M2:M476)</f>
        <v>1478.111111</v>
      </c>
      <c r="Q95" s="368"/>
      <c r="R95" s="369"/>
      <c r="S95" s="25"/>
      <c r="T95" s="25"/>
      <c r="U95" s="256"/>
      <c r="V95" s="256"/>
      <c r="W95" s="256"/>
      <c r="X95" s="256"/>
      <c r="Y95" s="256"/>
      <c r="Z95" s="256"/>
    </row>
    <row r="96" ht="12.75" customHeight="1">
      <c r="A96" s="419">
        <v>9517.0</v>
      </c>
      <c r="B96" s="420" t="s">
        <v>8012</v>
      </c>
      <c r="C96" s="420">
        <v>2013.0</v>
      </c>
      <c r="D96" s="497">
        <v>41638.0</v>
      </c>
      <c r="E96" s="422" t="s">
        <v>8013</v>
      </c>
      <c r="F96" s="394" t="s">
        <v>7932</v>
      </c>
      <c r="G96" s="422" t="s">
        <v>547</v>
      </c>
      <c r="H96" s="394" t="s">
        <v>1002</v>
      </c>
      <c r="I96" s="497">
        <v>42835.0</v>
      </c>
      <c r="J96" s="422">
        <v>4.0</v>
      </c>
      <c r="K96" s="610" t="s">
        <v>228</v>
      </c>
      <c r="L96" s="420" t="s">
        <v>256</v>
      </c>
      <c r="M96" s="316">
        <f t="shared" si="1"/>
        <v>1197</v>
      </c>
      <c r="N96" s="256"/>
      <c r="O96" s="412" t="s">
        <v>552</v>
      </c>
      <c r="P96" s="413">
        <f>AVERAGEIF(G2:G476,"PF/PTE",M2:M476)</f>
        <v>1837.198473</v>
      </c>
      <c r="Q96" s="368"/>
      <c r="R96" s="369"/>
      <c r="S96" s="25"/>
      <c r="T96" s="25"/>
      <c r="U96" s="256"/>
      <c r="V96" s="256"/>
      <c r="W96" s="256"/>
      <c r="X96" s="256"/>
      <c r="Y96" s="256"/>
      <c r="Z96" s="256"/>
    </row>
    <row r="97" ht="12.75" customHeight="1">
      <c r="A97" s="425">
        <v>9617.0</v>
      </c>
      <c r="B97" s="426" t="s">
        <v>8014</v>
      </c>
      <c r="C97" s="426">
        <v>2009.0</v>
      </c>
      <c r="D97" s="500">
        <v>39917.0</v>
      </c>
      <c r="E97" s="428" t="s">
        <v>8015</v>
      </c>
      <c r="F97" s="397" t="s">
        <v>963</v>
      </c>
      <c r="G97" s="428" t="s">
        <v>552</v>
      </c>
      <c r="H97" s="397" t="s">
        <v>5016</v>
      </c>
      <c r="I97" s="500">
        <v>42838.0</v>
      </c>
      <c r="J97" s="428">
        <v>4.0</v>
      </c>
      <c r="K97" s="607" t="s">
        <v>244</v>
      </c>
      <c r="L97" s="426" t="s">
        <v>258</v>
      </c>
      <c r="M97" s="319">
        <f t="shared" si="1"/>
        <v>2921</v>
      </c>
      <c r="N97" s="256"/>
      <c r="O97" s="414" t="s">
        <v>565</v>
      </c>
      <c r="P97" s="415">
        <f>AVERAGEIF(G2:G476,"Bio",M2:M476)</f>
        <v>713.5714286</v>
      </c>
      <c r="Q97" s="368"/>
      <c r="R97" s="369"/>
      <c r="S97" s="25"/>
      <c r="T97" s="25"/>
      <c r="U97" s="256"/>
      <c r="V97" s="256"/>
      <c r="W97" s="256"/>
      <c r="X97" s="256"/>
      <c r="Y97" s="256"/>
      <c r="Z97" s="256"/>
    </row>
    <row r="98" ht="12.75" customHeight="1">
      <c r="A98" s="419">
        <v>9717.0</v>
      </c>
      <c r="B98" s="420" t="s">
        <v>8016</v>
      </c>
      <c r="C98" s="420">
        <v>2012.0</v>
      </c>
      <c r="D98" s="497">
        <v>41264.0</v>
      </c>
      <c r="E98" s="422" t="s">
        <v>8017</v>
      </c>
      <c r="F98" s="394" t="s">
        <v>3972</v>
      </c>
      <c r="G98" s="422" t="s">
        <v>650</v>
      </c>
      <c r="H98" s="394" t="s">
        <v>8018</v>
      </c>
      <c r="I98" s="497">
        <v>42842.0</v>
      </c>
      <c r="J98" s="422">
        <v>4.0</v>
      </c>
      <c r="K98" s="607" t="s">
        <v>244</v>
      </c>
      <c r="L98" s="420" t="s">
        <v>256</v>
      </c>
      <c r="M98" s="316">
        <f t="shared" si="1"/>
        <v>1578</v>
      </c>
      <c r="N98" s="256"/>
      <c r="O98" s="412" t="s">
        <v>569</v>
      </c>
      <c r="P98" s="413">
        <f>AVERAGEIF(G2:G476,"Bio/Org",M2:M476)</f>
        <v>378.3333333</v>
      </c>
      <c r="Q98" s="368"/>
      <c r="R98" s="369"/>
      <c r="S98" s="25"/>
      <c r="T98" s="25"/>
      <c r="U98" s="256"/>
      <c r="V98" s="256"/>
      <c r="W98" s="256"/>
      <c r="X98" s="256"/>
      <c r="Y98" s="256"/>
      <c r="Z98" s="256"/>
    </row>
    <row r="99" ht="12.75" customHeight="1">
      <c r="A99" s="425">
        <v>9817.0</v>
      </c>
      <c r="B99" s="426" t="s">
        <v>8019</v>
      </c>
      <c r="C99" s="426">
        <v>2010.0</v>
      </c>
      <c r="D99" s="500">
        <v>40521.0</v>
      </c>
      <c r="E99" s="428" t="s">
        <v>8020</v>
      </c>
      <c r="F99" s="397" t="s">
        <v>1203</v>
      </c>
      <c r="G99" s="428" t="s">
        <v>17</v>
      </c>
      <c r="H99" s="397" t="s">
        <v>5016</v>
      </c>
      <c r="I99" s="500">
        <v>42844.0</v>
      </c>
      <c r="J99" s="428">
        <v>4.0</v>
      </c>
      <c r="K99" s="609" t="s">
        <v>238</v>
      </c>
      <c r="L99" s="426" t="s">
        <v>256</v>
      </c>
      <c r="M99" s="319">
        <f t="shared" si="1"/>
        <v>2323</v>
      </c>
      <c r="N99" s="256"/>
      <c r="O99" s="416" t="s">
        <v>275</v>
      </c>
      <c r="P99" s="417">
        <f>AVERAGE(M2:M494)</f>
        <v>1554.069307</v>
      </c>
      <c r="Q99" s="418"/>
      <c r="R99" s="318"/>
      <c r="S99" s="25"/>
      <c r="T99" s="25"/>
      <c r="U99" s="256"/>
      <c r="V99" s="256"/>
      <c r="W99" s="256"/>
      <c r="X99" s="256"/>
      <c r="Y99" s="256"/>
      <c r="Z99" s="256"/>
    </row>
    <row r="100" ht="12.75" customHeight="1">
      <c r="A100" s="419">
        <v>9917.0</v>
      </c>
      <c r="B100" s="420" t="s">
        <v>8021</v>
      </c>
      <c r="C100" s="420">
        <v>2011.0</v>
      </c>
      <c r="D100" s="497">
        <v>40679.0</v>
      </c>
      <c r="E100" s="422" t="s">
        <v>8022</v>
      </c>
      <c r="F100" s="394" t="s">
        <v>1895</v>
      </c>
      <c r="G100" s="422" t="s">
        <v>552</v>
      </c>
      <c r="H100" s="394" t="s">
        <v>56</v>
      </c>
      <c r="I100" s="497">
        <v>42834.0</v>
      </c>
      <c r="J100" s="422">
        <v>4.0</v>
      </c>
      <c r="K100" s="610" t="s">
        <v>228</v>
      </c>
      <c r="L100" s="420" t="s">
        <v>256</v>
      </c>
      <c r="M100" s="316">
        <f t="shared" si="1"/>
        <v>2155</v>
      </c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ht="12.75" customHeight="1">
      <c r="A101" s="425">
        <v>10017.0</v>
      </c>
      <c r="B101" s="426" t="s">
        <v>8023</v>
      </c>
      <c r="C101" s="426">
        <v>2013.0</v>
      </c>
      <c r="D101" s="500">
        <v>41435.0</v>
      </c>
      <c r="E101" s="428" t="s">
        <v>8024</v>
      </c>
      <c r="F101" s="397" t="s">
        <v>2873</v>
      </c>
      <c r="G101" s="428" t="s">
        <v>552</v>
      </c>
      <c r="H101" s="397" t="s">
        <v>901</v>
      </c>
      <c r="I101" s="500">
        <v>42834.0</v>
      </c>
      <c r="J101" s="428">
        <v>4.0</v>
      </c>
      <c r="K101" s="610" t="s">
        <v>228</v>
      </c>
      <c r="L101" s="426" t="s">
        <v>256</v>
      </c>
      <c r="M101" s="319">
        <f t="shared" si="1"/>
        <v>1399</v>
      </c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ht="12.75" customHeight="1">
      <c r="A102" s="419">
        <v>10117.0</v>
      </c>
      <c r="B102" s="420" t="s">
        <v>8025</v>
      </c>
      <c r="C102" s="420">
        <v>2011.0</v>
      </c>
      <c r="D102" s="497">
        <v>40571.0</v>
      </c>
      <c r="E102" s="422" t="s">
        <v>8026</v>
      </c>
      <c r="F102" s="394" t="s">
        <v>2575</v>
      </c>
      <c r="G102" s="422" t="s">
        <v>17</v>
      </c>
      <c r="H102" s="394" t="s">
        <v>901</v>
      </c>
      <c r="I102" s="497">
        <v>42845.0</v>
      </c>
      <c r="J102" s="422">
        <v>4.0</v>
      </c>
      <c r="K102" s="609" t="s">
        <v>238</v>
      </c>
      <c r="L102" s="420" t="s">
        <v>258</v>
      </c>
      <c r="M102" s="316">
        <f t="shared" si="1"/>
        <v>2274</v>
      </c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ht="12.75" customHeight="1">
      <c r="A103" s="425">
        <v>10217.0</v>
      </c>
      <c r="B103" s="426" t="s">
        <v>8027</v>
      </c>
      <c r="C103" s="426">
        <v>2013.0</v>
      </c>
      <c r="D103" s="500">
        <v>41452.0</v>
      </c>
      <c r="E103" s="428" t="s">
        <v>8028</v>
      </c>
      <c r="F103" s="397" t="s">
        <v>1957</v>
      </c>
      <c r="G103" s="428" t="s">
        <v>552</v>
      </c>
      <c r="H103" s="397" t="s">
        <v>934</v>
      </c>
      <c r="I103" s="500">
        <v>42845.0</v>
      </c>
      <c r="J103" s="428">
        <v>4.0</v>
      </c>
      <c r="K103" s="607" t="s">
        <v>244</v>
      </c>
      <c r="L103" s="426" t="s">
        <v>256</v>
      </c>
      <c r="M103" s="319">
        <f t="shared" si="1"/>
        <v>1393</v>
      </c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ht="12.75" customHeight="1">
      <c r="A104" s="419">
        <v>10317.0</v>
      </c>
      <c r="B104" s="420" t="s">
        <v>8029</v>
      </c>
      <c r="C104" s="420">
        <v>2015.0</v>
      </c>
      <c r="D104" s="497">
        <v>42124.0</v>
      </c>
      <c r="E104" s="422" t="s">
        <v>8030</v>
      </c>
      <c r="F104" s="394" t="s">
        <v>963</v>
      </c>
      <c r="G104" s="422" t="s">
        <v>552</v>
      </c>
      <c r="H104" s="394" t="s">
        <v>1002</v>
      </c>
      <c r="I104" s="497">
        <v>42849.0</v>
      </c>
      <c r="J104" s="422">
        <v>4.0</v>
      </c>
      <c r="K104" s="609" t="s">
        <v>238</v>
      </c>
      <c r="L104" s="420" t="s">
        <v>258</v>
      </c>
      <c r="M104" s="316">
        <f t="shared" si="1"/>
        <v>725</v>
      </c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ht="12.75" customHeight="1">
      <c r="A105" s="425">
        <v>10417.0</v>
      </c>
      <c r="B105" s="426" t="s">
        <v>8031</v>
      </c>
      <c r="C105" s="426">
        <v>2012.0</v>
      </c>
      <c r="D105" s="500">
        <v>40939.0</v>
      </c>
      <c r="E105" s="428" t="s">
        <v>8032</v>
      </c>
      <c r="F105" s="397" t="s">
        <v>31</v>
      </c>
      <c r="G105" s="428" t="s">
        <v>17</v>
      </c>
      <c r="H105" s="397" t="s">
        <v>130</v>
      </c>
      <c r="I105" s="500">
        <v>42849.0</v>
      </c>
      <c r="J105" s="428">
        <v>4.0</v>
      </c>
      <c r="K105" s="608" t="s">
        <v>234</v>
      </c>
      <c r="L105" s="426" t="s">
        <v>258</v>
      </c>
      <c r="M105" s="319">
        <f t="shared" si="1"/>
        <v>1910</v>
      </c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ht="12.75" customHeight="1">
      <c r="A106" s="419">
        <v>10517.0</v>
      </c>
      <c r="B106" s="420" t="s">
        <v>8033</v>
      </c>
      <c r="C106" s="420">
        <v>2015.0</v>
      </c>
      <c r="D106" s="497">
        <v>42103.0</v>
      </c>
      <c r="E106" s="422" t="s">
        <v>8034</v>
      </c>
      <c r="F106" s="394" t="s">
        <v>31</v>
      </c>
      <c r="G106" s="422" t="s">
        <v>17</v>
      </c>
      <c r="H106" s="394" t="s">
        <v>573</v>
      </c>
      <c r="I106" s="497">
        <v>42849.0</v>
      </c>
      <c r="J106" s="422">
        <v>4.0</v>
      </c>
      <c r="K106" s="608" t="s">
        <v>234</v>
      </c>
      <c r="L106" s="420" t="s">
        <v>258</v>
      </c>
      <c r="M106" s="316">
        <f t="shared" si="1"/>
        <v>746</v>
      </c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ht="12.75" customHeight="1">
      <c r="A107" s="425">
        <v>10617.0</v>
      </c>
      <c r="B107" s="426" t="s">
        <v>8035</v>
      </c>
      <c r="C107" s="426">
        <v>2011.0</v>
      </c>
      <c r="D107" s="500">
        <v>40772.0</v>
      </c>
      <c r="E107" s="428" t="s">
        <v>8036</v>
      </c>
      <c r="F107" s="397" t="s">
        <v>1203</v>
      </c>
      <c r="G107" s="428" t="s">
        <v>17</v>
      </c>
      <c r="H107" s="397" t="s">
        <v>775</v>
      </c>
      <c r="I107" s="500">
        <v>42850.0</v>
      </c>
      <c r="J107" s="428">
        <v>4.0</v>
      </c>
      <c r="K107" s="609" t="s">
        <v>238</v>
      </c>
      <c r="L107" s="426" t="s">
        <v>256</v>
      </c>
      <c r="M107" s="319">
        <f t="shared" si="1"/>
        <v>2078</v>
      </c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ht="12.75" customHeight="1">
      <c r="A108" s="419">
        <v>10717.0</v>
      </c>
      <c r="B108" s="420" t="s">
        <v>8037</v>
      </c>
      <c r="C108" s="420">
        <v>2015.0</v>
      </c>
      <c r="D108" s="497">
        <v>42242.0</v>
      </c>
      <c r="E108" s="422" t="s">
        <v>8038</v>
      </c>
      <c r="F108" s="394" t="s">
        <v>1823</v>
      </c>
      <c r="G108" s="422" t="s">
        <v>17</v>
      </c>
      <c r="H108" s="394" t="s">
        <v>50</v>
      </c>
      <c r="I108" s="497">
        <v>42851.0</v>
      </c>
      <c r="J108" s="422">
        <v>4.0</v>
      </c>
      <c r="K108" s="610" t="s">
        <v>228</v>
      </c>
      <c r="L108" s="420" t="s">
        <v>256</v>
      </c>
      <c r="M108" s="316">
        <f t="shared" si="1"/>
        <v>609</v>
      </c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ht="12.75" customHeight="1">
      <c r="A109" s="425">
        <v>10817.0</v>
      </c>
      <c r="B109" s="426" t="s">
        <v>8039</v>
      </c>
      <c r="C109" s="426">
        <v>2014.0</v>
      </c>
      <c r="D109" s="500">
        <v>41862.0</v>
      </c>
      <c r="E109" s="428" t="s">
        <v>8040</v>
      </c>
      <c r="F109" s="397" t="s">
        <v>1823</v>
      </c>
      <c r="G109" s="428" t="s">
        <v>17</v>
      </c>
      <c r="H109" s="397" t="s">
        <v>50</v>
      </c>
      <c r="I109" s="500">
        <v>42851.0</v>
      </c>
      <c r="J109" s="428">
        <v>4.0</v>
      </c>
      <c r="K109" s="610" t="s">
        <v>228</v>
      </c>
      <c r="L109" s="426" t="s">
        <v>256</v>
      </c>
      <c r="M109" s="319">
        <f t="shared" si="1"/>
        <v>989</v>
      </c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ht="12.75" customHeight="1">
      <c r="A110" s="419">
        <v>10917.0</v>
      </c>
      <c r="B110" s="420" t="s">
        <v>8041</v>
      </c>
      <c r="C110" s="420">
        <v>2013.0</v>
      </c>
      <c r="D110" s="497">
        <v>41606.0</v>
      </c>
      <c r="E110" s="422" t="s">
        <v>8042</v>
      </c>
      <c r="F110" s="394" t="s">
        <v>171</v>
      </c>
      <c r="G110" s="422" t="s">
        <v>17</v>
      </c>
      <c r="H110" s="394" t="s">
        <v>1421</v>
      </c>
      <c r="I110" s="497">
        <v>42852.0</v>
      </c>
      <c r="J110" s="422">
        <v>4.0</v>
      </c>
      <c r="K110" s="609" t="s">
        <v>238</v>
      </c>
      <c r="L110" s="420" t="s">
        <v>256</v>
      </c>
      <c r="M110" s="316">
        <f t="shared" si="1"/>
        <v>1246</v>
      </c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ht="12.75" customHeight="1">
      <c r="A111" s="425">
        <v>11017.0</v>
      </c>
      <c r="B111" s="426" t="s">
        <v>8043</v>
      </c>
      <c r="C111" s="426">
        <v>2014.0</v>
      </c>
      <c r="D111" s="500">
        <v>41761.0</v>
      </c>
      <c r="E111" s="428" t="s">
        <v>8044</v>
      </c>
      <c r="F111" s="397" t="s">
        <v>1762</v>
      </c>
      <c r="G111" s="428" t="s">
        <v>552</v>
      </c>
      <c r="H111" s="397" t="s">
        <v>4553</v>
      </c>
      <c r="I111" s="500">
        <v>42853.0</v>
      </c>
      <c r="J111" s="428">
        <v>4.0</v>
      </c>
      <c r="K111" s="607" t="s">
        <v>244</v>
      </c>
      <c r="L111" s="426" t="s">
        <v>256</v>
      </c>
      <c r="M111" s="319">
        <f t="shared" si="1"/>
        <v>1092</v>
      </c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ht="12.75" customHeight="1">
      <c r="A112" s="419">
        <v>11117.0</v>
      </c>
      <c r="B112" s="420" t="s">
        <v>8045</v>
      </c>
      <c r="C112" s="420">
        <v>2013.0</v>
      </c>
      <c r="D112" s="497">
        <v>41576.0</v>
      </c>
      <c r="E112" s="422" t="s">
        <v>8046</v>
      </c>
      <c r="F112" s="394" t="s">
        <v>739</v>
      </c>
      <c r="G112" s="422" t="s">
        <v>552</v>
      </c>
      <c r="H112" s="394" t="s">
        <v>596</v>
      </c>
      <c r="I112" s="497">
        <v>42853.0</v>
      </c>
      <c r="J112" s="422">
        <v>4.0</v>
      </c>
      <c r="K112" s="610" t="s">
        <v>228</v>
      </c>
      <c r="L112" s="420" t="s">
        <v>258</v>
      </c>
      <c r="M112" s="316">
        <f t="shared" si="1"/>
        <v>1277</v>
      </c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ht="12.75" customHeight="1">
      <c r="A113" s="425">
        <v>11217.0</v>
      </c>
      <c r="B113" s="426" t="s">
        <v>8047</v>
      </c>
      <c r="C113" s="426">
        <v>2014.0</v>
      </c>
      <c r="D113" s="500">
        <v>41876.0</v>
      </c>
      <c r="E113" s="428" t="s">
        <v>8048</v>
      </c>
      <c r="F113" s="397" t="s">
        <v>1762</v>
      </c>
      <c r="G113" s="428" t="s">
        <v>552</v>
      </c>
      <c r="H113" s="397" t="s">
        <v>4553</v>
      </c>
      <c r="I113" s="500">
        <v>42853.0</v>
      </c>
      <c r="J113" s="428">
        <v>4.0</v>
      </c>
      <c r="K113" s="607" t="s">
        <v>244</v>
      </c>
      <c r="L113" s="426" t="s">
        <v>256</v>
      </c>
      <c r="M113" s="319">
        <f t="shared" si="1"/>
        <v>977</v>
      </c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ht="12.75" customHeight="1">
      <c r="A114" s="419">
        <v>11317.0</v>
      </c>
      <c r="B114" s="420" t="s">
        <v>8049</v>
      </c>
      <c r="C114" s="420">
        <v>2014.0</v>
      </c>
      <c r="D114" s="497">
        <v>41886.0</v>
      </c>
      <c r="E114" s="422" t="s">
        <v>8050</v>
      </c>
      <c r="F114" s="394" t="s">
        <v>1762</v>
      </c>
      <c r="G114" s="422" t="s">
        <v>552</v>
      </c>
      <c r="H114" s="394" t="s">
        <v>4553</v>
      </c>
      <c r="I114" s="497">
        <v>42853.0</v>
      </c>
      <c r="J114" s="422">
        <v>4.0</v>
      </c>
      <c r="K114" s="607" t="s">
        <v>244</v>
      </c>
      <c r="L114" s="420" t="s">
        <v>256</v>
      </c>
      <c r="M114" s="316">
        <f t="shared" si="1"/>
        <v>967</v>
      </c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ht="12.75" customHeight="1">
      <c r="A115" s="425">
        <v>11417.0</v>
      </c>
      <c r="B115" s="426" t="s">
        <v>8051</v>
      </c>
      <c r="C115" s="426">
        <v>2011.0</v>
      </c>
      <c r="D115" s="500">
        <v>40809.0</v>
      </c>
      <c r="E115" s="428" t="s">
        <v>8052</v>
      </c>
      <c r="F115" s="397" t="s">
        <v>563</v>
      </c>
      <c r="G115" s="428" t="s">
        <v>552</v>
      </c>
      <c r="H115" s="397" t="s">
        <v>26</v>
      </c>
      <c r="I115" s="500">
        <v>42857.0</v>
      </c>
      <c r="J115" s="428">
        <v>5.0</v>
      </c>
      <c r="K115" s="608" t="s">
        <v>234</v>
      </c>
      <c r="L115" s="426" t="s">
        <v>256</v>
      </c>
      <c r="M115" s="319">
        <f t="shared" si="1"/>
        <v>2048</v>
      </c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ht="12.75" customHeight="1">
      <c r="A116" s="419">
        <v>11517.0</v>
      </c>
      <c r="B116" s="420" t="s">
        <v>8053</v>
      </c>
      <c r="C116" s="420">
        <v>2014.0</v>
      </c>
      <c r="D116" s="497">
        <v>41912.0</v>
      </c>
      <c r="E116" s="422" t="s">
        <v>8054</v>
      </c>
      <c r="F116" s="394" t="s">
        <v>171</v>
      </c>
      <c r="G116" s="422" t="s">
        <v>552</v>
      </c>
      <c r="H116" s="394" t="s">
        <v>1002</v>
      </c>
      <c r="I116" s="497">
        <v>42857.0</v>
      </c>
      <c r="J116" s="422">
        <v>5.0</v>
      </c>
      <c r="K116" s="609" t="s">
        <v>238</v>
      </c>
      <c r="L116" s="420" t="s">
        <v>256</v>
      </c>
      <c r="M116" s="316">
        <f t="shared" si="1"/>
        <v>945</v>
      </c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ht="12.75" customHeight="1">
      <c r="A117" s="425">
        <v>11617.0</v>
      </c>
      <c r="B117" s="426" t="s">
        <v>8055</v>
      </c>
      <c r="C117" s="426">
        <v>2015.0</v>
      </c>
      <c r="D117" s="500">
        <v>42243.0</v>
      </c>
      <c r="E117" s="428" t="s">
        <v>8056</v>
      </c>
      <c r="F117" s="397" t="s">
        <v>8057</v>
      </c>
      <c r="G117" s="428" t="s">
        <v>569</v>
      </c>
      <c r="H117" s="397" t="s">
        <v>8058</v>
      </c>
      <c r="I117" s="500">
        <v>42859.0</v>
      </c>
      <c r="J117" s="428">
        <v>5.0</v>
      </c>
      <c r="K117" s="607" t="s">
        <v>244</v>
      </c>
      <c r="L117" s="426" t="s">
        <v>260</v>
      </c>
      <c r="M117" s="319">
        <f t="shared" si="1"/>
        <v>616</v>
      </c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ht="12.75" customHeight="1">
      <c r="A118" s="419">
        <v>11717.0</v>
      </c>
      <c r="B118" s="420" t="s">
        <v>8059</v>
      </c>
      <c r="C118" s="420">
        <v>2015.0</v>
      </c>
      <c r="D118" s="497">
        <v>42094.0</v>
      </c>
      <c r="E118" s="422" t="s">
        <v>8060</v>
      </c>
      <c r="F118" s="394" t="s">
        <v>8061</v>
      </c>
      <c r="G118" s="422" t="s">
        <v>552</v>
      </c>
      <c r="H118" s="394" t="s">
        <v>1002</v>
      </c>
      <c r="I118" s="497">
        <v>42860.0</v>
      </c>
      <c r="J118" s="422">
        <v>5.0</v>
      </c>
      <c r="K118" s="608" t="s">
        <v>234</v>
      </c>
      <c r="L118" s="420" t="s">
        <v>256</v>
      </c>
      <c r="M118" s="316">
        <f t="shared" si="1"/>
        <v>766</v>
      </c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ht="12.75" customHeight="1">
      <c r="A119" s="425">
        <v>11817.0</v>
      </c>
      <c r="B119" s="585" t="s">
        <v>3889</v>
      </c>
      <c r="C119" s="585" t="s">
        <v>3889</v>
      </c>
      <c r="D119" s="540" t="s">
        <v>3889</v>
      </c>
      <c r="E119" s="585" t="s">
        <v>3889</v>
      </c>
      <c r="F119" s="585" t="s">
        <v>3889</v>
      </c>
      <c r="G119" s="585" t="s">
        <v>3889</v>
      </c>
      <c r="H119" s="585" t="s">
        <v>3889</v>
      </c>
      <c r="I119" s="540" t="s">
        <v>3889</v>
      </c>
      <c r="J119" s="585" t="s">
        <v>3889</v>
      </c>
      <c r="K119" s="585" t="s">
        <v>3889</v>
      </c>
      <c r="L119" s="585" t="s">
        <v>3889</v>
      </c>
      <c r="M119" s="585" t="s">
        <v>3889</v>
      </c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ht="12.75" customHeight="1">
      <c r="A120" s="419">
        <v>11917.0</v>
      </c>
      <c r="B120" s="420" t="s">
        <v>8062</v>
      </c>
      <c r="C120" s="420">
        <v>2009.0</v>
      </c>
      <c r="D120" s="497">
        <v>39953.0</v>
      </c>
      <c r="E120" s="422" t="s">
        <v>8063</v>
      </c>
      <c r="F120" s="394" t="s">
        <v>8064</v>
      </c>
      <c r="G120" s="422" t="s">
        <v>650</v>
      </c>
      <c r="H120" s="394" t="s">
        <v>923</v>
      </c>
      <c r="I120" s="497">
        <v>42860.0</v>
      </c>
      <c r="J120" s="422">
        <v>5.0</v>
      </c>
      <c r="K120" s="610" t="s">
        <v>228</v>
      </c>
      <c r="L120" s="420" t="s">
        <v>256</v>
      </c>
      <c r="M120" s="316">
        <f t="shared" ref="M120:M406" si="2">I120-D120</f>
        <v>2907</v>
      </c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ht="12.75" customHeight="1">
      <c r="A121" s="425">
        <v>12017.0</v>
      </c>
      <c r="B121" s="426" t="s">
        <v>8065</v>
      </c>
      <c r="C121" s="426">
        <v>2014.0</v>
      </c>
      <c r="D121" s="500">
        <v>41729.0</v>
      </c>
      <c r="E121" s="428" t="s">
        <v>8066</v>
      </c>
      <c r="F121" s="397" t="s">
        <v>8067</v>
      </c>
      <c r="G121" s="428" t="s">
        <v>650</v>
      </c>
      <c r="H121" s="397" t="s">
        <v>1002</v>
      </c>
      <c r="I121" s="500">
        <v>42863.0</v>
      </c>
      <c r="J121" s="428">
        <v>5.0</v>
      </c>
      <c r="K121" s="609" t="s">
        <v>238</v>
      </c>
      <c r="L121" s="426" t="s">
        <v>258</v>
      </c>
      <c r="M121" s="319">
        <f t="shared" si="2"/>
        <v>1134</v>
      </c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ht="12.75" customHeight="1">
      <c r="A122" s="419">
        <v>12117.0</v>
      </c>
      <c r="B122" s="420" t="s">
        <v>8068</v>
      </c>
      <c r="C122" s="420">
        <v>2015.0</v>
      </c>
      <c r="D122" s="497">
        <v>42276.0</v>
      </c>
      <c r="E122" s="422" t="s">
        <v>8069</v>
      </c>
      <c r="F122" s="394" t="s">
        <v>8070</v>
      </c>
      <c r="G122" s="422" t="s">
        <v>650</v>
      </c>
      <c r="H122" s="394" t="s">
        <v>1002</v>
      </c>
      <c r="I122" s="497">
        <v>42863.0</v>
      </c>
      <c r="J122" s="422">
        <v>5.0</v>
      </c>
      <c r="K122" s="609" t="s">
        <v>238</v>
      </c>
      <c r="L122" s="420" t="s">
        <v>258</v>
      </c>
      <c r="M122" s="316">
        <f t="shared" si="2"/>
        <v>587</v>
      </c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ht="12.75" customHeight="1">
      <c r="A123" s="425">
        <v>12217.0</v>
      </c>
      <c r="B123" s="426" t="s">
        <v>8071</v>
      </c>
      <c r="C123" s="426">
        <v>2015.0</v>
      </c>
      <c r="D123" s="500">
        <v>42352.0</v>
      </c>
      <c r="E123" s="428" t="s">
        <v>8072</v>
      </c>
      <c r="F123" s="397" t="s">
        <v>739</v>
      </c>
      <c r="G123" s="428" t="s">
        <v>552</v>
      </c>
      <c r="H123" s="397" t="s">
        <v>50</v>
      </c>
      <c r="I123" s="500">
        <v>42864.0</v>
      </c>
      <c r="J123" s="428">
        <v>5.0</v>
      </c>
      <c r="K123" s="610" t="s">
        <v>228</v>
      </c>
      <c r="L123" s="426" t="s">
        <v>258</v>
      </c>
      <c r="M123" s="319">
        <f t="shared" si="2"/>
        <v>512</v>
      </c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ht="12.75" customHeight="1">
      <c r="A124" s="419">
        <v>12317.0</v>
      </c>
      <c r="B124" s="420" t="s">
        <v>8073</v>
      </c>
      <c r="C124" s="420">
        <v>2011.0</v>
      </c>
      <c r="D124" s="497">
        <v>40808.0</v>
      </c>
      <c r="E124" s="422" t="s">
        <v>8074</v>
      </c>
      <c r="F124" s="394" t="s">
        <v>719</v>
      </c>
      <c r="G124" s="422" t="s">
        <v>552</v>
      </c>
      <c r="H124" s="394" t="s">
        <v>153</v>
      </c>
      <c r="I124" s="497">
        <v>42865.0</v>
      </c>
      <c r="J124" s="422">
        <v>5.0</v>
      </c>
      <c r="K124" s="610" t="s">
        <v>228</v>
      </c>
      <c r="L124" s="420" t="s">
        <v>258</v>
      </c>
      <c r="M124" s="316">
        <f t="shared" si="2"/>
        <v>2057</v>
      </c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ht="12.75" customHeight="1">
      <c r="A125" s="425">
        <v>12417.0</v>
      </c>
      <c r="B125" s="426" t="s">
        <v>8075</v>
      </c>
      <c r="C125" s="426">
        <v>2014.0</v>
      </c>
      <c r="D125" s="500">
        <v>41788.0</v>
      </c>
      <c r="E125" s="428" t="s">
        <v>8076</v>
      </c>
      <c r="F125" s="397" t="s">
        <v>1170</v>
      </c>
      <c r="G125" s="428" t="s">
        <v>17</v>
      </c>
      <c r="H125" s="397" t="s">
        <v>50</v>
      </c>
      <c r="I125" s="500">
        <v>42865.0</v>
      </c>
      <c r="J125" s="428">
        <v>5.0</v>
      </c>
      <c r="K125" s="608" t="s">
        <v>234</v>
      </c>
      <c r="L125" s="426" t="s">
        <v>256</v>
      </c>
      <c r="M125" s="319">
        <f t="shared" si="2"/>
        <v>1077</v>
      </c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ht="12.75" customHeight="1">
      <c r="A126" s="419">
        <v>12517.0</v>
      </c>
      <c r="B126" s="420" t="s">
        <v>8077</v>
      </c>
      <c r="C126" s="420">
        <v>2015.0</v>
      </c>
      <c r="D126" s="497">
        <v>42067.0</v>
      </c>
      <c r="E126" s="422" t="s">
        <v>8078</v>
      </c>
      <c r="F126" s="394" t="s">
        <v>55</v>
      </c>
      <c r="G126" s="422" t="s">
        <v>17</v>
      </c>
      <c r="H126" s="394" t="s">
        <v>1421</v>
      </c>
      <c r="I126" s="497">
        <v>42866.0</v>
      </c>
      <c r="J126" s="422">
        <v>5.0</v>
      </c>
      <c r="K126" s="609" t="s">
        <v>238</v>
      </c>
      <c r="L126" s="420" t="s">
        <v>256</v>
      </c>
      <c r="M126" s="316">
        <f t="shared" si="2"/>
        <v>799</v>
      </c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ht="12.75" customHeight="1">
      <c r="A127" s="425">
        <v>12617.0</v>
      </c>
      <c r="B127" s="426" t="s">
        <v>8079</v>
      </c>
      <c r="C127" s="426">
        <v>2012.0</v>
      </c>
      <c r="D127" s="500">
        <v>40956.0</v>
      </c>
      <c r="E127" s="428" t="s">
        <v>8080</v>
      </c>
      <c r="F127" s="397" t="s">
        <v>1170</v>
      </c>
      <c r="G127" s="428" t="s">
        <v>17</v>
      </c>
      <c r="H127" s="397" t="s">
        <v>775</v>
      </c>
      <c r="I127" s="500">
        <v>42866.0</v>
      </c>
      <c r="J127" s="428">
        <v>5.0</v>
      </c>
      <c r="K127" s="608" t="s">
        <v>234</v>
      </c>
      <c r="L127" s="426" t="s">
        <v>256</v>
      </c>
      <c r="M127" s="319">
        <f t="shared" si="2"/>
        <v>1910</v>
      </c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ht="12.75" customHeight="1">
      <c r="A128" s="419">
        <v>12717.0</v>
      </c>
      <c r="B128" s="420" t="s">
        <v>8081</v>
      </c>
      <c r="C128" s="420">
        <v>2015.0</v>
      </c>
      <c r="D128" s="497">
        <v>42101.0</v>
      </c>
      <c r="E128" s="422" t="s">
        <v>8082</v>
      </c>
      <c r="F128" s="394" t="s">
        <v>1170</v>
      </c>
      <c r="G128" s="422" t="s">
        <v>17</v>
      </c>
      <c r="H128" s="394" t="s">
        <v>97</v>
      </c>
      <c r="I128" s="497">
        <v>42867.0</v>
      </c>
      <c r="J128" s="422">
        <v>5.0</v>
      </c>
      <c r="K128" s="608" t="s">
        <v>234</v>
      </c>
      <c r="L128" s="420" t="s">
        <v>256</v>
      </c>
      <c r="M128" s="316">
        <f t="shared" si="2"/>
        <v>766</v>
      </c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ht="12.75" customHeight="1">
      <c r="A129" s="425">
        <v>12817.0</v>
      </c>
      <c r="B129" s="426" t="s">
        <v>8083</v>
      </c>
      <c r="C129" s="426">
        <v>2016.0</v>
      </c>
      <c r="D129" s="500">
        <v>42555.0</v>
      </c>
      <c r="E129" s="428" t="s">
        <v>8084</v>
      </c>
      <c r="F129" s="397" t="s">
        <v>1170</v>
      </c>
      <c r="G129" s="428" t="s">
        <v>17</v>
      </c>
      <c r="H129" s="397" t="s">
        <v>97</v>
      </c>
      <c r="I129" s="500">
        <v>42867.0</v>
      </c>
      <c r="J129" s="428">
        <v>5.0</v>
      </c>
      <c r="K129" s="608" t="s">
        <v>234</v>
      </c>
      <c r="L129" s="426" t="s">
        <v>256</v>
      </c>
      <c r="M129" s="319">
        <f t="shared" si="2"/>
        <v>312</v>
      </c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ht="12.75" customHeight="1">
      <c r="A130" s="419">
        <v>12917.0</v>
      </c>
      <c r="B130" s="420" t="s">
        <v>8085</v>
      </c>
      <c r="C130" s="420">
        <v>2015.0</v>
      </c>
      <c r="D130" s="497">
        <v>42243.0</v>
      </c>
      <c r="E130" s="422" t="s">
        <v>8086</v>
      </c>
      <c r="F130" s="394" t="s">
        <v>1762</v>
      </c>
      <c r="G130" s="422" t="s">
        <v>552</v>
      </c>
      <c r="H130" s="394" t="s">
        <v>740</v>
      </c>
      <c r="I130" s="497">
        <v>42870.0</v>
      </c>
      <c r="J130" s="422">
        <v>5.0</v>
      </c>
      <c r="K130" s="609" t="s">
        <v>238</v>
      </c>
      <c r="L130" s="420" t="s">
        <v>256</v>
      </c>
      <c r="M130" s="316">
        <f t="shared" si="2"/>
        <v>627</v>
      </c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ht="12.75" customHeight="1">
      <c r="A131" s="425">
        <v>13017.0</v>
      </c>
      <c r="B131" s="426" t="s">
        <v>8087</v>
      </c>
      <c r="C131" s="426">
        <v>2011.0</v>
      </c>
      <c r="D131" s="500">
        <v>40816.0</v>
      </c>
      <c r="E131" s="428" t="s">
        <v>8088</v>
      </c>
      <c r="F131" s="397" t="s">
        <v>8089</v>
      </c>
      <c r="G131" s="428" t="s">
        <v>552</v>
      </c>
      <c r="H131" s="397" t="s">
        <v>573</v>
      </c>
      <c r="I131" s="500">
        <v>42871.0</v>
      </c>
      <c r="J131" s="428">
        <v>5.0</v>
      </c>
      <c r="K131" s="610" t="s">
        <v>228</v>
      </c>
      <c r="L131" s="426" t="s">
        <v>256</v>
      </c>
      <c r="M131" s="319">
        <f t="shared" si="2"/>
        <v>2055</v>
      </c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ht="12.75" customHeight="1">
      <c r="A132" s="419">
        <v>13117.0</v>
      </c>
      <c r="B132" s="420" t="s">
        <v>8090</v>
      </c>
      <c r="C132" s="420">
        <v>2013.0</v>
      </c>
      <c r="D132" s="497">
        <v>41318.0</v>
      </c>
      <c r="E132" s="422" t="s">
        <v>8091</v>
      </c>
      <c r="F132" s="394" t="s">
        <v>1823</v>
      </c>
      <c r="G132" s="422" t="s">
        <v>17</v>
      </c>
      <c r="H132" s="394" t="s">
        <v>26</v>
      </c>
      <c r="I132" s="497">
        <v>42873.0</v>
      </c>
      <c r="J132" s="422">
        <v>5.0</v>
      </c>
      <c r="K132" s="610" t="s">
        <v>228</v>
      </c>
      <c r="L132" s="420" t="s">
        <v>256</v>
      </c>
      <c r="M132" s="316">
        <f t="shared" si="2"/>
        <v>1555</v>
      </c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ht="12.75" customHeight="1">
      <c r="A133" s="425">
        <v>13217.0</v>
      </c>
      <c r="B133" s="426" t="s">
        <v>8092</v>
      </c>
      <c r="C133" s="426">
        <v>2009.0</v>
      </c>
      <c r="D133" s="500">
        <v>40168.0</v>
      </c>
      <c r="E133" s="428" t="s">
        <v>8093</v>
      </c>
      <c r="F133" s="397" t="s">
        <v>3505</v>
      </c>
      <c r="G133" s="428" t="s">
        <v>552</v>
      </c>
      <c r="H133" s="397" t="s">
        <v>45</v>
      </c>
      <c r="I133" s="500">
        <v>42876.0</v>
      </c>
      <c r="J133" s="428">
        <v>5.0</v>
      </c>
      <c r="K133" s="610" t="s">
        <v>228</v>
      </c>
      <c r="L133" s="426" t="s">
        <v>256</v>
      </c>
      <c r="M133" s="319">
        <f t="shared" si="2"/>
        <v>2708</v>
      </c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ht="12.75" customHeight="1">
      <c r="A134" s="419">
        <v>13317.0</v>
      </c>
      <c r="B134" s="420" t="s">
        <v>8094</v>
      </c>
      <c r="C134" s="420">
        <v>2009.0</v>
      </c>
      <c r="D134" s="497">
        <v>40136.0</v>
      </c>
      <c r="E134" s="422" t="s">
        <v>8095</v>
      </c>
      <c r="F134" s="394" t="s">
        <v>3505</v>
      </c>
      <c r="G134" s="422" t="s">
        <v>552</v>
      </c>
      <c r="H134" s="394" t="s">
        <v>45</v>
      </c>
      <c r="I134" s="497">
        <v>42876.0</v>
      </c>
      <c r="J134" s="422">
        <v>5.0</v>
      </c>
      <c r="K134" s="610" t="s">
        <v>228</v>
      </c>
      <c r="L134" s="420" t="s">
        <v>256</v>
      </c>
      <c r="M134" s="316">
        <f t="shared" si="2"/>
        <v>2740</v>
      </c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ht="12.75" customHeight="1">
      <c r="A135" s="425">
        <v>13417.0</v>
      </c>
      <c r="B135" s="426" t="s">
        <v>8096</v>
      </c>
      <c r="C135" s="426">
        <v>2015.0</v>
      </c>
      <c r="D135" s="500">
        <v>42185.0</v>
      </c>
      <c r="E135" s="428" t="s">
        <v>8097</v>
      </c>
      <c r="F135" s="397" t="s">
        <v>8098</v>
      </c>
      <c r="G135" s="428" t="s">
        <v>552</v>
      </c>
      <c r="H135" s="397" t="s">
        <v>573</v>
      </c>
      <c r="I135" s="500">
        <v>42877.0</v>
      </c>
      <c r="J135" s="428">
        <v>5.0</v>
      </c>
      <c r="K135" s="608" t="s">
        <v>234</v>
      </c>
      <c r="L135" s="426" t="s">
        <v>256</v>
      </c>
      <c r="M135" s="319">
        <f t="shared" si="2"/>
        <v>692</v>
      </c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ht="12.75" customHeight="1">
      <c r="A136" s="419">
        <v>13517.0</v>
      </c>
      <c r="B136" s="420" t="s">
        <v>8099</v>
      </c>
      <c r="C136" s="420">
        <v>2012.0</v>
      </c>
      <c r="D136" s="497">
        <v>41143.0</v>
      </c>
      <c r="E136" s="422" t="s">
        <v>8100</v>
      </c>
      <c r="F136" s="394" t="s">
        <v>8101</v>
      </c>
      <c r="G136" s="422" t="s">
        <v>17</v>
      </c>
      <c r="H136" s="394" t="s">
        <v>775</v>
      </c>
      <c r="I136" s="497">
        <v>42878.0</v>
      </c>
      <c r="J136" s="422">
        <v>5.0</v>
      </c>
      <c r="K136" s="609" t="s">
        <v>238</v>
      </c>
      <c r="L136" s="420" t="s">
        <v>258</v>
      </c>
      <c r="M136" s="316">
        <f t="shared" si="2"/>
        <v>1735</v>
      </c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ht="12.75" customHeight="1">
      <c r="A137" s="425">
        <v>13617.0</v>
      </c>
      <c r="B137" s="426" t="s">
        <v>8102</v>
      </c>
      <c r="C137" s="426">
        <v>2013.0</v>
      </c>
      <c r="D137" s="500">
        <v>41579.0</v>
      </c>
      <c r="E137" s="428" t="s">
        <v>8103</v>
      </c>
      <c r="F137" s="397" t="s">
        <v>1150</v>
      </c>
      <c r="G137" s="428" t="s">
        <v>17</v>
      </c>
      <c r="H137" s="397" t="s">
        <v>1421</v>
      </c>
      <c r="I137" s="500">
        <v>42878.0</v>
      </c>
      <c r="J137" s="428">
        <v>5.0</v>
      </c>
      <c r="K137" s="610" t="s">
        <v>228</v>
      </c>
      <c r="L137" s="426" t="s">
        <v>256</v>
      </c>
      <c r="M137" s="319">
        <f t="shared" si="2"/>
        <v>1299</v>
      </c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ht="12.75" customHeight="1">
      <c r="A138" s="419">
        <v>13717.0</v>
      </c>
      <c r="B138" s="420" t="s">
        <v>8104</v>
      </c>
      <c r="C138" s="420">
        <v>2014.0</v>
      </c>
      <c r="D138" s="497">
        <v>41918.0</v>
      </c>
      <c r="E138" s="422" t="s">
        <v>8105</v>
      </c>
      <c r="F138" s="394" t="s">
        <v>1440</v>
      </c>
      <c r="G138" s="422" t="s">
        <v>552</v>
      </c>
      <c r="H138" s="394" t="s">
        <v>163</v>
      </c>
      <c r="I138" s="497">
        <v>42878.0</v>
      </c>
      <c r="J138" s="422">
        <v>5.0</v>
      </c>
      <c r="K138" s="608" t="s">
        <v>234</v>
      </c>
      <c r="L138" s="420" t="s">
        <v>256</v>
      </c>
      <c r="M138" s="316">
        <f t="shared" si="2"/>
        <v>960</v>
      </c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ht="12.75" customHeight="1">
      <c r="A139" s="425">
        <v>13817.0</v>
      </c>
      <c r="B139" s="426" t="s">
        <v>8106</v>
      </c>
      <c r="C139" s="426">
        <v>2015.0</v>
      </c>
      <c r="D139" s="500">
        <v>42341.0</v>
      </c>
      <c r="E139" s="428" t="s">
        <v>8107</v>
      </c>
      <c r="F139" s="397" t="s">
        <v>8108</v>
      </c>
      <c r="G139" s="428" t="s">
        <v>569</v>
      </c>
      <c r="H139" s="397" t="s">
        <v>7420</v>
      </c>
      <c r="I139" s="500">
        <v>42879.0</v>
      </c>
      <c r="J139" s="428">
        <v>5.0</v>
      </c>
      <c r="K139" s="607" t="s">
        <v>244</v>
      </c>
      <c r="L139" s="426" t="s">
        <v>260</v>
      </c>
      <c r="M139" s="319">
        <f t="shared" si="2"/>
        <v>538</v>
      </c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ht="12.75" customHeight="1">
      <c r="A140" s="419">
        <v>13917.0</v>
      </c>
      <c r="B140" s="420" t="s">
        <v>8109</v>
      </c>
      <c r="C140" s="420">
        <v>2009.0</v>
      </c>
      <c r="D140" s="497">
        <v>39923.0</v>
      </c>
      <c r="E140" s="422" t="s">
        <v>8110</v>
      </c>
      <c r="F140" s="394" t="s">
        <v>963</v>
      </c>
      <c r="G140" s="422" t="s">
        <v>552</v>
      </c>
      <c r="H140" s="394" t="s">
        <v>5016</v>
      </c>
      <c r="I140" s="497">
        <v>42881.0</v>
      </c>
      <c r="J140" s="422">
        <v>5.0</v>
      </c>
      <c r="K140" s="609" t="s">
        <v>238</v>
      </c>
      <c r="L140" s="420" t="s">
        <v>258</v>
      </c>
      <c r="M140" s="316">
        <f t="shared" si="2"/>
        <v>2958</v>
      </c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ht="12.75" customHeight="1">
      <c r="A141" s="425">
        <v>14017.0</v>
      </c>
      <c r="B141" s="426" t="s">
        <v>8111</v>
      </c>
      <c r="C141" s="426">
        <v>2013.0</v>
      </c>
      <c r="D141" s="500">
        <v>41453.0</v>
      </c>
      <c r="E141" s="428" t="s">
        <v>8112</v>
      </c>
      <c r="F141" s="397" t="s">
        <v>739</v>
      </c>
      <c r="G141" s="428" t="s">
        <v>46</v>
      </c>
      <c r="H141" s="397" t="s">
        <v>573</v>
      </c>
      <c r="I141" s="500">
        <v>42881.0</v>
      </c>
      <c r="J141" s="428">
        <v>5.0</v>
      </c>
      <c r="K141" s="609" t="s">
        <v>238</v>
      </c>
      <c r="L141" s="426" t="s">
        <v>260</v>
      </c>
      <c r="M141" s="319">
        <f t="shared" si="2"/>
        <v>1428</v>
      </c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ht="12.75" customHeight="1">
      <c r="A142" s="419">
        <v>14117.0</v>
      </c>
      <c r="B142" s="420" t="s">
        <v>8113</v>
      </c>
      <c r="C142" s="420">
        <v>2010.0</v>
      </c>
      <c r="D142" s="497">
        <v>40322.0</v>
      </c>
      <c r="E142" s="422" t="s">
        <v>8114</v>
      </c>
      <c r="F142" s="394" t="s">
        <v>2222</v>
      </c>
      <c r="G142" s="422" t="s">
        <v>17</v>
      </c>
      <c r="H142" s="394" t="s">
        <v>26</v>
      </c>
      <c r="I142" s="497">
        <v>42884.0</v>
      </c>
      <c r="J142" s="422">
        <v>5.0</v>
      </c>
      <c r="K142" s="608" t="s">
        <v>234</v>
      </c>
      <c r="L142" s="420" t="s">
        <v>258</v>
      </c>
      <c r="M142" s="316">
        <f t="shared" si="2"/>
        <v>2562</v>
      </c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ht="12.75" customHeight="1">
      <c r="A143" s="425">
        <v>14217.0</v>
      </c>
      <c r="B143" s="426" t="s">
        <v>8115</v>
      </c>
      <c r="C143" s="426">
        <v>2012.0</v>
      </c>
      <c r="D143" s="500">
        <v>41043.0</v>
      </c>
      <c r="E143" s="428" t="s">
        <v>8116</v>
      </c>
      <c r="F143" s="397" t="s">
        <v>1968</v>
      </c>
      <c r="G143" s="428" t="s">
        <v>17</v>
      </c>
      <c r="H143" s="397" t="s">
        <v>573</v>
      </c>
      <c r="I143" s="500">
        <v>42885.0</v>
      </c>
      <c r="J143" s="428">
        <v>5.0</v>
      </c>
      <c r="K143" s="610" t="s">
        <v>228</v>
      </c>
      <c r="L143" s="426" t="s">
        <v>256</v>
      </c>
      <c r="M143" s="319">
        <f t="shared" si="2"/>
        <v>1842</v>
      </c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ht="12.75" customHeight="1">
      <c r="A144" s="419">
        <v>14317.0</v>
      </c>
      <c r="B144" s="420" t="s">
        <v>8117</v>
      </c>
      <c r="C144" s="420">
        <v>2012.0</v>
      </c>
      <c r="D144" s="497">
        <v>41059.0</v>
      </c>
      <c r="E144" s="422" t="s">
        <v>8118</v>
      </c>
      <c r="F144" s="394" t="s">
        <v>8119</v>
      </c>
      <c r="G144" s="422" t="s">
        <v>17</v>
      </c>
      <c r="H144" s="394" t="s">
        <v>573</v>
      </c>
      <c r="I144" s="497">
        <v>42885.0</v>
      </c>
      <c r="J144" s="422">
        <v>5.0</v>
      </c>
      <c r="K144" s="610" t="s">
        <v>228</v>
      </c>
      <c r="L144" s="420" t="s">
        <v>256</v>
      </c>
      <c r="M144" s="316">
        <f t="shared" si="2"/>
        <v>1826</v>
      </c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ht="12.75" customHeight="1">
      <c r="A145" s="425">
        <v>14417.0</v>
      </c>
      <c r="B145" s="426" t="s">
        <v>8120</v>
      </c>
      <c r="C145" s="426">
        <v>2011.0</v>
      </c>
      <c r="D145" s="500">
        <v>40715.0</v>
      </c>
      <c r="E145" s="428" t="s">
        <v>8121</v>
      </c>
      <c r="F145" s="397" t="s">
        <v>8122</v>
      </c>
      <c r="G145" s="428" t="s">
        <v>34</v>
      </c>
      <c r="H145" s="397" t="s">
        <v>651</v>
      </c>
      <c r="I145" s="500">
        <v>42885.0</v>
      </c>
      <c r="J145" s="428">
        <v>5.0</v>
      </c>
      <c r="K145" s="609" t="s">
        <v>238</v>
      </c>
      <c r="L145" s="426" t="s">
        <v>256</v>
      </c>
      <c r="M145" s="319">
        <f t="shared" si="2"/>
        <v>2170</v>
      </c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ht="12.75" customHeight="1">
      <c r="A146" s="419">
        <v>14517.0</v>
      </c>
      <c r="B146" s="420" t="s">
        <v>8123</v>
      </c>
      <c r="C146" s="420">
        <v>2016.0</v>
      </c>
      <c r="D146" s="497">
        <v>42433.0</v>
      </c>
      <c r="E146" s="422" t="s">
        <v>8124</v>
      </c>
      <c r="F146" s="394" t="s">
        <v>2343</v>
      </c>
      <c r="G146" s="422" t="s">
        <v>569</v>
      </c>
      <c r="H146" s="394" t="s">
        <v>8125</v>
      </c>
      <c r="I146" s="497">
        <v>42886.0</v>
      </c>
      <c r="J146" s="422">
        <v>5.0</v>
      </c>
      <c r="K146" s="607" t="s">
        <v>244</v>
      </c>
      <c r="L146" s="420" t="s">
        <v>260</v>
      </c>
      <c r="M146" s="316">
        <f t="shared" si="2"/>
        <v>453</v>
      </c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ht="12.75" customHeight="1">
      <c r="A147" s="425">
        <v>14617.0</v>
      </c>
      <c r="B147" s="426" t="s">
        <v>8126</v>
      </c>
      <c r="C147" s="426">
        <v>2015.0</v>
      </c>
      <c r="D147" s="500">
        <v>42313.0</v>
      </c>
      <c r="E147" s="428" t="s">
        <v>8127</v>
      </c>
      <c r="F147" s="397" t="s">
        <v>4102</v>
      </c>
      <c r="G147" s="428" t="s">
        <v>552</v>
      </c>
      <c r="H147" s="397" t="s">
        <v>740</v>
      </c>
      <c r="I147" s="500">
        <v>42887.0</v>
      </c>
      <c r="J147" s="428">
        <v>6.0</v>
      </c>
      <c r="K147" s="609" t="s">
        <v>238</v>
      </c>
      <c r="L147" s="426" t="s">
        <v>254</v>
      </c>
      <c r="M147" s="319">
        <f t="shared" si="2"/>
        <v>574</v>
      </c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ht="12.75" customHeight="1">
      <c r="A148" s="419">
        <v>14717.0</v>
      </c>
      <c r="B148" s="420" t="s">
        <v>8128</v>
      </c>
      <c r="C148" s="420">
        <v>2016.0</v>
      </c>
      <c r="D148" s="497">
        <v>42646.0</v>
      </c>
      <c r="E148" s="422" t="s">
        <v>8129</v>
      </c>
      <c r="F148" s="394" t="s">
        <v>8119</v>
      </c>
      <c r="G148" s="422" t="s">
        <v>17</v>
      </c>
      <c r="H148" s="394" t="s">
        <v>587</v>
      </c>
      <c r="I148" s="497">
        <v>42887.0</v>
      </c>
      <c r="J148" s="422">
        <v>6.0</v>
      </c>
      <c r="K148" s="610" t="s">
        <v>228</v>
      </c>
      <c r="L148" s="420" t="s">
        <v>256</v>
      </c>
      <c r="M148" s="316">
        <f t="shared" si="2"/>
        <v>241</v>
      </c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ht="12.75" customHeight="1">
      <c r="A149" s="425">
        <v>14817.0</v>
      </c>
      <c r="B149" s="426" t="s">
        <v>8130</v>
      </c>
      <c r="C149" s="426">
        <v>2013.0</v>
      </c>
      <c r="D149" s="500">
        <v>41460.0</v>
      </c>
      <c r="E149" s="428" t="s">
        <v>8131</v>
      </c>
      <c r="F149" s="397" t="s">
        <v>2575</v>
      </c>
      <c r="G149" s="428" t="s">
        <v>17</v>
      </c>
      <c r="H149" s="397" t="s">
        <v>4553</v>
      </c>
      <c r="I149" s="500">
        <v>42891.0</v>
      </c>
      <c r="J149" s="428">
        <v>6.0</v>
      </c>
      <c r="K149" s="609" t="s">
        <v>238</v>
      </c>
      <c r="L149" s="426" t="s">
        <v>258</v>
      </c>
      <c r="M149" s="319">
        <f t="shared" si="2"/>
        <v>1431</v>
      </c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ht="12.75" customHeight="1">
      <c r="A150" s="419">
        <v>14917.0</v>
      </c>
      <c r="B150" s="420" t="s">
        <v>8132</v>
      </c>
      <c r="C150" s="420">
        <v>2012.0</v>
      </c>
      <c r="D150" s="497">
        <v>41149.0</v>
      </c>
      <c r="E150" s="422" t="s">
        <v>8133</v>
      </c>
      <c r="F150" s="394" t="s">
        <v>8134</v>
      </c>
      <c r="G150" s="422" t="s">
        <v>34</v>
      </c>
      <c r="H150" s="394" t="s">
        <v>705</v>
      </c>
      <c r="I150" s="497">
        <v>42891.0</v>
      </c>
      <c r="J150" s="422">
        <v>6.0</v>
      </c>
      <c r="K150" s="609" t="s">
        <v>238</v>
      </c>
      <c r="L150" s="420" t="s">
        <v>258</v>
      </c>
      <c r="M150" s="316">
        <f t="shared" si="2"/>
        <v>1742</v>
      </c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ht="12.75" customHeight="1">
      <c r="A151" s="425">
        <v>15017.0</v>
      </c>
      <c r="B151" s="426" t="s">
        <v>8135</v>
      </c>
      <c r="C151" s="426">
        <v>2016.0</v>
      </c>
      <c r="D151" s="500">
        <v>42571.0</v>
      </c>
      <c r="E151" s="428" t="s">
        <v>8136</v>
      </c>
      <c r="F151" s="397" t="s">
        <v>5368</v>
      </c>
      <c r="G151" s="428" t="s">
        <v>650</v>
      </c>
      <c r="H151" s="397" t="s">
        <v>8137</v>
      </c>
      <c r="I151" s="500">
        <v>42895.0</v>
      </c>
      <c r="J151" s="428">
        <v>6.0</v>
      </c>
      <c r="K151" s="607" t="s">
        <v>244</v>
      </c>
      <c r="L151" s="426" t="s">
        <v>260</v>
      </c>
      <c r="M151" s="319">
        <f t="shared" si="2"/>
        <v>324</v>
      </c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ht="12.75" customHeight="1">
      <c r="A152" s="419">
        <v>15117.0</v>
      </c>
      <c r="B152" s="420" t="s">
        <v>8138</v>
      </c>
      <c r="C152" s="420">
        <v>2009.0</v>
      </c>
      <c r="D152" s="497">
        <v>40021.0</v>
      </c>
      <c r="E152" s="422" t="s">
        <v>8139</v>
      </c>
      <c r="F152" s="394" t="s">
        <v>8140</v>
      </c>
      <c r="G152" s="422" t="s">
        <v>650</v>
      </c>
      <c r="H152" s="394" t="s">
        <v>2964</v>
      </c>
      <c r="I152" s="497">
        <v>42895.0</v>
      </c>
      <c r="J152" s="422">
        <v>6.0</v>
      </c>
      <c r="K152" s="608" t="s">
        <v>234</v>
      </c>
      <c r="L152" s="420" t="s">
        <v>256</v>
      </c>
      <c r="M152" s="316">
        <f t="shared" si="2"/>
        <v>2874</v>
      </c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ht="12.75" customHeight="1">
      <c r="A153" s="425">
        <v>15217.0</v>
      </c>
      <c r="B153" s="426" t="s">
        <v>8141</v>
      </c>
      <c r="C153" s="426">
        <v>2012.0</v>
      </c>
      <c r="D153" s="500">
        <v>41134.0</v>
      </c>
      <c r="E153" s="428" t="s">
        <v>8142</v>
      </c>
      <c r="F153" s="397" t="s">
        <v>563</v>
      </c>
      <c r="G153" s="428" t="s">
        <v>17</v>
      </c>
      <c r="H153" s="397" t="s">
        <v>596</v>
      </c>
      <c r="I153" s="500">
        <v>42899.0</v>
      </c>
      <c r="J153" s="428">
        <v>6.0</v>
      </c>
      <c r="K153" s="608" t="s">
        <v>234</v>
      </c>
      <c r="L153" s="426" t="s">
        <v>256</v>
      </c>
      <c r="M153" s="319">
        <f t="shared" si="2"/>
        <v>1765</v>
      </c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ht="12.75" customHeight="1">
      <c r="A154" s="419">
        <v>15317.0</v>
      </c>
      <c r="B154" s="420" t="s">
        <v>8143</v>
      </c>
      <c r="C154" s="420">
        <v>2013.0</v>
      </c>
      <c r="D154" s="497">
        <v>41312.0</v>
      </c>
      <c r="E154" s="422" t="s">
        <v>8144</v>
      </c>
      <c r="F154" s="394" t="s">
        <v>563</v>
      </c>
      <c r="G154" s="422" t="s">
        <v>17</v>
      </c>
      <c r="H154" s="394" t="s">
        <v>6789</v>
      </c>
      <c r="I154" s="497">
        <v>42900.0</v>
      </c>
      <c r="J154" s="422">
        <v>6.0</v>
      </c>
      <c r="K154" s="608" t="s">
        <v>234</v>
      </c>
      <c r="L154" s="420" t="s">
        <v>256</v>
      </c>
      <c r="M154" s="316">
        <f t="shared" si="2"/>
        <v>1588</v>
      </c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ht="12.75" customHeight="1">
      <c r="A155" s="425">
        <v>15417.0</v>
      </c>
      <c r="B155" s="426" t="s">
        <v>8145</v>
      </c>
      <c r="C155" s="426">
        <v>2009.0</v>
      </c>
      <c r="D155" s="500">
        <v>39974.0</v>
      </c>
      <c r="E155" s="428" t="s">
        <v>8146</v>
      </c>
      <c r="F155" s="397" t="s">
        <v>8147</v>
      </c>
      <c r="G155" s="428" t="s">
        <v>552</v>
      </c>
      <c r="H155" s="397" t="s">
        <v>125</v>
      </c>
      <c r="I155" s="500">
        <v>42900.0</v>
      </c>
      <c r="J155" s="428">
        <v>6.0</v>
      </c>
      <c r="K155" s="607" t="s">
        <v>244</v>
      </c>
      <c r="L155" s="426" t="s">
        <v>258</v>
      </c>
      <c r="M155" s="319">
        <f t="shared" si="2"/>
        <v>2926</v>
      </c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ht="12.75" customHeight="1">
      <c r="A156" s="419">
        <v>15517.0</v>
      </c>
      <c r="B156" s="420" t="s">
        <v>8148</v>
      </c>
      <c r="C156" s="420">
        <v>2014.0</v>
      </c>
      <c r="D156" s="497">
        <v>41983.0</v>
      </c>
      <c r="E156" s="422" t="s">
        <v>8149</v>
      </c>
      <c r="F156" s="394" t="s">
        <v>563</v>
      </c>
      <c r="G156" s="422" t="s">
        <v>17</v>
      </c>
      <c r="H156" s="394" t="s">
        <v>97</v>
      </c>
      <c r="I156" s="497">
        <v>42900.0</v>
      </c>
      <c r="J156" s="422">
        <v>6.0</v>
      </c>
      <c r="K156" s="608" t="s">
        <v>234</v>
      </c>
      <c r="L156" s="420" t="s">
        <v>256</v>
      </c>
      <c r="M156" s="316">
        <f t="shared" si="2"/>
        <v>917</v>
      </c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ht="12.75" customHeight="1">
      <c r="A157" s="425">
        <v>15617.0</v>
      </c>
      <c r="B157" s="426" t="s">
        <v>8150</v>
      </c>
      <c r="C157" s="426">
        <v>2012.0</v>
      </c>
      <c r="D157" s="500">
        <v>41142.0</v>
      </c>
      <c r="E157" s="428" t="s">
        <v>8151</v>
      </c>
      <c r="F157" s="397" t="s">
        <v>563</v>
      </c>
      <c r="G157" s="428" t="s">
        <v>17</v>
      </c>
      <c r="H157" s="397" t="s">
        <v>1749</v>
      </c>
      <c r="I157" s="500">
        <v>42900.0</v>
      </c>
      <c r="J157" s="428">
        <v>6.0</v>
      </c>
      <c r="K157" s="608" t="s">
        <v>234</v>
      </c>
      <c r="L157" s="426" t="s">
        <v>256</v>
      </c>
      <c r="M157" s="319">
        <f t="shared" si="2"/>
        <v>1758</v>
      </c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ht="12.75" customHeight="1">
      <c r="A158" s="419">
        <v>15717.0</v>
      </c>
      <c r="B158" s="420" t="s">
        <v>8152</v>
      </c>
      <c r="C158" s="420">
        <v>2012.0</v>
      </c>
      <c r="D158" s="497">
        <v>41124.0</v>
      </c>
      <c r="E158" s="422" t="s">
        <v>8153</v>
      </c>
      <c r="F158" s="394" t="s">
        <v>963</v>
      </c>
      <c r="G158" s="422" t="s">
        <v>552</v>
      </c>
      <c r="H158" s="394" t="s">
        <v>130</v>
      </c>
      <c r="I158" s="497">
        <v>42902.0</v>
      </c>
      <c r="J158" s="422">
        <v>6.0</v>
      </c>
      <c r="K158" s="610" t="s">
        <v>228</v>
      </c>
      <c r="L158" s="420" t="s">
        <v>258</v>
      </c>
      <c r="M158" s="316">
        <f t="shared" si="2"/>
        <v>1778</v>
      </c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ht="12.75" customHeight="1">
      <c r="A159" s="425">
        <v>15817.0</v>
      </c>
      <c r="B159" s="426" t="s">
        <v>8154</v>
      </c>
      <c r="C159" s="426">
        <v>2015.0</v>
      </c>
      <c r="D159" s="500">
        <v>42356.0</v>
      </c>
      <c r="E159" s="428" t="s">
        <v>8155</v>
      </c>
      <c r="F159" s="397" t="s">
        <v>3505</v>
      </c>
      <c r="G159" s="428" t="s">
        <v>552</v>
      </c>
      <c r="H159" s="397" t="s">
        <v>6809</v>
      </c>
      <c r="I159" s="500">
        <v>42902.0</v>
      </c>
      <c r="J159" s="428">
        <v>6.0</v>
      </c>
      <c r="K159" s="609" t="s">
        <v>238</v>
      </c>
      <c r="L159" s="426" t="s">
        <v>256</v>
      </c>
      <c r="M159" s="319">
        <f t="shared" si="2"/>
        <v>546</v>
      </c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ht="12.75" customHeight="1">
      <c r="A160" s="419">
        <v>15917.0</v>
      </c>
      <c r="B160" s="420" t="s">
        <v>8156</v>
      </c>
      <c r="C160" s="420">
        <v>2013.0</v>
      </c>
      <c r="D160" s="497">
        <v>41467.0</v>
      </c>
      <c r="E160" s="422" t="s">
        <v>8157</v>
      </c>
      <c r="F160" s="394" t="s">
        <v>1544</v>
      </c>
      <c r="G160" s="422" t="s">
        <v>552</v>
      </c>
      <c r="H160" s="394" t="s">
        <v>1749</v>
      </c>
      <c r="I160" s="497">
        <v>42907.0</v>
      </c>
      <c r="J160" s="422">
        <v>6.0</v>
      </c>
      <c r="K160" s="610" t="s">
        <v>228</v>
      </c>
      <c r="L160" s="420" t="s">
        <v>256</v>
      </c>
      <c r="M160" s="316">
        <f t="shared" si="2"/>
        <v>1440</v>
      </c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ht="12.75" customHeight="1">
      <c r="A161" s="425">
        <v>16017.0</v>
      </c>
      <c r="B161" s="426" t="s">
        <v>8158</v>
      </c>
      <c r="C161" s="426">
        <v>2008.0</v>
      </c>
      <c r="D161" s="500">
        <v>39673.0</v>
      </c>
      <c r="E161" s="428" t="s">
        <v>8159</v>
      </c>
      <c r="F161" s="397" t="s">
        <v>2873</v>
      </c>
      <c r="G161" s="428" t="s">
        <v>552</v>
      </c>
      <c r="H161" s="397" t="s">
        <v>8160</v>
      </c>
      <c r="I161" s="500">
        <v>42907.0</v>
      </c>
      <c r="J161" s="428">
        <v>6.0</v>
      </c>
      <c r="K161" s="610" t="s">
        <v>228</v>
      </c>
      <c r="L161" s="426" t="s">
        <v>256</v>
      </c>
      <c r="M161" s="319">
        <f t="shared" si="2"/>
        <v>3234</v>
      </c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ht="12.75" customHeight="1">
      <c r="A162" s="419">
        <v>16117.0</v>
      </c>
      <c r="B162" s="420" t="s">
        <v>8161</v>
      </c>
      <c r="C162" s="420">
        <v>2014.0</v>
      </c>
      <c r="D162" s="497">
        <v>41878.0</v>
      </c>
      <c r="E162" s="422" t="s">
        <v>8162</v>
      </c>
      <c r="F162" s="394" t="s">
        <v>1823</v>
      </c>
      <c r="G162" s="422" t="s">
        <v>552</v>
      </c>
      <c r="H162" s="394" t="s">
        <v>153</v>
      </c>
      <c r="I162" s="497">
        <v>42907.0</v>
      </c>
      <c r="J162" s="422">
        <v>6.0</v>
      </c>
      <c r="K162" s="608" t="s">
        <v>234</v>
      </c>
      <c r="L162" s="420" t="s">
        <v>256</v>
      </c>
      <c r="M162" s="316">
        <f t="shared" si="2"/>
        <v>1029</v>
      </c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ht="12.75" customHeight="1">
      <c r="A163" s="425">
        <v>16217.0</v>
      </c>
      <c r="B163" s="426" t="s">
        <v>8163</v>
      </c>
      <c r="C163" s="426">
        <v>2014.0</v>
      </c>
      <c r="D163" s="500">
        <v>41918.0</v>
      </c>
      <c r="E163" s="428" t="s">
        <v>8164</v>
      </c>
      <c r="F163" s="397" t="s">
        <v>8165</v>
      </c>
      <c r="G163" s="428" t="s">
        <v>565</v>
      </c>
      <c r="H163" s="397" t="s">
        <v>2331</v>
      </c>
      <c r="I163" s="500">
        <v>42908.0</v>
      </c>
      <c r="J163" s="428">
        <v>6.0</v>
      </c>
      <c r="K163" s="609" t="s">
        <v>238</v>
      </c>
      <c r="L163" s="426" t="s">
        <v>260</v>
      </c>
      <c r="M163" s="319">
        <f t="shared" si="2"/>
        <v>990</v>
      </c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ht="12.75" customHeight="1">
      <c r="A164" s="419">
        <v>16317.0</v>
      </c>
      <c r="B164" s="420" t="s">
        <v>8156</v>
      </c>
      <c r="C164" s="420">
        <v>2013.0</v>
      </c>
      <c r="D164" s="497">
        <v>41467.0</v>
      </c>
      <c r="E164" s="422" t="s">
        <v>8166</v>
      </c>
      <c r="F164" s="394" t="s">
        <v>1544</v>
      </c>
      <c r="G164" s="422" t="s">
        <v>552</v>
      </c>
      <c r="H164" s="394" t="s">
        <v>596</v>
      </c>
      <c r="I164" s="497">
        <v>42908.0</v>
      </c>
      <c r="J164" s="422">
        <v>6.0</v>
      </c>
      <c r="K164" s="610" t="s">
        <v>228</v>
      </c>
      <c r="L164" s="420" t="s">
        <v>256</v>
      </c>
      <c r="M164" s="316">
        <f t="shared" si="2"/>
        <v>1441</v>
      </c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ht="12.75" customHeight="1">
      <c r="A165" s="425">
        <v>16417.0</v>
      </c>
      <c r="B165" s="426" t="s">
        <v>8167</v>
      </c>
      <c r="C165" s="426">
        <v>2011.0</v>
      </c>
      <c r="D165" s="500">
        <v>40667.0</v>
      </c>
      <c r="E165" s="428" t="s">
        <v>8168</v>
      </c>
      <c r="F165" s="397" t="s">
        <v>1514</v>
      </c>
      <c r="G165" s="428" t="s">
        <v>552</v>
      </c>
      <c r="H165" s="397" t="s">
        <v>8160</v>
      </c>
      <c r="I165" s="500">
        <v>42908.0</v>
      </c>
      <c r="J165" s="428">
        <v>6.0</v>
      </c>
      <c r="K165" s="610" t="s">
        <v>228</v>
      </c>
      <c r="L165" s="426" t="s">
        <v>256</v>
      </c>
      <c r="M165" s="319">
        <f t="shared" si="2"/>
        <v>2241</v>
      </c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ht="12.75" customHeight="1">
      <c r="A166" s="419">
        <v>16517.0</v>
      </c>
      <c r="B166" s="420" t="s">
        <v>8169</v>
      </c>
      <c r="C166" s="420">
        <v>2015.0</v>
      </c>
      <c r="D166" s="497">
        <v>42240.0</v>
      </c>
      <c r="E166" s="422" t="s">
        <v>8170</v>
      </c>
      <c r="F166" s="394" t="s">
        <v>2383</v>
      </c>
      <c r="G166" s="422" t="s">
        <v>569</v>
      </c>
      <c r="H166" s="394" t="s">
        <v>8171</v>
      </c>
      <c r="I166" s="497">
        <v>42908.0</v>
      </c>
      <c r="J166" s="422">
        <v>6.0</v>
      </c>
      <c r="K166" s="607" t="s">
        <v>850</v>
      </c>
      <c r="L166" s="420" t="s">
        <v>260</v>
      </c>
      <c r="M166" s="316">
        <f t="shared" si="2"/>
        <v>668</v>
      </c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ht="12.75" customHeight="1">
      <c r="A167" s="425">
        <v>16617.0</v>
      </c>
      <c r="B167" s="426" t="s">
        <v>8172</v>
      </c>
      <c r="C167" s="426">
        <v>2014.0</v>
      </c>
      <c r="D167" s="500">
        <v>41941.0</v>
      </c>
      <c r="E167" s="428" t="s">
        <v>8173</v>
      </c>
      <c r="F167" s="397" t="s">
        <v>8174</v>
      </c>
      <c r="G167" s="428" t="s">
        <v>650</v>
      </c>
      <c r="H167" s="397" t="s">
        <v>2964</v>
      </c>
      <c r="I167" s="500">
        <v>42909.0</v>
      </c>
      <c r="J167" s="428">
        <v>6.0</v>
      </c>
      <c r="K167" s="610" t="s">
        <v>228</v>
      </c>
      <c r="L167" s="426" t="s">
        <v>258</v>
      </c>
      <c r="M167" s="319">
        <f t="shared" si="2"/>
        <v>968</v>
      </c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ht="15.75" customHeight="1">
      <c r="A168" s="419">
        <v>16717.0</v>
      </c>
      <c r="B168" s="420" t="s">
        <v>8175</v>
      </c>
      <c r="C168" s="420">
        <v>2009.0</v>
      </c>
      <c r="D168" s="497">
        <v>40023.0</v>
      </c>
      <c r="E168" s="422" t="s">
        <v>8176</v>
      </c>
      <c r="F168" s="394" t="s">
        <v>1464</v>
      </c>
      <c r="G168" s="422" t="s">
        <v>552</v>
      </c>
      <c r="H168" s="394" t="s">
        <v>3519</v>
      </c>
      <c r="I168" s="497">
        <v>42914.0</v>
      </c>
      <c r="J168" s="422">
        <v>6.0</v>
      </c>
      <c r="K168" s="610" t="s">
        <v>228</v>
      </c>
      <c r="L168" s="420" t="s">
        <v>256</v>
      </c>
      <c r="M168" s="316">
        <f t="shared" si="2"/>
        <v>2891</v>
      </c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ht="12.75" customHeight="1">
      <c r="A169" s="425">
        <v>16817.0</v>
      </c>
      <c r="B169" s="426" t="s">
        <v>8177</v>
      </c>
      <c r="C169" s="426">
        <v>2011.0</v>
      </c>
      <c r="D169" s="500">
        <v>40709.0</v>
      </c>
      <c r="E169" s="428" t="s">
        <v>8178</v>
      </c>
      <c r="F169" s="397" t="s">
        <v>44</v>
      </c>
      <c r="G169" s="428" t="s">
        <v>552</v>
      </c>
      <c r="H169" s="397" t="s">
        <v>153</v>
      </c>
      <c r="I169" s="500">
        <v>42915.0</v>
      </c>
      <c r="J169" s="428">
        <v>6.0</v>
      </c>
      <c r="K169" s="610" t="s">
        <v>228</v>
      </c>
      <c r="L169" s="426" t="s">
        <v>258</v>
      </c>
      <c r="M169" s="319">
        <f t="shared" si="2"/>
        <v>2206</v>
      </c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ht="12.75" customHeight="1">
      <c r="A170" s="419">
        <v>16917.0</v>
      </c>
      <c r="B170" s="420" t="s">
        <v>8179</v>
      </c>
      <c r="C170" s="420">
        <v>2014.0</v>
      </c>
      <c r="D170" s="497">
        <v>41950.0</v>
      </c>
      <c r="E170" s="422" t="s">
        <v>8180</v>
      </c>
      <c r="F170" s="394" t="s">
        <v>8181</v>
      </c>
      <c r="G170" s="422" t="s">
        <v>565</v>
      </c>
      <c r="H170" s="394" t="s">
        <v>923</v>
      </c>
      <c r="I170" s="497">
        <v>42915.0</v>
      </c>
      <c r="J170" s="422">
        <v>6.0</v>
      </c>
      <c r="K170" s="607" t="s">
        <v>244</v>
      </c>
      <c r="L170" s="420" t="s">
        <v>260</v>
      </c>
      <c r="M170" s="316">
        <f t="shared" si="2"/>
        <v>965</v>
      </c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ht="12.75" customHeight="1">
      <c r="A171" s="425">
        <v>17017.0</v>
      </c>
      <c r="B171" s="426" t="s">
        <v>8182</v>
      </c>
      <c r="C171" s="426">
        <v>2012.0</v>
      </c>
      <c r="D171" s="500">
        <v>41124.0</v>
      </c>
      <c r="E171" s="428" t="s">
        <v>8183</v>
      </c>
      <c r="F171" s="397" t="s">
        <v>963</v>
      </c>
      <c r="G171" s="428" t="s">
        <v>552</v>
      </c>
      <c r="H171" s="397" t="s">
        <v>130</v>
      </c>
      <c r="I171" s="500">
        <v>42916.0</v>
      </c>
      <c r="J171" s="428">
        <v>6.0</v>
      </c>
      <c r="K171" s="610" t="s">
        <v>228</v>
      </c>
      <c r="L171" s="426" t="s">
        <v>258</v>
      </c>
      <c r="M171" s="319">
        <f t="shared" si="2"/>
        <v>1792</v>
      </c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ht="12.75" customHeight="1">
      <c r="A172" s="419">
        <v>17117.0</v>
      </c>
      <c r="B172" s="420" t="s">
        <v>8184</v>
      </c>
      <c r="C172" s="420">
        <v>2010.0</v>
      </c>
      <c r="D172" s="497">
        <v>40284.0</v>
      </c>
      <c r="E172" s="422" t="s">
        <v>8185</v>
      </c>
      <c r="F172" s="394" t="s">
        <v>595</v>
      </c>
      <c r="G172" s="422" t="s">
        <v>17</v>
      </c>
      <c r="H172" s="394" t="s">
        <v>153</v>
      </c>
      <c r="I172" s="497">
        <v>42916.0</v>
      </c>
      <c r="J172" s="422">
        <v>6.0</v>
      </c>
      <c r="K172" s="610" t="s">
        <v>228</v>
      </c>
      <c r="L172" s="420" t="s">
        <v>254</v>
      </c>
      <c r="M172" s="316">
        <f t="shared" si="2"/>
        <v>2632</v>
      </c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ht="12.75" customHeight="1">
      <c r="A173" s="425">
        <v>17217.0</v>
      </c>
      <c r="B173" s="426" t="s">
        <v>8186</v>
      </c>
      <c r="C173" s="426">
        <v>2014.0</v>
      </c>
      <c r="D173" s="500">
        <v>41694.0</v>
      </c>
      <c r="E173" s="428" t="s">
        <v>8187</v>
      </c>
      <c r="F173" s="397" t="s">
        <v>44</v>
      </c>
      <c r="G173" s="428" t="s">
        <v>17</v>
      </c>
      <c r="H173" s="397" t="s">
        <v>901</v>
      </c>
      <c r="I173" s="500">
        <v>42919.0</v>
      </c>
      <c r="J173" s="428">
        <v>7.0</v>
      </c>
      <c r="K173" s="610" t="s">
        <v>228</v>
      </c>
      <c r="L173" s="426" t="s">
        <v>258</v>
      </c>
      <c r="M173" s="319">
        <f t="shared" si="2"/>
        <v>1225</v>
      </c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ht="12.75" customHeight="1">
      <c r="A174" s="419">
        <v>17317.0</v>
      </c>
      <c r="B174" s="420" t="s">
        <v>8188</v>
      </c>
      <c r="C174" s="420">
        <v>2014.0</v>
      </c>
      <c r="D174" s="497">
        <v>41680.0</v>
      </c>
      <c r="E174" s="422" t="s">
        <v>8189</v>
      </c>
      <c r="F174" s="394" t="s">
        <v>44</v>
      </c>
      <c r="G174" s="422" t="s">
        <v>17</v>
      </c>
      <c r="H174" s="394" t="s">
        <v>740</v>
      </c>
      <c r="I174" s="497">
        <v>42919.0</v>
      </c>
      <c r="J174" s="422">
        <v>7.0</v>
      </c>
      <c r="K174" s="610" t="s">
        <v>228</v>
      </c>
      <c r="L174" s="420" t="s">
        <v>258</v>
      </c>
      <c r="M174" s="316">
        <f t="shared" si="2"/>
        <v>1239</v>
      </c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ht="12.75" customHeight="1">
      <c r="A175" s="425">
        <v>17417.0</v>
      </c>
      <c r="B175" s="426" t="s">
        <v>8190</v>
      </c>
      <c r="C175" s="426">
        <v>2014.0</v>
      </c>
      <c r="D175" s="500">
        <v>41757.0</v>
      </c>
      <c r="E175" s="428" t="s">
        <v>8191</v>
      </c>
      <c r="F175" s="397" t="s">
        <v>44</v>
      </c>
      <c r="G175" s="428" t="s">
        <v>17</v>
      </c>
      <c r="H175" s="397" t="s">
        <v>573</v>
      </c>
      <c r="I175" s="500">
        <v>42919.0</v>
      </c>
      <c r="J175" s="428">
        <v>7.0</v>
      </c>
      <c r="K175" s="610" t="s">
        <v>228</v>
      </c>
      <c r="L175" s="426" t="s">
        <v>258</v>
      </c>
      <c r="M175" s="319">
        <f t="shared" si="2"/>
        <v>1162</v>
      </c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ht="12.75" customHeight="1">
      <c r="A176" s="419">
        <v>17517.0</v>
      </c>
      <c r="B176" s="420" t="s">
        <v>8192</v>
      </c>
      <c r="C176" s="420">
        <v>2013.0</v>
      </c>
      <c r="D176" s="497">
        <v>41590.0</v>
      </c>
      <c r="E176" s="422" t="s">
        <v>8193</v>
      </c>
      <c r="F176" s="394" t="s">
        <v>1554</v>
      </c>
      <c r="G176" s="422" t="s">
        <v>552</v>
      </c>
      <c r="H176" s="394" t="s">
        <v>50</v>
      </c>
      <c r="I176" s="497">
        <v>42921.0</v>
      </c>
      <c r="J176" s="422">
        <v>7.0</v>
      </c>
      <c r="K176" s="609" t="s">
        <v>238</v>
      </c>
      <c r="L176" s="420" t="s">
        <v>258</v>
      </c>
      <c r="M176" s="316">
        <f t="shared" si="2"/>
        <v>1331</v>
      </c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ht="12.75" customHeight="1">
      <c r="A177" s="425">
        <v>17617.0</v>
      </c>
      <c r="B177" s="426" t="s">
        <v>8194</v>
      </c>
      <c r="C177" s="426">
        <v>2010.0</v>
      </c>
      <c r="D177" s="500">
        <v>40485.0</v>
      </c>
      <c r="E177" s="428" t="s">
        <v>8195</v>
      </c>
      <c r="F177" s="397" t="s">
        <v>4355</v>
      </c>
      <c r="G177" s="428" t="s">
        <v>17</v>
      </c>
      <c r="H177" s="397" t="s">
        <v>163</v>
      </c>
      <c r="I177" s="500">
        <v>42921.0</v>
      </c>
      <c r="J177" s="428">
        <v>7.0</v>
      </c>
      <c r="K177" s="607" t="s">
        <v>244</v>
      </c>
      <c r="L177" s="426" t="s">
        <v>254</v>
      </c>
      <c r="M177" s="319">
        <f t="shared" si="2"/>
        <v>2436</v>
      </c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ht="12.75" customHeight="1">
      <c r="A178" s="419">
        <v>17717.0</v>
      </c>
      <c r="B178" s="420" t="s">
        <v>8196</v>
      </c>
      <c r="C178" s="420">
        <v>2014.0</v>
      </c>
      <c r="D178" s="497">
        <v>41683.0</v>
      </c>
      <c r="E178" s="422" t="s">
        <v>8197</v>
      </c>
      <c r="F178" s="394" t="s">
        <v>4355</v>
      </c>
      <c r="G178" s="422" t="s">
        <v>17</v>
      </c>
      <c r="H178" s="394" t="s">
        <v>97</v>
      </c>
      <c r="I178" s="497">
        <v>42922.0</v>
      </c>
      <c r="J178" s="422">
        <v>7.0</v>
      </c>
      <c r="K178" s="607" t="s">
        <v>244</v>
      </c>
      <c r="L178" s="420" t="s">
        <v>254</v>
      </c>
      <c r="M178" s="316">
        <f t="shared" si="2"/>
        <v>1239</v>
      </c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ht="12.75" customHeight="1">
      <c r="A179" s="425">
        <v>17817.0</v>
      </c>
      <c r="B179" s="426" t="s">
        <v>8198</v>
      </c>
      <c r="C179" s="426">
        <v>2011.0</v>
      </c>
      <c r="D179" s="500">
        <v>40619.0</v>
      </c>
      <c r="E179" s="428" t="s">
        <v>8199</v>
      </c>
      <c r="F179" s="397" t="s">
        <v>1544</v>
      </c>
      <c r="G179" s="428" t="s">
        <v>552</v>
      </c>
      <c r="H179" s="397" t="s">
        <v>1501</v>
      </c>
      <c r="I179" s="500">
        <v>42922.0</v>
      </c>
      <c r="J179" s="428">
        <v>7.0</v>
      </c>
      <c r="K179" s="610" t="s">
        <v>228</v>
      </c>
      <c r="L179" s="426" t="s">
        <v>256</v>
      </c>
      <c r="M179" s="319">
        <f t="shared" si="2"/>
        <v>2303</v>
      </c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ht="12.75" customHeight="1">
      <c r="A180" s="419">
        <v>17917.0</v>
      </c>
      <c r="B180" s="420" t="s">
        <v>8200</v>
      </c>
      <c r="C180" s="420">
        <v>2013.0</v>
      </c>
      <c r="D180" s="497">
        <v>41303.0</v>
      </c>
      <c r="E180" s="422" t="s">
        <v>8201</v>
      </c>
      <c r="F180" s="394" t="s">
        <v>4355</v>
      </c>
      <c r="G180" s="422" t="s">
        <v>17</v>
      </c>
      <c r="H180" s="394" t="s">
        <v>66</v>
      </c>
      <c r="I180" s="497">
        <v>42922.0</v>
      </c>
      <c r="J180" s="422">
        <v>7.0</v>
      </c>
      <c r="K180" s="607" t="s">
        <v>244</v>
      </c>
      <c r="L180" s="420" t="s">
        <v>254</v>
      </c>
      <c r="M180" s="316">
        <f t="shared" si="2"/>
        <v>1619</v>
      </c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ht="12.75" customHeight="1">
      <c r="A181" s="425">
        <v>18017.0</v>
      </c>
      <c r="B181" s="426" t="s">
        <v>8202</v>
      </c>
      <c r="C181" s="426">
        <v>2014.0</v>
      </c>
      <c r="D181" s="500">
        <v>41673.0</v>
      </c>
      <c r="E181" s="428" t="s">
        <v>8203</v>
      </c>
      <c r="F181" s="397" t="s">
        <v>595</v>
      </c>
      <c r="G181" s="428" t="s">
        <v>17</v>
      </c>
      <c r="H181" s="397" t="s">
        <v>1421</v>
      </c>
      <c r="I181" s="500">
        <v>42923.0</v>
      </c>
      <c r="J181" s="428">
        <v>7.0</v>
      </c>
      <c r="K181" s="609" t="s">
        <v>238</v>
      </c>
      <c r="L181" s="426" t="s">
        <v>254</v>
      </c>
      <c r="M181" s="319">
        <f t="shared" si="2"/>
        <v>1250</v>
      </c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ht="12.75" customHeight="1">
      <c r="A182" s="419">
        <v>18117.0</v>
      </c>
      <c r="B182" s="420" t="s">
        <v>8204</v>
      </c>
      <c r="C182" s="420">
        <v>2014.0</v>
      </c>
      <c r="D182" s="497">
        <v>41907.0</v>
      </c>
      <c r="E182" s="422" t="s">
        <v>8205</v>
      </c>
      <c r="F182" s="394" t="s">
        <v>595</v>
      </c>
      <c r="G182" s="422" t="s">
        <v>17</v>
      </c>
      <c r="H182" s="394" t="s">
        <v>163</v>
      </c>
      <c r="I182" s="497">
        <v>42923.0</v>
      </c>
      <c r="J182" s="422">
        <v>7.0</v>
      </c>
      <c r="K182" s="609" t="s">
        <v>238</v>
      </c>
      <c r="L182" s="420" t="s">
        <v>254</v>
      </c>
      <c r="M182" s="316">
        <f t="shared" si="2"/>
        <v>1016</v>
      </c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ht="12.75" customHeight="1">
      <c r="A183" s="425">
        <v>18217.0</v>
      </c>
      <c r="B183" s="426" t="s">
        <v>8206</v>
      </c>
      <c r="C183" s="426">
        <v>2012.0</v>
      </c>
      <c r="D183" s="500">
        <v>41024.0</v>
      </c>
      <c r="E183" s="428" t="s">
        <v>8207</v>
      </c>
      <c r="F183" s="397" t="s">
        <v>563</v>
      </c>
      <c r="G183" s="428" t="s">
        <v>17</v>
      </c>
      <c r="H183" s="397" t="s">
        <v>7847</v>
      </c>
      <c r="I183" s="500">
        <v>42923.0</v>
      </c>
      <c r="J183" s="428">
        <v>7.0</v>
      </c>
      <c r="K183" s="608" t="s">
        <v>234</v>
      </c>
      <c r="L183" s="426" t="s">
        <v>256</v>
      </c>
      <c r="M183" s="319">
        <f t="shared" si="2"/>
        <v>1899</v>
      </c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ht="14.25" customHeight="1">
      <c r="A184" s="419">
        <v>18317.0</v>
      </c>
      <c r="B184" s="420" t="s">
        <v>8208</v>
      </c>
      <c r="C184" s="420">
        <v>2009.0</v>
      </c>
      <c r="D184" s="497">
        <v>39882.0</v>
      </c>
      <c r="E184" s="422" t="s">
        <v>8209</v>
      </c>
      <c r="F184" s="394" t="s">
        <v>595</v>
      </c>
      <c r="G184" s="422" t="s">
        <v>552</v>
      </c>
      <c r="H184" s="394" t="s">
        <v>163</v>
      </c>
      <c r="I184" s="497">
        <v>42923.0</v>
      </c>
      <c r="J184" s="422">
        <v>7.0</v>
      </c>
      <c r="K184" s="610" t="s">
        <v>228</v>
      </c>
      <c r="L184" s="420" t="s">
        <v>254</v>
      </c>
      <c r="M184" s="316">
        <f t="shared" si="2"/>
        <v>3041</v>
      </c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ht="12.75" customHeight="1">
      <c r="A185" s="425">
        <v>18417.0</v>
      </c>
      <c r="B185" s="426" t="s">
        <v>8210</v>
      </c>
      <c r="C185" s="426">
        <v>2011.0</v>
      </c>
      <c r="D185" s="500">
        <v>40767.0</v>
      </c>
      <c r="E185" s="428" t="s">
        <v>8211</v>
      </c>
      <c r="F185" s="397" t="s">
        <v>1232</v>
      </c>
      <c r="G185" s="428" t="s">
        <v>17</v>
      </c>
      <c r="H185" s="397" t="s">
        <v>97</v>
      </c>
      <c r="I185" s="500">
        <v>42928.0</v>
      </c>
      <c r="J185" s="428">
        <v>7.0</v>
      </c>
      <c r="K185" s="610" t="s">
        <v>228</v>
      </c>
      <c r="L185" s="426" t="s">
        <v>256</v>
      </c>
      <c r="M185" s="319">
        <f t="shared" si="2"/>
        <v>2161</v>
      </c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ht="12.75" customHeight="1">
      <c r="A186" s="419">
        <v>18517.0</v>
      </c>
      <c r="B186" s="420" t="s">
        <v>8212</v>
      </c>
      <c r="C186" s="420">
        <v>2014.0</v>
      </c>
      <c r="D186" s="497">
        <v>41667.0</v>
      </c>
      <c r="E186" s="422" t="s">
        <v>8213</v>
      </c>
      <c r="F186" s="394" t="s">
        <v>3572</v>
      </c>
      <c r="G186" s="422" t="s">
        <v>17</v>
      </c>
      <c r="H186" s="394" t="s">
        <v>66</v>
      </c>
      <c r="I186" s="497">
        <v>42928.0</v>
      </c>
      <c r="J186" s="422">
        <v>7.0</v>
      </c>
      <c r="K186" s="609" t="s">
        <v>238</v>
      </c>
      <c r="L186" s="420" t="s">
        <v>256</v>
      </c>
      <c r="M186" s="316">
        <f t="shared" si="2"/>
        <v>1261</v>
      </c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ht="12.75" customHeight="1">
      <c r="A187" s="425">
        <v>18617.0</v>
      </c>
      <c r="B187" s="426" t="s">
        <v>8214</v>
      </c>
      <c r="C187" s="426">
        <v>2015.0</v>
      </c>
      <c r="D187" s="500">
        <v>42285.0</v>
      </c>
      <c r="E187" s="428" t="s">
        <v>8215</v>
      </c>
      <c r="F187" s="397" t="s">
        <v>8216</v>
      </c>
      <c r="G187" s="428" t="s">
        <v>552</v>
      </c>
      <c r="H187" s="397" t="s">
        <v>740</v>
      </c>
      <c r="I187" s="500">
        <v>42929.0</v>
      </c>
      <c r="J187" s="428">
        <v>7.0</v>
      </c>
      <c r="K187" s="609" t="s">
        <v>238</v>
      </c>
      <c r="L187" s="426" t="s">
        <v>254</v>
      </c>
      <c r="M187" s="319">
        <f t="shared" si="2"/>
        <v>644</v>
      </c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ht="12.75" customHeight="1">
      <c r="A188" s="419">
        <v>18717.0</v>
      </c>
      <c r="B188" s="420" t="s">
        <v>8217</v>
      </c>
      <c r="C188" s="420">
        <v>2012.0</v>
      </c>
      <c r="D188" s="497">
        <v>41151.0</v>
      </c>
      <c r="E188" s="422" t="s">
        <v>8218</v>
      </c>
      <c r="F188" s="394" t="s">
        <v>1232</v>
      </c>
      <c r="G188" s="422" t="s">
        <v>17</v>
      </c>
      <c r="H188" s="394" t="s">
        <v>112</v>
      </c>
      <c r="I188" s="497">
        <v>42929.0</v>
      </c>
      <c r="J188" s="422">
        <v>7.0</v>
      </c>
      <c r="K188" s="610" t="s">
        <v>228</v>
      </c>
      <c r="L188" s="420" t="s">
        <v>256</v>
      </c>
      <c r="M188" s="316">
        <f t="shared" si="2"/>
        <v>1778</v>
      </c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ht="12.75" customHeight="1">
      <c r="A189" s="425">
        <v>18817.0</v>
      </c>
      <c r="B189" s="426" t="s">
        <v>8219</v>
      </c>
      <c r="C189" s="426">
        <v>2015.0</v>
      </c>
      <c r="D189" s="500">
        <v>42222.0</v>
      </c>
      <c r="E189" s="428" t="s">
        <v>8220</v>
      </c>
      <c r="F189" s="397" t="s">
        <v>8122</v>
      </c>
      <c r="G189" s="428" t="s">
        <v>547</v>
      </c>
      <c r="H189" s="397" t="s">
        <v>651</v>
      </c>
      <c r="I189" s="500">
        <v>42930.0</v>
      </c>
      <c r="J189" s="428">
        <v>7.0</v>
      </c>
      <c r="K189" s="610" t="s">
        <v>228</v>
      </c>
      <c r="L189" s="426" t="s">
        <v>258</v>
      </c>
      <c r="M189" s="319">
        <f t="shared" si="2"/>
        <v>708</v>
      </c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ht="12.75" customHeight="1">
      <c r="A190" s="419">
        <v>18917.0</v>
      </c>
      <c r="B190" s="420" t="s">
        <v>8221</v>
      </c>
      <c r="C190" s="420">
        <v>2012.0</v>
      </c>
      <c r="D190" s="497">
        <v>41009.0</v>
      </c>
      <c r="E190" s="422" t="s">
        <v>8222</v>
      </c>
      <c r="F190" s="394" t="s">
        <v>595</v>
      </c>
      <c r="G190" s="422" t="s">
        <v>552</v>
      </c>
      <c r="H190" s="394" t="s">
        <v>5016</v>
      </c>
      <c r="I190" s="497">
        <v>42933.0</v>
      </c>
      <c r="J190" s="422">
        <v>7.0</v>
      </c>
      <c r="K190" s="610" t="s">
        <v>228</v>
      </c>
      <c r="L190" s="420" t="s">
        <v>254</v>
      </c>
      <c r="M190" s="316">
        <f t="shared" si="2"/>
        <v>1924</v>
      </c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ht="12.75" customHeight="1">
      <c r="A191" s="425">
        <v>19017.0</v>
      </c>
      <c r="B191" s="426" t="s">
        <v>8223</v>
      </c>
      <c r="C191" s="426">
        <v>2014.0</v>
      </c>
      <c r="D191" s="500">
        <v>41996.0</v>
      </c>
      <c r="E191" s="428" t="s">
        <v>8224</v>
      </c>
      <c r="F191" s="397" t="s">
        <v>171</v>
      </c>
      <c r="G191" s="428" t="s">
        <v>552</v>
      </c>
      <c r="H191" s="397" t="s">
        <v>153</v>
      </c>
      <c r="I191" s="500">
        <v>42935.0</v>
      </c>
      <c r="J191" s="428">
        <v>7.0</v>
      </c>
      <c r="K191" s="609" t="s">
        <v>238</v>
      </c>
      <c r="L191" s="426" t="s">
        <v>256</v>
      </c>
      <c r="M191" s="319">
        <f t="shared" si="2"/>
        <v>939</v>
      </c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ht="12.75" customHeight="1">
      <c r="A192" s="419">
        <v>19117.0</v>
      </c>
      <c r="B192" s="420" t="s">
        <v>8225</v>
      </c>
      <c r="C192" s="420">
        <v>2012.0</v>
      </c>
      <c r="D192" s="497">
        <v>41150.0</v>
      </c>
      <c r="E192" s="422" t="s">
        <v>8226</v>
      </c>
      <c r="F192" s="394" t="s">
        <v>1843</v>
      </c>
      <c r="G192" s="422" t="s">
        <v>17</v>
      </c>
      <c r="H192" s="394" t="s">
        <v>775</v>
      </c>
      <c r="I192" s="497">
        <v>42935.0</v>
      </c>
      <c r="J192" s="422">
        <v>7.0</v>
      </c>
      <c r="K192" s="609" t="s">
        <v>238</v>
      </c>
      <c r="L192" s="420" t="s">
        <v>260</v>
      </c>
      <c r="M192" s="316">
        <f t="shared" si="2"/>
        <v>1785</v>
      </c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ht="12.75" customHeight="1">
      <c r="A193" s="425">
        <v>19217.0</v>
      </c>
      <c r="B193" s="426" t="s">
        <v>8227</v>
      </c>
      <c r="C193" s="426">
        <v>2011.0</v>
      </c>
      <c r="D193" s="500">
        <v>40834.0</v>
      </c>
      <c r="E193" s="428" t="s">
        <v>8228</v>
      </c>
      <c r="F193" s="397" t="s">
        <v>2905</v>
      </c>
      <c r="G193" s="428" t="s">
        <v>552</v>
      </c>
      <c r="H193" s="397" t="s">
        <v>130</v>
      </c>
      <c r="I193" s="500">
        <v>42936.0</v>
      </c>
      <c r="J193" s="428">
        <v>7.0</v>
      </c>
      <c r="K193" s="610" t="s">
        <v>228</v>
      </c>
      <c r="L193" s="426" t="s">
        <v>256</v>
      </c>
      <c r="M193" s="319">
        <f t="shared" si="2"/>
        <v>2102</v>
      </c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ht="12.75" customHeight="1">
      <c r="A194" s="419">
        <v>19317.0</v>
      </c>
      <c r="B194" s="420" t="s">
        <v>8229</v>
      </c>
      <c r="C194" s="420">
        <v>2012.0</v>
      </c>
      <c r="D194" s="497">
        <v>41107.0</v>
      </c>
      <c r="E194" s="422" t="s">
        <v>8230</v>
      </c>
      <c r="F194" s="394" t="s">
        <v>2905</v>
      </c>
      <c r="G194" s="422" t="s">
        <v>552</v>
      </c>
      <c r="H194" s="394" t="s">
        <v>130</v>
      </c>
      <c r="I194" s="497">
        <v>42936.0</v>
      </c>
      <c r="J194" s="422">
        <v>7.0</v>
      </c>
      <c r="K194" s="610" t="s">
        <v>228</v>
      </c>
      <c r="L194" s="420" t="s">
        <v>256</v>
      </c>
      <c r="M194" s="316">
        <f t="shared" si="2"/>
        <v>1829</v>
      </c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ht="12.75" customHeight="1">
      <c r="A195" s="425">
        <v>19417.0</v>
      </c>
      <c r="B195" s="426" t="s">
        <v>8231</v>
      </c>
      <c r="C195" s="426">
        <v>2012.0</v>
      </c>
      <c r="D195" s="500">
        <v>41107.0</v>
      </c>
      <c r="E195" s="428" t="s">
        <v>8232</v>
      </c>
      <c r="F195" s="397" t="s">
        <v>2905</v>
      </c>
      <c r="G195" s="428" t="s">
        <v>552</v>
      </c>
      <c r="H195" s="397" t="s">
        <v>130</v>
      </c>
      <c r="I195" s="500">
        <v>42936.0</v>
      </c>
      <c r="J195" s="428">
        <v>7.0</v>
      </c>
      <c r="K195" s="610" t="s">
        <v>228</v>
      </c>
      <c r="L195" s="426" t="s">
        <v>256</v>
      </c>
      <c r="M195" s="319">
        <f t="shared" si="2"/>
        <v>1829</v>
      </c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ht="12.75" customHeight="1">
      <c r="A196" s="419">
        <v>19517.0</v>
      </c>
      <c r="B196" s="420" t="s">
        <v>8233</v>
      </c>
      <c r="C196" s="420">
        <v>2013.0</v>
      </c>
      <c r="D196" s="497">
        <v>41600.0</v>
      </c>
      <c r="E196" s="422" t="s">
        <v>8234</v>
      </c>
      <c r="F196" s="394" t="s">
        <v>7186</v>
      </c>
      <c r="G196" s="422" t="s">
        <v>552</v>
      </c>
      <c r="H196" s="394" t="s">
        <v>583</v>
      </c>
      <c r="I196" s="497">
        <v>42936.0</v>
      </c>
      <c r="J196" s="422">
        <v>7.0</v>
      </c>
      <c r="K196" s="610" t="s">
        <v>228</v>
      </c>
      <c r="L196" s="420" t="s">
        <v>258</v>
      </c>
      <c r="M196" s="316">
        <f t="shared" si="2"/>
        <v>1336</v>
      </c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ht="12.75" customHeight="1">
      <c r="A197" s="425">
        <v>19617.0</v>
      </c>
      <c r="B197" s="426" t="s">
        <v>8235</v>
      </c>
      <c r="C197" s="426">
        <v>2012.0</v>
      </c>
      <c r="D197" s="500">
        <v>41186.0</v>
      </c>
      <c r="E197" s="428" t="s">
        <v>8236</v>
      </c>
      <c r="F197" s="397" t="s">
        <v>1968</v>
      </c>
      <c r="G197" s="428" t="s">
        <v>552</v>
      </c>
      <c r="H197" s="397" t="s">
        <v>5016</v>
      </c>
      <c r="I197" s="500">
        <v>42940.0</v>
      </c>
      <c r="J197" s="428">
        <v>7.0</v>
      </c>
      <c r="K197" s="607" t="s">
        <v>244</v>
      </c>
      <c r="L197" s="426" t="s">
        <v>256</v>
      </c>
      <c r="M197" s="319">
        <f t="shared" si="2"/>
        <v>1754</v>
      </c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ht="12.75" customHeight="1">
      <c r="A198" s="419">
        <v>19717.0</v>
      </c>
      <c r="B198" s="420" t="s">
        <v>8237</v>
      </c>
      <c r="C198" s="420">
        <v>2016.0</v>
      </c>
      <c r="D198" s="497">
        <v>42459.0</v>
      </c>
      <c r="E198" s="422" t="s">
        <v>8238</v>
      </c>
      <c r="F198" s="394" t="s">
        <v>595</v>
      </c>
      <c r="G198" s="422" t="s">
        <v>46</v>
      </c>
      <c r="H198" s="394" t="s">
        <v>923</v>
      </c>
      <c r="I198" s="497">
        <v>42941.0</v>
      </c>
      <c r="J198" s="422">
        <v>7.0</v>
      </c>
      <c r="K198" s="609" t="s">
        <v>238</v>
      </c>
      <c r="L198" s="420" t="s">
        <v>256</v>
      </c>
      <c r="M198" s="316">
        <f t="shared" si="2"/>
        <v>482</v>
      </c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ht="12.75" customHeight="1">
      <c r="A199" s="425">
        <v>19817.0</v>
      </c>
      <c r="B199" s="426" t="s">
        <v>8239</v>
      </c>
      <c r="C199" s="426">
        <v>2011.0</v>
      </c>
      <c r="D199" s="500">
        <v>40752.0</v>
      </c>
      <c r="E199" s="428" t="s">
        <v>8240</v>
      </c>
      <c r="F199" s="397" t="s">
        <v>1544</v>
      </c>
      <c r="G199" s="428" t="s">
        <v>552</v>
      </c>
      <c r="H199" s="397" t="s">
        <v>153</v>
      </c>
      <c r="I199" s="500">
        <v>42947.0</v>
      </c>
      <c r="J199" s="428">
        <v>7.0</v>
      </c>
      <c r="K199" s="610" t="s">
        <v>228</v>
      </c>
      <c r="L199" s="426" t="s">
        <v>256</v>
      </c>
      <c r="M199" s="319">
        <f t="shared" si="2"/>
        <v>2195</v>
      </c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ht="12.75" customHeight="1">
      <c r="A200" s="419">
        <v>19917.0</v>
      </c>
      <c r="B200" s="420" t="s">
        <v>8241</v>
      </c>
      <c r="C200" s="420">
        <v>2014.0</v>
      </c>
      <c r="D200" s="497">
        <v>41988.0</v>
      </c>
      <c r="E200" s="422" t="s">
        <v>8242</v>
      </c>
      <c r="F200" s="394" t="s">
        <v>660</v>
      </c>
      <c r="G200" s="422" t="s">
        <v>552</v>
      </c>
      <c r="H200" s="394" t="s">
        <v>583</v>
      </c>
      <c r="I200" s="497">
        <v>42947.0</v>
      </c>
      <c r="J200" s="422">
        <v>7.0</v>
      </c>
      <c r="K200" s="610" t="s">
        <v>228</v>
      </c>
      <c r="L200" s="420" t="s">
        <v>256</v>
      </c>
      <c r="M200" s="316">
        <f t="shared" si="2"/>
        <v>959</v>
      </c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ht="12.75" customHeight="1">
      <c r="A201" s="425">
        <v>20017.0</v>
      </c>
      <c r="B201" s="426" t="s">
        <v>8243</v>
      </c>
      <c r="C201" s="426">
        <v>2008.0</v>
      </c>
      <c r="D201" s="500">
        <v>39777.0</v>
      </c>
      <c r="E201" s="428" t="s">
        <v>8244</v>
      </c>
      <c r="F201" s="397" t="s">
        <v>963</v>
      </c>
      <c r="G201" s="428" t="s">
        <v>650</v>
      </c>
      <c r="H201" s="397" t="s">
        <v>2325</v>
      </c>
      <c r="I201" s="500">
        <v>42947.0</v>
      </c>
      <c r="J201" s="428">
        <v>7.0</v>
      </c>
      <c r="K201" s="608" t="s">
        <v>234</v>
      </c>
      <c r="L201" s="426" t="s">
        <v>258</v>
      </c>
      <c r="M201" s="319">
        <f t="shared" si="2"/>
        <v>3170</v>
      </c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ht="12.75" customHeight="1">
      <c r="A202" s="419">
        <v>20117.0</v>
      </c>
      <c r="B202" s="420" t="s">
        <v>8245</v>
      </c>
      <c r="C202" s="420">
        <v>2014.0</v>
      </c>
      <c r="D202" s="497">
        <v>41908.0</v>
      </c>
      <c r="E202" s="422" t="s">
        <v>8246</v>
      </c>
      <c r="F202" s="394" t="s">
        <v>711</v>
      </c>
      <c r="G202" s="422" t="s">
        <v>17</v>
      </c>
      <c r="H202" s="394" t="s">
        <v>4553</v>
      </c>
      <c r="I202" s="497">
        <v>42947.0</v>
      </c>
      <c r="J202" s="422">
        <v>7.0</v>
      </c>
      <c r="K202" s="609" t="s">
        <v>238</v>
      </c>
      <c r="L202" s="420" t="s">
        <v>256</v>
      </c>
      <c r="M202" s="316">
        <f t="shared" si="2"/>
        <v>1039</v>
      </c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ht="12.75" customHeight="1">
      <c r="A203" s="425">
        <v>20217.0</v>
      </c>
      <c r="B203" s="426" t="s">
        <v>8247</v>
      </c>
      <c r="C203" s="426">
        <v>2015.0</v>
      </c>
      <c r="D203" s="500">
        <v>42305.0</v>
      </c>
      <c r="E203" s="428" t="s">
        <v>8248</v>
      </c>
      <c r="F203" s="397" t="s">
        <v>711</v>
      </c>
      <c r="G203" s="428" t="s">
        <v>17</v>
      </c>
      <c r="H203" s="397" t="s">
        <v>1421</v>
      </c>
      <c r="I203" s="500">
        <v>42947.0</v>
      </c>
      <c r="J203" s="428">
        <v>7.0</v>
      </c>
      <c r="K203" s="609" t="s">
        <v>238</v>
      </c>
      <c r="L203" s="426" t="s">
        <v>256</v>
      </c>
      <c r="M203" s="319">
        <f t="shared" si="2"/>
        <v>642</v>
      </c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ht="12.75" customHeight="1">
      <c r="A204" s="419">
        <v>20317.0</v>
      </c>
      <c r="B204" s="420" t="s">
        <v>8249</v>
      </c>
      <c r="C204" s="420">
        <v>2015.0</v>
      </c>
      <c r="D204" s="497">
        <v>42311.0</v>
      </c>
      <c r="E204" s="422" t="s">
        <v>8250</v>
      </c>
      <c r="F204" s="394" t="s">
        <v>711</v>
      </c>
      <c r="G204" s="422" t="s">
        <v>17</v>
      </c>
      <c r="H204" s="394" t="s">
        <v>7988</v>
      </c>
      <c r="I204" s="497">
        <v>42947.0</v>
      </c>
      <c r="J204" s="422">
        <v>7.0</v>
      </c>
      <c r="K204" s="609" t="s">
        <v>238</v>
      </c>
      <c r="L204" s="420" t="s">
        <v>256</v>
      </c>
      <c r="M204" s="316">
        <f t="shared" si="2"/>
        <v>636</v>
      </c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ht="12.75" customHeight="1">
      <c r="A205" s="425">
        <v>20417.0</v>
      </c>
      <c r="B205" s="426" t="s">
        <v>8251</v>
      </c>
      <c r="C205" s="426">
        <v>2016.0</v>
      </c>
      <c r="D205" s="500">
        <v>42566.0</v>
      </c>
      <c r="E205" s="428" t="s">
        <v>8252</v>
      </c>
      <c r="F205" s="397" t="s">
        <v>711</v>
      </c>
      <c r="G205" s="428" t="s">
        <v>17</v>
      </c>
      <c r="H205" s="397" t="s">
        <v>573</v>
      </c>
      <c r="I205" s="500">
        <v>42948.0</v>
      </c>
      <c r="J205" s="428">
        <v>8.0</v>
      </c>
      <c r="K205" s="609" t="s">
        <v>238</v>
      </c>
      <c r="L205" s="426" t="s">
        <v>256</v>
      </c>
      <c r="M205" s="319">
        <f t="shared" si="2"/>
        <v>382</v>
      </c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ht="12.75" customHeight="1">
      <c r="A206" s="419">
        <v>20517.0</v>
      </c>
      <c r="B206" s="420" t="s">
        <v>8253</v>
      </c>
      <c r="C206" s="420">
        <v>2016.0</v>
      </c>
      <c r="D206" s="497">
        <v>42607.0</v>
      </c>
      <c r="E206" s="422" t="s">
        <v>8254</v>
      </c>
      <c r="F206" s="394" t="s">
        <v>711</v>
      </c>
      <c r="G206" s="422" t="s">
        <v>17</v>
      </c>
      <c r="H206" s="394" t="s">
        <v>125</v>
      </c>
      <c r="I206" s="497">
        <v>42948.0</v>
      </c>
      <c r="J206" s="422">
        <v>8.0</v>
      </c>
      <c r="K206" s="609" t="s">
        <v>238</v>
      </c>
      <c r="L206" s="420" t="s">
        <v>256</v>
      </c>
      <c r="M206" s="316">
        <f t="shared" si="2"/>
        <v>341</v>
      </c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ht="12.75" customHeight="1">
      <c r="A207" s="425">
        <v>20617.0</v>
      </c>
      <c r="B207" s="426" t="s">
        <v>8255</v>
      </c>
      <c r="C207" s="426">
        <v>2015.0</v>
      </c>
      <c r="D207" s="500">
        <v>42235.0</v>
      </c>
      <c r="E207" s="428" t="s">
        <v>8256</v>
      </c>
      <c r="F207" s="397" t="s">
        <v>8257</v>
      </c>
      <c r="G207" s="428" t="s">
        <v>650</v>
      </c>
      <c r="H207" s="397" t="s">
        <v>573</v>
      </c>
      <c r="I207" s="500">
        <v>42948.0</v>
      </c>
      <c r="J207" s="428">
        <v>8.0</v>
      </c>
      <c r="K207" s="608" t="s">
        <v>234</v>
      </c>
      <c r="L207" s="426" t="s">
        <v>256</v>
      </c>
      <c r="M207" s="319">
        <f t="shared" si="2"/>
        <v>713</v>
      </c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ht="12.75" customHeight="1">
      <c r="A208" s="419">
        <v>20717.0</v>
      </c>
      <c r="B208" s="420" t="s">
        <v>8258</v>
      </c>
      <c r="C208" s="420">
        <v>2014.0</v>
      </c>
      <c r="D208" s="497">
        <v>41991.0</v>
      </c>
      <c r="E208" s="422" t="s">
        <v>8259</v>
      </c>
      <c r="F208" s="394" t="s">
        <v>719</v>
      </c>
      <c r="G208" s="422" t="s">
        <v>552</v>
      </c>
      <c r="H208" s="394" t="s">
        <v>153</v>
      </c>
      <c r="I208" s="497">
        <v>42949.0</v>
      </c>
      <c r="J208" s="422">
        <v>8.0</v>
      </c>
      <c r="K208" s="608" t="s">
        <v>234</v>
      </c>
      <c r="L208" s="420" t="s">
        <v>256</v>
      </c>
      <c r="M208" s="316">
        <f t="shared" si="2"/>
        <v>958</v>
      </c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ht="12.75" customHeight="1">
      <c r="A209" s="425">
        <v>20817.0</v>
      </c>
      <c r="B209" s="426" t="s">
        <v>8260</v>
      </c>
      <c r="C209" s="426">
        <v>2014.0</v>
      </c>
      <c r="D209" s="500">
        <v>41992.0</v>
      </c>
      <c r="E209" s="428" t="s">
        <v>8261</v>
      </c>
      <c r="F209" s="397" t="s">
        <v>719</v>
      </c>
      <c r="G209" s="428" t="s">
        <v>552</v>
      </c>
      <c r="H209" s="397" t="s">
        <v>153</v>
      </c>
      <c r="I209" s="500">
        <v>42949.0</v>
      </c>
      <c r="J209" s="428">
        <v>8.0</v>
      </c>
      <c r="K209" s="608" t="s">
        <v>234</v>
      </c>
      <c r="L209" s="426" t="s">
        <v>256</v>
      </c>
      <c r="M209" s="319">
        <f t="shared" si="2"/>
        <v>957</v>
      </c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ht="12.75" customHeight="1">
      <c r="A210" s="419">
        <v>20917.0</v>
      </c>
      <c r="B210" s="420" t="s">
        <v>8262</v>
      </c>
      <c r="C210" s="420">
        <v>2014.0</v>
      </c>
      <c r="D210" s="497">
        <v>41989.0</v>
      </c>
      <c r="E210" s="422" t="s">
        <v>8263</v>
      </c>
      <c r="F210" s="394" t="s">
        <v>719</v>
      </c>
      <c r="G210" s="422" t="s">
        <v>552</v>
      </c>
      <c r="H210" s="394" t="s">
        <v>153</v>
      </c>
      <c r="I210" s="497">
        <v>42949.0</v>
      </c>
      <c r="J210" s="422">
        <v>8.0</v>
      </c>
      <c r="K210" s="608" t="s">
        <v>234</v>
      </c>
      <c r="L210" s="420" t="s">
        <v>256</v>
      </c>
      <c r="M210" s="316">
        <f t="shared" si="2"/>
        <v>960</v>
      </c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ht="12.75" customHeight="1">
      <c r="A211" s="425">
        <v>21017.0</v>
      </c>
      <c r="B211" s="426" t="s">
        <v>8264</v>
      </c>
      <c r="C211" s="426">
        <v>2009.0</v>
      </c>
      <c r="D211" s="500">
        <v>39962.0</v>
      </c>
      <c r="E211" s="428" t="s">
        <v>8265</v>
      </c>
      <c r="F211" s="397" t="s">
        <v>3505</v>
      </c>
      <c r="G211" s="428" t="s">
        <v>552</v>
      </c>
      <c r="H211" s="397" t="s">
        <v>901</v>
      </c>
      <c r="I211" s="500">
        <v>42949.0</v>
      </c>
      <c r="J211" s="428">
        <v>8.0</v>
      </c>
      <c r="K211" s="610" t="s">
        <v>228</v>
      </c>
      <c r="L211" s="426" t="s">
        <v>256</v>
      </c>
      <c r="M211" s="319">
        <f t="shared" si="2"/>
        <v>2987</v>
      </c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ht="12.75" customHeight="1">
      <c r="A212" s="419">
        <v>21117.0</v>
      </c>
      <c r="B212" s="420" t="s">
        <v>8266</v>
      </c>
      <c r="C212" s="420">
        <v>2013.0</v>
      </c>
      <c r="D212" s="497">
        <v>41359.0</v>
      </c>
      <c r="E212" s="422" t="s">
        <v>8267</v>
      </c>
      <c r="F212" s="394" t="s">
        <v>8122</v>
      </c>
      <c r="G212" s="422" t="s">
        <v>547</v>
      </c>
      <c r="H212" s="394" t="s">
        <v>651</v>
      </c>
      <c r="I212" s="497">
        <v>42949.0</v>
      </c>
      <c r="J212" s="422">
        <v>8.0</v>
      </c>
      <c r="K212" s="610" t="s">
        <v>228</v>
      </c>
      <c r="L212" s="420" t="s">
        <v>258</v>
      </c>
      <c r="M212" s="316">
        <f t="shared" si="2"/>
        <v>1590</v>
      </c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ht="12.75" customHeight="1">
      <c r="A213" s="425">
        <v>21217.0</v>
      </c>
      <c r="B213" s="426" t="s">
        <v>8268</v>
      </c>
      <c r="C213" s="426">
        <v>2012.0</v>
      </c>
      <c r="D213" s="500">
        <v>41264.0</v>
      </c>
      <c r="E213" s="428" t="s">
        <v>8269</v>
      </c>
      <c r="F213" s="397" t="s">
        <v>1985</v>
      </c>
      <c r="G213" s="428" t="s">
        <v>17</v>
      </c>
      <c r="H213" s="397" t="s">
        <v>573</v>
      </c>
      <c r="I213" s="500">
        <v>42949.0</v>
      </c>
      <c r="J213" s="428">
        <v>8.0</v>
      </c>
      <c r="K213" s="608" t="s">
        <v>234</v>
      </c>
      <c r="L213" s="426" t="s">
        <v>256</v>
      </c>
      <c r="M213" s="319">
        <f t="shared" si="2"/>
        <v>1685</v>
      </c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ht="12.75" customHeight="1">
      <c r="A214" s="419">
        <v>21317.0</v>
      </c>
      <c r="B214" s="420" t="s">
        <v>8270</v>
      </c>
      <c r="C214" s="420">
        <v>2012.0</v>
      </c>
      <c r="D214" s="497">
        <v>41176.0</v>
      </c>
      <c r="E214" s="422" t="s">
        <v>8271</v>
      </c>
      <c r="F214" s="394" t="s">
        <v>5247</v>
      </c>
      <c r="G214" s="422" t="s">
        <v>17</v>
      </c>
      <c r="H214" s="394" t="s">
        <v>775</v>
      </c>
      <c r="I214" s="497">
        <v>42950.0</v>
      </c>
      <c r="J214" s="422">
        <v>8.0</v>
      </c>
      <c r="K214" s="609" t="s">
        <v>238</v>
      </c>
      <c r="L214" s="420" t="s">
        <v>256</v>
      </c>
      <c r="M214" s="316">
        <f t="shared" si="2"/>
        <v>1774</v>
      </c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ht="12.75" customHeight="1">
      <c r="A215" s="425">
        <v>21417.0</v>
      </c>
      <c r="B215" s="426" t="s">
        <v>8272</v>
      </c>
      <c r="C215" s="426">
        <v>2010.0</v>
      </c>
      <c r="D215" s="500">
        <v>40508.0</v>
      </c>
      <c r="E215" s="428" t="s">
        <v>8273</v>
      </c>
      <c r="F215" s="397" t="s">
        <v>963</v>
      </c>
      <c r="G215" s="428" t="s">
        <v>17</v>
      </c>
      <c r="H215" s="397" t="s">
        <v>8274</v>
      </c>
      <c r="I215" s="500">
        <v>42950.0</v>
      </c>
      <c r="J215" s="428">
        <v>8.0</v>
      </c>
      <c r="K215" s="610" t="s">
        <v>228</v>
      </c>
      <c r="L215" s="426" t="s">
        <v>258</v>
      </c>
      <c r="M215" s="319">
        <f t="shared" si="2"/>
        <v>2442</v>
      </c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ht="12.75" customHeight="1">
      <c r="A216" s="419">
        <v>21517.0</v>
      </c>
      <c r="B216" s="420" t="s">
        <v>8275</v>
      </c>
      <c r="C216" s="420">
        <v>2009.0</v>
      </c>
      <c r="D216" s="497">
        <v>40170.0</v>
      </c>
      <c r="E216" s="422" t="s">
        <v>8276</v>
      </c>
      <c r="F216" s="394" t="s">
        <v>563</v>
      </c>
      <c r="G216" s="422" t="s">
        <v>552</v>
      </c>
      <c r="H216" s="394" t="s">
        <v>163</v>
      </c>
      <c r="I216" s="497">
        <v>42951.0</v>
      </c>
      <c r="J216" s="422">
        <v>8.0</v>
      </c>
      <c r="K216" s="609" t="s">
        <v>238</v>
      </c>
      <c r="L216" s="420" t="s">
        <v>256</v>
      </c>
      <c r="M216" s="316">
        <f t="shared" si="2"/>
        <v>2781</v>
      </c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ht="12.75" customHeight="1">
      <c r="A217" s="425">
        <v>21617.0</v>
      </c>
      <c r="B217" s="426" t="s">
        <v>8277</v>
      </c>
      <c r="C217" s="426">
        <v>2011.0</v>
      </c>
      <c r="D217" s="500">
        <v>40886.0</v>
      </c>
      <c r="E217" s="428" t="s">
        <v>8278</v>
      </c>
      <c r="F217" s="397" t="s">
        <v>162</v>
      </c>
      <c r="G217" s="428" t="s">
        <v>552</v>
      </c>
      <c r="H217" s="397" t="s">
        <v>740</v>
      </c>
      <c r="I217" s="500">
        <v>42951.0</v>
      </c>
      <c r="J217" s="428">
        <v>8.0</v>
      </c>
      <c r="K217" s="610" t="s">
        <v>228</v>
      </c>
      <c r="L217" s="426" t="s">
        <v>258</v>
      </c>
      <c r="M217" s="319">
        <f t="shared" si="2"/>
        <v>2065</v>
      </c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ht="12.75" customHeight="1">
      <c r="A218" s="419">
        <v>21717.0</v>
      </c>
      <c r="B218" s="420" t="s">
        <v>8279</v>
      </c>
      <c r="C218" s="420">
        <v>2013.0</v>
      </c>
      <c r="D218" s="497">
        <v>41632.0</v>
      </c>
      <c r="E218" s="422" t="s">
        <v>8280</v>
      </c>
      <c r="F218" s="394" t="s">
        <v>171</v>
      </c>
      <c r="G218" s="422" t="s">
        <v>552</v>
      </c>
      <c r="H218" s="394" t="s">
        <v>66</v>
      </c>
      <c r="I218" s="497">
        <v>42951.0</v>
      </c>
      <c r="J218" s="422">
        <v>8.0</v>
      </c>
      <c r="K218" s="609" t="s">
        <v>238</v>
      </c>
      <c r="L218" s="420" t="s">
        <v>256</v>
      </c>
      <c r="M218" s="316">
        <f t="shared" si="2"/>
        <v>1319</v>
      </c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ht="12.75" customHeight="1">
      <c r="A219" s="425">
        <v>21817.0</v>
      </c>
      <c r="B219" s="426" t="s">
        <v>8281</v>
      </c>
      <c r="C219" s="426">
        <v>2012.0</v>
      </c>
      <c r="D219" s="500">
        <v>41149.0</v>
      </c>
      <c r="E219" s="428" t="s">
        <v>8282</v>
      </c>
      <c r="F219" s="397" t="s">
        <v>8134</v>
      </c>
      <c r="G219" s="428" t="s">
        <v>547</v>
      </c>
      <c r="H219" s="397" t="s">
        <v>705</v>
      </c>
      <c r="I219" s="500">
        <v>42956.0</v>
      </c>
      <c r="J219" s="428">
        <v>8.0</v>
      </c>
      <c r="K219" s="609" t="s">
        <v>238</v>
      </c>
      <c r="L219" s="426" t="s">
        <v>258</v>
      </c>
      <c r="M219" s="319">
        <f t="shared" si="2"/>
        <v>1807</v>
      </c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ht="12.75" customHeight="1">
      <c r="A220" s="419">
        <v>21917.0</v>
      </c>
      <c r="B220" s="420" t="s">
        <v>8283</v>
      </c>
      <c r="C220" s="420">
        <v>2012.0</v>
      </c>
      <c r="D220" s="497">
        <v>40956.0</v>
      </c>
      <c r="E220" s="422" t="s">
        <v>8284</v>
      </c>
      <c r="F220" s="394" t="s">
        <v>1846</v>
      </c>
      <c r="G220" s="422" t="s">
        <v>17</v>
      </c>
      <c r="H220" s="394" t="s">
        <v>775</v>
      </c>
      <c r="I220" s="497">
        <v>42957.0</v>
      </c>
      <c r="J220" s="422">
        <v>8.0</v>
      </c>
      <c r="K220" s="609" t="s">
        <v>238</v>
      </c>
      <c r="L220" s="420" t="s">
        <v>256</v>
      </c>
      <c r="M220" s="316">
        <f t="shared" si="2"/>
        <v>2001</v>
      </c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ht="12.75" customHeight="1">
      <c r="A221" s="425">
        <v>22017.0</v>
      </c>
      <c r="B221" s="426" t="s">
        <v>8285</v>
      </c>
      <c r="C221" s="426">
        <v>2016.0</v>
      </c>
      <c r="D221" s="500">
        <v>42601.0</v>
      </c>
      <c r="E221" s="428" t="s">
        <v>8286</v>
      </c>
      <c r="F221" s="397" t="s">
        <v>1846</v>
      </c>
      <c r="G221" s="428" t="s">
        <v>17</v>
      </c>
      <c r="H221" s="397" t="s">
        <v>50</v>
      </c>
      <c r="I221" s="500">
        <v>42957.0</v>
      </c>
      <c r="J221" s="428">
        <v>8.0</v>
      </c>
      <c r="K221" s="609" t="s">
        <v>238</v>
      </c>
      <c r="L221" s="426" t="s">
        <v>256</v>
      </c>
      <c r="M221" s="319">
        <f t="shared" si="2"/>
        <v>356</v>
      </c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ht="12.75" customHeight="1">
      <c r="A222" s="419">
        <v>22117.0</v>
      </c>
      <c r="B222" s="420" t="s">
        <v>8287</v>
      </c>
      <c r="C222" s="420">
        <v>2014.0</v>
      </c>
      <c r="D222" s="497">
        <v>41996.0</v>
      </c>
      <c r="E222" s="422" t="s">
        <v>8288</v>
      </c>
      <c r="F222" s="394" t="s">
        <v>660</v>
      </c>
      <c r="G222" s="422" t="s">
        <v>552</v>
      </c>
      <c r="H222" s="394" t="s">
        <v>583</v>
      </c>
      <c r="I222" s="497">
        <v>42961.0</v>
      </c>
      <c r="J222" s="422">
        <v>8.0</v>
      </c>
      <c r="K222" s="610" t="s">
        <v>228</v>
      </c>
      <c r="L222" s="420" t="s">
        <v>256</v>
      </c>
      <c r="M222" s="316">
        <f t="shared" si="2"/>
        <v>965</v>
      </c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ht="12.75" customHeight="1">
      <c r="A223" s="425">
        <v>22217.0</v>
      </c>
      <c r="B223" s="426" t="s">
        <v>8289</v>
      </c>
      <c r="C223" s="426">
        <v>2010.0</v>
      </c>
      <c r="D223" s="500">
        <v>40477.0</v>
      </c>
      <c r="E223" s="428" t="s">
        <v>8290</v>
      </c>
      <c r="F223" s="397" t="s">
        <v>71</v>
      </c>
      <c r="G223" s="428" t="s">
        <v>650</v>
      </c>
      <c r="H223" s="397" t="s">
        <v>18</v>
      </c>
      <c r="I223" s="500">
        <v>42962.0</v>
      </c>
      <c r="J223" s="428">
        <v>8.0</v>
      </c>
      <c r="K223" s="607" t="s">
        <v>244</v>
      </c>
      <c r="L223" s="426" t="s">
        <v>258</v>
      </c>
      <c r="M223" s="319">
        <f t="shared" si="2"/>
        <v>2485</v>
      </c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ht="12.75" customHeight="1">
      <c r="A224" s="419">
        <v>22317.0</v>
      </c>
      <c r="B224" s="420" t="s">
        <v>8291</v>
      </c>
      <c r="C224" s="420">
        <v>2010.0</v>
      </c>
      <c r="D224" s="497">
        <v>40477.0</v>
      </c>
      <c r="E224" s="422" t="s">
        <v>8292</v>
      </c>
      <c r="F224" s="394" t="s">
        <v>71</v>
      </c>
      <c r="G224" s="422" t="s">
        <v>650</v>
      </c>
      <c r="H224" s="394" t="s">
        <v>18</v>
      </c>
      <c r="I224" s="497">
        <v>42962.0</v>
      </c>
      <c r="J224" s="422">
        <v>8.0</v>
      </c>
      <c r="K224" s="607" t="s">
        <v>244</v>
      </c>
      <c r="L224" s="420" t="s">
        <v>258</v>
      </c>
      <c r="M224" s="316">
        <f t="shared" si="2"/>
        <v>2485</v>
      </c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ht="12.75" customHeight="1">
      <c r="A225" s="425">
        <v>22417.0</v>
      </c>
      <c r="B225" s="426" t="s">
        <v>8293</v>
      </c>
      <c r="C225" s="426">
        <v>2010.0</v>
      </c>
      <c r="D225" s="500">
        <v>40477.0</v>
      </c>
      <c r="E225" s="428" t="s">
        <v>8294</v>
      </c>
      <c r="F225" s="397" t="s">
        <v>71</v>
      </c>
      <c r="G225" s="428" t="s">
        <v>650</v>
      </c>
      <c r="H225" s="397" t="s">
        <v>18</v>
      </c>
      <c r="I225" s="500">
        <v>42962.0</v>
      </c>
      <c r="J225" s="428">
        <v>8.0</v>
      </c>
      <c r="K225" s="607" t="s">
        <v>244</v>
      </c>
      <c r="L225" s="426" t="s">
        <v>258</v>
      </c>
      <c r="M225" s="319">
        <f t="shared" si="2"/>
        <v>2485</v>
      </c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ht="12.75" customHeight="1">
      <c r="A226" s="419">
        <v>22517.0</v>
      </c>
      <c r="B226" s="420" t="s">
        <v>8275</v>
      </c>
      <c r="C226" s="420">
        <v>2009.0</v>
      </c>
      <c r="D226" s="497">
        <v>40170.0</v>
      </c>
      <c r="E226" s="422" t="s">
        <v>8295</v>
      </c>
      <c r="F226" s="394" t="s">
        <v>563</v>
      </c>
      <c r="G226" s="422" t="s">
        <v>552</v>
      </c>
      <c r="H226" s="394" t="s">
        <v>163</v>
      </c>
      <c r="I226" s="497">
        <v>42963.0</v>
      </c>
      <c r="J226" s="422">
        <v>8.0</v>
      </c>
      <c r="K226" s="609" t="s">
        <v>238</v>
      </c>
      <c r="L226" s="420" t="s">
        <v>256</v>
      </c>
      <c r="M226" s="316">
        <f t="shared" si="2"/>
        <v>2793</v>
      </c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ht="12.75" customHeight="1">
      <c r="A227" s="425">
        <v>22617.0</v>
      </c>
      <c r="B227" s="426" t="s">
        <v>8296</v>
      </c>
      <c r="C227" s="426">
        <v>2010.0</v>
      </c>
      <c r="D227" s="500">
        <v>40459.0</v>
      </c>
      <c r="E227" s="428" t="s">
        <v>8297</v>
      </c>
      <c r="F227" s="397" t="s">
        <v>71</v>
      </c>
      <c r="G227" s="428" t="s">
        <v>650</v>
      </c>
      <c r="H227" s="397" t="s">
        <v>18</v>
      </c>
      <c r="I227" s="500">
        <v>42963.0</v>
      </c>
      <c r="J227" s="428">
        <v>8.0</v>
      </c>
      <c r="K227" s="607" t="s">
        <v>244</v>
      </c>
      <c r="L227" s="426" t="s">
        <v>258</v>
      </c>
      <c r="M227" s="319">
        <f t="shared" si="2"/>
        <v>2504</v>
      </c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ht="12.75" customHeight="1">
      <c r="A228" s="419">
        <v>22717.0</v>
      </c>
      <c r="B228" s="420" t="s">
        <v>8298</v>
      </c>
      <c r="C228" s="420">
        <v>2012.0</v>
      </c>
      <c r="D228" s="497">
        <v>41156.0</v>
      </c>
      <c r="E228" s="422" t="s">
        <v>8299</v>
      </c>
      <c r="F228" s="394" t="s">
        <v>1544</v>
      </c>
      <c r="G228" s="422" t="s">
        <v>552</v>
      </c>
      <c r="H228" s="394" t="s">
        <v>153</v>
      </c>
      <c r="I228" s="497">
        <v>42965.0</v>
      </c>
      <c r="J228" s="422">
        <v>8.0</v>
      </c>
      <c r="K228" s="610" t="s">
        <v>228</v>
      </c>
      <c r="L228" s="420" t="s">
        <v>256</v>
      </c>
      <c r="M228" s="316">
        <f t="shared" si="2"/>
        <v>1809</v>
      </c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ht="12.75" customHeight="1">
      <c r="A229" s="425">
        <v>22817.0</v>
      </c>
      <c r="B229" s="426" t="s">
        <v>8300</v>
      </c>
      <c r="C229" s="426">
        <v>2009.0</v>
      </c>
      <c r="D229" s="500">
        <v>39993.0</v>
      </c>
      <c r="E229" s="428" t="s">
        <v>5630</v>
      </c>
      <c r="F229" s="397" t="s">
        <v>8301</v>
      </c>
      <c r="G229" s="428" t="s">
        <v>650</v>
      </c>
      <c r="H229" s="397" t="s">
        <v>601</v>
      </c>
      <c r="I229" s="500">
        <v>42965.0</v>
      </c>
      <c r="J229" s="428">
        <v>8.0</v>
      </c>
      <c r="K229" s="609" t="s">
        <v>238</v>
      </c>
      <c r="L229" s="426" t="s">
        <v>256</v>
      </c>
      <c r="M229" s="319">
        <f t="shared" si="2"/>
        <v>2972</v>
      </c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ht="12.75" customHeight="1">
      <c r="A230" s="419">
        <v>22917.0</v>
      </c>
      <c r="B230" s="420" t="s">
        <v>8302</v>
      </c>
      <c r="C230" s="420">
        <v>2009.0</v>
      </c>
      <c r="D230" s="497">
        <v>39993.0</v>
      </c>
      <c r="E230" s="422" t="s">
        <v>8303</v>
      </c>
      <c r="F230" s="394" t="s">
        <v>8301</v>
      </c>
      <c r="G230" s="422" t="s">
        <v>650</v>
      </c>
      <c r="H230" s="394" t="s">
        <v>601</v>
      </c>
      <c r="I230" s="497">
        <v>42968.0</v>
      </c>
      <c r="J230" s="422">
        <v>8.0</v>
      </c>
      <c r="K230" s="609" t="s">
        <v>238</v>
      </c>
      <c r="L230" s="420" t="s">
        <v>256</v>
      </c>
      <c r="M230" s="316">
        <f t="shared" si="2"/>
        <v>2975</v>
      </c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ht="12.75" customHeight="1">
      <c r="A231" s="425">
        <v>23017.0</v>
      </c>
      <c r="B231" s="426" t="s">
        <v>8304</v>
      </c>
      <c r="C231" s="426">
        <v>2015.0</v>
      </c>
      <c r="D231" s="500">
        <v>42081.0</v>
      </c>
      <c r="E231" s="428" t="s">
        <v>8305</v>
      </c>
      <c r="F231" s="397" t="s">
        <v>2611</v>
      </c>
      <c r="G231" s="428" t="s">
        <v>565</v>
      </c>
      <c r="H231" s="397" t="s">
        <v>3533</v>
      </c>
      <c r="I231" s="500">
        <v>42970.0</v>
      </c>
      <c r="J231" s="428">
        <v>8.0</v>
      </c>
      <c r="K231" s="610" t="s">
        <v>228</v>
      </c>
      <c r="L231" s="426" t="s">
        <v>260</v>
      </c>
      <c r="M231" s="319">
        <f t="shared" si="2"/>
        <v>889</v>
      </c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ht="12.75" customHeight="1">
      <c r="A232" s="419">
        <v>23117.0</v>
      </c>
      <c r="B232" s="420" t="s">
        <v>8306</v>
      </c>
      <c r="C232" s="420">
        <v>2012.0</v>
      </c>
      <c r="D232" s="497">
        <v>41057.0</v>
      </c>
      <c r="E232" s="422" t="s">
        <v>8307</v>
      </c>
      <c r="F232" s="394" t="s">
        <v>666</v>
      </c>
      <c r="G232" s="422" t="s">
        <v>17</v>
      </c>
      <c r="H232" s="394" t="s">
        <v>573</v>
      </c>
      <c r="I232" s="497">
        <v>42976.0</v>
      </c>
      <c r="J232" s="422">
        <v>8.0</v>
      </c>
      <c r="K232" s="608" t="s">
        <v>234</v>
      </c>
      <c r="L232" s="420" t="s">
        <v>256</v>
      </c>
      <c r="M232" s="316">
        <f t="shared" si="2"/>
        <v>1919</v>
      </c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ht="12.75" customHeight="1">
      <c r="A233" s="425">
        <v>23217.0</v>
      </c>
      <c r="B233" s="426" t="s">
        <v>8308</v>
      </c>
      <c r="C233" s="426">
        <v>2010.0</v>
      </c>
      <c r="D233" s="500">
        <v>40267.0</v>
      </c>
      <c r="E233" s="428" t="s">
        <v>8309</v>
      </c>
      <c r="F233" s="397" t="s">
        <v>900</v>
      </c>
      <c r="G233" s="428" t="s">
        <v>17</v>
      </c>
      <c r="H233" s="397" t="s">
        <v>5016</v>
      </c>
      <c r="I233" s="500">
        <v>42976.0</v>
      </c>
      <c r="J233" s="428">
        <v>8.0</v>
      </c>
      <c r="K233" s="610" t="s">
        <v>228</v>
      </c>
      <c r="L233" s="426" t="s">
        <v>256</v>
      </c>
      <c r="M233" s="319">
        <f t="shared" si="2"/>
        <v>2709</v>
      </c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ht="12.75" customHeight="1">
      <c r="A234" s="419">
        <v>23317.0</v>
      </c>
      <c r="B234" s="420" t="s">
        <v>8310</v>
      </c>
      <c r="C234" s="420">
        <v>2012.0</v>
      </c>
      <c r="D234" s="497">
        <v>40983.0</v>
      </c>
      <c r="E234" s="422" t="s">
        <v>8311</v>
      </c>
      <c r="F234" s="394" t="s">
        <v>2905</v>
      </c>
      <c r="G234" s="422" t="s">
        <v>17</v>
      </c>
      <c r="H234" s="394" t="s">
        <v>56</v>
      </c>
      <c r="I234" s="497">
        <v>42976.0</v>
      </c>
      <c r="J234" s="422">
        <v>8.0</v>
      </c>
      <c r="K234" s="608" t="s">
        <v>234</v>
      </c>
      <c r="L234" s="420" t="s">
        <v>256</v>
      </c>
      <c r="M234" s="316">
        <f t="shared" si="2"/>
        <v>1993</v>
      </c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ht="12.75" customHeight="1">
      <c r="A235" s="425">
        <v>23417.0</v>
      </c>
      <c r="B235" s="426" t="s">
        <v>8312</v>
      </c>
      <c r="C235" s="426">
        <v>2016.0</v>
      </c>
      <c r="D235" s="500">
        <v>42733.0</v>
      </c>
      <c r="E235" s="428" t="s">
        <v>8313</v>
      </c>
      <c r="F235" s="397" t="s">
        <v>2905</v>
      </c>
      <c r="G235" s="428" t="s">
        <v>17</v>
      </c>
      <c r="H235" s="397" t="s">
        <v>50</v>
      </c>
      <c r="I235" s="500">
        <v>42976.0</v>
      </c>
      <c r="J235" s="428">
        <v>8.0</v>
      </c>
      <c r="K235" s="608" t="s">
        <v>234</v>
      </c>
      <c r="L235" s="426" t="s">
        <v>256</v>
      </c>
      <c r="M235" s="319">
        <f t="shared" si="2"/>
        <v>243</v>
      </c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ht="12.75" customHeight="1">
      <c r="A236" s="419">
        <v>23517.0</v>
      </c>
      <c r="B236" s="420" t="s">
        <v>8314</v>
      </c>
      <c r="C236" s="420">
        <v>2015.0</v>
      </c>
      <c r="D236" s="497">
        <v>42244.0</v>
      </c>
      <c r="E236" s="422" t="s">
        <v>8315</v>
      </c>
      <c r="F236" s="394" t="s">
        <v>8316</v>
      </c>
      <c r="G236" s="422" t="s">
        <v>552</v>
      </c>
      <c r="H236" s="394" t="s">
        <v>740</v>
      </c>
      <c r="I236" s="497">
        <v>42976.0</v>
      </c>
      <c r="J236" s="422">
        <v>8.0</v>
      </c>
      <c r="K236" s="609" t="s">
        <v>238</v>
      </c>
      <c r="L236" s="420" t="s">
        <v>256</v>
      </c>
      <c r="M236" s="316">
        <f t="shared" si="2"/>
        <v>732</v>
      </c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ht="12.75" customHeight="1">
      <c r="A237" s="425">
        <v>23617.0</v>
      </c>
      <c r="B237" s="426" t="s">
        <v>8317</v>
      </c>
      <c r="C237" s="426">
        <v>2011.0</v>
      </c>
      <c r="D237" s="500">
        <v>40877.0</v>
      </c>
      <c r="E237" s="428" t="s">
        <v>8318</v>
      </c>
      <c r="F237" s="397" t="s">
        <v>8319</v>
      </c>
      <c r="G237" s="428" t="s">
        <v>34</v>
      </c>
      <c r="H237" s="397" t="s">
        <v>705</v>
      </c>
      <c r="I237" s="500">
        <v>42976.0</v>
      </c>
      <c r="J237" s="428">
        <v>8.0</v>
      </c>
      <c r="K237" s="609" t="s">
        <v>238</v>
      </c>
      <c r="L237" s="426" t="s">
        <v>256</v>
      </c>
      <c r="M237" s="319">
        <f t="shared" si="2"/>
        <v>2099</v>
      </c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ht="12.75" customHeight="1">
      <c r="A238" s="419">
        <v>23717.0</v>
      </c>
      <c r="B238" s="420" t="s">
        <v>7471</v>
      </c>
      <c r="C238" s="420">
        <v>2010.0</v>
      </c>
      <c r="D238" s="497">
        <v>40494.0</v>
      </c>
      <c r="E238" s="422" t="s">
        <v>8320</v>
      </c>
      <c r="F238" s="394" t="s">
        <v>666</v>
      </c>
      <c r="G238" s="422" t="s">
        <v>17</v>
      </c>
      <c r="H238" s="394" t="s">
        <v>153</v>
      </c>
      <c r="I238" s="497">
        <v>42976.0</v>
      </c>
      <c r="J238" s="422">
        <v>8.0</v>
      </c>
      <c r="K238" s="608" t="s">
        <v>234</v>
      </c>
      <c r="L238" s="420" t="s">
        <v>256</v>
      </c>
      <c r="M238" s="316">
        <f t="shared" si="2"/>
        <v>2482</v>
      </c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ht="12.75" customHeight="1">
      <c r="A239" s="425">
        <v>23817.0</v>
      </c>
      <c r="B239" s="426" t="s">
        <v>8321</v>
      </c>
      <c r="C239" s="426">
        <v>2015.0</v>
      </c>
      <c r="D239" s="500">
        <v>42240.0</v>
      </c>
      <c r="E239" s="428" t="s">
        <v>8322</v>
      </c>
      <c r="F239" s="397" t="s">
        <v>5738</v>
      </c>
      <c r="G239" s="428" t="s">
        <v>569</v>
      </c>
      <c r="H239" s="397" t="s">
        <v>8171</v>
      </c>
      <c r="I239" s="500">
        <v>42976.0</v>
      </c>
      <c r="J239" s="428">
        <v>8.0</v>
      </c>
      <c r="K239" s="607" t="s">
        <v>850</v>
      </c>
      <c r="L239" s="426" t="s">
        <v>260</v>
      </c>
      <c r="M239" s="319">
        <f t="shared" si="2"/>
        <v>736</v>
      </c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ht="12.75" customHeight="1">
      <c r="A240" s="419">
        <v>23917.0</v>
      </c>
      <c r="B240" s="420" t="s">
        <v>8323</v>
      </c>
      <c r="C240" s="420">
        <v>2014.0</v>
      </c>
      <c r="D240" s="497">
        <v>41992.0</v>
      </c>
      <c r="E240" s="422" t="s">
        <v>8324</v>
      </c>
      <c r="F240" s="394" t="s">
        <v>1554</v>
      </c>
      <c r="G240" s="422" t="s">
        <v>17</v>
      </c>
      <c r="H240" s="394" t="s">
        <v>596</v>
      </c>
      <c r="I240" s="497">
        <v>42976.0</v>
      </c>
      <c r="J240" s="422">
        <v>8.0</v>
      </c>
      <c r="K240" s="609" t="s">
        <v>238</v>
      </c>
      <c r="L240" s="420" t="s">
        <v>258</v>
      </c>
      <c r="M240" s="316">
        <f t="shared" si="2"/>
        <v>984</v>
      </c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ht="12.75" customHeight="1">
      <c r="A241" s="425">
        <v>24017.0</v>
      </c>
      <c r="B241" s="426" t="s">
        <v>8325</v>
      </c>
      <c r="C241" s="426">
        <v>2009.0</v>
      </c>
      <c r="D241" s="500">
        <v>39993.0</v>
      </c>
      <c r="E241" s="428" t="s">
        <v>8326</v>
      </c>
      <c r="F241" s="397" t="s">
        <v>8301</v>
      </c>
      <c r="G241" s="428" t="s">
        <v>650</v>
      </c>
      <c r="H241" s="397" t="s">
        <v>601</v>
      </c>
      <c r="I241" s="500">
        <v>42990.0</v>
      </c>
      <c r="J241" s="428">
        <v>9.0</v>
      </c>
      <c r="K241" s="609" t="s">
        <v>238</v>
      </c>
      <c r="L241" s="426" t="s">
        <v>256</v>
      </c>
      <c r="M241" s="319">
        <f t="shared" si="2"/>
        <v>2997</v>
      </c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ht="12.75" customHeight="1">
      <c r="A242" s="419">
        <v>24117.0</v>
      </c>
      <c r="B242" s="420" t="s">
        <v>8327</v>
      </c>
      <c r="C242" s="420">
        <v>2013.0</v>
      </c>
      <c r="D242" s="497">
        <v>41443.0</v>
      </c>
      <c r="E242" s="422" t="s">
        <v>8328</v>
      </c>
      <c r="F242" s="394" t="s">
        <v>8329</v>
      </c>
      <c r="G242" s="422" t="s">
        <v>547</v>
      </c>
      <c r="H242" s="394" t="s">
        <v>705</v>
      </c>
      <c r="I242" s="497">
        <v>43005.0</v>
      </c>
      <c r="J242" s="422">
        <v>9.0</v>
      </c>
      <c r="K242" s="609" t="s">
        <v>238</v>
      </c>
      <c r="L242" s="420" t="s">
        <v>256</v>
      </c>
      <c r="M242" s="316">
        <f t="shared" si="2"/>
        <v>1562</v>
      </c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ht="12.75" customHeight="1">
      <c r="A243" s="425">
        <v>24217.0</v>
      </c>
      <c r="B243" s="426" t="s">
        <v>8330</v>
      </c>
      <c r="C243" s="426">
        <v>2010.0</v>
      </c>
      <c r="D243" s="500">
        <v>40281.0</v>
      </c>
      <c r="E243" s="428" t="s">
        <v>8331</v>
      </c>
      <c r="F243" s="397" t="s">
        <v>666</v>
      </c>
      <c r="G243" s="428" t="s">
        <v>17</v>
      </c>
      <c r="H243" s="397" t="s">
        <v>8332</v>
      </c>
      <c r="I243" s="500">
        <v>43007.0</v>
      </c>
      <c r="J243" s="428">
        <v>9.0</v>
      </c>
      <c r="K243" s="608" t="s">
        <v>234</v>
      </c>
      <c r="L243" s="426" t="s">
        <v>256</v>
      </c>
      <c r="M243" s="319">
        <f t="shared" si="2"/>
        <v>2726</v>
      </c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ht="12.75" customHeight="1">
      <c r="A244" s="419">
        <v>24317.0</v>
      </c>
      <c r="B244" s="420" t="s">
        <v>8333</v>
      </c>
      <c r="C244" s="420">
        <v>2010.0</v>
      </c>
      <c r="D244" s="497">
        <v>40381.0</v>
      </c>
      <c r="E244" s="422" t="s">
        <v>8334</v>
      </c>
      <c r="F244" s="394" t="s">
        <v>666</v>
      </c>
      <c r="G244" s="422" t="s">
        <v>17</v>
      </c>
      <c r="H244" s="394" t="s">
        <v>5016</v>
      </c>
      <c r="I244" s="497">
        <v>43007.0</v>
      </c>
      <c r="J244" s="422">
        <v>9.0</v>
      </c>
      <c r="K244" s="608" t="s">
        <v>234</v>
      </c>
      <c r="L244" s="420" t="s">
        <v>256</v>
      </c>
      <c r="M244" s="316">
        <f t="shared" si="2"/>
        <v>2626</v>
      </c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ht="12.75" customHeight="1">
      <c r="A245" s="425">
        <v>24417.0</v>
      </c>
      <c r="B245" s="426" t="s">
        <v>8335</v>
      </c>
      <c r="C245" s="426">
        <v>2014.0</v>
      </c>
      <c r="D245" s="500">
        <v>41661.0</v>
      </c>
      <c r="E245" s="428" t="s">
        <v>8336</v>
      </c>
      <c r="F245" s="397" t="s">
        <v>171</v>
      </c>
      <c r="G245" s="428" t="s">
        <v>650</v>
      </c>
      <c r="H245" s="397" t="s">
        <v>5016</v>
      </c>
      <c r="I245" s="500">
        <v>43010.0</v>
      </c>
      <c r="J245" s="428">
        <v>10.0</v>
      </c>
      <c r="K245" s="609" t="s">
        <v>238</v>
      </c>
      <c r="L245" s="426" t="s">
        <v>256</v>
      </c>
      <c r="M245" s="319">
        <f t="shared" si="2"/>
        <v>1349</v>
      </c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ht="12.75" customHeight="1">
      <c r="A246" s="419">
        <v>24517.0</v>
      </c>
      <c r="B246" s="420" t="s">
        <v>8337</v>
      </c>
      <c r="C246" s="420">
        <v>2009.0</v>
      </c>
      <c r="D246" s="497">
        <v>40039.0</v>
      </c>
      <c r="E246" s="422" t="s">
        <v>8338</v>
      </c>
      <c r="F246" s="394" t="s">
        <v>563</v>
      </c>
      <c r="G246" s="422" t="s">
        <v>552</v>
      </c>
      <c r="H246" s="394" t="s">
        <v>573</v>
      </c>
      <c r="I246" s="497">
        <v>43010.0</v>
      </c>
      <c r="J246" s="422">
        <v>10.0</v>
      </c>
      <c r="K246" s="608" t="s">
        <v>234</v>
      </c>
      <c r="L246" s="420" t="s">
        <v>256</v>
      </c>
      <c r="M246" s="316">
        <f t="shared" si="2"/>
        <v>2971</v>
      </c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ht="12.75" customHeight="1">
      <c r="A247" s="425">
        <v>24617.0</v>
      </c>
      <c r="B247" s="426" t="s">
        <v>8339</v>
      </c>
      <c r="C247" s="426">
        <v>2009.0</v>
      </c>
      <c r="D247" s="500">
        <v>40010.0</v>
      </c>
      <c r="E247" s="428" t="s">
        <v>8340</v>
      </c>
      <c r="F247" s="397" t="s">
        <v>666</v>
      </c>
      <c r="G247" s="428" t="s">
        <v>17</v>
      </c>
      <c r="H247" s="397" t="s">
        <v>3006</v>
      </c>
      <c r="I247" s="500">
        <v>43010.0</v>
      </c>
      <c r="J247" s="428">
        <v>10.0</v>
      </c>
      <c r="K247" s="608" t="s">
        <v>234</v>
      </c>
      <c r="L247" s="426" t="s">
        <v>256</v>
      </c>
      <c r="M247" s="319">
        <f t="shared" si="2"/>
        <v>3000</v>
      </c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ht="12.75" customHeight="1">
      <c r="A248" s="419">
        <v>24717.0</v>
      </c>
      <c r="B248" s="420" t="s">
        <v>8341</v>
      </c>
      <c r="C248" s="420">
        <v>2009.0</v>
      </c>
      <c r="D248" s="497">
        <v>40149.0</v>
      </c>
      <c r="E248" s="422" t="s">
        <v>8342</v>
      </c>
      <c r="F248" s="394" t="s">
        <v>666</v>
      </c>
      <c r="G248" s="422" t="s">
        <v>17</v>
      </c>
      <c r="H248" s="394" t="s">
        <v>740</v>
      </c>
      <c r="I248" s="497">
        <v>43010.0</v>
      </c>
      <c r="J248" s="422">
        <v>10.0</v>
      </c>
      <c r="K248" s="608" t="s">
        <v>234</v>
      </c>
      <c r="L248" s="420" t="s">
        <v>256</v>
      </c>
      <c r="M248" s="316">
        <f t="shared" si="2"/>
        <v>2861</v>
      </c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ht="12.75" customHeight="1">
      <c r="A249" s="425">
        <v>24817.0</v>
      </c>
      <c r="B249" s="426" t="s">
        <v>8343</v>
      </c>
      <c r="C249" s="426">
        <v>2009.0</v>
      </c>
      <c r="D249" s="500">
        <v>40024.0</v>
      </c>
      <c r="E249" s="428" t="s">
        <v>8344</v>
      </c>
      <c r="F249" s="397" t="s">
        <v>666</v>
      </c>
      <c r="G249" s="428" t="s">
        <v>17</v>
      </c>
      <c r="H249" s="397" t="s">
        <v>4553</v>
      </c>
      <c r="I249" s="500">
        <v>43011.0</v>
      </c>
      <c r="J249" s="428">
        <v>10.0</v>
      </c>
      <c r="K249" s="608" t="s">
        <v>234</v>
      </c>
      <c r="L249" s="426" t="s">
        <v>256</v>
      </c>
      <c r="M249" s="319">
        <f t="shared" si="2"/>
        <v>2987</v>
      </c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ht="12.75" customHeight="1">
      <c r="A250" s="419">
        <v>24917.0</v>
      </c>
      <c r="B250" s="420" t="s">
        <v>8345</v>
      </c>
      <c r="C250" s="420">
        <v>2013.0</v>
      </c>
      <c r="D250" s="497">
        <v>41582.0</v>
      </c>
      <c r="E250" s="422" t="s">
        <v>8346</v>
      </c>
      <c r="F250" s="394" t="s">
        <v>947</v>
      </c>
      <c r="G250" s="422" t="s">
        <v>17</v>
      </c>
      <c r="H250" s="394" t="s">
        <v>4597</v>
      </c>
      <c r="I250" s="497">
        <v>43011.0</v>
      </c>
      <c r="J250" s="422">
        <v>10.0</v>
      </c>
      <c r="K250" s="609" t="s">
        <v>238</v>
      </c>
      <c r="L250" s="420" t="s">
        <v>258</v>
      </c>
      <c r="M250" s="316">
        <f t="shared" si="2"/>
        <v>1429</v>
      </c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ht="12.75" customHeight="1">
      <c r="A251" s="425">
        <v>25017.0</v>
      </c>
      <c r="B251" s="426" t="s">
        <v>8345</v>
      </c>
      <c r="C251" s="426">
        <v>2013.0</v>
      </c>
      <c r="D251" s="500">
        <v>41582.0</v>
      </c>
      <c r="E251" s="428" t="s">
        <v>8347</v>
      </c>
      <c r="F251" s="397" t="s">
        <v>947</v>
      </c>
      <c r="G251" s="428" t="s">
        <v>17</v>
      </c>
      <c r="H251" s="397" t="s">
        <v>153</v>
      </c>
      <c r="I251" s="500">
        <v>43011.0</v>
      </c>
      <c r="J251" s="428">
        <v>10.0</v>
      </c>
      <c r="K251" s="609" t="s">
        <v>238</v>
      </c>
      <c r="L251" s="426" t="s">
        <v>258</v>
      </c>
      <c r="M251" s="319">
        <f t="shared" si="2"/>
        <v>1429</v>
      </c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ht="12.75" customHeight="1">
      <c r="A252" s="419">
        <v>25117.0</v>
      </c>
      <c r="B252" s="420" t="s">
        <v>8348</v>
      </c>
      <c r="C252" s="420">
        <v>2015.0</v>
      </c>
      <c r="D252" s="497">
        <v>42100.0</v>
      </c>
      <c r="E252" s="422" t="s">
        <v>8349</v>
      </c>
      <c r="F252" s="394" t="s">
        <v>947</v>
      </c>
      <c r="G252" s="422" t="s">
        <v>17</v>
      </c>
      <c r="H252" s="394" t="s">
        <v>163</v>
      </c>
      <c r="I252" s="497">
        <v>43011.0</v>
      </c>
      <c r="J252" s="422">
        <v>10.0</v>
      </c>
      <c r="K252" s="609" t="s">
        <v>238</v>
      </c>
      <c r="L252" s="420" t="s">
        <v>258</v>
      </c>
      <c r="M252" s="316">
        <f t="shared" si="2"/>
        <v>911</v>
      </c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ht="12.75" customHeight="1">
      <c r="A253" s="425">
        <v>25217.0</v>
      </c>
      <c r="B253" s="426" t="s">
        <v>8350</v>
      </c>
      <c r="C253" s="426">
        <v>2016.0</v>
      </c>
      <c r="D253" s="500">
        <v>42474.0</v>
      </c>
      <c r="E253" s="428" t="s">
        <v>8351</v>
      </c>
      <c r="F253" s="397" t="s">
        <v>947</v>
      </c>
      <c r="G253" s="428" t="s">
        <v>17</v>
      </c>
      <c r="H253" s="397" t="s">
        <v>573</v>
      </c>
      <c r="I253" s="500">
        <v>43011.0</v>
      </c>
      <c r="J253" s="428">
        <v>10.0</v>
      </c>
      <c r="K253" s="609" t="s">
        <v>238</v>
      </c>
      <c r="L253" s="426" t="s">
        <v>258</v>
      </c>
      <c r="M253" s="319">
        <f t="shared" si="2"/>
        <v>537</v>
      </c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ht="12.75" customHeight="1">
      <c r="A254" s="419">
        <v>25317.0</v>
      </c>
      <c r="B254" s="420" t="s">
        <v>8352</v>
      </c>
      <c r="C254" s="420">
        <v>2016.0</v>
      </c>
      <c r="D254" s="497">
        <v>42683.0</v>
      </c>
      <c r="E254" s="422" t="s">
        <v>8353</v>
      </c>
      <c r="F254" s="394" t="s">
        <v>1232</v>
      </c>
      <c r="G254" s="422" t="s">
        <v>17</v>
      </c>
      <c r="H254" s="394" t="s">
        <v>50</v>
      </c>
      <c r="I254" s="497">
        <v>43019.0</v>
      </c>
      <c r="J254" s="422">
        <v>10.0</v>
      </c>
      <c r="K254" s="607" t="s">
        <v>244</v>
      </c>
      <c r="L254" s="420" t="s">
        <v>256</v>
      </c>
      <c r="M254" s="316">
        <f t="shared" si="2"/>
        <v>336</v>
      </c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ht="12.75" customHeight="1">
      <c r="A255" s="425">
        <v>25417.0</v>
      </c>
      <c r="B255" s="426" t="s">
        <v>8354</v>
      </c>
      <c r="C255" s="426">
        <v>2014.0</v>
      </c>
      <c r="D255" s="500">
        <v>41995.0</v>
      </c>
      <c r="E255" s="428" t="s">
        <v>8355</v>
      </c>
      <c r="F255" s="397" t="s">
        <v>1823</v>
      </c>
      <c r="G255" s="428" t="s">
        <v>552</v>
      </c>
      <c r="H255" s="397" t="s">
        <v>66</v>
      </c>
      <c r="I255" s="500">
        <v>43019.0</v>
      </c>
      <c r="J255" s="428">
        <v>10.0</v>
      </c>
      <c r="K255" s="609" t="s">
        <v>238</v>
      </c>
      <c r="L255" s="426" t="s">
        <v>258</v>
      </c>
      <c r="M255" s="319">
        <f t="shared" si="2"/>
        <v>1024</v>
      </c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ht="12.75" customHeight="1">
      <c r="A256" s="419">
        <v>25517.0</v>
      </c>
      <c r="B256" s="420" t="s">
        <v>8356</v>
      </c>
      <c r="C256" s="420">
        <v>2011.0</v>
      </c>
      <c r="D256" s="497">
        <v>40821.0</v>
      </c>
      <c r="E256" s="422" t="s">
        <v>8357</v>
      </c>
      <c r="F256" s="394" t="s">
        <v>947</v>
      </c>
      <c r="G256" s="422" t="s">
        <v>17</v>
      </c>
      <c r="H256" s="394" t="s">
        <v>1501</v>
      </c>
      <c r="I256" s="497">
        <v>43019.0</v>
      </c>
      <c r="J256" s="422">
        <v>10.0</v>
      </c>
      <c r="K256" s="609" t="s">
        <v>238</v>
      </c>
      <c r="L256" s="420" t="s">
        <v>258</v>
      </c>
      <c r="M256" s="316">
        <f t="shared" si="2"/>
        <v>2198</v>
      </c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ht="12.75" customHeight="1">
      <c r="A257" s="425">
        <v>25617.0</v>
      </c>
      <c r="B257" s="426" t="s">
        <v>8358</v>
      </c>
      <c r="C257" s="426">
        <v>2012.0</v>
      </c>
      <c r="D257" s="500">
        <v>41222.0</v>
      </c>
      <c r="E257" s="428" t="s">
        <v>8359</v>
      </c>
      <c r="F257" s="397" t="s">
        <v>134</v>
      </c>
      <c r="G257" s="428" t="s">
        <v>17</v>
      </c>
      <c r="H257" s="397" t="s">
        <v>596</v>
      </c>
      <c r="I257" s="500">
        <v>43025.0</v>
      </c>
      <c r="J257" s="428">
        <v>10.0</v>
      </c>
      <c r="K257" s="608" t="s">
        <v>234</v>
      </c>
      <c r="L257" s="426" t="s">
        <v>258</v>
      </c>
      <c r="M257" s="319">
        <f t="shared" si="2"/>
        <v>1803</v>
      </c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ht="12.75" customHeight="1">
      <c r="A258" s="419">
        <v>25717.0</v>
      </c>
      <c r="B258" s="420" t="s">
        <v>8360</v>
      </c>
      <c r="C258" s="420">
        <v>2011.0</v>
      </c>
      <c r="D258" s="497">
        <v>40606.0</v>
      </c>
      <c r="E258" s="422" t="s">
        <v>8361</v>
      </c>
      <c r="F258" s="394" t="s">
        <v>963</v>
      </c>
      <c r="G258" s="422" t="s">
        <v>17</v>
      </c>
      <c r="H258" s="394" t="s">
        <v>153</v>
      </c>
      <c r="I258" s="497">
        <v>43028.0</v>
      </c>
      <c r="J258" s="422">
        <v>10.0</v>
      </c>
      <c r="K258" s="610" t="s">
        <v>228</v>
      </c>
      <c r="L258" s="420" t="s">
        <v>258</v>
      </c>
      <c r="M258" s="316">
        <f t="shared" si="2"/>
        <v>2422</v>
      </c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ht="12.75" customHeight="1">
      <c r="A259" s="425">
        <v>25817.0</v>
      </c>
      <c r="B259" s="426" t="s">
        <v>8362</v>
      </c>
      <c r="C259" s="426">
        <v>2012.0</v>
      </c>
      <c r="D259" s="500">
        <v>41206.0</v>
      </c>
      <c r="E259" s="428" t="s">
        <v>8363</v>
      </c>
      <c r="F259" s="397" t="s">
        <v>963</v>
      </c>
      <c r="G259" s="428" t="s">
        <v>17</v>
      </c>
      <c r="H259" s="397" t="s">
        <v>153</v>
      </c>
      <c r="I259" s="500">
        <v>43028.0</v>
      </c>
      <c r="J259" s="428">
        <v>10.0</v>
      </c>
      <c r="K259" s="610" t="s">
        <v>228</v>
      </c>
      <c r="L259" s="426" t="s">
        <v>258</v>
      </c>
      <c r="M259" s="319">
        <f t="shared" si="2"/>
        <v>1822</v>
      </c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ht="12.75" customHeight="1">
      <c r="A260" s="419">
        <v>25917.0</v>
      </c>
      <c r="B260" s="420" t="s">
        <v>8364</v>
      </c>
      <c r="C260" s="420">
        <v>2012.0</v>
      </c>
      <c r="D260" s="497">
        <v>41222.0</v>
      </c>
      <c r="E260" s="422" t="s">
        <v>8365</v>
      </c>
      <c r="F260" s="394" t="s">
        <v>134</v>
      </c>
      <c r="G260" s="422" t="s">
        <v>17</v>
      </c>
      <c r="H260" s="394" t="s">
        <v>1749</v>
      </c>
      <c r="I260" s="497">
        <v>43028.0</v>
      </c>
      <c r="J260" s="422">
        <v>10.0</v>
      </c>
      <c r="K260" s="608" t="s">
        <v>234</v>
      </c>
      <c r="L260" s="420" t="s">
        <v>258</v>
      </c>
      <c r="M260" s="316">
        <f t="shared" si="2"/>
        <v>1806</v>
      </c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ht="12.75" customHeight="1">
      <c r="A261" s="425">
        <v>26017.0</v>
      </c>
      <c r="B261" s="426" t="s">
        <v>8366</v>
      </c>
      <c r="C261" s="426">
        <v>2014.0</v>
      </c>
      <c r="D261" s="500">
        <v>41780.0</v>
      </c>
      <c r="E261" s="428" t="s">
        <v>8367</v>
      </c>
      <c r="F261" s="397" t="s">
        <v>1554</v>
      </c>
      <c r="G261" s="428" t="s">
        <v>552</v>
      </c>
      <c r="H261" s="397" t="s">
        <v>97</v>
      </c>
      <c r="I261" s="500">
        <v>43031.0</v>
      </c>
      <c r="J261" s="428">
        <v>10.0</v>
      </c>
      <c r="K261" s="609" t="s">
        <v>238</v>
      </c>
      <c r="L261" s="426" t="s">
        <v>256</v>
      </c>
      <c r="M261" s="319">
        <f t="shared" si="2"/>
        <v>1251</v>
      </c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ht="12.75" customHeight="1">
      <c r="A262" s="419">
        <v>26117.0</v>
      </c>
      <c r="B262" s="420" t="s">
        <v>8368</v>
      </c>
      <c r="C262" s="420">
        <v>2011.0</v>
      </c>
      <c r="D262" s="497">
        <v>40638.0</v>
      </c>
      <c r="E262" s="422" t="s">
        <v>8369</v>
      </c>
      <c r="F262" s="394" t="s">
        <v>1846</v>
      </c>
      <c r="G262" s="422" t="s">
        <v>552</v>
      </c>
      <c r="H262" s="394" t="s">
        <v>3519</v>
      </c>
      <c r="I262" s="497">
        <v>43039.0</v>
      </c>
      <c r="J262" s="422">
        <v>10.0</v>
      </c>
      <c r="K262" s="608" t="s">
        <v>234</v>
      </c>
      <c r="L262" s="420" t="s">
        <v>258</v>
      </c>
      <c r="M262" s="316">
        <f t="shared" si="2"/>
        <v>2401</v>
      </c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ht="12.75" customHeight="1">
      <c r="A263" s="425">
        <v>26217.0</v>
      </c>
      <c r="B263" s="426" t="s">
        <v>8370</v>
      </c>
      <c r="C263" s="426">
        <v>2010.0</v>
      </c>
      <c r="D263" s="500">
        <v>40501.0</v>
      </c>
      <c r="E263" s="428" t="s">
        <v>8371</v>
      </c>
      <c r="F263" s="397" t="s">
        <v>4355</v>
      </c>
      <c r="G263" s="428" t="s">
        <v>650</v>
      </c>
      <c r="H263" s="397" t="s">
        <v>163</v>
      </c>
      <c r="I263" s="500">
        <v>43031.0</v>
      </c>
      <c r="J263" s="428">
        <v>10.0</v>
      </c>
      <c r="K263" s="609" t="s">
        <v>238</v>
      </c>
      <c r="L263" s="426" t="s">
        <v>256</v>
      </c>
      <c r="M263" s="319">
        <f t="shared" si="2"/>
        <v>2530</v>
      </c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ht="12.75" customHeight="1">
      <c r="A264" s="419">
        <v>26317.0</v>
      </c>
      <c r="B264" s="420" t="s">
        <v>8372</v>
      </c>
      <c r="C264" s="420">
        <v>2014.0</v>
      </c>
      <c r="D264" s="497">
        <v>41792.0</v>
      </c>
      <c r="E264" s="422" t="s">
        <v>8373</v>
      </c>
      <c r="F264" s="394" t="s">
        <v>892</v>
      </c>
      <c r="G264" s="422" t="s">
        <v>552</v>
      </c>
      <c r="H264" s="394" t="s">
        <v>66</v>
      </c>
      <c r="I264" s="497">
        <v>43032.0</v>
      </c>
      <c r="J264" s="422">
        <v>10.0</v>
      </c>
      <c r="K264" s="609" t="s">
        <v>238</v>
      </c>
      <c r="L264" s="420" t="s">
        <v>256</v>
      </c>
      <c r="M264" s="316">
        <f t="shared" si="2"/>
        <v>1240</v>
      </c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ht="12.75" customHeight="1">
      <c r="A265" s="425">
        <v>26417.0</v>
      </c>
      <c r="B265" s="426" t="s">
        <v>8374</v>
      </c>
      <c r="C265" s="426">
        <v>2015.0</v>
      </c>
      <c r="D265" s="500">
        <v>42244.0</v>
      </c>
      <c r="E265" s="428" t="s">
        <v>8375</v>
      </c>
      <c r="F265" s="397" t="s">
        <v>4355</v>
      </c>
      <c r="G265" s="428" t="s">
        <v>552</v>
      </c>
      <c r="H265" s="397" t="s">
        <v>66</v>
      </c>
      <c r="I265" s="500">
        <v>43032.0</v>
      </c>
      <c r="J265" s="428">
        <v>10.0</v>
      </c>
      <c r="K265" s="609" t="s">
        <v>238</v>
      </c>
      <c r="L265" s="426" t="s">
        <v>258</v>
      </c>
      <c r="M265" s="319">
        <f t="shared" si="2"/>
        <v>788</v>
      </c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ht="12.75" customHeight="1">
      <c r="A266" s="419">
        <v>26517.0</v>
      </c>
      <c r="B266" s="420" t="s">
        <v>8376</v>
      </c>
      <c r="C266" s="420">
        <v>2011.0</v>
      </c>
      <c r="D266" s="497">
        <v>40821.0</v>
      </c>
      <c r="E266" s="422" t="s">
        <v>8377</v>
      </c>
      <c r="F266" s="394" t="s">
        <v>1232</v>
      </c>
      <c r="G266" s="422" t="s">
        <v>552</v>
      </c>
      <c r="H266" s="394" t="s">
        <v>1907</v>
      </c>
      <c r="I266" s="497">
        <v>43032.0</v>
      </c>
      <c r="J266" s="422">
        <v>10.0</v>
      </c>
      <c r="K266" s="610" t="s">
        <v>228</v>
      </c>
      <c r="L266" s="420" t="s">
        <v>256</v>
      </c>
      <c r="M266" s="316">
        <f t="shared" si="2"/>
        <v>2211</v>
      </c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ht="12.75" customHeight="1">
      <c r="A267" s="425">
        <v>26617.0</v>
      </c>
      <c r="B267" s="426" t="s">
        <v>8378</v>
      </c>
      <c r="C267" s="426">
        <v>2016.0</v>
      </c>
      <c r="D267" s="500">
        <v>42507.0</v>
      </c>
      <c r="E267" s="428" t="s">
        <v>8379</v>
      </c>
      <c r="F267" s="397" t="s">
        <v>8316</v>
      </c>
      <c r="G267" s="428" t="s">
        <v>552</v>
      </c>
      <c r="H267" s="397" t="s">
        <v>740</v>
      </c>
      <c r="I267" s="500">
        <v>43032.0</v>
      </c>
      <c r="J267" s="428">
        <v>10.0</v>
      </c>
      <c r="K267" s="608" t="s">
        <v>234</v>
      </c>
      <c r="L267" s="426" t="s">
        <v>256</v>
      </c>
      <c r="M267" s="319">
        <f t="shared" si="2"/>
        <v>525</v>
      </c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ht="12.75" customHeight="1">
      <c r="A268" s="419">
        <v>26717.0</v>
      </c>
      <c r="B268" s="420" t="s">
        <v>8380</v>
      </c>
      <c r="C268" s="420">
        <v>2012.0</v>
      </c>
      <c r="D268" s="497">
        <v>41061.0</v>
      </c>
      <c r="E268" s="422" t="s">
        <v>8381</v>
      </c>
      <c r="F268" s="394" t="s">
        <v>4355</v>
      </c>
      <c r="G268" s="422" t="s">
        <v>650</v>
      </c>
      <c r="H268" s="394" t="s">
        <v>163</v>
      </c>
      <c r="I268" s="497">
        <v>43033.0</v>
      </c>
      <c r="J268" s="422">
        <v>10.0</v>
      </c>
      <c r="K268" s="609" t="s">
        <v>238</v>
      </c>
      <c r="L268" s="420" t="s">
        <v>256</v>
      </c>
      <c r="M268" s="316">
        <f t="shared" si="2"/>
        <v>1972</v>
      </c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ht="12.75" customHeight="1">
      <c r="A269" s="425">
        <v>26817.0</v>
      </c>
      <c r="B269" s="426" t="s">
        <v>8382</v>
      </c>
      <c r="C269" s="426">
        <v>2014.0</v>
      </c>
      <c r="D269" s="500">
        <v>41977.0</v>
      </c>
      <c r="E269" s="428" t="s">
        <v>8383</v>
      </c>
      <c r="F269" s="397" t="s">
        <v>1554</v>
      </c>
      <c r="G269" s="428" t="s">
        <v>552</v>
      </c>
      <c r="H269" s="397" t="s">
        <v>97</v>
      </c>
      <c r="I269" s="500">
        <v>43033.0</v>
      </c>
      <c r="J269" s="428">
        <v>10.0</v>
      </c>
      <c r="K269" s="609" t="s">
        <v>238</v>
      </c>
      <c r="L269" s="426" t="s">
        <v>258</v>
      </c>
      <c r="M269" s="319">
        <f t="shared" si="2"/>
        <v>1056</v>
      </c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ht="12.75" customHeight="1">
      <c r="A270" s="419">
        <v>26917.0</v>
      </c>
      <c r="B270" s="420" t="s">
        <v>8384</v>
      </c>
      <c r="C270" s="420">
        <v>2011.0</v>
      </c>
      <c r="D270" s="497">
        <v>40638.0</v>
      </c>
      <c r="E270" s="422" t="s">
        <v>8385</v>
      </c>
      <c r="F270" s="394" t="s">
        <v>1846</v>
      </c>
      <c r="G270" s="422" t="s">
        <v>552</v>
      </c>
      <c r="H270" s="394" t="s">
        <v>3519</v>
      </c>
      <c r="I270" s="497">
        <v>43033.0</v>
      </c>
      <c r="J270" s="422">
        <v>10.0</v>
      </c>
      <c r="K270" s="608" t="s">
        <v>234</v>
      </c>
      <c r="L270" s="420" t="s">
        <v>258</v>
      </c>
      <c r="M270" s="316">
        <f t="shared" si="2"/>
        <v>2395</v>
      </c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ht="12.75" customHeight="1">
      <c r="A271" s="425">
        <v>27017.0</v>
      </c>
      <c r="B271" s="426" t="s">
        <v>8386</v>
      </c>
      <c r="C271" s="426">
        <v>2011.0</v>
      </c>
      <c r="D271" s="500">
        <v>40809.0</v>
      </c>
      <c r="E271" s="428" t="s">
        <v>8387</v>
      </c>
      <c r="F271" s="397" t="s">
        <v>2485</v>
      </c>
      <c r="G271" s="428" t="s">
        <v>552</v>
      </c>
      <c r="H271" s="397" t="s">
        <v>923</v>
      </c>
      <c r="I271" s="500">
        <v>43033.0</v>
      </c>
      <c r="J271" s="428">
        <v>10.0</v>
      </c>
      <c r="K271" s="610" t="s">
        <v>228</v>
      </c>
      <c r="L271" s="426" t="s">
        <v>256</v>
      </c>
      <c r="M271" s="319">
        <f t="shared" si="2"/>
        <v>2224</v>
      </c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ht="12.75" customHeight="1">
      <c r="A272" s="419">
        <v>27117.0</v>
      </c>
      <c r="B272" s="420" t="s">
        <v>8388</v>
      </c>
      <c r="C272" s="420">
        <v>2012.0</v>
      </c>
      <c r="D272" s="497">
        <v>41271.0</v>
      </c>
      <c r="E272" s="422" t="s">
        <v>8389</v>
      </c>
      <c r="F272" s="394" t="s">
        <v>5247</v>
      </c>
      <c r="G272" s="422" t="s">
        <v>17</v>
      </c>
      <c r="H272" s="394" t="s">
        <v>740</v>
      </c>
      <c r="I272" s="497">
        <v>43034.0</v>
      </c>
      <c r="J272" s="422">
        <v>10.0</v>
      </c>
      <c r="K272" s="609" t="s">
        <v>238</v>
      </c>
      <c r="L272" s="420" t="s">
        <v>256</v>
      </c>
      <c r="M272" s="316">
        <f t="shared" si="2"/>
        <v>1763</v>
      </c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ht="12.75" customHeight="1">
      <c r="A273" s="425">
        <v>27217.0</v>
      </c>
      <c r="B273" s="426" t="s">
        <v>8390</v>
      </c>
      <c r="C273" s="426">
        <v>2010.0</v>
      </c>
      <c r="D273" s="500">
        <v>40309.0</v>
      </c>
      <c r="E273" s="428" t="s">
        <v>8391</v>
      </c>
      <c r="F273" s="397" t="s">
        <v>1846</v>
      </c>
      <c r="G273" s="428" t="s">
        <v>552</v>
      </c>
      <c r="H273" s="397" t="s">
        <v>740</v>
      </c>
      <c r="I273" s="500">
        <v>43039.0</v>
      </c>
      <c r="J273" s="428">
        <v>10.0</v>
      </c>
      <c r="K273" s="610" t="s">
        <v>228</v>
      </c>
      <c r="L273" s="426" t="s">
        <v>258</v>
      </c>
      <c r="M273" s="319">
        <f t="shared" si="2"/>
        <v>2730</v>
      </c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ht="12.75" customHeight="1">
      <c r="A274" s="419">
        <v>27317.0</v>
      </c>
      <c r="B274" s="420" t="s">
        <v>8392</v>
      </c>
      <c r="C274" s="420">
        <v>2010.0</v>
      </c>
      <c r="D274" s="497">
        <v>40309.0</v>
      </c>
      <c r="E274" s="422" t="s">
        <v>8393</v>
      </c>
      <c r="F274" s="394" t="s">
        <v>1846</v>
      </c>
      <c r="G274" s="422" t="s">
        <v>552</v>
      </c>
      <c r="H274" s="394" t="s">
        <v>740</v>
      </c>
      <c r="I274" s="497">
        <v>43040.0</v>
      </c>
      <c r="J274" s="422">
        <v>11.0</v>
      </c>
      <c r="K274" s="610" t="s">
        <v>228</v>
      </c>
      <c r="L274" s="420" t="s">
        <v>258</v>
      </c>
      <c r="M274" s="316">
        <f t="shared" si="2"/>
        <v>2731</v>
      </c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ht="12.75" customHeight="1">
      <c r="A275" s="425">
        <v>27417.0</v>
      </c>
      <c r="B275" s="426" t="s">
        <v>8394</v>
      </c>
      <c r="C275" s="426">
        <v>2009.0</v>
      </c>
      <c r="D275" s="500">
        <v>40057.0</v>
      </c>
      <c r="E275" s="428" t="s">
        <v>8395</v>
      </c>
      <c r="F275" s="397" t="s">
        <v>947</v>
      </c>
      <c r="G275" s="428" t="s">
        <v>552</v>
      </c>
      <c r="H275" s="397" t="s">
        <v>5989</v>
      </c>
      <c r="I275" s="500">
        <v>43040.0</v>
      </c>
      <c r="J275" s="428">
        <v>11.0</v>
      </c>
      <c r="K275" s="609" t="s">
        <v>238</v>
      </c>
      <c r="L275" s="426" t="s">
        <v>258</v>
      </c>
      <c r="M275" s="319">
        <f t="shared" si="2"/>
        <v>2983</v>
      </c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ht="12.75" customHeight="1">
      <c r="A276" s="419">
        <v>27517.0</v>
      </c>
      <c r="B276" s="420" t="s">
        <v>8396</v>
      </c>
      <c r="C276" s="420">
        <v>2011.0</v>
      </c>
      <c r="D276" s="497">
        <v>40652.0</v>
      </c>
      <c r="E276" s="422" t="s">
        <v>8397</v>
      </c>
      <c r="F276" s="394" t="s">
        <v>4157</v>
      </c>
      <c r="G276" s="422" t="s">
        <v>552</v>
      </c>
      <c r="H276" s="394" t="s">
        <v>8332</v>
      </c>
      <c r="I276" s="497">
        <v>43040.0</v>
      </c>
      <c r="J276" s="422">
        <v>11.0</v>
      </c>
      <c r="K276" s="609" t="s">
        <v>238</v>
      </c>
      <c r="L276" s="420" t="s">
        <v>256</v>
      </c>
      <c r="M276" s="316">
        <f t="shared" si="2"/>
        <v>2388</v>
      </c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ht="12.75" customHeight="1">
      <c r="A277" s="425">
        <v>27617.0</v>
      </c>
      <c r="B277" s="426" t="s">
        <v>8398</v>
      </c>
      <c r="C277" s="426">
        <v>2010.0</v>
      </c>
      <c r="D277" s="500">
        <v>40280.0</v>
      </c>
      <c r="E277" s="428" t="s">
        <v>8399</v>
      </c>
      <c r="F277" s="397" t="s">
        <v>3810</v>
      </c>
      <c r="G277" s="428" t="s">
        <v>552</v>
      </c>
      <c r="H277" s="397" t="s">
        <v>740</v>
      </c>
      <c r="I277" s="500">
        <v>43040.0</v>
      </c>
      <c r="J277" s="428">
        <v>11.0</v>
      </c>
      <c r="K277" s="609" t="s">
        <v>238</v>
      </c>
      <c r="L277" s="426" t="s">
        <v>258</v>
      </c>
      <c r="M277" s="319">
        <f t="shared" si="2"/>
        <v>2760</v>
      </c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ht="12.75" customHeight="1">
      <c r="A278" s="419">
        <v>27717.0</v>
      </c>
      <c r="B278" s="420" t="s">
        <v>8400</v>
      </c>
      <c r="C278" s="420">
        <v>2013.0</v>
      </c>
      <c r="D278" s="497">
        <v>41366.0</v>
      </c>
      <c r="E278" s="422" t="s">
        <v>8401</v>
      </c>
      <c r="F278" s="394" t="s">
        <v>563</v>
      </c>
      <c r="G278" s="422" t="s">
        <v>552</v>
      </c>
      <c r="H278" s="394" t="s">
        <v>153</v>
      </c>
      <c r="I278" s="497">
        <v>43040.0</v>
      </c>
      <c r="J278" s="422">
        <v>11.0</v>
      </c>
      <c r="K278" s="610" t="s">
        <v>228</v>
      </c>
      <c r="L278" s="420" t="s">
        <v>256</v>
      </c>
      <c r="M278" s="316">
        <f t="shared" si="2"/>
        <v>1674</v>
      </c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ht="12.75" customHeight="1">
      <c r="A279" s="425">
        <v>27817.0</v>
      </c>
      <c r="B279" s="426" t="s">
        <v>8402</v>
      </c>
      <c r="C279" s="426">
        <v>2015.0</v>
      </c>
      <c r="D279" s="500">
        <v>42359.0</v>
      </c>
      <c r="E279" s="428" t="s">
        <v>8403</v>
      </c>
      <c r="F279" s="397" t="s">
        <v>171</v>
      </c>
      <c r="G279" s="428" t="s">
        <v>552</v>
      </c>
      <c r="H279" s="397" t="s">
        <v>153</v>
      </c>
      <c r="I279" s="500">
        <v>43042.0</v>
      </c>
      <c r="J279" s="428">
        <v>11.0</v>
      </c>
      <c r="K279" s="609" t="s">
        <v>238</v>
      </c>
      <c r="L279" s="426" t="s">
        <v>256</v>
      </c>
      <c r="M279" s="319">
        <f t="shared" si="2"/>
        <v>683</v>
      </c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ht="12.75" customHeight="1">
      <c r="A280" s="419">
        <v>27917.0</v>
      </c>
      <c r="B280" s="420" t="s">
        <v>8404</v>
      </c>
      <c r="C280" s="420">
        <v>2015.0</v>
      </c>
      <c r="D280" s="497">
        <v>42185.0</v>
      </c>
      <c r="E280" s="422" t="s">
        <v>8405</v>
      </c>
      <c r="F280" s="394" t="s">
        <v>171</v>
      </c>
      <c r="G280" s="422" t="s">
        <v>552</v>
      </c>
      <c r="H280" s="394" t="s">
        <v>153</v>
      </c>
      <c r="I280" s="497">
        <v>43045.0</v>
      </c>
      <c r="J280" s="422">
        <v>11.0</v>
      </c>
      <c r="K280" s="609" t="s">
        <v>238</v>
      </c>
      <c r="L280" s="420" t="s">
        <v>256</v>
      </c>
      <c r="M280" s="316">
        <f t="shared" si="2"/>
        <v>860</v>
      </c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ht="12.75" customHeight="1">
      <c r="A281" s="425">
        <v>28017.0</v>
      </c>
      <c r="B281" s="426" t="s">
        <v>8406</v>
      </c>
      <c r="C281" s="426">
        <v>2015.0</v>
      </c>
      <c r="D281" s="500">
        <v>42184.0</v>
      </c>
      <c r="E281" s="428" t="s">
        <v>8407</v>
      </c>
      <c r="F281" s="397" t="s">
        <v>171</v>
      </c>
      <c r="G281" s="428" t="s">
        <v>552</v>
      </c>
      <c r="H281" s="397" t="s">
        <v>153</v>
      </c>
      <c r="I281" s="500">
        <v>43045.0</v>
      </c>
      <c r="J281" s="428">
        <v>11.0</v>
      </c>
      <c r="K281" s="609" t="s">
        <v>238</v>
      </c>
      <c r="L281" s="426" t="s">
        <v>256</v>
      </c>
      <c r="M281" s="319">
        <f t="shared" si="2"/>
        <v>861</v>
      </c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ht="12.75" customHeight="1">
      <c r="A282" s="419">
        <v>28117.0</v>
      </c>
      <c r="B282" s="420" t="s">
        <v>8408</v>
      </c>
      <c r="C282" s="420">
        <v>2015.0</v>
      </c>
      <c r="D282" s="497">
        <v>42144.0</v>
      </c>
      <c r="E282" s="422" t="s">
        <v>8409</v>
      </c>
      <c r="F282" s="394" t="s">
        <v>171</v>
      </c>
      <c r="G282" s="422" t="s">
        <v>552</v>
      </c>
      <c r="H282" s="394" t="s">
        <v>153</v>
      </c>
      <c r="I282" s="497">
        <v>43045.0</v>
      </c>
      <c r="J282" s="422">
        <v>11.0</v>
      </c>
      <c r="K282" s="609" t="s">
        <v>238</v>
      </c>
      <c r="L282" s="420" t="s">
        <v>256</v>
      </c>
      <c r="M282" s="316">
        <f t="shared" si="2"/>
        <v>901</v>
      </c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ht="12.75" customHeight="1">
      <c r="A283" s="425">
        <v>28217.0</v>
      </c>
      <c r="B283" s="426" t="s">
        <v>8410</v>
      </c>
      <c r="C283" s="426">
        <v>2017.0</v>
      </c>
      <c r="D283" s="500">
        <v>42789.0</v>
      </c>
      <c r="E283" s="428" t="s">
        <v>8411</v>
      </c>
      <c r="F283" s="397" t="s">
        <v>2614</v>
      </c>
      <c r="G283" s="428" t="s">
        <v>569</v>
      </c>
      <c r="H283" s="397" t="s">
        <v>2331</v>
      </c>
      <c r="I283" s="500">
        <v>43045.0</v>
      </c>
      <c r="J283" s="428">
        <v>11.0</v>
      </c>
      <c r="K283" s="607" t="s">
        <v>244</v>
      </c>
      <c r="L283" s="426" t="s">
        <v>260</v>
      </c>
      <c r="M283" s="319">
        <f t="shared" si="2"/>
        <v>256</v>
      </c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ht="12.75" customHeight="1">
      <c r="A284" s="419">
        <v>28317.0</v>
      </c>
      <c r="B284" s="420" t="s">
        <v>8412</v>
      </c>
      <c r="C284" s="420">
        <v>2012.0</v>
      </c>
      <c r="D284" s="497">
        <v>41043.0</v>
      </c>
      <c r="E284" s="422" t="s">
        <v>8413</v>
      </c>
      <c r="F284" s="394" t="s">
        <v>1843</v>
      </c>
      <c r="G284" s="422" t="s">
        <v>17</v>
      </c>
      <c r="H284" s="394" t="s">
        <v>2539</v>
      </c>
      <c r="I284" s="497">
        <v>43046.0</v>
      </c>
      <c r="J284" s="422">
        <v>11.0</v>
      </c>
      <c r="K284" s="609" t="s">
        <v>238</v>
      </c>
      <c r="L284" s="420" t="s">
        <v>260</v>
      </c>
      <c r="M284" s="316">
        <f t="shared" si="2"/>
        <v>2003</v>
      </c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ht="12.75" customHeight="1">
      <c r="A285" s="425">
        <v>28417.0</v>
      </c>
      <c r="B285" s="426" t="s">
        <v>8414</v>
      </c>
      <c r="C285" s="426">
        <v>2016.0</v>
      </c>
      <c r="D285" s="500">
        <v>42669.0</v>
      </c>
      <c r="E285" s="428" t="s">
        <v>8415</v>
      </c>
      <c r="F285" s="397" t="s">
        <v>947</v>
      </c>
      <c r="G285" s="428" t="s">
        <v>17</v>
      </c>
      <c r="H285" s="397" t="s">
        <v>7988</v>
      </c>
      <c r="I285" s="500">
        <v>43046.0</v>
      </c>
      <c r="J285" s="428">
        <v>11.0</v>
      </c>
      <c r="K285" s="609" t="s">
        <v>238</v>
      </c>
      <c r="L285" s="426" t="s">
        <v>258</v>
      </c>
      <c r="M285" s="319">
        <f t="shared" si="2"/>
        <v>377</v>
      </c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ht="12.75" customHeight="1">
      <c r="A286" s="419">
        <v>28517.0</v>
      </c>
      <c r="B286" s="420" t="s">
        <v>8416</v>
      </c>
      <c r="C286" s="420">
        <v>2016.0</v>
      </c>
      <c r="D286" s="497">
        <v>42548.0</v>
      </c>
      <c r="E286" s="422" t="s">
        <v>8417</v>
      </c>
      <c r="F286" s="394" t="s">
        <v>1823</v>
      </c>
      <c r="G286" s="422" t="s">
        <v>552</v>
      </c>
      <c r="H286" s="394" t="s">
        <v>1002</v>
      </c>
      <c r="I286" s="497">
        <v>43047.0</v>
      </c>
      <c r="J286" s="422">
        <v>11.0</v>
      </c>
      <c r="K286" s="610" t="s">
        <v>228</v>
      </c>
      <c r="L286" s="420" t="s">
        <v>256</v>
      </c>
      <c r="M286" s="316">
        <f t="shared" si="2"/>
        <v>499</v>
      </c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ht="12.75" customHeight="1">
      <c r="A287" s="425">
        <v>28617.0</v>
      </c>
      <c r="B287" s="426" t="s">
        <v>8418</v>
      </c>
      <c r="C287" s="426">
        <v>2016.0</v>
      </c>
      <c r="D287" s="500">
        <v>42585.0</v>
      </c>
      <c r="E287" s="428" t="s">
        <v>8419</v>
      </c>
      <c r="F287" s="397" t="s">
        <v>8420</v>
      </c>
      <c r="G287" s="428" t="s">
        <v>565</v>
      </c>
      <c r="H287" s="397" t="s">
        <v>2331</v>
      </c>
      <c r="I287" s="500">
        <v>43047.0</v>
      </c>
      <c r="J287" s="428">
        <v>11.0</v>
      </c>
      <c r="K287" s="609" t="s">
        <v>238</v>
      </c>
      <c r="L287" s="426" t="s">
        <v>260</v>
      </c>
      <c r="M287" s="319">
        <f t="shared" si="2"/>
        <v>462</v>
      </c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ht="12.75" customHeight="1">
      <c r="A288" s="419">
        <v>28717.0</v>
      </c>
      <c r="B288" s="420" t="s">
        <v>8421</v>
      </c>
      <c r="C288" s="420">
        <v>2015.0</v>
      </c>
      <c r="D288" s="497">
        <v>42065.0</v>
      </c>
      <c r="E288" s="422" t="s">
        <v>8422</v>
      </c>
      <c r="F288" s="394" t="s">
        <v>171</v>
      </c>
      <c r="G288" s="422" t="s">
        <v>552</v>
      </c>
      <c r="H288" s="394" t="s">
        <v>740</v>
      </c>
      <c r="I288" s="497">
        <v>43048.0</v>
      </c>
      <c r="J288" s="422">
        <v>11.0</v>
      </c>
      <c r="K288" s="609" t="s">
        <v>238</v>
      </c>
      <c r="L288" s="420" t="s">
        <v>256</v>
      </c>
      <c r="M288" s="316">
        <f t="shared" si="2"/>
        <v>983</v>
      </c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ht="12.75" customHeight="1">
      <c r="A289" s="425">
        <v>28817.0</v>
      </c>
      <c r="B289" s="426" t="s">
        <v>8423</v>
      </c>
      <c r="C289" s="426">
        <v>2010.0</v>
      </c>
      <c r="D289" s="500">
        <v>40540.0</v>
      </c>
      <c r="E289" s="428" t="s">
        <v>8424</v>
      </c>
      <c r="F289" s="397" t="s">
        <v>8425</v>
      </c>
      <c r="G289" s="428" t="s">
        <v>650</v>
      </c>
      <c r="H289" s="397" t="s">
        <v>923</v>
      </c>
      <c r="I289" s="500">
        <v>43048.0</v>
      </c>
      <c r="J289" s="428">
        <v>11.0</v>
      </c>
      <c r="K289" s="609" t="s">
        <v>238</v>
      </c>
      <c r="L289" s="426" t="s">
        <v>256</v>
      </c>
      <c r="M289" s="319">
        <f t="shared" si="2"/>
        <v>2508</v>
      </c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ht="12.75" customHeight="1">
      <c r="A290" s="419">
        <v>28917.0</v>
      </c>
      <c r="B290" s="420" t="s">
        <v>8426</v>
      </c>
      <c r="C290" s="420">
        <v>2013.0</v>
      </c>
      <c r="D290" s="497">
        <v>41576.0</v>
      </c>
      <c r="E290" s="422" t="s">
        <v>8427</v>
      </c>
      <c r="F290" s="394" t="s">
        <v>739</v>
      </c>
      <c r="G290" s="422" t="s">
        <v>552</v>
      </c>
      <c r="H290" s="394" t="s">
        <v>1749</v>
      </c>
      <c r="I290" s="497">
        <v>43048.0</v>
      </c>
      <c r="J290" s="422">
        <v>11.0</v>
      </c>
      <c r="K290" s="610" t="s">
        <v>228</v>
      </c>
      <c r="L290" s="420" t="s">
        <v>258</v>
      </c>
      <c r="M290" s="316">
        <f t="shared" si="2"/>
        <v>1472</v>
      </c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ht="12.75" customHeight="1">
      <c r="A291" s="425">
        <v>29017.0</v>
      </c>
      <c r="B291" s="426" t="s">
        <v>8428</v>
      </c>
      <c r="C291" s="426">
        <v>2013.0</v>
      </c>
      <c r="D291" s="500">
        <v>41379.0</v>
      </c>
      <c r="E291" s="428" t="s">
        <v>8429</v>
      </c>
      <c r="F291" s="397" t="s">
        <v>563</v>
      </c>
      <c r="G291" s="428" t="s">
        <v>552</v>
      </c>
      <c r="H291" s="397" t="s">
        <v>153</v>
      </c>
      <c r="I291" s="500">
        <v>43048.0</v>
      </c>
      <c r="J291" s="428">
        <v>11.0</v>
      </c>
      <c r="K291" s="610" t="s">
        <v>228</v>
      </c>
      <c r="L291" s="426" t="s">
        <v>256</v>
      </c>
      <c r="M291" s="319">
        <f t="shared" si="2"/>
        <v>1669</v>
      </c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ht="12.75" customHeight="1">
      <c r="A292" s="419">
        <v>29117.0</v>
      </c>
      <c r="B292" s="420" t="s">
        <v>8430</v>
      </c>
      <c r="C292" s="420">
        <v>2013.0</v>
      </c>
      <c r="D292" s="497">
        <v>41509.0</v>
      </c>
      <c r="E292" s="422" t="s">
        <v>8431</v>
      </c>
      <c r="F292" s="394" t="s">
        <v>8432</v>
      </c>
      <c r="G292" s="422" t="s">
        <v>34</v>
      </c>
      <c r="H292" s="394" t="s">
        <v>923</v>
      </c>
      <c r="I292" s="497">
        <v>43048.0</v>
      </c>
      <c r="J292" s="422">
        <v>11.0</v>
      </c>
      <c r="K292" s="610" t="s">
        <v>228</v>
      </c>
      <c r="L292" s="420" t="s">
        <v>256</v>
      </c>
      <c r="M292" s="316">
        <f t="shared" si="2"/>
        <v>1539</v>
      </c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ht="12.75" customHeight="1">
      <c r="A293" s="425">
        <v>29217.0</v>
      </c>
      <c r="B293" s="426" t="s">
        <v>8433</v>
      </c>
      <c r="C293" s="426">
        <v>2010.0</v>
      </c>
      <c r="D293" s="500">
        <v>40535.0</v>
      </c>
      <c r="E293" s="428" t="s">
        <v>8434</v>
      </c>
      <c r="F293" s="397" t="s">
        <v>8435</v>
      </c>
      <c r="G293" s="428" t="s">
        <v>552</v>
      </c>
      <c r="H293" s="397" t="s">
        <v>596</v>
      </c>
      <c r="I293" s="500">
        <v>43049.0</v>
      </c>
      <c r="J293" s="428">
        <v>11.0</v>
      </c>
      <c r="K293" s="610" t="s">
        <v>228</v>
      </c>
      <c r="L293" s="426" t="s">
        <v>258</v>
      </c>
      <c r="M293" s="319">
        <f t="shared" si="2"/>
        <v>2514</v>
      </c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ht="12.75" customHeight="1">
      <c r="A294" s="419">
        <v>29317.0</v>
      </c>
      <c r="B294" s="420" t="s">
        <v>8436</v>
      </c>
      <c r="C294" s="420">
        <v>2009.0</v>
      </c>
      <c r="D294" s="497">
        <v>40106.0</v>
      </c>
      <c r="E294" s="422" t="s">
        <v>8437</v>
      </c>
      <c r="F294" s="394" t="s">
        <v>6584</v>
      </c>
      <c r="G294" s="422" t="s">
        <v>552</v>
      </c>
      <c r="H294" s="394" t="s">
        <v>8438</v>
      </c>
      <c r="I294" s="497">
        <v>43049.0</v>
      </c>
      <c r="J294" s="422">
        <v>11.0</v>
      </c>
      <c r="K294" s="610" t="s">
        <v>228</v>
      </c>
      <c r="L294" s="420" t="s">
        <v>256</v>
      </c>
      <c r="M294" s="316">
        <f t="shared" si="2"/>
        <v>2943</v>
      </c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ht="12.75" customHeight="1">
      <c r="A295" s="425">
        <v>29417.0</v>
      </c>
      <c r="B295" s="426" t="s">
        <v>8439</v>
      </c>
      <c r="C295" s="426">
        <v>2010.0</v>
      </c>
      <c r="D295" s="500">
        <v>40533.0</v>
      </c>
      <c r="E295" s="428" t="s">
        <v>8440</v>
      </c>
      <c r="F295" s="397" t="s">
        <v>8435</v>
      </c>
      <c r="G295" s="428" t="s">
        <v>552</v>
      </c>
      <c r="H295" s="397" t="s">
        <v>1749</v>
      </c>
      <c r="I295" s="500">
        <v>43049.0</v>
      </c>
      <c r="J295" s="428">
        <v>11.0</v>
      </c>
      <c r="K295" s="610" t="s">
        <v>228</v>
      </c>
      <c r="L295" s="426" t="s">
        <v>258</v>
      </c>
      <c r="M295" s="319">
        <f t="shared" si="2"/>
        <v>2516</v>
      </c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ht="12.75" customHeight="1">
      <c r="A296" s="419">
        <v>29517.0</v>
      </c>
      <c r="B296" s="420" t="s">
        <v>8441</v>
      </c>
      <c r="C296" s="420">
        <v>2013.0</v>
      </c>
      <c r="D296" s="497">
        <v>41453.0</v>
      </c>
      <c r="E296" s="422" t="s">
        <v>8442</v>
      </c>
      <c r="F296" s="394" t="s">
        <v>8443</v>
      </c>
      <c r="G296" s="422" t="s">
        <v>46</v>
      </c>
      <c r="H296" s="394" t="s">
        <v>923</v>
      </c>
      <c r="I296" s="497">
        <v>43049.0</v>
      </c>
      <c r="J296" s="422">
        <v>11.0</v>
      </c>
      <c r="K296" s="609" t="s">
        <v>238</v>
      </c>
      <c r="L296" s="420" t="s">
        <v>256</v>
      </c>
      <c r="M296" s="316">
        <f t="shared" si="2"/>
        <v>1596</v>
      </c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ht="12.75" customHeight="1">
      <c r="A297" s="425">
        <v>29617.0</v>
      </c>
      <c r="B297" s="426" t="s">
        <v>8444</v>
      </c>
      <c r="C297" s="426">
        <v>2014.0</v>
      </c>
      <c r="D297" s="500">
        <v>41890.0</v>
      </c>
      <c r="E297" s="428" t="s">
        <v>8445</v>
      </c>
      <c r="F297" s="397" t="s">
        <v>660</v>
      </c>
      <c r="G297" s="428" t="s">
        <v>552</v>
      </c>
      <c r="H297" s="397" t="s">
        <v>50</v>
      </c>
      <c r="I297" s="500">
        <v>43049.0</v>
      </c>
      <c r="J297" s="428">
        <v>11.0</v>
      </c>
      <c r="K297" s="610" t="s">
        <v>228</v>
      </c>
      <c r="L297" s="426" t="s">
        <v>256</v>
      </c>
      <c r="M297" s="319">
        <f t="shared" si="2"/>
        <v>1159</v>
      </c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ht="12.75" customHeight="1">
      <c r="A298" s="419">
        <v>29717.0</v>
      </c>
      <c r="B298" s="420" t="s">
        <v>8446</v>
      </c>
      <c r="C298" s="420">
        <v>2011.0</v>
      </c>
      <c r="D298" s="497">
        <v>40868.0</v>
      </c>
      <c r="E298" s="422" t="s">
        <v>8447</v>
      </c>
      <c r="F298" s="394" t="s">
        <v>6584</v>
      </c>
      <c r="G298" s="422" t="s">
        <v>552</v>
      </c>
      <c r="H298" s="394" t="s">
        <v>740</v>
      </c>
      <c r="I298" s="497">
        <v>43049.0</v>
      </c>
      <c r="J298" s="422">
        <v>11.0</v>
      </c>
      <c r="K298" s="610" t="s">
        <v>228</v>
      </c>
      <c r="L298" s="420" t="s">
        <v>256</v>
      </c>
      <c r="M298" s="316">
        <f t="shared" si="2"/>
        <v>2181</v>
      </c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ht="12.75" customHeight="1">
      <c r="A299" s="425">
        <v>29817.0</v>
      </c>
      <c r="B299" s="426" t="s">
        <v>8448</v>
      </c>
      <c r="C299" s="426">
        <v>2013.0</v>
      </c>
      <c r="D299" s="500">
        <v>41509.0</v>
      </c>
      <c r="E299" s="428" t="s">
        <v>8449</v>
      </c>
      <c r="F299" s="397" t="s">
        <v>8432</v>
      </c>
      <c r="G299" s="428" t="s">
        <v>547</v>
      </c>
      <c r="H299" s="397" t="s">
        <v>923</v>
      </c>
      <c r="I299" s="500">
        <v>43052.0</v>
      </c>
      <c r="J299" s="428">
        <v>11.0</v>
      </c>
      <c r="K299" s="610" t="s">
        <v>228</v>
      </c>
      <c r="L299" s="426" t="s">
        <v>256</v>
      </c>
      <c r="M299" s="319">
        <f t="shared" si="2"/>
        <v>1543</v>
      </c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ht="12.75" customHeight="1">
      <c r="A300" s="419">
        <v>29917.0</v>
      </c>
      <c r="B300" s="420" t="s">
        <v>8450</v>
      </c>
      <c r="C300" s="420">
        <v>2010.0</v>
      </c>
      <c r="D300" s="497">
        <v>40494.0</v>
      </c>
      <c r="E300" s="422" t="s">
        <v>8451</v>
      </c>
      <c r="F300" s="394" t="s">
        <v>1464</v>
      </c>
      <c r="G300" s="422" t="s">
        <v>552</v>
      </c>
      <c r="H300" s="394" t="s">
        <v>3519</v>
      </c>
      <c r="I300" s="497">
        <v>43052.0</v>
      </c>
      <c r="J300" s="422">
        <v>11.0</v>
      </c>
      <c r="K300" s="610" t="s">
        <v>228</v>
      </c>
      <c r="L300" s="420" t="s">
        <v>256</v>
      </c>
      <c r="M300" s="316">
        <f t="shared" si="2"/>
        <v>2558</v>
      </c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ht="12.75" customHeight="1">
      <c r="A301" s="425">
        <v>30017.0</v>
      </c>
      <c r="B301" s="426" t="s">
        <v>8452</v>
      </c>
      <c r="C301" s="426">
        <v>2009.0</v>
      </c>
      <c r="D301" s="500">
        <v>39981.0</v>
      </c>
      <c r="E301" s="428" t="s">
        <v>8453</v>
      </c>
      <c r="F301" s="397" t="s">
        <v>563</v>
      </c>
      <c r="G301" s="428" t="s">
        <v>552</v>
      </c>
      <c r="H301" s="397" t="s">
        <v>573</v>
      </c>
      <c r="I301" s="500">
        <v>43052.0</v>
      </c>
      <c r="J301" s="428">
        <v>11.0</v>
      </c>
      <c r="K301" s="608" t="s">
        <v>234</v>
      </c>
      <c r="L301" s="426" t="s">
        <v>256</v>
      </c>
      <c r="M301" s="319">
        <f t="shared" si="2"/>
        <v>3071</v>
      </c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ht="12.75" customHeight="1">
      <c r="A302" s="419">
        <v>30117.0</v>
      </c>
      <c r="B302" s="420" t="s">
        <v>8454</v>
      </c>
      <c r="C302" s="420">
        <v>2010.0</v>
      </c>
      <c r="D302" s="497">
        <v>40395.0</v>
      </c>
      <c r="E302" s="422" t="s">
        <v>8455</v>
      </c>
      <c r="F302" s="394" t="s">
        <v>134</v>
      </c>
      <c r="G302" s="422" t="s">
        <v>552</v>
      </c>
      <c r="H302" s="394" t="s">
        <v>56</v>
      </c>
      <c r="I302" s="497">
        <v>43053.0</v>
      </c>
      <c r="J302" s="422">
        <v>11.0</v>
      </c>
      <c r="K302" s="607" t="s">
        <v>244</v>
      </c>
      <c r="L302" s="420" t="s">
        <v>258</v>
      </c>
      <c r="M302" s="316">
        <f t="shared" si="2"/>
        <v>2658</v>
      </c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ht="12.75" customHeight="1">
      <c r="A303" s="425">
        <v>30217.0</v>
      </c>
      <c r="B303" s="426" t="s">
        <v>8456</v>
      </c>
      <c r="C303" s="426">
        <v>2009.0</v>
      </c>
      <c r="D303" s="500">
        <v>40127.0</v>
      </c>
      <c r="E303" s="428" t="s">
        <v>8457</v>
      </c>
      <c r="F303" s="397" t="s">
        <v>6584</v>
      </c>
      <c r="G303" s="428" t="s">
        <v>552</v>
      </c>
      <c r="H303" s="397" t="s">
        <v>8438</v>
      </c>
      <c r="I303" s="500">
        <v>43053.0</v>
      </c>
      <c r="J303" s="428">
        <v>11.0</v>
      </c>
      <c r="K303" s="610" t="s">
        <v>228</v>
      </c>
      <c r="L303" s="426" t="s">
        <v>256</v>
      </c>
      <c r="M303" s="319">
        <f t="shared" si="2"/>
        <v>2926</v>
      </c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ht="12.75" customHeight="1">
      <c r="A304" s="419">
        <v>30317.0</v>
      </c>
      <c r="B304" s="420" t="s">
        <v>8458</v>
      </c>
      <c r="C304" s="420">
        <v>2010.0</v>
      </c>
      <c r="D304" s="497">
        <v>40499.0</v>
      </c>
      <c r="E304" s="422" t="s">
        <v>8459</v>
      </c>
      <c r="F304" s="394" t="s">
        <v>2873</v>
      </c>
      <c r="G304" s="422" t="s">
        <v>552</v>
      </c>
      <c r="H304" s="394" t="s">
        <v>50</v>
      </c>
      <c r="I304" s="497">
        <v>43053.0</v>
      </c>
      <c r="J304" s="422">
        <v>11.0</v>
      </c>
      <c r="K304" s="610" t="s">
        <v>228</v>
      </c>
      <c r="L304" s="420" t="s">
        <v>258</v>
      </c>
      <c r="M304" s="316">
        <f t="shared" si="2"/>
        <v>2554</v>
      </c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425">
        <v>30417.0</v>
      </c>
      <c r="B305" s="426" t="s">
        <v>8460</v>
      </c>
      <c r="C305" s="426">
        <v>2013.0</v>
      </c>
      <c r="D305" s="500">
        <v>41290.0</v>
      </c>
      <c r="E305" s="428" t="s">
        <v>8461</v>
      </c>
      <c r="F305" s="397" t="s">
        <v>44</v>
      </c>
      <c r="G305" s="428" t="s">
        <v>552</v>
      </c>
      <c r="H305" s="397" t="s">
        <v>583</v>
      </c>
      <c r="I305" s="500">
        <v>43053.0</v>
      </c>
      <c r="J305" s="428">
        <v>11.0</v>
      </c>
      <c r="K305" s="610" t="s">
        <v>228</v>
      </c>
      <c r="L305" s="426" t="s">
        <v>258</v>
      </c>
      <c r="M305" s="319">
        <f t="shared" si="2"/>
        <v>1763</v>
      </c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419">
        <v>30517.0</v>
      </c>
      <c r="B306" s="420" t="s">
        <v>8462</v>
      </c>
      <c r="C306" s="420">
        <v>2012.0</v>
      </c>
      <c r="D306" s="497">
        <v>41158.0</v>
      </c>
      <c r="E306" s="422" t="s">
        <v>8463</v>
      </c>
      <c r="F306" s="394" t="s">
        <v>6549</v>
      </c>
      <c r="G306" s="422" t="s">
        <v>650</v>
      </c>
      <c r="H306" s="394" t="s">
        <v>583</v>
      </c>
      <c r="I306" s="497">
        <v>43053.0</v>
      </c>
      <c r="J306" s="422">
        <v>11.0</v>
      </c>
      <c r="K306" s="610" t="s">
        <v>228</v>
      </c>
      <c r="L306" s="420" t="s">
        <v>258</v>
      </c>
      <c r="M306" s="316">
        <f t="shared" si="2"/>
        <v>1895</v>
      </c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425">
        <v>30617.0</v>
      </c>
      <c r="B307" s="426" t="s">
        <v>8416</v>
      </c>
      <c r="C307" s="426">
        <v>2016.0</v>
      </c>
      <c r="D307" s="500">
        <v>42551.0</v>
      </c>
      <c r="E307" s="428" t="s">
        <v>8464</v>
      </c>
      <c r="F307" s="397" t="s">
        <v>1823</v>
      </c>
      <c r="G307" s="428" t="s">
        <v>650</v>
      </c>
      <c r="H307" s="397" t="s">
        <v>1002</v>
      </c>
      <c r="I307" s="500">
        <v>43055.0</v>
      </c>
      <c r="J307" s="428">
        <v>11.0</v>
      </c>
      <c r="K307" s="610" t="s">
        <v>228</v>
      </c>
      <c r="L307" s="426" t="s">
        <v>258</v>
      </c>
      <c r="M307" s="319">
        <f t="shared" si="2"/>
        <v>504</v>
      </c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419">
        <v>30717.0</v>
      </c>
      <c r="B308" s="420" t="s">
        <v>8465</v>
      </c>
      <c r="C308" s="420">
        <v>2014.0</v>
      </c>
      <c r="D308" s="497">
        <v>41729.0</v>
      </c>
      <c r="E308" s="422" t="s">
        <v>8466</v>
      </c>
      <c r="F308" s="394" t="s">
        <v>8467</v>
      </c>
      <c r="G308" s="422" t="s">
        <v>650</v>
      </c>
      <c r="H308" s="394" t="s">
        <v>1002</v>
      </c>
      <c r="I308" s="497">
        <v>43055.0</v>
      </c>
      <c r="J308" s="422">
        <v>11.0</v>
      </c>
      <c r="K308" s="609" t="s">
        <v>238</v>
      </c>
      <c r="L308" s="420" t="s">
        <v>256</v>
      </c>
      <c r="M308" s="316">
        <f t="shared" si="2"/>
        <v>1326</v>
      </c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425">
        <v>30817.0</v>
      </c>
      <c r="B309" s="426" t="s">
        <v>8468</v>
      </c>
      <c r="C309" s="426">
        <v>2015.0</v>
      </c>
      <c r="D309" s="500">
        <v>42185.0</v>
      </c>
      <c r="E309" s="428" t="s">
        <v>8469</v>
      </c>
      <c r="F309" s="397" t="s">
        <v>8470</v>
      </c>
      <c r="G309" s="428" t="s">
        <v>650</v>
      </c>
      <c r="H309" s="397" t="s">
        <v>1002</v>
      </c>
      <c r="I309" s="500">
        <v>43056.0</v>
      </c>
      <c r="J309" s="428">
        <v>11.0</v>
      </c>
      <c r="K309" s="609" t="s">
        <v>238</v>
      </c>
      <c r="L309" s="426" t="s">
        <v>258</v>
      </c>
      <c r="M309" s="319">
        <f t="shared" si="2"/>
        <v>871</v>
      </c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419">
        <v>30917.0</v>
      </c>
      <c r="B310" s="420" t="s">
        <v>8471</v>
      </c>
      <c r="C310" s="420">
        <v>2014.0</v>
      </c>
      <c r="D310" s="497">
        <v>41918.0</v>
      </c>
      <c r="E310" s="422" t="s">
        <v>8472</v>
      </c>
      <c r="F310" s="394" t="s">
        <v>4376</v>
      </c>
      <c r="G310" s="422" t="s">
        <v>565</v>
      </c>
      <c r="H310" s="394" t="s">
        <v>2331</v>
      </c>
      <c r="I310" s="497">
        <v>43056.0</v>
      </c>
      <c r="J310" s="422">
        <v>11.0</v>
      </c>
      <c r="K310" s="609" t="s">
        <v>238</v>
      </c>
      <c r="L310" s="420" t="s">
        <v>260</v>
      </c>
      <c r="M310" s="316">
        <f t="shared" si="2"/>
        <v>1138</v>
      </c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425">
        <v>31017.0</v>
      </c>
      <c r="B311" s="426" t="s">
        <v>8473</v>
      </c>
      <c r="C311" s="426">
        <v>2015.0</v>
      </c>
      <c r="D311" s="500">
        <v>42244.0</v>
      </c>
      <c r="E311" s="428" t="s">
        <v>8474</v>
      </c>
      <c r="F311" s="397" t="s">
        <v>8475</v>
      </c>
      <c r="G311" s="428" t="s">
        <v>552</v>
      </c>
      <c r="H311" s="397" t="s">
        <v>740</v>
      </c>
      <c r="I311" s="500">
        <v>43059.0</v>
      </c>
      <c r="J311" s="428">
        <v>11.0</v>
      </c>
      <c r="K311" s="608" t="s">
        <v>234</v>
      </c>
      <c r="L311" s="426" t="s">
        <v>256</v>
      </c>
      <c r="M311" s="319">
        <f t="shared" si="2"/>
        <v>815</v>
      </c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419">
        <v>31117.0</v>
      </c>
      <c r="B312" s="420" t="s">
        <v>8476</v>
      </c>
      <c r="C312" s="420">
        <v>2011.0</v>
      </c>
      <c r="D312" s="497">
        <v>40799.0</v>
      </c>
      <c r="E312" s="422" t="s">
        <v>8477</v>
      </c>
      <c r="F312" s="394" t="s">
        <v>3659</v>
      </c>
      <c r="G312" s="422" t="s">
        <v>565</v>
      </c>
      <c r="H312" s="394" t="s">
        <v>18</v>
      </c>
      <c r="I312" s="497">
        <v>43059.0</v>
      </c>
      <c r="J312" s="422">
        <v>11.0</v>
      </c>
      <c r="K312" s="609" t="s">
        <v>238</v>
      </c>
      <c r="L312" s="420" t="s">
        <v>260</v>
      </c>
      <c r="M312" s="316">
        <f t="shared" si="2"/>
        <v>2260</v>
      </c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425">
        <v>31217.0</v>
      </c>
      <c r="B313" s="426" t="s">
        <v>8478</v>
      </c>
      <c r="C313" s="426">
        <v>2016.0</v>
      </c>
      <c r="D313" s="500">
        <v>42394.0</v>
      </c>
      <c r="E313" s="428" t="s">
        <v>8479</v>
      </c>
      <c r="F313" s="397" t="s">
        <v>3544</v>
      </c>
      <c r="G313" s="428" t="s">
        <v>569</v>
      </c>
      <c r="H313" s="397" t="s">
        <v>6239</v>
      </c>
      <c r="I313" s="500">
        <v>43060.0</v>
      </c>
      <c r="J313" s="428">
        <v>11.0</v>
      </c>
      <c r="K313" s="607" t="s">
        <v>244</v>
      </c>
      <c r="L313" s="426" t="s">
        <v>260</v>
      </c>
      <c r="M313" s="319">
        <f t="shared" si="2"/>
        <v>666</v>
      </c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419">
        <v>31317.0</v>
      </c>
      <c r="B314" s="420" t="s">
        <v>8480</v>
      </c>
      <c r="C314" s="420">
        <v>2014.0</v>
      </c>
      <c r="D314" s="497">
        <v>41968.0</v>
      </c>
      <c r="E314" s="422" t="s">
        <v>8481</v>
      </c>
      <c r="F314" s="394" t="s">
        <v>8174</v>
      </c>
      <c r="G314" s="422" t="s">
        <v>650</v>
      </c>
      <c r="H314" s="394" t="s">
        <v>2964</v>
      </c>
      <c r="I314" s="497">
        <v>43060.0</v>
      </c>
      <c r="J314" s="422">
        <v>11.0</v>
      </c>
      <c r="K314" s="610" t="s">
        <v>228</v>
      </c>
      <c r="L314" s="420" t="s">
        <v>258</v>
      </c>
      <c r="M314" s="316">
        <f t="shared" si="2"/>
        <v>1092</v>
      </c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425">
        <v>31417.0</v>
      </c>
      <c r="B315" s="426" t="s">
        <v>8480</v>
      </c>
      <c r="C315" s="426">
        <v>2014.0</v>
      </c>
      <c r="D315" s="500">
        <v>41968.0</v>
      </c>
      <c r="E315" s="428" t="s">
        <v>8482</v>
      </c>
      <c r="F315" s="397" t="s">
        <v>8174</v>
      </c>
      <c r="G315" s="428" t="s">
        <v>650</v>
      </c>
      <c r="H315" s="397" t="s">
        <v>2964</v>
      </c>
      <c r="I315" s="500">
        <v>43060.0</v>
      </c>
      <c r="J315" s="428">
        <v>11.0</v>
      </c>
      <c r="K315" s="610" t="s">
        <v>228</v>
      </c>
      <c r="L315" s="426" t="s">
        <v>258</v>
      </c>
      <c r="M315" s="319">
        <f t="shared" si="2"/>
        <v>1092</v>
      </c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419">
        <v>31517.0</v>
      </c>
      <c r="B316" s="420" t="s">
        <v>8483</v>
      </c>
      <c r="C316" s="420">
        <v>2014.0</v>
      </c>
      <c r="D316" s="497">
        <v>41968.0</v>
      </c>
      <c r="E316" s="422" t="s">
        <v>8484</v>
      </c>
      <c r="F316" s="394" t="s">
        <v>8174</v>
      </c>
      <c r="G316" s="422" t="s">
        <v>650</v>
      </c>
      <c r="H316" s="394" t="s">
        <v>2964</v>
      </c>
      <c r="I316" s="497">
        <v>43060.0</v>
      </c>
      <c r="J316" s="422">
        <v>11.0</v>
      </c>
      <c r="K316" s="610" t="s">
        <v>228</v>
      </c>
      <c r="L316" s="420" t="s">
        <v>258</v>
      </c>
      <c r="M316" s="316">
        <f t="shared" si="2"/>
        <v>1092</v>
      </c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425">
        <v>31617.0</v>
      </c>
      <c r="B317" s="426" t="s">
        <v>8485</v>
      </c>
      <c r="C317" s="426">
        <v>2014.0</v>
      </c>
      <c r="D317" s="500">
        <v>41912.0</v>
      </c>
      <c r="E317" s="428" t="s">
        <v>8486</v>
      </c>
      <c r="F317" s="397" t="s">
        <v>8487</v>
      </c>
      <c r="G317" s="428" t="s">
        <v>650</v>
      </c>
      <c r="H317" s="397" t="s">
        <v>1002</v>
      </c>
      <c r="I317" s="500">
        <v>43061.0</v>
      </c>
      <c r="J317" s="428">
        <v>11.0</v>
      </c>
      <c r="K317" s="608" t="s">
        <v>234</v>
      </c>
      <c r="L317" s="426" t="s">
        <v>256</v>
      </c>
      <c r="M317" s="319">
        <f t="shared" si="2"/>
        <v>1149</v>
      </c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419">
        <v>31717.0</v>
      </c>
      <c r="B318" s="420" t="s">
        <v>8488</v>
      </c>
      <c r="C318" s="420">
        <v>2012.0</v>
      </c>
      <c r="D318" s="497">
        <v>41029.0</v>
      </c>
      <c r="E318" s="422" t="s">
        <v>8489</v>
      </c>
      <c r="F318" s="394" t="s">
        <v>134</v>
      </c>
      <c r="G318" s="422" t="s">
        <v>552</v>
      </c>
      <c r="H318" s="394" t="s">
        <v>8332</v>
      </c>
      <c r="I318" s="497">
        <v>43061.0</v>
      </c>
      <c r="J318" s="422">
        <v>11.0</v>
      </c>
      <c r="K318" s="610" t="s">
        <v>228</v>
      </c>
      <c r="L318" s="420" t="s">
        <v>258</v>
      </c>
      <c r="M318" s="316">
        <f t="shared" si="2"/>
        <v>2032</v>
      </c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425">
        <v>31817.0</v>
      </c>
      <c r="B319" s="426" t="s">
        <v>8490</v>
      </c>
      <c r="C319" s="426">
        <v>2013.0</v>
      </c>
      <c r="D319" s="500">
        <v>41372.0</v>
      </c>
      <c r="E319" s="428" t="s">
        <v>8491</v>
      </c>
      <c r="F319" s="397" t="s">
        <v>563</v>
      </c>
      <c r="G319" s="428" t="s">
        <v>552</v>
      </c>
      <c r="H319" s="397" t="s">
        <v>153</v>
      </c>
      <c r="I319" s="500">
        <v>43061.0</v>
      </c>
      <c r="J319" s="428">
        <v>11.0</v>
      </c>
      <c r="K319" s="610" t="s">
        <v>228</v>
      </c>
      <c r="L319" s="426" t="s">
        <v>256</v>
      </c>
      <c r="M319" s="319">
        <f t="shared" si="2"/>
        <v>1689</v>
      </c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419">
        <v>31917.0</v>
      </c>
      <c r="B320" s="420" t="s">
        <v>8492</v>
      </c>
      <c r="C320" s="420">
        <v>2017.0</v>
      </c>
      <c r="D320" s="497">
        <v>42789.0</v>
      </c>
      <c r="E320" s="422" t="s">
        <v>8493</v>
      </c>
      <c r="F320" s="394" t="s">
        <v>2343</v>
      </c>
      <c r="G320" s="422" t="s">
        <v>569</v>
      </c>
      <c r="H320" s="394" t="s">
        <v>2331</v>
      </c>
      <c r="I320" s="497">
        <v>43062.0</v>
      </c>
      <c r="J320" s="422">
        <v>11.0</v>
      </c>
      <c r="K320" s="607" t="s">
        <v>244</v>
      </c>
      <c r="L320" s="420" t="s">
        <v>260</v>
      </c>
      <c r="M320" s="316">
        <f t="shared" si="2"/>
        <v>273</v>
      </c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425">
        <v>32017.0</v>
      </c>
      <c r="B321" s="426" t="s">
        <v>8494</v>
      </c>
      <c r="C321" s="426">
        <v>2017.0</v>
      </c>
      <c r="D321" s="500">
        <v>42789.0</v>
      </c>
      <c r="E321" s="428" t="s">
        <v>8495</v>
      </c>
      <c r="F321" s="397" t="s">
        <v>2343</v>
      </c>
      <c r="G321" s="428" t="s">
        <v>569</v>
      </c>
      <c r="H321" s="397" t="s">
        <v>2331</v>
      </c>
      <c r="I321" s="500">
        <v>43062.0</v>
      </c>
      <c r="J321" s="428">
        <v>11.0</v>
      </c>
      <c r="K321" s="607" t="s">
        <v>244</v>
      </c>
      <c r="L321" s="426" t="s">
        <v>260</v>
      </c>
      <c r="M321" s="319">
        <f t="shared" si="2"/>
        <v>273</v>
      </c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419">
        <v>32117.0</v>
      </c>
      <c r="B322" s="420" t="s">
        <v>8496</v>
      </c>
      <c r="C322" s="420">
        <v>2017.0</v>
      </c>
      <c r="D322" s="497">
        <v>42755.0</v>
      </c>
      <c r="E322" s="422" t="s">
        <v>8497</v>
      </c>
      <c r="F322" s="394" t="s">
        <v>2606</v>
      </c>
      <c r="G322" s="422" t="s">
        <v>569</v>
      </c>
      <c r="H322" s="394" t="s">
        <v>2331</v>
      </c>
      <c r="I322" s="497">
        <v>43063.0</v>
      </c>
      <c r="J322" s="422">
        <v>11.0</v>
      </c>
      <c r="K322" s="607" t="s">
        <v>244</v>
      </c>
      <c r="L322" s="420" t="s">
        <v>260</v>
      </c>
      <c r="M322" s="316">
        <f t="shared" si="2"/>
        <v>308</v>
      </c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425">
        <v>32217.0</v>
      </c>
      <c r="B323" s="426" t="s">
        <v>8498</v>
      </c>
      <c r="C323" s="426">
        <v>2017.0</v>
      </c>
      <c r="D323" s="500">
        <v>42789.0</v>
      </c>
      <c r="E323" s="428" t="s">
        <v>8499</v>
      </c>
      <c r="F323" s="397" t="s">
        <v>2614</v>
      </c>
      <c r="G323" s="428" t="s">
        <v>569</v>
      </c>
      <c r="H323" s="397" t="s">
        <v>2331</v>
      </c>
      <c r="I323" s="500">
        <v>43063.0</v>
      </c>
      <c r="J323" s="428">
        <v>11.0</v>
      </c>
      <c r="K323" s="607" t="s">
        <v>244</v>
      </c>
      <c r="L323" s="426" t="s">
        <v>260</v>
      </c>
      <c r="M323" s="319">
        <f t="shared" si="2"/>
        <v>274</v>
      </c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419">
        <v>32317.0</v>
      </c>
      <c r="B324" s="420" t="s">
        <v>8500</v>
      </c>
      <c r="C324" s="420">
        <v>2016.0</v>
      </c>
      <c r="D324" s="497">
        <v>42724.0</v>
      </c>
      <c r="E324" s="422" t="s">
        <v>8501</v>
      </c>
      <c r="F324" s="394" t="s">
        <v>2614</v>
      </c>
      <c r="G324" s="422" t="s">
        <v>569</v>
      </c>
      <c r="H324" s="394" t="s">
        <v>2331</v>
      </c>
      <c r="I324" s="497">
        <v>43063.0</v>
      </c>
      <c r="J324" s="422">
        <v>11.0</v>
      </c>
      <c r="K324" s="607" t="s">
        <v>244</v>
      </c>
      <c r="L324" s="420" t="s">
        <v>260</v>
      </c>
      <c r="M324" s="316">
        <f t="shared" si="2"/>
        <v>339</v>
      </c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425">
        <v>32417.0</v>
      </c>
      <c r="B325" s="426" t="s">
        <v>8502</v>
      </c>
      <c r="C325" s="426">
        <v>2016.0</v>
      </c>
      <c r="D325" s="500">
        <v>42724.0</v>
      </c>
      <c r="E325" s="428" t="s">
        <v>8503</v>
      </c>
      <c r="F325" s="397" t="s">
        <v>8504</v>
      </c>
      <c r="G325" s="428" t="s">
        <v>569</v>
      </c>
      <c r="H325" s="397" t="s">
        <v>2331</v>
      </c>
      <c r="I325" s="500">
        <v>43063.0</v>
      </c>
      <c r="J325" s="428">
        <v>11.0</v>
      </c>
      <c r="K325" s="607" t="s">
        <v>850</v>
      </c>
      <c r="L325" s="426" t="s">
        <v>260</v>
      </c>
      <c r="M325" s="319">
        <f t="shared" si="2"/>
        <v>339</v>
      </c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419">
        <v>32517.0</v>
      </c>
      <c r="B326" s="420" t="s">
        <v>8505</v>
      </c>
      <c r="C326" s="420">
        <v>2016.0</v>
      </c>
      <c r="D326" s="497">
        <v>42724.0</v>
      </c>
      <c r="E326" s="422" t="s">
        <v>8506</v>
      </c>
      <c r="F326" s="394" t="s">
        <v>8507</v>
      </c>
      <c r="G326" s="422" t="s">
        <v>569</v>
      </c>
      <c r="H326" s="394" t="s">
        <v>2331</v>
      </c>
      <c r="I326" s="497">
        <v>43063.0</v>
      </c>
      <c r="J326" s="422">
        <v>11.0</v>
      </c>
      <c r="K326" s="607" t="s">
        <v>850</v>
      </c>
      <c r="L326" s="420" t="s">
        <v>260</v>
      </c>
      <c r="M326" s="316">
        <f t="shared" si="2"/>
        <v>339</v>
      </c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425">
        <v>32617.0</v>
      </c>
      <c r="B327" s="426" t="s">
        <v>8508</v>
      </c>
      <c r="C327" s="426">
        <v>2017.0</v>
      </c>
      <c r="D327" s="500">
        <v>42801.0</v>
      </c>
      <c r="E327" s="428" t="s">
        <v>8509</v>
      </c>
      <c r="F327" s="397" t="s">
        <v>2343</v>
      </c>
      <c r="G327" s="428" t="s">
        <v>569</v>
      </c>
      <c r="H327" s="397" t="s">
        <v>901</v>
      </c>
      <c r="I327" s="500">
        <v>43063.0</v>
      </c>
      <c r="J327" s="428">
        <v>11.0</v>
      </c>
      <c r="K327" s="607" t="s">
        <v>244</v>
      </c>
      <c r="L327" s="426" t="s">
        <v>260</v>
      </c>
      <c r="M327" s="319">
        <f t="shared" si="2"/>
        <v>262</v>
      </c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419">
        <v>32717.0</v>
      </c>
      <c r="B328" s="420" t="s">
        <v>8510</v>
      </c>
      <c r="C328" s="420">
        <v>2016.0</v>
      </c>
      <c r="D328" s="497">
        <v>42720.0</v>
      </c>
      <c r="E328" s="422" t="s">
        <v>8511</v>
      </c>
      <c r="F328" s="394" t="s">
        <v>7857</v>
      </c>
      <c r="G328" s="422" t="s">
        <v>565</v>
      </c>
      <c r="H328" s="394" t="s">
        <v>705</v>
      </c>
      <c r="I328" s="497">
        <v>43068.0</v>
      </c>
      <c r="J328" s="422">
        <v>11.0</v>
      </c>
      <c r="K328" s="609" t="s">
        <v>238</v>
      </c>
      <c r="L328" s="420" t="s">
        <v>260</v>
      </c>
      <c r="M328" s="316">
        <f t="shared" si="2"/>
        <v>348</v>
      </c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425">
        <v>32817.0</v>
      </c>
      <c r="B329" s="426" t="s">
        <v>8512</v>
      </c>
      <c r="C329" s="426">
        <v>2017.0</v>
      </c>
      <c r="D329" s="500">
        <v>42767.0</v>
      </c>
      <c r="E329" s="428" t="s">
        <v>8513</v>
      </c>
      <c r="F329" s="397" t="s">
        <v>7857</v>
      </c>
      <c r="G329" s="428" t="s">
        <v>565</v>
      </c>
      <c r="H329" s="397" t="s">
        <v>705</v>
      </c>
      <c r="I329" s="500">
        <v>43068.0</v>
      </c>
      <c r="J329" s="428">
        <v>11.0</v>
      </c>
      <c r="K329" s="609" t="s">
        <v>238</v>
      </c>
      <c r="L329" s="426" t="s">
        <v>260</v>
      </c>
      <c r="M329" s="319">
        <f t="shared" si="2"/>
        <v>301</v>
      </c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419">
        <v>32917.0</v>
      </c>
      <c r="B330" s="420" t="s">
        <v>8514</v>
      </c>
      <c r="C330" s="420">
        <v>2017.0</v>
      </c>
      <c r="D330" s="497">
        <v>42767.0</v>
      </c>
      <c r="E330" s="422" t="s">
        <v>8515</v>
      </c>
      <c r="F330" s="394" t="s">
        <v>7857</v>
      </c>
      <c r="G330" s="422" t="s">
        <v>565</v>
      </c>
      <c r="H330" s="394" t="s">
        <v>705</v>
      </c>
      <c r="I330" s="497">
        <v>43068.0</v>
      </c>
      <c r="J330" s="422">
        <v>11.0</v>
      </c>
      <c r="K330" s="609" t="s">
        <v>238</v>
      </c>
      <c r="L330" s="420" t="s">
        <v>260</v>
      </c>
      <c r="M330" s="316">
        <f t="shared" si="2"/>
        <v>301</v>
      </c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425">
        <v>33017.0</v>
      </c>
      <c r="B331" s="426" t="s">
        <v>8516</v>
      </c>
      <c r="C331" s="426">
        <v>2014.0</v>
      </c>
      <c r="D331" s="500">
        <v>41996.0</v>
      </c>
      <c r="E331" s="428" t="s">
        <v>8517</v>
      </c>
      <c r="F331" s="397" t="s">
        <v>1843</v>
      </c>
      <c r="G331" s="428" t="s">
        <v>17</v>
      </c>
      <c r="H331" s="397" t="s">
        <v>8518</v>
      </c>
      <c r="I331" s="500">
        <v>43069.0</v>
      </c>
      <c r="J331" s="428">
        <v>11.0</v>
      </c>
      <c r="K331" s="609" t="s">
        <v>238</v>
      </c>
      <c r="L331" s="426" t="s">
        <v>260</v>
      </c>
      <c r="M331" s="319">
        <f t="shared" si="2"/>
        <v>1073</v>
      </c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419">
        <v>33117.0</v>
      </c>
      <c r="B332" s="420" t="s">
        <v>8519</v>
      </c>
      <c r="C332" s="420">
        <v>2011.0</v>
      </c>
      <c r="D332" s="497">
        <v>40816.0</v>
      </c>
      <c r="E332" s="422" t="s">
        <v>8520</v>
      </c>
      <c r="F332" s="394" t="s">
        <v>1232</v>
      </c>
      <c r="G332" s="422" t="s">
        <v>17</v>
      </c>
      <c r="H332" s="394" t="s">
        <v>8521</v>
      </c>
      <c r="I332" s="497">
        <v>43069.0</v>
      </c>
      <c r="J332" s="422">
        <v>11.0</v>
      </c>
      <c r="K332" s="610" t="s">
        <v>228</v>
      </c>
      <c r="L332" s="420" t="s">
        <v>256</v>
      </c>
      <c r="M332" s="316">
        <f t="shared" si="2"/>
        <v>2253</v>
      </c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425">
        <v>33217.0</v>
      </c>
      <c r="B333" s="426" t="s">
        <v>8522</v>
      </c>
      <c r="C333" s="426">
        <v>2015.0</v>
      </c>
      <c r="D333" s="500">
        <v>42191.0</v>
      </c>
      <c r="E333" s="428" t="s">
        <v>8523</v>
      </c>
      <c r="F333" s="397" t="s">
        <v>1108</v>
      </c>
      <c r="G333" s="428" t="s">
        <v>552</v>
      </c>
      <c r="H333" s="397" t="s">
        <v>583</v>
      </c>
      <c r="I333" s="500">
        <v>43074.0</v>
      </c>
      <c r="J333" s="428">
        <v>12.0</v>
      </c>
      <c r="K333" s="609" t="s">
        <v>238</v>
      </c>
      <c r="L333" s="426" t="s">
        <v>256</v>
      </c>
      <c r="M333" s="319">
        <f t="shared" si="2"/>
        <v>883</v>
      </c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419">
        <v>33317.0</v>
      </c>
      <c r="B334" s="420" t="s">
        <v>8524</v>
      </c>
      <c r="C334" s="420">
        <v>2015.0</v>
      </c>
      <c r="D334" s="497">
        <v>42185.0</v>
      </c>
      <c r="E334" s="422" t="s">
        <v>8525</v>
      </c>
      <c r="F334" s="394" t="s">
        <v>186</v>
      </c>
      <c r="G334" s="422" t="s">
        <v>17</v>
      </c>
      <c r="H334" s="394" t="s">
        <v>573</v>
      </c>
      <c r="I334" s="497">
        <v>43075.0</v>
      </c>
      <c r="J334" s="422">
        <v>12.0</v>
      </c>
      <c r="K334" s="610" t="s">
        <v>228</v>
      </c>
      <c r="L334" s="420" t="s">
        <v>256</v>
      </c>
      <c r="M334" s="316">
        <f t="shared" si="2"/>
        <v>890</v>
      </c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425">
        <v>33417.0</v>
      </c>
      <c r="B335" s="426" t="s">
        <v>8526</v>
      </c>
      <c r="C335" s="426">
        <v>2011.0</v>
      </c>
      <c r="D335" s="500">
        <v>40745.0</v>
      </c>
      <c r="E335" s="428" t="s">
        <v>8527</v>
      </c>
      <c r="F335" s="397" t="s">
        <v>186</v>
      </c>
      <c r="G335" s="428" t="s">
        <v>17</v>
      </c>
      <c r="H335" s="397" t="s">
        <v>130</v>
      </c>
      <c r="I335" s="500">
        <v>43075.0</v>
      </c>
      <c r="J335" s="428">
        <v>12.0</v>
      </c>
      <c r="K335" s="610" t="s">
        <v>228</v>
      </c>
      <c r="L335" s="426" t="s">
        <v>256</v>
      </c>
      <c r="M335" s="319">
        <f t="shared" si="2"/>
        <v>2330</v>
      </c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419">
        <v>33517.0</v>
      </c>
      <c r="B336" s="420" t="s">
        <v>8528</v>
      </c>
      <c r="C336" s="420">
        <v>2012.0</v>
      </c>
      <c r="D336" s="497">
        <v>41269.0</v>
      </c>
      <c r="E336" s="422" t="s">
        <v>8529</v>
      </c>
      <c r="F336" s="394" t="s">
        <v>186</v>
      </c>
      <c r="G336" s="422" t="s">
        <v>17</v>
      </c>
      <c r="H336" s="394" t="s">
        <v>5016</v>
      </c>
      <c r="I336" s="497">
        <v>43075.0</v>
      </c>
      <c r="J336" s="422">
        <v>12.0</v>
      </c>
      <c r="K336" s="610" t="s">
        <v>228</v>
      </c>
      <c r="L336" s="420" t="s">
        <v>256</v>
      </c>
      <c r="M336" s="316">
        <f t="shared" si="2"/>
        <v>1806</v>
      </c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425">
        <v>33617.0</v>
      </c>
      <c r="B337" s="426" t="s">
        <v>8530</v>
      </c>
      <c r="C337" s="426">
        <v>2016.0</v>
      </c>
      <c r="D337" s="500">
        <v>42429.0</v>
      </c>
      <c r="E337" s="428" t="s">
        <v>8531</v>
      </c>
      <c r="F337" s="397" t="s">
        <v>1401</v>
      </c>
      <c r="G337" s="428" t="s">
        <v>17</v>
      </c>
      <c r="H337" s="397" t="s">
        <v>112</v>
      </c>
      <c r="I337" s="500">
        <v>43075.0</v>
      </c>
      <c r="J337" s="428">
        <v>12.0</v>
      </c>
      <c r="K337" s="609" t="s">
        <v>238</v>
      </c>
      <c r="L337" s="426" t="s">
        <v>258</v>
      </c>
      <c r="M337" s="319">
        <f t="shared" si="2"/>
        <v>646</v>
      </c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419">
        <v>33717.0</v>
      </c>
      <c r="B338" s="420" t="s">
        <v>8532</v>
      </c>
      <c r="C338" s="420">
        <v>2011.0</v>
      </c>
      <c r="D338" s="497">
        <v>40686.0</v>
      </c>
      <c r="E338" s="422" t="s">
        <v>8533</v>
      </c>
      <c r="F338" s="394" t="s">
        <v>1401</v>
      </c>
      <c r="G338" s="422" t="s">
        <v>17</v>
      </c>
      <c r="H338" s="394" t="s">
        <v>45</v>
      </c>
      <c r="I338" s="497">
        <v>43075.0</v>
      </c>
      <c r="J338" s="422">
        <v>12.0</v>
      </c>
      <c r="K338" s="609" t="s">
        <v>238</v>
      </c>
      <c r="L338" s="420" t="s">
        <v>258</v>
      </c>
      <c r="M338" s="316">
        <f t="shared" si="2"/>
        <v>2389</v>
      </c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425">
        <v>33817.0</v>
      </c>
      <c r="B339" s="426" t="s">
        <v>8534</v>
      </c>
      <c r="C339" s="426">
        <v>2011.0</v>
      </c>
      <c r="D339" s="500">
        <v>40632.0</v>
      </c>
      <c r="E339" s="428" t="s">
        <v>8535</v>
      </c>
      <c r="F339" s="397" t="s">
        <v>1401</v>
      </c>
      <c r="G339" s="428" t="s">
        <v>17</v>
      </c>
      <c r="H339" s="397" t="s">
        <v>901</v>
      </c>
      <c r="I339" s="500">
        <v>43075.0</v>
      </c>
      <c r="J339" s="428">
        <v>12.0</v>
      </c>
      <c r="K339" s="609" t="s">
        <v>238</v>
      </c>
      <c r="L339" s="426" t="s">
        <v>258</v>
      </c>
      <c r="M339" s="319">
        <f t="shared" si="2"/>
        <v>2443</v>
      </c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419">
        <v>33917.0</v>
      </c>
      <c r="B340" s="420" t="s">
        <v>8536</v>
      </c>
      <c r="C340" s="420">
        <v>2013.0</v>
      </c>
      <c r="D340" s="497">
        <v>41613.0</v>
      </c>
      <c r="E340" s="422" t="s">
        <v>8537</v>
      </c>
      <c r="F340" s="394" t="s">
        <v>1968</v>
      </c>
      <c r="G340" s="422" t="s">
        <v>17</v>
      </c>
      <c r="H340" s="394" t="s">
        <v>97</v>
      </c>
      <c r="I340" s="497">
        <v>43075.0</v>
      </c>
      <c r="J340" s="422">
        <v>12.0</v>
      </c>
      <c r="K340" s="610" t="s">
        <v>228</v>
      </c>
      <c r="L340" s="420" t="s">
        <v>256</v>
      </c>
      <c r="M340" s="316">
        <f t="shared" si="2"/>
        <v>1462</v>
      </c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425">
        <v>34017.0</v>
      </c>
      <c r="B341" s="426" t="s">
        <v>8538</v>
      </c>
      <c r="C341" s="426">
        <v>2014.0</v>
      </c>
      <c r="D341" s="500">
        <v>41744.0</v>
      </c>
      <c r="E341" s="428" t="s">
        <v>8539</v>
      </c>
      <c r="F341" s="397" t="s">
        <v>1968</v>
      </c>
      <c r="G341" s="428" t="s">
        <v>17</v>
      </c>
      <c r="H341" s="397" t="s">
        <v>6789</v>
      </c>
      <c r="I341" s="500">
        <v>43075.0</v>
      </c>
      <c r="J341" s="428">
        <v>12.0</v>
      </c>
      <c r="K341" s="610" t="s">
        <v>228</v>
      </c>
      <c r="L341" s="426" t="s">
        <v>256</v>
      </c>
      <c r="M341" s="319">
        <f t="shared" si="2"/>
        <v>1331</v>
      </c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419">
        <v>34117.0</v>
      </c>
      <c r="B342" s="420" t="s">
        <v>8540</v>
      </c>
      <c r="C342" s="420">
        <v>2013.0</v>
      </c>
      <c r="D342" s="497">
        <v>41389.0</v>
      </c>
      <c r="E342" s="422" t="s">
        <v>8541</v>
      </c>
      <c r="F342" s="394" t="s">
        <v>186</v>
      </c>
      <c r="G342" s="422" t="s">
        <v>17</v>
      </c>
      <c r="H342" s="394" t="s">
        <v>149</v>
      </c>
      <c r="I342" s="497">
        <v>43075.0</v>
      </c>
      <c r="J342" s="422">
        <v>12.0</v>
      </c>
      <c r="K342" s="610" t="s">
        <v>228</v>
      </c>
      <c r="L342" s="420" t="s">
        <v>256</v>
      </c>
      <c r="M342" s="316">
        <f t="shared" si="2"/>
        <v>1686</v>
      </c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425">
        <v>34217.0</v>
      </c>
      <c r="B343" s="426" t="s">
        <v>8542</v>
      </c>
      <c r="C343" s="426">
        <v>2016.0</v>
      </c>
      <c r="D343" s="500">
        <v>42392.0</v>
      </c>
      <c r="E343" s="428" t="s">
        <v>8543</v>
      </c>
      <c r="F343" s="397" t="s">
        <v>563</v>
      </c>
      <c r="G343" s="428" t="s">
        <v>17</v>
      </c>
      <c r="H343" s="397" t="s">
        <v>112</v>
      </c>
      <c r="I343" s="500">
        <v>43076.0</v>
      </c>
      <c r="J343" s="428">
        <v>12.0</v>
      </c>
      <c r="K343" s="608" t="s">
        <v>234</v>
      </c>
      <c r="L343" s="426" t="s">
        <v>256</v>
      </c>
      <c r="M343" s="319">
        <f t="shared" si="2"/>
        <v>684</v>
      </c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419">
        <v>34317.0</v>
      </c>
      <c r="B344" s="420" t="s">
        <v>8544</v>
      </c>
      <c r="C344" s="420">
        <v>2011.0</v>
      </c>
      <c r="D344" s="497">
        <v>40716.0</v>
      </c>
      <c r="E344" s="422" t="s">
        <v>8545</v>
      </c>
      <c r="F344" s="394" t="s">
        <v>563</v>
      </c>
      <c r="G344" s="422" t="s">
        <v>17</v>
      </c>
      <c r="H344" s="394" t="s">
        <v>1896</v>
      </c>
      <c r="I344" s="497">
        <v>43076.0</v>
      </c>
      <c r="J344" s="422">
        <v>12.0</v>
      </c>
      <c r="K344" s="608" t="s">
        <v>234</v>
      </c>
      <c r="L344" s="420" t="s">
        <v>256</v>
      </c>
      <c r="M344" s="316">
        <f t="shared" si="2"/>
        <v>2360</v>
      </c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425">
        <v>34417.0</v>
      </c>
      <c r="B345" s="426" t="s">
        <v>8546</v>
      </c>
      <c r="C345" s="426">
        <v>2010.0</v>
      </c>
      <c r="D345" s="500">
        <v>40218.0</v>
      </c>
      <c r="E345" s="428" t="s">
        <v>8547</v>
      </c>
      <c r="F345" s="397" t="s">
        <v>3455</v>
      </c>
      <c r="G345" s="428" t="s">
        <v>17</v>
      </c>
      <c r="H345" s="397" t="s">
        <v>1907</v>
      </c>
      <c r="I345" s="500">
        <v>43076.0</v>
      </c>
      <c r="J345" s="428">
        <v>12.0</v>
      </c>
      <c r="K345" s="609" t="s">
        <v>238</v>
      </c>
      <c r="L345" s="426" t="s">
        <v>258</v>
      </c>
      <c r="M345" s="319">
        <f t="shared" si="2"/>
        <v>2858</v>
      </c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419">
        <v>34517.0</v>
      </c>
      <c r="B346" s="420" t="s">
        <v>8548</v>
      </c>
      <c r="C346" s="420">
        <v>2015.0</v>
      </c>
      <c r="D346" s="497">
        <v>42086.0</v>
      </c>
      <c r="E346" s="422" t="s">
        <v>8549</v>
      </c>
      <c r="F346" s="394" t="s">
        <v>44</v>
      </c>
      <c r="G346" s="422" t="s">
        <v>17</v>
      </c>
      <c r="H346" s="394" t="s">
        <v>740</v>
      </c>
      <c r="I346" s="497">
        <v>43080.0</v>
      </c>
      <c r="J346" s="422">
        <v>12.0</v>
      </c>
      <c r="K346" s="610" t="s">
        <v>228</v>
      </c>
      <c r="L346" s="420" t="s">
        <v>258</v>
      </c>
      <c r="M346" s="316">
        <f t="shared" si="2"/>
        <v>994</v>
      </c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425">
        <v>34617.0</v>
      </c>
      <c r="B347" s="426" t="s">
        <v>8550</v>
      </c>
      <c r="C347" s="426">
        <v>2012.0</v>
      </c>
      <c r="D347" s="500">
        <v>40968.0</v>
      </c>
      <c r="E347" s="428" t="s">
        <v>8551</v>
      </c>
      <c r="F347" s="397" t="s">
        <v>102</v>
      </c>
      <c r="G347" s="428" t="s">
        <v>17</v>
      </c>
      <c r="H347" s="397" t="s">
        <v>56</v>
      </c>
      <c r="I347" s="500">
        <v>43080.0</v>
      </c>
      <c r="J347" s="428">
        <v>12.0</v>
      </c>
      <c r="K347" s="609" t="s">
        <v>238</v>
      </c>
      <c r="L347" s="426" t="s">
        <v>258</v>
      </c>
      <c r="M347" s="319">
        <f t="shared" si="2"/>
        <v>2112</v>
      </c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419">
        <v>34717.0</v>
      </c>
      <c r="B348" s="420" t="s">
        <v>8552</v>
      </c>
      <c r="C348" s="420">
        <v>2013.0</v>
      </c>
      <c r="D348" s="497">
        <v>41310.0</v>
      </c>
      <c r="E348" s="422" t="s">
        <v>8553</v>
      </c>
      <c r="F348" s="394" t="s">
        <v>102</v>
      </c>
      <c r="G348" s="422" t="s">
        <v>17</v>
      </c>
      <c r="H348" s="394" t="s">
        <v>50</v>
      </c>
      <c r="I348" s="497">
        <v>43080.0</v>
      </c>
      <c r="J348" s="422">
        <v>12.0</v>
      </c>
      <c r="K348" s="609" t="s">
        <v>238</v>
      </c>
      <c r="L348" s="420" t="s">
        <v>258</v>
      </c>
      <c r="M348" s="316">
        <f t="shared" si="2"/>
        <v>1770</v>
      </c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425">
        <v>34817.0</v>
      </c>
      <c r="B349" s="426" t="s">
        <v>8554</v>
      </c>
      <c r="C349" s="426">
        <v>2011.0</v>
      </c>
      <c r="D349" s="500">
        <v>40645.0</v>
      </c>
      <c r="E349" s="428" t="s">
        <v>8555</v>
      </c>
      <c r="F349" s="397" t="s">
        <v>102</v>
      </c>
      <c r="G349" s="428" t="s">
        <v>17</v>
      </c>
      <c r="H349" s="397" t="s">
        <v>5016</v>
      </c>
      <c r="I349" s="500">
        <v>43081.0</v>
      </c>
      <c r="J349" s="428">
        <v>12.0</v>
      </c>
      <c r="K349" s="609" t="s">
        <v>238</v>
      </c>
      <c r="L349" s="426" t="s">
        <v>258</v>
      </c>
      <c r="M349" s="319">
        <f t="shared" si="2"/>
        <v>2436</v>
      </c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419">
        <v>34917.0</v>
      </c>
      <c r="B350" s="420" t="s">
        <v>8556</v>
      </c>
      <c r="C350" s="420">
        <v>2009.0</v>
      </c>
      <c r="D350" s="497">
        <v>40164.0</v>
      </c>
      <c r="E350" s="422" t="s">
        <v>8557</v>
      </c>
      <c r="F350" s="394" t="s">
        <v>102</v>
      </c>
      <c r="G350" s="422" t="s">
        <v>17</v>
      </c>
      <c r="H350" s="394" t="s">
        <v>740</v>
      </c>
      <c r="I350" s="497">
        <v>43081.0</v>
      </c>
      <c r="J350" s="422">
        <v>12.0</v>
      </c>
      <c r="K350" s="609" t="s">
        <v>238</v>
      </c>
      <c r="L350" s="420" t="s">
        <v>258</v>
      </c>
      <c r="M350" s="316">
        <f t="shared" si="2"/>
        <v>2917</v>
      </c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425">
        <v>35017.0</v>
      </c>
      <c r="B351" s="426" t="s">
        <v>8558</v>
      </c>
      <c r="C351" s="426">
        <v>2013.0</v>
      </c>
      <c r="D351" s="500">
        <v>41445.0</v>
      </c>
      <c r="E351" s="428" t="s">
        <v>8559</v>
      </c>
      <c r="F351" s="397" t="s">
        <v>102</v>
      </c>
      <c r="G351" s="428" t="s">
        <v>17</v>
      </c>
      <c r="H351" s="397" t="s">
        <v>163</v>
      </c>
      <c r="I351" s="500">
        <v>43081.0</v>
      </c>
      <c r="J351" s="428">
        <v>12.0</v>
      </c>
      <c r="K351" s="609" t="s">
        <v>238</v>
      </c>
      <c r="L351" s="426" t="s">
        <v>258</v>
      </c>
      <c r="M351" s="319">
        <f t="shared" si="2"/>
        <v>1636</v>
      </c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419">
        <v>35117.0</v>
      </c>
      <c r="B352" s="420" t="s">
        <v>8560</v>
      </c>
      <c r="C352" s="420">
        <v>2013.0</v>
      </c>
      <c r="D352" s="497">
        <v>41354.0</v>
      </c>
      <c r="E352" s="422" t="s">
        <v>8561</v>
      </c>
      <c r="F352" s="394" t="s">
        <v>102</v>
      </c>
      <c r="G352" s="422" t="s">
        <v>17</v>
      </c>
      <c r="H352" s="394" t="s">
        <v>6789</v>
      </c>
      <c r="I352" s="497">
        <v>43081.0</v>
      </c>
      <c r="J352" s="422">
        <v>12.0</v>
      </c>
      <c r="K352" s="609" t="s">
        <v>238</v>
      </c>
      <c r="L352" s="420" t="s">
        <v>258</v>
      </c>
      <c r="M352" s="316">
        <f t="shared" si="2"/>
        <v>1727</v>
      </c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425">
        <v>35217.0</v>
      </c>
      <c r="B353" s="426" t="s">
        <v>8562</v>
      </c>
      <c r="C353" s="426">
        <v>2009.0</v>
      </c>
      <c r="D353" s="500">
        <v>40095.0</v>
      </c>
      <c r="E353" s="428" t="s">
        <v>8563</v>
      </c>
      <c r="F353" s="397" t="s">
        <v>102</v>
      </c>
      <c r="G353" s="428" t="s">
        <v>17</v>
      </c>
      <c r="H353" s="397" t="s">
        <v>740</v>
      </c>
      <c r="I353" s="500">
        <v>43083.0</v>
      </c>
      <c r="J353" s="428">
        <v>12.0</v>
      </c>
      <c r="K353" s="609" t="s">
        <v>238</v>
      </c>
      <c r="L353" s="426" t="s">
        <v>258</v>
      </c>
      <c r="M353" s="319">
        <f t="shared" si="2"/>
        <v>2988</v>
      </c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419">
        <v>35317.0</v>
      </c>
      <c r="B354" s="420" t="s">
        <v>8564</v>
      </c>
      <c r="C354" s="420">
        <v>2012.0</v>
      </c>
      <c r="D354" s="497">
        <v>41257.0</v>
      </c>
      <c r="E354" s="422" t="s">
        <v>8565</v>
      </c>
      <c r="F354" s="394" t="s">
        <v>102</v>
      </c>
      <c r="G354" s="422" t="s">
        <v>17</v>
      </c>
      <c r="H354" s="394" t="s">
        <v>7847</v>
      </c>
      <c r="I354" s="497">
        <v>43083.0</v>
      </c>
      <c r="J354" s="422">
        <v>12.0</v>
      </c>
      <c r="K354" s="609" t="s">
        <v>238</v>
      </c>
      <c r="L354" s="420" t="s">
        <v>258</v>
      </c>
      <c r="M354" s="316">
        <f t="shared" si="2"/>
        <v>1826</v>
      </c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425">
        <v>35417.0</v>
      </c>
      <c r="B355" s="426" t="s">
        <v>8566</v>
      </c>
      <c r="C355" s="426">
        <v>2012.0</v>
      </c>
      <c r="D355" s="500">
        <v>40998.0</v>
      </c>
      <c r="E355" s="428" t="s">
        <v>8567</v>
      </c>
      <c r="F355" s="397" t="s">
        <v>102</v>
      </c>
      <c r="G355" s="428" t="s">
        <v>17</v>
      </c>
      <c r="H355" s="397" t="s">
        <v>5016</v>
      </c>
      <c r="I355" s="500">
        <v>43083.0</v>
      </c>
      <c r="J355" s="428">
        <v>12.0</v>
      </c>
      <c r="K355" s="609" t="s">
        <v>238</v>
      </c>
      <c r="L355" s="426" t="s">
        <v>258</v>
      </c>
      <c r="M355" s="319">
        <f t="shared" si="2"/>
        <v>2085</v>
      </c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419">
        <v>35517.0</v>
      </c>
      <c r="B356" s="420" t="s">
        <v>8568</v>
      </c>
      <c r="C356" s="420">
        <v>2011.0</v>
      </c>
      <c r="D356" s="497">
        <v>40757.0</v>
      </c>
      <c r="E356" s="422" t="s">
        <v>8569</v>
      </c>
      <c r="F356" s="394" t="s">
        <v>102</v>
      </c>
      <c r="G356" s="422" t="s">
        <v>17</v>
      </c>
      <c r="H356" s="394" t="s">
        <v>1749</v>
      </c>
      <c r="I356" s="497">
        <v>43083.0</v>
      </c>
      <c r="J356" s="422">
        <v>12.0</v>
      </c>
      <c r="K356" s="609" t="s">
        <v>238</v>
      </c>
      <c r="L356" s="420" t="s">
        <v>258</v>
      </c>
      <c r="M356" s="316">
        <f t="shared" si="2"/>
        <v>2326</v>
      </c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425">
        <v>35617.0</v>
      </c>
      <c r="B357" s="426" t="s">
        <v>8570</v>
      </c>
      <c r="C357" s="426">
        <v>2012.0</v>
      </c>
      <c r="D357" s="500">
        <v>41271.0</v>
      </c>
      <c r="E357" s="428" t="s">
        <v>8571</v>
      </c>
      <c r="F357" s="397" t="s">
        <v>2873</v>
      </c>
      <c r="G357" s="428" t="s">
        <v>17</v>
      </c>
      <c r="H357" s="397" t="s">
        <v>130</v>
      </c>
      <c r="I357" s="500">
        <v>43083.0</v>
      </c>
      <c r="J357" s="428">
        <v>12.0</v>
      </c>
      <c r="K357" s="610" t="s">
        <v>228</v>
      </c>
      <c r="L357" s="426" t="s">
        <v>258</v>
      </c>
      <c r="M357" s="319">
        <f t="shared" si="2"/>
        <v>1812</v>
      </c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419">
        <v>35717.0</v>
      </c>
      <c r="B358" s="420" t="s">
        <v>8572</v>
      </c>
      <c r="C358" s="420">
        <v>2011.0</v>
      </c>
      <c r="D358" s="497">
        <v>40757.0</v>
      </c>
      <c r="E358" s="422" t="s">
        <v>8573</v>
      </c>
      <c r="F358" s="394" t="s">
        <v>102</v>
      </c>
      <c r="G358" s="422" t="s">
        <v>17</v>
      </c>
      <c r="H358" s="394" t="s">
        <v>596</v>
      </c>
      <c r="I358" s="497">
        <v>43083.0</v>
      </c>
      <c r="J358" s="422">
        <v>12.0</v>
      </c>
      <c r="K358" s="609" t="s">
        <v>238</v>
      </c>
      <c r="L358" s="420" t="s">
        <v>258</v>
      </c>
      <c r="M358" s="316">
        <f t="shared" si="2"/>
        <v>2326</v>
      </c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425">
        <v>35817.0</v>
      </c>
      <c r="B359" s="426" t="s">
        <v>8574</v>
      </c>
      <c r="C359" s="426">
        <v>2011.0</v>
      </c>
      <c r="D359" s="500">
        <v>40721.0</v>
      </c>
      <c r="E359" s="428" t="s">
        <v>8575</v>
      </c>
      <c r="F359" s="397" t="s">
        <v>102</v>
      </c>
      <c r="G359" s="428" t="s">
        <v>17</v>
      </c>
      <c r="H359" s="397" t="s">
        <v>6809</v>
      </c>
      <c r="I359" s="500">
        <v>43084.0</v>
      </c>
      <c r="J359" s="428">
        <v>12.0</v>
      </c>
      <c r="K359" s="609" t="s">
        <v>238</v>
      </c>
      <c r="L359" s="426" t="s">
        <v>258</v>
      </c>
      <c r="M359" s="319">
        <f t="shared" si="2"/>
        <v>2363</v>
      </c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419">
        <v>35917.0</v>
      </c>
      <c r="B360" s="420" t="s">
        <v>8576</v>
      </c>
      <c r="C360" s="420">
        <v>2015.0</v>
      </c>
      <c r="D360" s="497">
        <v>42062.0</v>
      </c>
      <c r="E360" s="422" t="s">
        <v>8577</v>
      </c>
      <c r="F360" s="394" t="s">
        <v>963</v>
      </c>
      <c r="G360" s="422" t="s">
        <v>17</v>
      </c>
      <c r="H360" s="394" t="s">
        <v>8578</v>
      </c>
      <c r="I360" s="497">
        <v>43084.0</v>
      </c>
      <c r="J360" s="422">
        <v>12.0</v>
      </c>
      <c r="K360" s="610" t="s">
        <v>228</v>
      </c>
      <c r="L360" s="420" t="s">
        <v>258</v>
      </c>
      <c r="M360" s="316">
        <f t="shared" si="2"/>
        <v>1022</v>
      </c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425">
        <v>36017.0</v>
      </c>
      <c r="B361" s="426" t="s">
        <v>8579</v>
      </c>
      <c r="C361" s="426">
        <v>2014.0</v>
      </c>
      <c r="D361" s="500">
        <v>41919.0</v>
      </c>
      <c r="E361" s="428" t="s">
        <v>8580</v>
      </c>
      <c r="F361" s="397" t="s">
        <v>2873</v>
      </c>
      <c r="G361" s="428" t="s">
        <v>17</v>
      </c>
      <c r="H361" s="397" t="s">
        <v>573</v>
      </c>
      <c r="I361" s="500">
        <v>43084.0</v>
      </c>
      <c r="J361" s="428">
        <v>12.0</v>
      </c>
      <c r="K361" s="610" t="s">
        <v>228</v>
      </c>
      <c r="L361" s="426" t="s">
        <v>258</v>
      </c>
      <c r="M361" s="319">
        <f t="shared" si="2"/>
        <v>1165</v>
      </c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419">
        <v>36117.0</v>
      </c>
      <c r="B362" s="420" t="s">
        <v>8581</v>
      </c>
      <c r="C362" s="420">
        <v>2015.0</v>
      </c>
      <c r="D362" s="497">
        <v>42080.0</v>
      </c>
      <c r="E362" s="422" t="s">
        <v>8582</v>
      </c>
      <c r="F362" s="394" t="s">
        <v>739</v>
      </c>
      <c r="G362" s="422" t="s">
        <v>46</v>
      </c>
      <c r="H362" s="394" t="s">
        <v>50</v>
      </c>
      <c r="I362" s="497">
        <v>43084.0</v>
      </c>
      <c r="J362" s="422">
        <v>12.0</v>
      </c>
      <c r="K362" s="609" t="s">
        <v>238</v>
      </c>
      <c r="L362" s="420" t="s">
        <v>260</v>
      </c>
      <c r="M362" s="316">
        <f t="shared" si="2"/>
        <v>1004</v>
      </c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425">
        <v>36217.0</v>
      </c>
      <c r="B363" s="426" t="s">
        <v>8583</v>
      </c>
      <c r="C363" s="426">
        <v>2014.0</v>
      </c>
      <c r="D363" s="500">
        <v>41806.0</v>
      </c>
      <c r="E363" s="428" t="s">
        <v>8584</v>
      </c>
      <c r="F363" s="397" t="s">
        <v>2873</v>
      </c>
      <c r="G363" s="428" t="s">
        <v>17</v>
      </c>
      <c r="H363" s="397" t="s">
        <v>1501</v>
      </c>
      <c r="I363" s="500">
        <v>43084.0</v>
      </c>
      <c r="J363" s="428">
        <v>12.0</v>
      </c>
      <c r="K363" s="610" t="s">
        <v>228</v>
      </c>
      <c r="L363" s="426" t="s">
        <v>258</v>
      </c>
      <c r="M363" s="319">
        <f t="shared" si="2"/>
        <v>1278</v>
      </c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419">
        <v>36317.0</v>
      </c>
      <c r="B364" s="420" t="s">
        <v>8585</v>
      </c>
      <c r="C364" s="420">
        <v>2014.0</v>
      </c>
      <c r="D364" s="497">
        <v>41717.0</v>
      </c>
      <c r="E364" s="422" t="s">
        <v>8586</v>
      </c>
      <c r="F364" s="394" t="s">
        <v>2873</v>
      </c>
      <c r="G364" s="422" t="s">
        <v>17</v>
      </c>
      <c r="H364" s="394" t="s">
        <v>163</v>
      </c>
      <c r="I364" s="497">
        <v>43084.0</v>
      </c>
      <c r="J364" s="422">
        <v>12.0</v>
      </c>
      <c r="K364" s="610" t="s">
        <v>228</v>
      </c>
      <c r="L364" s="420" t="s">
        <v>258</v>
      </c>
      <c r="M364" s="316">
        <f t="shared" si="2"/>
        <v>1367</v>
      </c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425">
        <v>36417.0</v>
      </c>
      <c r="B365" s="426" t="s">
        <v>8587</v>
      </c>
      <c r="C365" s="426">
        <v>2016.0</v>
      </c>
      <c r="D365" s="500">
        <v>42685.0</v>
      </c>
      <c r="E365" s="428" t="s">
        <v>8588</v>
      </c>
      <c r="F365" s="397" t="s">
        <v>1232</v>
      </c>
      <c r="G365" s="428" t="s">
        <v>17</v>
      </c>
      <c r="H365" s="397" t="s">
        <v>163</v>
      </c>
      <c r="I365" s="500">
        <v>43088.0</v>
      </c>
      <c r="J365" s="428">
        <v>12.0</v>
      </c>
      <c r="K365" s="610" t="s">
        <v>228</v>
      </c>
      <c r="L365" s="426" t="s">
        <v>256</v>
      </c>
      <c r="M365" s="319">
        <f t="shared" si="2"/>
        <v>403</v>
      </c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419">
        <v>36517.0</v>
      </c>
      <c r="B366" s="420" t="s">
        <v>8589</v>
      </c>
      <c r="C366" s="420">
        <v>2012.0</v>
      </c>
      <c r="D366" s="497">
        <v>41200.0</v>
      </c>
      <c r="E366" s="422" t="s">
        <v>8590</v>
      </c>
      <c r="F366" s="394" t="s">
        <v>1232</v>
      </c>
      <c r="G366" s="422" t="s">
        <v>17</v>
      </c>
      <c r="H366" s="394" t="s">
        <v>573</v>
      </c>
      <c r="I366" s="497">
        <v>43088.0</v>
      </c>
      <c r="J366" s="422">
        <v>12.0</v>
      </c>
      <c r="K366" s="610" t="s">
        <v>228</v>
      </c>
      <c r="L366" s="420" t="s">
        <v>256</v>
      </c>
      <c r="M366" s="316">
        <f t="shared" si="2"/>
        <v>1888</v>
      </c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425">
        <v>36617.0</v>
      </c>
      <c r="B367" s="426" t="s">
        <v>8591</v>
      </c>
      <c r="C367" s="426">
        <v>2014.0</v>
      </c>
      <c r="D367" s="500">
        <v>41864.0</v>
      </c>
      <c r="E367" s="428" t="s">
        <v>8592</v>
      </c>
      <c r="F367" s="397" t="s">
        <v>1232</v>
      </c>
      <c r="G367" s="428" t="s">
        <v>17</v>
      </c>
      <c r="H367" s="397" t="s">
        <v>56</v>
      </c>
      <c r="I367" s="500">
        <v>43088.0</v>
      </c>
      <c r="J367" s="428">
        <v>12.0</v>
      </c>
      <c r="K367" s="610" t="s">
        <v>228</v>
      </c>
      <c r="L367" s="426" t="s">
        <v>256</v>
      </c>
      <c r="M367" s="319">
        <f t="shared" si="2"/>
        <v>1224</v>
      </c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419">
        <v>36717.0</v>
      </c>
      <c r="B368" s="420" t="s">
        <v>8593</v>
      </c>
      <c r="C368" s="420">
        <v>2011.0</v>
      </c>
      <c r="D368" s="497">
        <v>41043.0</v>
      </c>
      <c r="E368" s="422" t="s">
        <v>8594</v>
      </c>
      <c r="F368" s="394" t="s">
        <v>2282</v>
      </c>
      <c r="G368" s="422" t="s">
        <v>17</v>
      </c>
      <c r="H368" s="394" t="s">
        <v>1872</v>
      </c>
      <c r="I368" s="497">
        <v>43089.0</v>
      </c>
      <c r="J368" s="422">
        <v>12.0</v>
      </c>
      <c r="K368" s="607" t="s">
        <v>244</v>
      </c>
      <c r="L368" s="420" t="s">
        <v>254</v>
      </c>
      <c r="M368" s="316">
        <f t="shared" si="2"/>
        <v>2046</v>
      </c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425">
        <v>36817.0</v>
      </c>
      <c r="B369" s="426" t="s">
        <v>8595</v>
      </c>
      <c r="C369" s="426">
        <v>2013.0</v>
      </c>
      <c r="D369" s="500">
        <v>41599.0</v>
      </c>
      <c r="E369" s="428" t="s">
        <v>8596</v>
      </c>
      <c r="F369" s="397" t="s">
        <v>1823</v>
      </c>
      <c r="G369" s="428" t="s">
        <v>552</v>
      </c>
      <c r="H369" s="397" t="s">
        <v>130</v>
      </c>
      <c r="I369" s="500">
        <v>43089.0</v>
      </c>
      <c r="J369" s="428">
        <v>12.0</v>
      </c>
      <c r="K369" s="610" t="s">
        <v>228</v>
      </c>
      <c r="L369" s="426" t="s">
        <v>258</v>
      </c>
      <c r="M369" s="319">
        <f t="shared" si="2"/>
        <v>1490</v>
      </c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419">
        <v>36917.0</v>
      </c>
      <c r="B370" s="420" t="s">
        <v>8597</v>
      </c>
      <c r="C370" s="420">
        <v>2013.0</v>
      </c>
      <c r="D370" s="497">
        <v>41304.0</v>
      </c>
      <c r="E370" s="422" t="s">
        <v>8598</v>
      </c>
      <c r="F370" s="394" t="s">
        <v>1255</v>
      </c>
      <c r="G370" s="422" t="s">
        <v>17</v>
      </c>
      <c r="H370" s="394" t="s">
        <v>5171</v>
      </c>
      <c r="I370" s="497">
        <v>43090.0</v>
      </c>
      <c r="J370" s="422">
        <v>12.0</v>
      </c>
      <c r="K370" s="609" t="s">
        <v>238</v>
      </c>
      <c r="L370" s="420" t="s">
        <v>256</v>
      </c>
      <c r="M370" s="316">
        <f t="shared" si="2"/>
        <v>1786</v>
      </c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425">
        <v>37017.0</v>
      </c>
      <c r="B371" s="426" t="s">
        <v>8599</v>
      </c>
      <c r="C371" s="426">
        <v>2015.0</v>
      </c>
      <c r="D371" s="500">
        <v>42355.0</v>
      </c>
      <c r="E371" s="428" t="s">
        <v>8600</v>
      </c>
      <c r="F371" s="397" t="s">
        <v>44</v>
      </c>
      <c r="G371" s="428" t="s">
        <v>17</v>
      </c>
      <c r="H371" s="397" t="s">
        <v>66</v>
      </c>
      <c r="I371" s="500">
        <v>43090.0</v>
      </c>
      <c r="J371" s="428">
        <v>12.0</v>
      </c>
      <c r="K371" s="610" t="s">
        <v>228</v>
      </c>
      <c r="L371" s="426" t="s">
        <v>258</v>
      </c>
      <c r="M371" s="319">
        <f t="shared" si="2"/>
        <v>735</v>
      </c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419">
        <v>37117.0</v>
      </c>
      <c r="B372" s="420" t="s">
        <v>8601</v>
      </c>
      <c r="C372" s="420">
        <v>2013.0</v>
      </c>
      <c r="D372" s="497">
        <v>41626.0</v>
      </c>
      <c r="E372" s="422" t="s">
        <v>8602</v>
      </c>
      <c r="F372" s="394" t="s">
        <v>102</v>
      </c>
      <c r="G372" s="422" t="s">
        <v>17</v>
      </c>
      <c r="H372" s="394" t="s">
        <v>153</v>
      </c>
      <c r="I372" s="497">
        <v>43090.0</v>
      </c>
      <c r="J372" s="422">
        <v>12.0</v>
      </c>
      <c r="K372" s="609" t="s">
        <v>238</v>
      </c>
      <c r="L372" s="420" t="s">
        <v>258</v>
      </c>
      <c r="M372" s="316">
        <f t="shared" si="2"/>
        <v>1464</v>
      </c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425">
        <v>37217.0</v>
      </c>
      <c r="B373" s="426" t="s">
        <v>8603</v>
      </c>
      <c r="C373" s="426">
        <v>2012.0</v>
      </c>
      <c r="D373" s="500">
        <v>40982.0</v>
      </c>
      <c r="E373" s="428" t="s">
        <v>8604</v>
      </c>
      <c r="F373" s="397" t="s">
        <v>7068</v>
      </c>
      <c r="G373" s="428" t="s">
        <v>650</v>
      </c>
      <c r="H373" s="397" t="s">
        <v>2964</v>
      </c>
      <c r="I373" s="500">
        <v>43090.0</v>
      </c>
      <c r="J373" s="428">
        <v>12.0</v>
      </c>
      <c r="K373" s="609" t="s">
        <v>238</v>
      </c>
      <c r="L373" s="426" t="s">
        <v>258</v>
      </c>
      <c r="M373" s="319">
        <f t="shared" si="2"/>
        <v>2108</v>
      </c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419">
        <v>37317.0</v>
      </c>
      <c r="B374" s="420" t="s">
        <v>8605</v>
      </c>
      <c r="C374" s="420">
        <v>2012.0</v>
      </c>
      <c r="D374" s="497">
        <v>41061.0</v>
      </c>
      <c r="E374" s="422" t="s">
        <v>8606</v>
      </c>
      <c r="F374" s="394" t="s">
        <v>7068</v>
      </c>
      <c r="G374" s="422" t="s">
        <v>650</v>
      </c>
      <c r="H374" s="394" t="s">
        <v>2964</v>
      </c>
      <c r="I374" s="497">
        <v>43090.0</v>
      </c>
      <c r="J374" s="422">
        <v>12.0</v>
      </c>
      <c r="K374" s="609" t="s">
        <v>238</v>
      </c>
      <c r="L374" s="420" t="s">
        <v>258</v>
      </c>
      <c r="M374" s="316">
        <f t="shared" si="2"/>
        <v>2029</v>
      </c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425">
        <v>37417.0</v>
      </c>
      <c r="B375" s="426" t="s">
        <v>8607</v>
      </c>
      <c r="C375" s="426">
        <v>2012.0</v>
      </c>
      <c r="D375" s="500">
        <v>40956.0</v>
      </c>
      <c r="E375" s="428" t="s">
        <v>8608</v>
      </c>
      <c r="F375" s="397" t="s">
        <v>7068</v>
      </c>
      <c r="G375" s="428" t="s">
        <v>650</v>
      </c>
      <c r="H375" s="397" t="s">
        <v>2964</v>
      </c>
      <c r="I375" s="500">
        <v>43090.0</v>
      </c>
      <c r="J375" s="428">
        <v>12.0</v>
      </c>
      <c r="K375" s="609" t="s">
        <v>238</v>
      </c>
      <c r="L375" s="426" t="s">
        <v>258</v>
      </c>
      <c r="M375" s="319">
        <f t="shared" si="2"/>
        <v>2134</v>
      </c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419">
        <v>37517.0</v>
      </c>
      <c r="B376" s="420" t="s">
        <v>8609</v>
      </c>
      <c r="C376" s="420">
        <v>2009.0</v>
      </c>
      <c r="D376" s="497">
        <v>39955.0</v>
      </c>
      <c r="E376" s="422" t="s">
        <v>8610</v>
      </c>
      <c r="F376" s="394" t="s">
        <v>3741</v>
      </c>
      <c r="G376" s="422" t="s">
        <v>552</v>
      </c>
      <c r="H376" s="394" t="s">
        <v>1588</v>
      </c>
      <c r="I376" s="497">
        <v>43090.0</v>
      </c>
      <c r="J376" s="422">
        <v>12.0</v>
      </c>
      <c r="K376" s="610" t="s">
        <v>228</v>
      </c>
      <c r="L376" s="420" t="s">
        <v>258</v>
      </c>
      <c r="M376" s="316">
        <f t="shared" si="2"/>
        <v>3135</v>
      </c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425">
        <v>37617.0</v>
      </c>
      <c r="B377" s="426" t="s">
        <v>8611</v>
      </c>
      <c r="C377" s="426">
        <v>2009.0</v>
      </c>
      <c r="D377" s="500">
        <v>39954.0</v>
      </c>
      <c r="E377" s="428" t="s">
        <v>8612</v>
      </c>
      <c r="F377" s="397" t="s">
        <v>3741</v>
      </c>
      <c r="G377" s="428" t="s">
        <v>552</v>
      </c>
      <c r="H377" s="397" t="s">
        <v>1588</v>
      </c>
      <c r="I377" s="500">
        <v>43090.0</v>
      </c>
      <c r="J377" s="428">
        <v>12.0</v>
      </c>
      <c r="K377" s="610" t="s">
        <v>228</v>
      </c>
      <c r="L377" s="426" t="s">
        <v>258</v>
      </c>
      <c r="M377" s="319">
        <f t="shared" si="2"/>
        <v>3136</v>
      </c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419">
        <v>37717.0</v>
      </c>
      <c r="B378" s="420" t="s">
        <v>8613</v>
      </c>
      <c r="C378" s="420">
        <v>2010.0</v>
      </c>
      <c r="D378" s="497">
        <v>40387.0</v>
      </c>
      <c r="E378" s="422" t="s">
        <v>8614</v>
      </c>
      <c r="F378" s="394" t="s">
        <v>25</v>
      </c>
      <c r="G378" s="422" t="s">
        <v>552</v>
      </c>
      <c r="H378" s="394" t="s">
        <v>740</v>
      </c>
      <c r="I378" s="497">
        <v>43090.0</v>
      </c>
      <c r="J378" s="422">
        <v>12.0</v>
      </c>
      <c r="K378" s="609" t="s">
        <v>238</v>
      </c>
      <c r="L378" s="420" t="s">
        <v>256</v>
      </c>
      <c r="M378" s="316">
        <f t="shared" si="2"/>
        <v>2703</v>
      </c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425">
        <v>37817.0</v>
      </c>
      <c r="B379" s="426" t="s">
        <v>8615</v>
      </c>
      <c r="C379" s="426">
        <v>2010.0</v>
      </c>
      <c r="D379" s="500">
        <v>40288.0</v>
      </c>
      <c r="E379" s="428" t="s">
        <v>8616</v>
      </c>
      <c r="F379" s="397" t="s">
        <v>3810</v>
      </c>
      <c r="G379" s="428" t="s">
        <v>552</v>
      </c>
      <c r="H379" s="397" t="s">
        <v>740</v>
      </c>
      <c r="I379" s="500">
        <v>43090.0</v>
      </c>
      <c r="J379" s="428">
        <v>12.0</v>
      </c>
      <c r="K379" s="609" t="s">
        <v>238</v>
      </c>
      <c r="L379" s="426" t="s">
        <v>258</v>
      </c>
      <c r="M379" s="319">
        <f t="shared" si="2"/>
        <v>2802</v>
      </c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419">
        <v>37917.0</v>
      </c>
      <c r="B380" s="420" t="s">
        <v>8617</v>
      </c>
      <c r="C380" s="420">
        <v>2017.0</v>
      </c>
      <c r="D380" s="497">
        <v>42779.0</v>
      </c>
      <c r="E380" s="422" t="s">
        <v>8618</v>
      </c>
      <c r="F380" s="394" t="s">
        <v>1232</v>
      </c>
      <c r="G380" s="422" t="s">
        <v>17</v>
      </c>
      <c r="H380" s="394" t="s">
        <v>66</v>
      </c>
      <c r="I380" s="497">
        <v>43091.0</v>
      </c>
      <c r="J380" s="422">
        <v>12.0</v>
      </c>
      <c r="K380" s="610" t="s">
        <v>228</v>
      </c>
      <c r="L380" s="420" t="s">
        <v>256</v>
      </c>
      <c r="M380" s="316">
        <f t="shared" si="2"/>
        <v>312</v>
      </c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425">
        <v>38017.0</v>
      </c>
      <c r="B381" s="426" t="s">
        <v>8619</v>
      </c>
      <c r="C381" s="426">
        <v>2011.0</v>
      </c>
      <c r="D381" s="500">
        <v>40737.0</v>
      </c>
      <c r="E381" s="428" t="s">
        <v>8620</v>
      </c>
      <c r="F381" s="397" t="s">
        <v>1232</v>
      </c>
      <c r="G381" s="428" t="s">
        <v>17</v>
      </c>
      <c r="H381" s="397" t="s">
        <v>775</v>
      </c>
      <c r="I381" s="500">
        <v>43091.0</v>
      </c>
      <c r="J381" s="428">
        <v>12.0</v>
      </c>
      <c r="K381" s="610" t="s">
        <v>228</v>
      </c>
      <c r="L381" s="426" t="s">
        <v>256</v>
      </c>
      <c r="M381" s="319">
        <f t="shared" si="2"/>
        <v>2354</v>
      </c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419">
        <v>38117.0</v>
      </c>
      <c r="B382" s="420" t="s">
        <v>8621</v>
      </c>
      <c r="C382" s="420">
        <v>2013.0</v>
      </c>
      <c r="D382" s="497">
        <v>41557.0</v>
      </c>
      <c r="E382" s="422" t="s">
        <v>8622</v>
      </c>
      <c r="F382" s="394" t="s">
        <v>1440</v>
      </c>
      <c r="G382" s="422" t="s">
        <v>552</v>
      </c>
      <c r="H382" s="394" t="s">
        <v>1421</v>
      </c>
      <c r="I382" s="497">
        <v>43091.0</v>
      </c>
      <c r="J382" s="422">
        <v>12.0</v>
      </c>
      <c r="K382" s="610" t="s">
        <v>228</v>
      </c>
      <c r="L382" s="420" t="s">
        <v>256</v>
      </c>
      <c r="M382" s="316">
        <f t="shared" si="2"/>
        <v>1534</v>
      </c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425">
        <v>38217.0</v>
      </c>
      <c r="B383" s="426" t="s">
        <v>8623</v>
      </c>
      <c r="C383" s="426">
        <v>2017.0</v>
      </c>
      <c r="D383" s="500">
        <v>42797.0</v>
      </c>
      <c r="E383" s="428" t="s">
        <v>8624</v>
      </c>
      <c r="F383" s="397" t="s">
        <v>1232</v>
      </c>
      <c r="G383" s="428" t="s">
        <v>17</v>
      </c>
      <c r="H383" s="397" t="s">
        <v>740</v>
      </c>
      <c r="I383" s="500">
        <v>43091.0</v>
      </c>
      <c r="J383" s="428">
        <v>12.0</v>
      </c>
      <c r="K383" s="610" t="s">
        <v>228</v>
      </c>
      <c r="L383" s="426" t="s">
        <v>256</v>
      </c>
      <c r="M383" s="319">
        <f t="shared" si="2"/>
        <v>294</v>
      </c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419">
        <v>38317.0</v>
      </c>
      <c r="B384" s="420" t="s">
        <v>8625</v>
      </c>
      <c r="C384" s="420">
        <v>2011.0</v>
      </c>
      <c r="D384" s="497">
        <v>40807.0</v>
      </c>
      <c r="E384" s="422" t="s">
        <v>8626</v>
      </c>
      <c r="F384" s="394" t="s">
        <v>963</v>
      </c>
      <c r="G384" s="422" t="s">
        <v>17</v>
      </c>
      <c r="H384" s="394" t="s">
        <v>153</v>
      </c>
      <c r="I384" s="497">
        <v>43091.0</v>
      </c>
      <c r="J384" s="422">
        <v>12.0</v>
      </c>
      <c r="K384" s="610" t="s">
        <v>228</v>
      </c>
      <c r="L384" s="420" t="s">
        <v>258</v>
      </c>
      <c r="M384" s="316">
        <f t="shared" si="2"/>
        <v>2284</v>
      </c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425">
        <v>38417.0</v>
      </c>
      <c r="B385" s="426" t="s">
        <v>8627</v>
      </c>
      <c r="C385" s="426">
        <v>2012.0</v>
      </c>
      <c r="D385" s="500">
        <v>41190.0</v>
      </c>
      <c r="E385" s="428" t="s">
        <v>8628</v>
      </c>
      <c r="F385" s="397" t="s">
        <v>963</v>
      </c>
      <c r="G385" s="428" t="s">
        <v>17</v>
      </c>
      <c r="H385" s="397" t="s">
        <v>4756</v>
      </c>
      <c r="I385" s="500">
        <v>43091.0</v>
      </c>
      <c r="J385" s="428">
        <v>12.0</v>
      </c>
      <c r="K385" s="610" t="s">
        <v>228</v>
      </c>
      <c r="L385" s="426" t="s">
        <v>258</v>
      </c>
      <c r="M385" s="319">
        <f t="shared" si="2"/>
        <v>1901</v>
      </c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419">
        <v>38517.0</v>
      </c>
      <c r="B386" s="420" t="s">
        <v>8629</v>
      </c>
      <c r="C386" s="420">
        <v>2017.0</v>
      </c>
      <c r="D386" s="497">
        <v>42782.0</v>
      </c>
      <c r="E386" s="422" t="s">
        <v>8630</v>
      </c>
      <c r="F386" s="394" t="s">
        <v>171</v>
      </c>
      <c r="G386" s="422" t="s">
        <v>17</v>
      </c>
      <c r="H386" s="394" t="s">
        <v>60</v>
      </c>
      <c r="I386" s="497">
        <v>43091.0</v>
      </c>
      <c r="J386" s="422">
        <v>12.0</v>
      </c>
      <c r="K386" s="609" t="s">
        <v>238</v>
      </c>
      <c r="L386" s="420" t="s">
        <v>256</v>
      </c>
      <c r="M386" s="316">
        <f t="shared" si="2"/>
        <v>309</v>
      </c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425">
        <v>38617.0</v>
      </c>
      <c r="B387" s="426" t="s">
        <v>8631</v>
      </c>
      <c r="C387" s="426">
        <v>2012.0</v>
      </c>
      <c r="D387" s="500">
        <v>41180.0</v>
      </c>
      <c r="E387" s="428" t="s">
        <v>8632</v>
      </c>
      <c r="F387" s="397" t="s">
        <v>8174</v>
      </c>
      <c r="G387" s="428" t="s">
        <v>650</v>
      </c>
      <c r="H387" s="397" t="s">
        <v>2964</v>
      </c>
      <c r="I387" s="500">
        <v>43091.0</v>
      </c>
      <c r="J387" s="428">
        <v>12.0</v>
      </c>
      <c r="K387" s="610" t="s">
        <v>228</v>
      </c>
      <c r="L387" s="426" t="s">
        <v>258</v>
      </c>
      <c r="M387" s="319">
        <f t="shared" si="2"/>
        <v>1911</v>
      </c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419">
        <v>38717.0</v>
      </c>
      <c r="B388" s="420" t="s">
        <v>8633</v>
      </c>
      <c r="C388" s="420">
        <v>2014.0</v>
      </c>
      <c r="D388" s="497">
        <v>41968.0</v>
      </c>
      <c r="E388" s="422" t="s">
        <v>8634</v>
      </c>
      <c r="F388" s="394" t="s">
        <v>8174</v>
      </c>
      <c r="G388" s="422" t="s">
        <v>650</v>
      </c>
      <c r="H388" s="394" t="s">
        <v>2964</v>
      </c>
      <c r="I388" s="497">
        <v>43091.0</v>
      </c>
      <c r="J388" s="422">
        <v>12.0</v>
      </c>
      <c r="K388" s="610" t="s">
        <v>228</v>
      </c>
      <c r="L388" s="420" t="s">
        <v>258</v>
      </c>
      <c r="M388" s="316">
        <f t="shared" si="2"/>
        <v>1123</v>
      </c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425">
        <v>38817.0</v>
      </c>
      <c r="B389" s="426" t="s">
        <v>8635</v>
      </c>
      <c r="C389" s="426">
        <v>2012.0</v>
      </c>
      <c r="D389" s="500">
        <v>41051.0</v>
      </c>
      <c r="E389" s="428" t="s">
        <v>8636</v>
      </c>
      <c r="F389" s="397" t="s">
        <v>1232</v>
      </c>
      <c r="G389" s="428" t="s">
        <v>17</v>
      </c>
      <c r="H389" s="397" t="s">
        <v>125</v>
      </c>
      <c r="I389" s="500">
        <v>43095.0</v>
      </c>
      <c r="J389" s="428">
        <v>12.0</v>
      </c>
      <c r="K389" s="610" t="s">
        <v>228</v>
      </c>
      <c r="L389" s="426" t="s">
        <v>256</v>
      </c>
      <c r="M389" s="319">
        <f t="shared" si="2"/>
        <v>2044</v>
      </c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419">
        <v>38917.0</v>
      </c>
      <c r="B390" s="420" t="s">
        <v>8637</v>
      </c>
      <c r="C390" s="420">
        <v>2014.0</v>
      </c>
      <c r="D390" s="497">
        <v>41696.0</v>
      </c>
      <c r="E390" s="422" t="s">
        <v>8638</v>
      </c>
      <c r="F390" s="394" t="s">
        <v>1554</v>
      </c>
      <c r="G390" s="422" t="s">
        <v>552</v>
      </c>
      <c r="H390" s="394" t="s">
        <v>583</v>
      </c>
      <c r="I390" s="497">
        <v>43095.0</v>
      </c>
      <c r="J390" s="422">
        <v>12.0</v>
      </c>
      <c r="K390" s="609" t="s">
        <v>238</v>
      </c>
      <c r="L390" s="420" t="s">
        <v>258</v>
      </c>
      <c r="M390" s="316">
        <f t="shared" si="2"/>
        <v>1399</v>
      </c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425">
        <v>39017.0</v>
      </c>
      <c r="B391" s="426" t="s">
        <v>8639</v>
      </c>
      <c r="C391" s="426">
        <v>2015.0</v>
      </c>
      <c r="D391" s="500">
        <v>42081.0</v>
      </c>
      <c r="E391" s="428" t="s">
        <v>8640</v>
      </c>
      <c r="F391" s="397" t="s">
        <v>8641</v>
      </c>
      <c r="G391" s="428" t="s">
        <v>565</v>
      </c>
      <c r="H391" s="397" t="s">
        <v>3533</v>
      </c>
      <c r="I391" s="500">
        <v>43096.0</v>
      </c>
      <c r="J391" s="428">
        <v>12.0</v>
      </c>
      <c r="K391" s="608" t="s">
        <v>234</v>
      </c>
      <c r="L391" s="426" t="s">
        <v>260</v>
      </c>
      <c r="M391" s="319">
        <f t="shared" si="2"/>
        <v>1015</v>
      </c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419">
        <v>39117.0</v>
      </c>
      <c r="B392" s="420" t="s">
        <v>8642</v>
      </c>
      <c r="C392" s="420">
        <v>2013.0</v>
      </c>
      <c r="D392" s="497">
        <v>41628.0</v>
      </c>
      <c r="E392" s="422" t="s">
        <v>8643</v>
      </c>
      <c r="F392" s="394" t="s">
        <v>8644</v>
      </c>
      <c r="G392" s="422" t="s">
        <v>547</v>
      </c>
      <c r="H392" s="394" t="s">
        <v>705</v>
      </c>
      <c r="I392" s="497">
        <v>43096.0</v>
      </c>
      <c r="J392" s="422">
        <v>12.0</v>
      </c>
      <c r="K392" s="610" t="s">
        <v>228</v>
      </c>
      <c r="L392" s="420" t="s">
        <v>256</v>
      </c>
      <c r="M392" s="316">
        <f t="shared" si="2"/>
        <v>1468</v>
      </c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425">
        <v>39217.0</v>
      </c>
      <c r="B393" s="426" t="s">
        <v>8645</v>
      </c>
      <c r="C393" s="426">
        <v>2011.0</v>
      </c>
      <c r="D393" s="500">
        <v>40870.0</v>
      </c>
      <c r="E393" s="428" t="s">
        <v>8646</v>
      </c>
      <c r="F393" s="397" t="s">
        <v>1895</v>
      </c>
      <c r="G393" s="428" t="s">
        <v>552</v>
      </c>
      <c r="H393" s="397" t="s">
        <v>1907</v>
      </c>
      <c r="I393" s="500">
        <v>43096.0</v>
      </c>
      <c r="J393" s="428">
        <v>12.0</v>
      </c>
      <c r="K393" s="610" t="s">
        <v>228</v>
      </c>
      <c r="L393" s="426" t="s">
        <v>256</v>
      </c>
      <c r="M393" s="319">
        <f t="shared" si="2"/>
        <v>2226</v>
      </c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419">
        <v>39317.0</v>
      </c>
      <c r="B394" s="420" t="s">
        <v>8647</v>
      </c>
      <c r="C394" s="420">
        <v>2011.0</v>
      </c>
      <c r="D394" s="497">
        <v>40856.0</v>
      </c>
      <c r="E394" s="422" t="s">
        <v>8648</v>
      </c>
      <c r="F394" s="394" t="s">
        <v>1895</v>
      </c>
      <c r="G394" s="422" t="s">
        <v>552</v>
      </c>
      <c r="H394" s="394" t="s">
        <v>1907</v>
      </c>
      <c r="I394" s="497">
        <v>43096.0</v>
      </c>
      <c r="J394" s="422">
        <v>12.0</v>
      </c>
      <c r="K394" s="610" t="s">
        <v>228</v>
      </c>
      <c r="L394" s="420" t="s">
        <v>256</v>
      </c>
      <c r="M394" s="316">
        <f t="shared" si="2"/>
        <v>2240</v>
      </c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425">
        <v>39417.0</v>
      </c>
      <c r="B395" s="426" t="s">
        <v>8649</v>
      </c>
      <c r="C395" s="426">
        <v>2016.0</v>
      </c>
      <c r="D395" s="500">
        <v>42447.0</v>
      </c>
      <c r="E395" s="428" t="s">
        <v>8650</v>
      </c>
      <c r="F395" s="397" t="s">
        <v>8651</v>
      </c>
      <c r="G395" s="428" t="s">
        <v>565</v>
      </c>
      <c r="H395" s="397" t="s">
        <v>7556</v>
      </c>
      <c r="I395" s="500">
        <v>43097.0</v>
      </c>
      <c r="J395" s="428">
        <v>12.0</v>
      </c>
      <c r="K395" s="607" t="s">
        <v>244</v>
      </c>
      <c r="L395" s="426" t="s">
        <v>260</v>
      </c>
      <c r="M395" s="319">
        <f t="shared" si="2"/>
        <v>650</v>
      </c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419">
        <v>39517.0</v>
      </c>
      <c r="B396" s="420" t="s">
        <v>8652</v>
      </c>
      <c r="C396" s="420">
        <v>2017.0</v>
      </c>
      <c r="D396" s="497">
        <v>42775.0</v>
      </c>
      <c r="E396" s="422" t="s">
        <v>8653</v>
      </c>
      <c r="F396" s="394" t="s">
        <v>8654</v>
      </c>
      <c r="G396" s="422" t="s">
        <v>565</v>
      </c>
      <c r="H396" s="394" t="s">
        <v>6239</v>
      </c>
      <c r="I396" s="497">
        <v>43097.0</v>
      </c>
      <c r="J396" s="422">
        <v>12.0</v>
      </c>
      <c r="K396" s="607" t="s">
        <v>244</v>
      </c>
      <c r="L396" s="420" t="s">
        <v>260</v>
      </c>
      <c r="M396" s="316">
        <f t="shared" si="2"/>
        <v>322</v>
      </c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425">
        <v>39617.0</v>
      </c>
      <c r="B397" s="426" t="s">
        <v>8655</v>
      </c>
      <c r="C397" s="426">
        <v>2011.0</v>
      </c>
      <c r="D397" s="500">
        <v>40907.0</v>
      </c>
      <c r="E397" s="428" t="s">
        <v>8656</v>
      </c>
      <c r="F397" s="397" t="s">
        <v>2311</v>
      </c>
      <c r="G397" s="428" t="s">
        <v>552</v>
      </c>
      <c r="H397" s="397" t="s">
        <v>153</v>
      </c>
      <c r="I397" s="500">
        <v>43097.0</v>
      </c>
      <c r="J397" s="428">
        <v>12.0</v>
      </c>
      <c r="K397" s="610" t="s">
        <v>228</v>
      </c>
      <c r="L397" s="426" t="s">
        <v>256</v>
      </c>
      <c r="M397" s="319">
        <f t="shared" si="2"/>
        <v>2190</v>
      </c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419">
        <v>39717.0</v>
      </c>
      <c r="B398" s="420" t="s">
        <v>8657</v>
      </c>
      <c r="C398" s="420">
        <v>2012.0</v>
      </c>
      <c r="D398" s="497">
        <v>41143.0</v>
      </c>
      <c r="E398" s="422" t="s">
        <v>8658</v>
      </c>
      <c r="F398" s="394" t="s">
        <v>963</v>
      </c>
      <c r="G398" s="422" t="s">
        <v>552</v>
      </c>
      <c r="H398" s="394" t="s">
        <v>87</v>
      </c>
      <c r="I398" s="497">
        <v>43097.0</v>
      </c>
      <c r="J398" s="422">
        <v>12.0</v>
      </c>
      <c r="K398" s="610" t="s">
        <v>228</v>
      </c>
      <c r="L398" s="420" t="s">
        <v>258</v>
      </c>
      <c r="M398" s="316">
        <f t="shared" si="2"/>
        <v>1954</v>
      </c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425">
        <v>39817.0</v>
      </c>
      <c r="B399" s="426" t="s">
        <v>8659</v>
      </c>
      <c r="C399" s="426">
        <v>2016.0</v>
      </c>
      <c r="D399" s="500">
        <v>42692.0</v>
      </c>
      <c r="E399" s="428" t="s">
        <v>8660</v>
      </c>
      <c r="F399" s="397" t="s">
        <v>8661</v>
      </c>
      <c r="G399" s="428" t="s">
        <v>569</v>
      </c>
      <c r="H399" s="397" t="s">
        <v>2093</v>
      </c>
      <c r="I399" s="500">
        <v>43097.0</v>
      </c>
      <c r="J399" s="428">
        <v>12.0</v>
      </c>
      <c r="K399" s="607" t="s">
        <v>244</v>
      </c>
      <c r="L399" s="426" t="s">
        <v>260</v>
      </c>
      <c r="M399" s="319">
        <f t="shared" si="2"/>
        <v>405</v>
      </c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419">
        <v>39917.0</v>
      </c>
      <c r="B400" s="420" t="s">
        <v>8662</v>
      </c>
      <c r="C400" s="420">
        <v>2017.0</v>
      </c>
      <c r="D400" s="497">
        <v>42775.0</v>
      </c>
      <c r="E400" s="422" t="s">
        <v>8663</v>
      </c>
      <c r="F400" s="394" t="s">
        <v>2614</v>
      </c>
      <c r="G400" s="422" t="s">
        <v>569</v>
      </c>
      <c r="H400" s="394" t="s">
        <v>8664</v>
      </c>
      <c r="I400" s="497">
        <v>43097.0</v>
      </c>
      <c r="J400" s="422">
        <v>12.0</v>
      </c>
      <c r="K400" s="607" t="s">
        <v>244</v>
      </c>
      <c r="L400" s="420" t="s">
        <v>260</v>
      </c>
      <c r="M400" s="316">
        <f t="shared" si="2"/>
        <v>322</v>
      </c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425">
        <v>40017.0</v>
      </c>
      <c r="B401" s="426" t="s">
        <v>8665</v>
      </c>
      <c r="C401" s="426">
        <v>2011.0</v>
      </c>
      <c r="D401" s="500">
        <v>40827.0</v>
      </c>
      <c r="E401" s="428" t="s">
        <v>8666</v>
      </c>
      <c r="F401" s="397" t="s">
        <v>4263</v>
      </c>
      <c r="G401" s="428" t="s">
        <v>552</v>
      </c>
      <c r="H401" s="397" t="s">
        <v>1907</v>
      </c>
      <c r="I401" s="500">
        <v>43098.0</v>
      </c>
      <c r="J401" s="428">
        <v>12.0</v>
      </c>
      <c r="K401" s="610" t="s">
        <v>228</v>
      </c>
      <c r="L401" s="426" t="s">
        <v>256</v>
      </c>
      <c r="M401" s="319">
        <f t="shared" si="2"/>
        <v>2271</v>
      </c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419">
        <v>40117.0</v>
      </c>
      <c r="B402" s="420" t="s">
        <v>8667</v>
      </c>
      <c r="C402" s="420">
        <v>2010.0</v>
      </c>
      <c r="D402" s="497">
        <v>40303.0</v>
      </c>
      <c r="E402" s="422" t="s">
        <v>8668</v>
      </c>
      <c r="F402" s="394" t="s">
        <v>4263</v>
      </c>
      <c r="G402" s="422" t="s">
        <v>552</v>
      </c>
      <c r="H402" s="394" t="s">
        <v>6809</v>
      </c>
      <c r="I402" s="497">
        <v>43098.0</v>
      </c>
      <c r="J402" s="422">
        <v>12.0</v>
      </c>
      <c r="K402" s="609" t="s">
        <v>238</v>
      </c>
      <c r="L402" s="420" t="s">
        <v>258</v>
      </c>
      <c r="M402" s="316">
        <f t="shared" si="2"/>
        <v>2795</v>
      </c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425">
        <v>40217.0</v>
      </c>
      <c r="B403" s="426" t="s">
        <v>8669</v>
      </c>
      <c r="C403" s="426">
        <v>2010.0</v>
      </c>
      <c r="D403" s="500">
        <v>40245.0</v>
      </c>
      <c r="E403" s="428" t="s">
        <v>8670</v>
      </c>
      <c r="F403" s="397" t="s">
        <v>4263</v>
      </c>
      <c r="G403" s="428" t="s">
        <v>552</v>
      </c>
      <c r="H403" s="397" t="s">
        <v>45</v>
      </c>
      <c r="I403" s="500">
        <v>43098.0</v>
      </c>
      <c r="J403" s="428">
        <v>12.0</v>
      </c>
      <c r="K403" s="610" t="s">
        <v>228</v>
      </c>
      <c r="L403" s="426" t="s">
        <v>256</v>
      </c>
      <c r="M403" s="319">
        <f t="shared" si="2"/>
        <v>2853</v>
      </c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419">
        <v>40317.0</v>
      </c>
      <c r="B404" s="420" t="s">
        <v>8671</v>
      </c>
      <c r="C404" s="420">
        <v>2017.0</v>
      </c>
      <c r="D404" s="497">
        <v>43031.0</v>
      </c>
      <c r="E404" s="422" t="s">
        <v>8672</v>
      </c>
      <c r="F404" s="394" t="s">
        <v>8673</v>
      </c>
      <c r="G404" s="422" t="s">
        <v>569</v>
      </c>
      <c r="H404" s="394" t="s">
        <v>2331</v>
      </c>
      <c r="I404" s="497">
        <v>43098.0</v>
      </c>
      <c r="J404" s="422">
        <v>12.0</v>
      </c>
      <c r="K404" s="607" t="s">
        <v>850</v>
      </c>
      <c r="L404" s="420" t="s">
        <v>260</v>
      </c>
      <c r="M404" s="316">
        <f t="shared" si="2"/>
        <v>67</v>
      </c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425">
        <v>40417.0</v>
      </c>
      <c r="B405" s="426" t="s">
        <v>8674</v>
      </c>
      <c r="C405" s="426">
        <v>2016.0</v>
      </c>
      <c r="D405" s="500">
        <v>42717.0</v>
      </c>
      <c r="E405" s="428" t="s">
        <v>8675</v>
      </c>
      <c r="F405" s="397" t="s">
        <v>1849</v>
      </c>
      <c r="G405" s="428" t="s">
        <v>569</v>
      </c>
      <c r="H405" s="397" t="s">
        <v>8171</v>
      </c>
      <c r="I405" s="500">
        <v>43098.0</v>
      </c>
      <c r="J405" s="428">
        <v>12.0</v>
      </c>
      <c r="K405" s="607" t="s">
        <v>244</v>
      </c>
      <c r="L405" s="426" t="s">
        <v>260</v>
      </c>
      <c r="M405" s="319">
        <f t="shared" si="2"/>
        <v>381</v>
      </c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419">
        <v>40517.0</v>
      </c>
      <c r="B406" s="420" t="s">
        <v>8676</v>
      </c>
      <c r="C406" s="420">
        <v>2017.0</v>
      </c>
      <c r="D406" s="497">
        <v>42859.0</v>
      </c>
      <c r="E406" s="422" t="s">
        <v>8677</v>
      </c>
      <c r="F406" s="503" t="s">
        <v>2383</v>
      </c>
      <c r="G406" s="422" t="s">
        <v>569</v>
      </c>
      <c r="H406" s="394" t="s">
        <v>2245</v>
      </c>
      <c r="I406" s="497">
        <v>43098.0</v>
      </c>
      <c r="J406" s="422">
        <v>12.0</v>
      </c>
      <c r="K406" s="607" t="s">
        <v>850</v>
      </c>
      <c r="L406" s="420" t="s">
        <v>260</v>
      </c>
      <c r="M406" s="316">
        <f t="shared" si="2"/>
        <v>239</v>
      </c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4"/>
      <c r="C407" s="614"/>
      <c r="D407" s="615"/>
      <c r="E407" s="198"/>
      <c r="F407" s="198"/>
      <c r="G407" s="198"/>
      <c r="H407" s="198"/>
      <c r="I407" s="615"/>
      <c r="J407" s="614"/>
      <c r="K407" s="614"/>
      <c r="L407" s="614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hidden="1" customHeight="1">
      <c r="A408" s="613"/>
      <c r="B408" s="614"/>
      <c r="C408" s="614"/>
      <c r="D408" s="615"/>
      <c r="E408" s="198"/>
      <c r="F408" s="198"/>
      <c r="G408" s="198"/>
      <c r="H408" s="198"/>
      <c r="I408" s="615"/>
      <c r="J408" s="614"/>
      <c r="K408" s="614"/>
      <c r="L408" s="614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hidden="1" customHeight="1">
      <c r="A409" s="613"/>
      <c r="B409" s="614"/>
      <c r="C409" s="614"/>
      <c r="D409" s="615"/>
      <c r="E409" s="198"/>
      <c r="F409" s="198"/>
      <c r="G409" s="198"/>
      <c r="H409" s="198"/>
      <c r="I409" s="615"/>
      <c r="J409" s="614"/>
      <c r="K409" s="614"/>
      <c r="L409" s="614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hidden="1" customHeight="1">
      <c r="A410" s="613"/>
      <c r="B410" s="614"/>
      <c r="C410" s="614"/>
      <c r="D410" s="615"/>
      <c r="E410" s="198"/>
      <c r="F410" s="198"/>
      <c r="G410" s="198"/>
      <c r="H410" s="198"/>
      <c r="I410" s="615"/>
      <c r="J410" s="614"/>
      <c r="K410" s="614"/>
      <c r="L410" s="614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hidden="1" customHeight="1">
      <c r="A411" s="613"/>
      <c r="B411" s="614"/>
      <c r="C411" s="614"/>
      <c r="D411" s="615"/>
      <c r="E411" s="198"/>
      <c r="F411" s="198"/>
      <c r="G411" s="198"/>
      <c r="H411" s="198"/>
      <c r="I411" s="615"/>
      <c r="J411" s="614"/>
      <c r="K411" s="614"/>
      <c r="L411" s="614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hidden="1" customHeight="1">
      <c r="A412" s="613"/>
      <c r="B412" s="614"/>
      <c r="C412" s="614"/>
      <c r="D412" s="615"/>
      <c r="E412" s="198"/>
      <c r="F412" s="198"/>
      <c r="G412" s="198"/>
      <c r="H412" s="198"/>
      <c r="I412" s="615"/>
      <c r="J412" s="614"/>
      <c r="K412" s="614"/>
      <c r="L412" s="614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hidden="1" customHeight="1">
      <c r="A413" s="613"/>
      <c r="B413" s="614"/>
      <c r="C413" s="614"/>
      <c r="D413" s="615"/>
      <c r="E413" s="198"/>
      <c r="F413" s="198"/>
      <c r="G413" s="198"/>
      <c r="H413" s="198"/>
      <c r="I413" s="615"/>
      <c r="J413" s="614"/>
      <c r="K413" s="614"/>
      <c r="L413" s="614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hidden="1" customHeight="1">
      <c r="A414" s="613"/>
      <c r="B414" s="614"/>
      <c r="C414" s="614"/>
      <c r="D414" s="615"/>
      <c r="E414" s="198"/>
      <c r="F414" s="198"/>
      <c r="G414" s="198"/>
      <c r="H414" s="198"/>
      <c r="I414" s="615"/>
      <c r="J414" s="614"/>
      <c r="K414" s="614"/>
      <c r="L414" s="614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hidden="1" customHeight="1">
      <c r="A415" s="613"/>
      <c r="B415" s="614"/>
      <c r="C415" s="614"/>
      <c r="D415" s="615"/>
      <c r="E415" s="198"/>
      <c r="F415" s="198"/>
      <c r="G415" s="198"/>
      <c r="H415" s="198"/>
      <c r="I415" s="615"/>
      <c r="J415" s="614"/>
      <c r="K415" s="614"/>
      <c r="L415" s="614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hidden="1" customHeight="1">
      <c r="A416" s="613"/>
      <c r="B416" s="614"/>
      <c r="C416" s="614"/>
      <c r="D416" s="615"/>
      <c r="E416" s="198"/>
      <c r="F416" s="198"/>
      <c r="G416" s="198"/>
      <c r="H416" s="198"/>
      <c r="I416" s="615"/>
      <c r="J416" s="614"/>
      <c r="K416" s="614"/>
      <c r="L416" s="614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hidden="1" customHeight="1">
      <c r="A417" s="613"/>
      <c r="B417" s="614"/>
      <c r="C417" s="614"/>
      <c r="D417" s="615"/>
      <c r="E417" s="198"/>
      <c r="F417" s="198"/>
      <c r="G417" s="198"/>
      <c r="H417" s="198"/>
      <c r="I417" s="615"/>
      <c r="J417" s="614"/>
      <c r="K417" s="614"/>
      <c r="L417" s="614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hidden="1" customHeight="1">
      <c r="A418" s="613"/>
      <c r="B418" s="614"/>
      <c r="C418" s="614"/>
      <c r="D418" s="615"/>
      <c r="E418" s="198"/>
      <c r="F418" s="198"/>
      <c r="G418" s="198"/>
      <c r="H418" s="198"/>
      <c r="I418" s="615"/>
      <c r="J418" s="614"/>
      <c r="K418" s="614"/>
      <c r="L418" s="614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hidden="1" customHeight="1">
      <c r="A419" s="613"/>
      <c r="B419" s="614"/>
      <c r="C419" s="614"/>
      <c r="D419" s="615"/>
      <c r="E419" s="198"/>
      <c r="F419" s="198"/>
      <c r="G419" s="198"/>
      <c r="H419" s="198"/>
      <c r="I419" s="615"/>
      <c r="J419" s="614"/>
      <c r="K419" s="614"/>
      <c r="L419" s="614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hidden="1" customHeight="1">
      <c r="A420" s="613"/>
      <c r="B420" s="614"/>
      <c r="C420" s="614"/>
      <c r="D420" s="615"/>
      <c r="E420" s="198"/>
      <c r="F420" s="198"/>
      <c r="G420" s="198"/>
      <c r="H420" s="198"/>
      <c r="I420" s="615"/>
      <c r="J420" s="614"/>
      <c r="K420" s="614"/>
      <c r="L420" s="614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hidden="1" customHeight="1">
      <c r="A421" s="613"/>
      <c r="B421" s="614"/>
      <c r="C421" s="614"/>
      <c r="D421" s="615"/>
      <c r="E421" s="198"/>
      <c r="F421" s="198"/>
      <c r="G421" s="198"/>
      <c r="H421" s="198"/>
      <c r="I421" s="615"/>
      <c r="J421" s="614"/>
      <c r="K421" s="614"/>
      <c r="L421" s="614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hidden="1" customHeight="1">
      <c r="A422" s="613"/>
      <c r="B422" s="614"/>
      <c r="C422" s="614"/>
      <c r="D422" s="615"/>
      <c r="E422" s="198"/>
      <c r="F422" s="198"/>
      <c r="G422" s="198"/>
      <c r="H422" s="198"/>
      <c r="I422" s="615"/>
      <c r="J422" s="614"/>
      <c r="K422" s="614"/>
      <c r="L422" s="614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hidden="1" customHeight="1">
      <c r="A423" s="613"/>
      <c r="B423" s="614"/>
      <c r="C423" s="614"/>
      <c r="D423" s="615"/>
      <c r="E423" s="198"/>
      <c r="F423" s="198"/>
      <c r="G423" s="198"/>
      <c r="H423" s="198"/>
      <c r="I423" s="615"/>
      <c r="J423" s="614"/>
      <c r="K423" s="614"/>
      <c r="L423" s="614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hidden="1" customHeight="1">
      <c r="A424" s="613"/>
      <c r="B424" s="614"/>
      <c r="C424" s="614"/>
      <c r="D424" s="615"/>
      <c r="E424" s="198"/>
      <c r="F424" s="198"/>
      <c r="G424" s="198"/>
      <c r="H424" s="198"/>
      <c r="I424" s="615"/>
      <c r="J424" s="614"/>
      <c r="K424" s="614"/>
      <c r="L424" s="614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hidden="1" customHeight="1">
      <c r="A425" s="613"/>
      <c r="B425" s="614"/>
      <c r="C425" s="614"/>
      <c r="D425" s="615"/>
      <c r="E425" s="198"/>
      <c r="F425" s="198"/>
      <c r="G425" s="198"/>
      <c r="H425" s="198"/>
      <c r="I425" s="615"/>
      <c r="J425" s="614"/>
      <c r="K425" s="614"/>
      <c r="L425" s="614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hidden="1" customHeight="1">
      <c r="A426" s="613"/>
      <c r="B426" s="614"/>
      <c r="C426" s="614"/>
      <c r="D426" s="615"/>
      <c r="E426" s="198"/>
      <c r="F426" s="198"/>
      <c r="G426" s="198"/>
      <c r="H426" s="198"/>
      <c r="I426" s="615"/>
      <c r="J426" s="614"/>
      <c r="K426" s="614"/>
      <c r="L426" s="614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hidden="1" customHeight="1">
      <c r="A427" s="613"/>
      <c r="B427" s="614"/>
      <c r="C427" s="614"/>
      <c r="D427" s="615"/>
      <c r="E427" s="198"/>
      <c r="F427" s="198"/>
      <c r="G427" s="198"/>
      <c r="H427" s="198"/>
      <c r="I427" s="615"/>
      <c r="J427" s="614"/>
      <c r="K427" s="614"/>
      <c r="L427" s="614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hidden="1" customHeight="1">
      <c r="A428" s="613"/>
      <c r="B428" s="614"/>
      <c r="C428" s="614"/>
      <c r="D428" s="615"/>
      <c r="E428" s="198"/>
      <c r="F428" s="198"/>
      <c r="G428" s="198"/>
      <c r="H428" s="198"/>
      <c r="I428" s="615"/>
      <c r="J428" s="614"/>
      <c r="K428" s="614"/>
      <c r="L428" s="614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hidden="1" customHeight="1">
      <c r="A429" s="613"/>
      <c r="B429" s="614"/>
      <c r="C429" s="614"/>
      <c r="D429" s="615"/>
      <c r="E429" s="198"/>
      <c r="F429" s="198"/>
      <c r="G429" s="198"/>
      <c r="H429" s="198"/>
      <c r="I429" s="615"/>
      <c r="J429" s="614"/>
      <c r="K429" s="614"/>
      <c r="L429" s="614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hidden="1" customHeight="1">
      <c r="A430" s="613"/>
      <c r="B430" s="614"/>
      <c r="C430" s="614"/>
      <c r="D430" s="615"/>
      <c r="E430" s="198"/>
      <c r="F430" s="198"/>
      <c r="G430" s="198"/>
      <c r="H430" s="198"/>
      <c r="I430" s="615"/>
      <c r="J430" s="614"/>
      <c r="K430" s="614"/>
      <c r="L430" s="614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hidden="1" customHeight="1">
      <c r="A431" s="613"/>
      <c r="B431" s="614"/>
      <c r="C431" s="614"/>
      <c r="D431" s="615"/>
      <c r="E431" s="198"/>
      <c r="F431" s="198"/>
      <c r="G431" s="198"/>
      <c r="H431" s="198"/>
      <c r="I431" s="615"/>
      <c r="J431" s="614"/>
      <c r="K431" s="614"/>
      <c r="L431" s="614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hidden="1" customHeight="1">
      <c r="A432" s="613"/>
      <c r="B432" s="614"/>
      <c r="C432" s="614"/>
      <c r="D432" s="615"/>
      <c r="E432" s="198"/>
      <c r="F432" s="198"/>
      <c r="G432" s="198"/>
      <c r="H432" s="198"/>
      <c r="I432" s="615"/>
      <c r="J432" s="614"/>
      <c r="K432" s="614"/>
      <c r="L432" s="614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hidden="1" customHeight="1">
      <c r="A433" s="613"/>
      <c r="B433" s="614"/>
      <c r="C433" s="614"/>
      <c r="D433" s="615"/>
      <c r="E433" s="198"/>
      <c r="F433" s="198"/>
      <c r="G433" s="198"/>
      <c r="H433" s="198"/>
      <c r="I433" s="615"/>
      <c r="J433" s="614"/>
      <c r="K433" s="614"/>
      <c r="L433" s="614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hidden="1" customHeight="1">
      <c r="A434" s="613"/>
      <c r="B434" s="614"/>
      <c r="C434" s="614"/>
      <c r="D434" s="615"/>
      <c r="E434" s="198"/>
      <c r="F434" s="198"/>
      <c r="G434" s="198"/>
      <c r="H434" s="198"/>
      <c r="I434" s="615"/>
      <c r="J434" s="614"/>
      <c r="K434" s="614"/>
      <c r="L434" s="614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hidden="1" customHeight="1">
      <c r="A435" s="613"/>
      <c r="B435" s="614"/>
      <c r="C435" s="614"/>
      <c r="D435" s="615"/>
      <c r="E435" s="198"/>
      <c r="F435" s="198"/>
      <c r="G435" s="198"/>
      <c r="H435" s="198"/>
      <c r="I435" s="615"/>
      <c r="J435" s="614"/>
      <c r="K435" s="614"/>
      <c r="L435" s="614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hidden="1" customHeight="1">
      <c r="A436" s="613"/>
      <c r="B436" s="614"/>
      <c r="C436" s="614"/>
      <c r="D436" s="615"/>
      <c r="E436" s="198"/>
      <c r="F436" s="198"/>
      <c r="G436" s="198"/>
      <c r="H436" s="198"/>
      <c r="I436" s="615"/>
      <c r="J436" s="614"/>
      <c r="K436" s="614"/>
      <c r="L436" s="614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hidden="1" customHeight="1">
      <c r="A437" s="613"/>
      <c r="B437" s="614"/>
      <c r="C437" s="614"/>
      <c r="D437" s="615"/>
      <c r="E437" s="198"/>
      <c r="F437" s="198"/>
      <c r="G437" s="198"/>
      <c r="H437" s="198"/>
      <c r="I437" s="615"/>
      <c r="J437" s="614"/>
      <c r="K437" s="614"/>
      <c r="L437" s="614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hidden="1" customHeight="1">
      <c r="A438" s="613"/>
      <c r="B438" s="614"/>
      <c r="C438" s="614"/>
      <c r="D438" s="615"/>
      <c r="E438" s="198"/>
      <c r="F438" s="198"/>
      <c r="G438" s="198"/>
      <c r="H438" s="198"/>
      <c r="I438" s="615"/>
      <c r="J438" s="614"/>
      <c r="K438" s="614"/>
      <c r="L438" s="614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hidden="1" customHeight="1">
      <c r="A439" s="613"/>
      <c r="B439" s="614"/>
      <c r="C439" s="614"/>
      <c r="D439" s="615"/>
      <c r="E439" s="198"/>
      <c r="F439" s="198"/>
      <c r="G439" s="198"/>
      <c r="H439" s="198"/>
      <c r="I439" s="615"/>
      <c r="J439" s="614"/>
      <c r="K439" s="614"/>
      <c r="L439" s="614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hidden="1" customHeight="1">
      <c r="A440" s="613"/>
      <c r="B440" s="614"/>
      <c r="C440" s="614"/>
      <c r="D440" s="615"/>
      <c r="E440" s="198"/>
      <c r="F440" s="198"/>
      <c r="G440" s="198"/>
      <c r="H440" s="198"/>
      <c r="I440" s="615"/>
      <c r="J440" s="614"/>
      <c r="K440" s="614"/>
      <c r="L440" s="614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hidden="1" customHeight="1">
      <c r="A441" s="613"/>
      <c r="B441" s="614"/>
      <c r="C441" s="614"/>
      <c r="D441" s="615"/>
      <c r="E441" s="198"/>
      <c r="F441" s="198"/>
      <c r="G441" s="198"/>
      <c r="H441" s="198"/>
      <c r="I441" s="615"/>
      <c r="J441" s="614"/>
      <c r="K441" s="614"/>
      <c r="L441" s="614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hidden="1" customHeight="1">
      <c r="A442" s="613"/>
      <c r="B442" s="614"/>
      <c r="C442" s="614"/>
      <c r="D442" s="615"/>
      <c r="E442" s="198"/>
      <c r="F442" s="198"/>
      <c r="G442" s="198"/>
      <c r="H442" s="198"/>
      <c r="I442" s="615"/>
      <c r="J442" s="614"/>
      <c r="K442" s="614"/>
      <c r="L442" s="614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hidden="1" customHeight="1">
      <c r="A443" s="613"/>
      <c r="B443" s="614"/>
      <c r="C443" s="614"/>
      <c r="D443" s="615"/>
      <c r="E443" s="198"/>
      <c r="F443" s="198"/>
      <c r="G443" s="198"/>
      <c r="H443" s="198"/>
      <c r="I443" s="615"/>
      <c r="J443" s="614"/>
      <c r="K443" s="614"/>
      <c r="L443" s="614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hidden="1" customHeight="1">
      <c r="A444" s="613"/>
      <c r="B444" s="614"/>
      <c r="C444" s="614"/>
      <c r="D444" s="615"/>
      <c r="E444" s="198"/>
      <c r="F444" s="198"/>
      <c r="G444" s="198"/>
      <c r="H444" s="198"/>
      <c r="I444" s="615"/>
      <c r="J444" s="614"/>
      <c r="K444" s="614"/>
      <c r="L444" s="614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hidden="1" customHeight="1">
      <c r="A445" s="613"/>
      <c r="B445" s="614"/>
      <c r="C445" s="614"/>
      <c r="D445" s="615"/>
      <c r="E445" s="198"/>
      <c r="F445" s="198"/>
      <c r="G445" s="198"/>
      <c r="H445" s="198"/>
      <c r="I445" s="615"/>
      <c r="J445" s="614"/>
      <c r="K445" s="614"/>
      <c r="L445" s="614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hidden="1" customHeight="1">
      <c r="A446" s="613"/>
      <c r="B446" s="614"/>
      <c r="C446" s="614"/>
      <c r="D446" s="615"/>
      <c r="E446" s="198"/>
      <c r="F446" s="198"/>
      <c r="G446" s="198"/>
      <c r="H446" s="198"/>
      <c r="I446" s="615"/>
      <c r="J446" s="614"/>
      <c r="K446" s="614"/>
      <c r="L446" s="614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hidden="1" customHeight="1">
      <c r="A447" s="613"/>
      <c r="B447" s="614"/>
      <c r="C447" s="614"/>
      <c r="D447" s="615"/>
      <c r="E447" s="198"/>
      <c r="F447" s="198"/>
      <c r="G447" s="198"/>
      <c r="H447" s="198"/>
      <c r="I447" s="615"/>
      <c r="J447" s="614"/>
      <c r="K447" s="614"/>
      <c r="L447" s="614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hidden="1" customHeight="1">
      <c r="A448" s="613"/>
      <c r="B448" s="614"/>
      <c r="C448" s="614"/>
      <c r="D448" s="615"/>
      <c r="E448" s="198"/>
      <c r="F448" s="198"/>
      <c r="G448" s="198"/>
      <c r="H448" s="198"/>
      <c r="I448" s="615"/>
      <c r="J448" s="614"/>
      <c r="K448" s="614"/>
      <c r="L448" s="614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hidden="1" customHeight="1">
      <c r="A449" s="613"/>
      <c r="B449" s="614"/>
      <c r="C449" s="614"/>
      <c r="D449" s="615"/>
      <c r="E449" s="198"/>
      <c r="F449" s="198"/>
      <c r="G449" s="198"/>
      <c r="H449" s="198"/>
      <c r="I449" s="615"/>
      <c r="J449" s="614"/>
      <c r="K449" s="614"/>
      <c r="L449" s="614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hidden="1" customHeight="1">
      <c r="A450" s="613"/>
      <c r="B450" s="614"/>
      <c r="C450" s="614"/>
      <c r="D450" s="615"/>
      <c r="E450" s="198"/>
      <c r="F450" s="198"/>
      <c r="G450" s="198"/>
      <c r="H450" s="198"/>
      <c r="I450" s="615"/>
      <c r="J450" s="614"/>
      <c r="K450" s="614"/>
      <c r="L450" s="614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hidden="1" customHeight="1">
      <c r="A451" s="613"/>
      <c r="B451" s="614"/>
      <c r="C451" s="614"/>
      <c r="D451" s="615"/>
      <c r="E451" s="198"/>
      <c r="F451" s="198"/>
      <c r="G451" s="198"/>
      <c r="H451" s="198"/>
      <c r="I451" s="615"/>
      <c r="J451" s="614"/>
      <c r="K451" s="614"/>
      <c r="L451" s="614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hidden="1" customHeight="1">
      <c r="A452" s="613"/>
      <c r="B452" s="614"/>
      <c r="C452" s="614"/>
      <c r="D452" s="615"/>
      <c r="E452" s="198"/>
      <c r="F452" s="198"/>
      <c r="G452" s="198"/>
      <c r="H452" s="198"/>
      <c r="I452" s="615"/>
      <c r="J452" s="614"/>
      <c r="K452" s="614"/>
      <c r="L452" s="614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hidden="1" customHeight="1">
      <c r="A453" s="613"/>
      <c r="B453" s="614"/>
      <c r="C453" s="614"/>
      <c r="D453" s="615"/>
      <c r="E453" s="198"/>
      <c r="F453" s="198"/>
      <c r="G453" s="198"/>
      <c r="H453" s="198"/>
      <c r="I453" s="615"/>
      <c r="J453" s="614"/>
      <c r="K453" s="614"/>
      <c r="L453" s="614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hidden="1" customHeight="1">
      <c r="A454" s="613"/>
      <c r="B454" s="614"/>
      <c r="C454" s="614"/>
      <c r="D454" s="615"/>
      <c r="E454" s="198"/>
      <c r="F454" s="198"/>
      <c r="G454" s="198"/>
      <c r="H454" s="198"/>
      <c r="I454" s="615"/>
      <c r="J454" s="614"/>
      <c r="K454" s="614"/>
      <c r="L454" s="614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hidden="1" customHeight="1">
      <c r="A455" s="613"/>
      <c r="B455" s="614"/>
      <c r="C455" s="614"/>
      <c r="D455" s="615"/>
      <c r="E455" s="198"/>
      <c r="F455" s="198"/>
      <c r="G455" s="198"/>
      <c r="H455" s="198"/>
      <c r="I455" s="615"/>
      <c r="J455" s="614"/>
      <c r="K455" s="614"/>
      <c r="L455" s="614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hidden="1" customHeight="1">
      <c r="A456" s="613"/>
      <c r="B456" s="614"/>
      <c r="C456" s="614"/>
      <c r="D456" s="615"/>
      <c r="E456" s="198"/>
      <c r="F456" s="198"/>
      <c r="G456" s="198"/>
      <c r="H456" s="198"/>
      <c r="I456" s="615"/>
      <c r="J456" s="614"/>
      <c r="K456" s="614"/>
      <c r="L456" s="614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hidden="1" customHeight="1">
      <c r="A457" s="613"/>
      <c r="B457" s="614"/>
      <c r="C457" s="614"/>
      <c r="D457" s="615"/>
      <c r="E457" s="198"/>
      <c r="F457" s="198"/>
      <c r="G457" s="198"/>
      <c r="H457" s="198"/>
      <c r="I457" s="615"/>
      <c r="J457" s="614"/>
      <c r="K457" s="614"/>
      <c r="L457" s="614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hidden="1" customHeight="1">
      <c r="A458" s="613"/>
      <c r="B458" s="614"/>
      <c r="C458" s="614"/>
      <c r="D458" s="615"/>
      <c r="E458" s="198"/>
      <c r="F458" s="198"/>
      <c r="G458" s="198"/>
      <c r="H458" s="198"/>
      <c r="I458" s="615"/>
      <c r="J458" s="614"/>
      <c r="K458" s="614"/>
      <c r="L458" s="614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hidden="1" customHeight="1">
      <c r="A459" s="613"/>
      <c r="B459" s="614"/>
      <c r="C459" s="614"/>
      <c r="D459" s="615"/>
      <c r="E459" s="198"/>
      <c r="F459" s="198"/>
      <c r="G459" s="198"/>
      <c r="H459" s="198"/>
      <c r="I459" s="615"/>
      <c r="J459" s="614"/>
      <c r="K459" s="614"/>
      <c r="L459" s="614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hidden="1" customHeight="1">
      <c r="A460" s="613"/>
      <c r="B460" s="614"/>
      <c r="C460" s="614"/>
      <c r="D460" s="615"/>
      <c r="E460" s="198"/>
      <c r="F460" s="198"/>
      <c r="G460" s="198"/>
      <c r="H460" s="198"/>
      <c r="I460" s="615"/>
      <c r="J460" s="614"/>
      <c r="K460" s="614"/>
      <c r="L460" s="614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hidden="1" customHeight="1">
      <c r="A461" s="613"/>
      <c r="B461" s="614"/>
      <c r="C461" s="614"/>
      <c r="D461" s="615"/>
      <c r="E461" s="198"/>
      <c r="F461" s="198"/>
      <c r="G461" s="198"/>
      <c r="H461" s="198"/>
      <c r="I461" s="615"/>
      <c r="J461" s="614"/>
      <c r="K461" s="614"/>
      <c r="L461" s="614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hidden="1" customHeight="1">
      <c r="A462" s="613"/>
      <c r="B462" s="614"/>
      <c r="C462" s="614"/>
      <c r="D462" s="615"/>
      <c r="E462" s="198"/>
      <c r="F462" s="198"/>
      <c r="G462" s="198"/>
      <c r="H462" s="198"/>
      <c r="I462" s="615"/>
      <c r="J462" s="614"/>
      <c r="K462" s="614"/>
      <c r="L462" s="614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hidden="1" customHeight="1">
      <c r="A463" s="613"/>
      <c r="B463" s="614"/>
      <c r="C463" s="614"/>
      <c r="D463" s="615"/>
      <c r="E463" s="198"/>
      <c r="F463" s="198"/>
      <c r="G463" s="198"/>
      <c r="H463" s="198"/>
      <c r="I463" s="615"/>
      <c r="J463" s="614"/>
      <c r="K463" s="614"/>
      <c r="L463" s="614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hidden="1" customHeight="1">
      <c r="A464" s="613"/>
      <c r="B464" s="614"/>
      <c r="C464" s="614"/>
      <c r="D464" s="615"/>
      <c r="E464" s="198"/>
      <c r="F464" s="198"/>
      <c r="G464" s="198"/>
      <c r="H464" s="198"/>
      <c r="I464" s="615"/>
      <c r="J464" s="614"/>
      <c r="K464" s="614"/>
      <c r="L464" s="614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hidden="1" customHeight="1">
      <c r="A465" s="613"/>
      <c r="B465" s="614"/>
      <c r="C465" s="614"/>
      <c r="D465" s="615"/>
      <c r="E465" s="198"/>
      <c r="F465" s="198"/>
      <c r="G465" s="198"/>
      <c r="H465" s="198"/>
      <c r="I465" s="615"/>
      <c r="J465" s="614"/>
      <c r="K465" s="614"/>
      <c r="L465" s="614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hidden="1" customHeight="1">
      <c r="A466" s="613"/>
      <c r="B466" s="614"/>
      <c r="C466" s="614"/>
      <c r="D466" s="615"/>
      <c r="E466" s="198"/>
      <c r="F466" s="198"/>
      <c r="G466" s="198"/>
      <c r="H466" s="198"/>
      <c r="I466" s="615"/>
      <c r="J466" s="614"/>
      <c r="K466" s="614"/>
      <c r="L466" s="614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hidden="1" customHeight="1">
      <c r="A467" s="613"/>
      <c r="B467" s="614"/>
      <c r="C467" s="614"/>
      <c r="D467" s="615"/>
      <c r="E467" s="198"/>
      <c r="F467" s="198"/>
      <c r="G467" s="198"/>
      <c r="H467" s="198"/>
      <c r="I467" s="615"/>
      <c r="J467" s="614"/>
      <c r="K467" s="614"/>
      <c r="L467" s="614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hidden="1" customHeight="1">
      <c r="A468" s="613"/>
      <c r="B468" s="614"/>
      <c r="C468" s="614"/>
      <c r="D468" s="615"/>
      <c r="E468" s="198"/>
      <c r="F468" s="198"/>
      <c r="G468" s="198"/>
      <c r="H468" s="198"/>
      <c r="I468" s="615"/>
      <c r="J468" s="614"/>
      <c r="K468" s="614"/>
      <c r="L468" s="614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hidden="1" customHeight="1">
      <c r="A469" s="613"/>
      <c r="B469" s="614"/>
      <c r="C469" s="614"/>
      <c r="D469" s="615"/>
      <c r="E469" s="198"/>
      <c r="F469" s="198"/>
      <c r="G469" s="198"/>
      <c r="H469" s="198"/>
      <c r="I469" s="615"/>
      <c r="J469" s="614"/>
      <c r="K469" s="614"/>
      <c r="L469" s="614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hidden="1" customHeight="1">
      <c r="A470" s="613"/>
      <c r="B470" s="614"/>
      <c r="C470" s="614"/>
      <c r="D470" s="615"/>
      <c r="E470" s="198"/>
      <c r="F470" s="198"/>
      <c r="G470" s="198"/>
      <c r="H470" s="198"/>
      <c r="I470" s="615"/>
      <c r="J470" s="614"/>
      <c r="K470" s="614"/>
      <c r="L470" s="614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hidden="1" customHeight="1">
      <c r="A471" s="613"/>
      <c r="B471" s="614"/>
      <c r="C471" s="614"/>
      <c r="D471" s="615"/>
      <c r="E471" s="198"/>
      <c r="F471" s="198"/>
      <c r="G471" s="198"/>
      <c r="H471" s="198"/>
      <c r="I471" s="615"/>
      <c r="J471" s="614"/>
      <c r="K471" s="614"/>
      <c r="L471" s="614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hidden="1" customHeight="1">
      <c r="A472" s="613"/>
      <c r="B472" s="614"/>
      <c r="C472" s="614"/>
      <c r="D472" s="615"/>
      <c r="E472" s="198"/>
      <c r="F472" s="198"/>
      <c r="G472" s="198"/>
      <c r="H472" s="198"/>
      <c r="I472" s="615"/>
      <c r="J472" s="614"/>
      <c r="K472" s="614"/>
      <c r="L472" s="614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hidden="1" customHeight="1">
      <c r="A473" s="613"/>
      <c r="B473" s="614"/>
      <c r="C473" s="614"/>
      <c r="D473" s="615"/>
      <c r="E473" s="198"/>
      <c r="F473" s="198"/>
      <c r="G473" s="198"/>
      <c r="H473" s="198"/>
      <c r="I473" s="615"/>
      <c r="J473" s="614"/>
      <c r="K473" s="614"/>
      <c r="L473" s="614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hidden="1" customHeight="1">
      <c r="A474" s="613"/>
      <c r="B474" s="614"/>
      <c r="C474" s="614"/>
      <c r="D474" s="615"/>
      <c r="E474" s="198"/>
      <c r="F474" s="198"/>
      <c r="G474" s="198"/>
      <c r="H474" s="198"/>
      <c r="I474" s="615"/>
      <c r="J474" s="614"/>
      <c r="K474" s="614"/>
      <c r="L474" s="614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hidden="1" customHeight="1">
      <c r="A475" s="613"/>
      <c r="B475" s="614"/>
      <c r="C475" s="614"/>
      <c r="D475" s="615"/>
      <c r="E475" s="198"/>
      <c r="F475" s="198"/>
      <c r="G475" s="198"/>
      <c r="H475" s="198"/>
      <c r="I475" s="615"/>
      <c r="J475" s="614"/>
      <c r="K475" s="614"/>
      <c r="L475" s="614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hidden="1" customHeight="1">
      <c r="A476" s="613"/>
      <c r="B476" s="614"/>
      <c r="C476" s="614"/>
      <c r="D476" s="615"/>
      <c r="E476" s="198"/>
      <c r="F476" s="198"/>
      <c r="G476" s="198"/>
      <c r="H476" s="198"/>
      <c r="I476" s="615"/>
      <c r="J476" s="614"/>
      <c r="K476" s="614"/>
      <c r="L476" s="614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hidden="1" customHeight="1">
      <c r="A477" s="613"/>
      <c r="B477" s="614"/>
      <c r="C477" s="614"/>
      <c r="D477" s="615"/>
      <c r="E477" s="198"/>
      <c r="F477" s="198"/>
      <c r="G477" s="198"/>
      <c r="H477" s="198"/>
      <c r="I477" s="615"/>
      <c r="J477" s="614"/>
      <c r="K477" s="614"/>
      <c r="L477" s="614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hidden="1" customHeight="1">
      <c r="A478" s="613"/>
      <c r="B478" s="614"/>
      <c r="C478" s="614"/>
      <c r="D478" s="615"/>
      <c r="E478" s="198"/>
      <c r="F478" s="198"/>
      <c r="G478" s="198"/>
      <c r="H478" s="198"/>
      <c r="I478" s="615"/>
      <c r="J478" s="614"/>
      <c r="K478" s="614"/>
      <c r="L478" s="614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hidden="1" customHeight="1">
      <c r="A479" s="613"/>
      <c r="B479" s="614"/>
      <c r="C479" s="614"/>
      <c r="D479" s="615"/>
      <c r="E479" s="198"/>
      <c r="F479" s="198"/>
      <c r="G479" s="198"/>
      <c r="H479" s="198"/>
      <c r="I479" s="615"/>
      <c r="J479" s="614"/>
      <c r="K479" s="614"/>
      <c r="L479" s="614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hidden="1" customHeight="1">
      <c r="A480" s="613"/>
      <c r="B480" s="614"/>
      <c r="C480" s="614"/>
      <c r="D480" s="615"/>
      <c r="E480" s="198"/>
      <c r="F480" s="198"/>
      <c r="G480" s="198"/>
      <c r="H480" s="198"/>
      <c r="I480" s="615"/>
      <c r="J480" s="614"/>
      <c r="K480" s="614"/>
      <c r="L480" s="614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hidden="1" customHeight="1">
      <c r="A481" s="613"/>
      <c r="B481" s="614"/>
      <c r="C481" s="614"/>
      <c r="D481" s="615"/>
      <c r="E481" s="198"/>
      <c r="F481" s="198"/>
      <c r="G481" s="198"/>
      <c r="H481" s="198"/>
      <c r="I481" s="615"/>
      <c r="J481" s="614"/>
      <c r="K481" s="614"/>
      <c r="L481" s="614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hidden="1" customHeight="1">
      <c r="A482" s="613"/>
      <c r="B482" s="614"/>
      <c r="C482" s="614"/>
      <c r="D482" s="615"/>
      <c r="E482" s="198"/>
      <c r="F482" s="198"/>
      <c r="G482" s="198"/>
      <c r="H482" s="198"/>
      <c r="I482" s="615"/>
      <c r="J482" s="614"/>
      <c r="K482" s="614"/>
      <c r="L482" s="614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hidden="1" customHeight="1">
      <c r="A483" s="613"/>
      <c r="B483" s="614"/>
      <c r="C483" s="614"/>
      <c r="D483" s="615"/>
      <c r="E483" s="198"/>
      <c r="F483" s="198"/>
      <c r="G483" s="198"/>
      <c r="H483" s="198"/>
      <c r="I483" s="615"/>
      <c r="J483" s="614"/>
      <c r="K483" s="614"/>
      <c r="L483" s="614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hidden="1" customHeight="1">
      <c r="A484" s="613"/>
      <c r="B484" s="614"/>
      <c r="C484" s="614"/>
      <c r="D484" s="615"/>
      <c r="E484" s="198"/>
      <c r="F484" s="198"/>
      <c r="G484" s="198"/>
      <c r="H484" s="198"/>
      <c r="I484" s="615"/>
      <c r="J484" s="614"/>
      <c r="K484" s="614"/>
      <c r="L484" s="614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hidden="1" customHeight="1">
      <c r="A485" s="613"/>
      <c r="B485" s="614"/>
      <c r="C485" s="614"/>
      <c r="D485" s="615"/>
      <c r="E485" s="198"/>
      <c r="F485" s="198"/>
      <c r="G485" s="198"/>
      <c r="H485" s="198"/>
      <c r="I485" s="615"/>
      <c r="J485" s="614"/>
      <c r="K485" s="614"/>
      <c r="L485" s="614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hidden="1" customHeight="1">
      <c r="A486" s="613"/>
      <c r="B486" s="614"/>
      <c r="C486" s="614"/>
      <c r="D486" s="615"/>
      <c r="E486" s="198"/>
      <c r="F486" s="198"/>
      <c r="G486" s="198"/>
      <c r="H486" s="198"/>
      <c r="I486" s="615"/>
      <c r="J486" s="614"/>
      <c r="K486" s="614"/>
      <c r="L486" s="614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hidden="1" customHeight="1">
      <c r="A487" s="613"/>
      <c r="B487" s="614"/>
      <c r="C487" s="614"/>
      <c r="D487" s="615"/>
      <c r="E487" s="198"/>
      <c r="F487" s="198"/>
      <c r="G487" s="198"/>
      <c r="H487" s="198"/>
      <c r="I487" s="615"/>
      <c r="J487" s="614"/>
      <c r="K487" s="614"/>
      <c r="L487" s="614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hidden="1" customHeight="1">
      <c r="A488" s="613"/>
      <c r="B488" s="614"/>
      <c r="C488" s="614"/>
      <c r="D488" s="615"/>
      <c r="E488" s="198"/>
      <c r="F488" s="198"/>
      <c r="G488" s="198"/>
      <c r="H488" s="198"/>
      <c r="I488" s="615"/>
      <c r="J488" s="614"/>
      <c r="K488" s="614"/>
      <c r="L488" s="614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hidden="1" customHeight="1">
      <c r="A489" s="613"/>
      <c r="B489" s="614"/>
      <c r="C489" s="614"/>
      <c r="D489" s="615"/>
      <c r="E489" s="198"/>
      <c r="F489" s="198"/>
      <c r="G489" s="198"/>
      <c r="H489" s="198"/>
      <c r="I489" s="615"/>
      <c r="J489" s="614"/>
      <c r="K489" s="614"/>
      <c r="L489" s="614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hidden="1" customHeight="1">
      <c r="A490" s="613"/>
      <c r="B490" s="614"/>
      <c r="C490" s="614"/>
      <c r="D490" s="615"/>
      <c r="E490" s="198"/>
      <c r="F490" s="198"/>
      <c r="G490" s="198"/>
      <c r="H490" s="198"/>
      <c r="I490" s="615"/>
      <c r="J490" s="614"/>
      <c r="K490" s="614"/>
      <c r="L490" s="614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hidden="1" customHeight="1">
      <c r="A491" s="613"/>
      <c r="B491" s="614"/>
      <c r="C491" s="614"/>
      <c r="D491" s="615"/>
      <c r="E491" s="198"/>
      <c r="F491" s="198"/>
      <c r="G491" s="198"/>
      <c r="H491" s="198"/>
      <c r="I491" s="615"/>
      <c r="J491" s="614"/>
      <c r="K491" s="614"/>
      <c r="L491" s="614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hidden="1" customHeight="1">
      <c r="A492" s="613"/>
      <c r="B492" s="614"/>
      <c r="C492" s="614"/>
      <c r="D492" s="615"/>
      <c r="E492" s="198"/>
      <c r="F492" s="198"/>
      <c r="G492" s="198"/>
      <c r="H492" s="198"/>
      <c r="I492" s="615"/>
      <c r="J492" s="614"/>
      <c r="K492" s="614"/>
      <c r="L492" s="614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hidden="1" customHeight="1">
      <c r="A493" s="613"/>
      <c r="B493" s="614"/>
      <c r="C493" s="614"/>
      <c r="D493" s="615"/>
      <c r="E493" s="198"/>
      <c r="F493" s="198"/>
      <c r="G493" s="198"/>
      <c r="H493" s="198"/>
      <c r="I493" s="615"/>
      <c r="J493" s="614"/>
      <c r="K493" s="614"/>
      <c r="L493" s="614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hidden="1" customHeight="1">
      <c r="A494" s="613"/>
      <c r="B494" s="614"/>
      <c r="C494" s="614"/>
      <c r="D494" s="615"/>
      <c r="E494" s="198"/>
      <c r="F494" s="198"/>
      <c r="G494" s="198"/>
      <c r="H494" s="198"/>
      <c r="I494" s="615"/>
      <c r="J494" s="614"/>
      <c r="K494" s="614"/>
      <c r="L494" s="614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hidden="1" customHeight="1">
      <c r="A495" s="613"/>
      <c r="B495" s="614"/>
      <c r="C495" s="614"/>
      <c r="D495" s="615"/>
      <c r="E495" s="198"/>
      <c r="F495" s="198"/>
      <c r="G495" s="198"/>
      <c r="H495" s="198"/>
      <c r="I495" s="615"/>
      <c r="J495" s="614"/>
      <c r="K495" s="614"/>
      <c r="L495" s="614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hidden="1" customHeight="1">
      <c r="A496" s="613"/>
      <c r="B496" s="614"/>
      <c r="C496" s="614"/>
      <c r="D496" s="615"/>
      <c r="E496" s="198"/>
      <c r="F496" s="198"/>
      <c r="G496" s="198"/>
      <c r="H496" s="198"/>
      <c r="I496" s="615"/>
      <c r="J496" s="614"/>
      <c r="K496" s="614"/>
      <c r="L496" s="614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hidden="1" customHeight="1">
      <c r="A497" s="613"/>
      <c r="B497" s="614"/>
      <c r="C497" s="614"/>
      <c r="D497" s="615"/>
      <c r="E497" s="198"/>
      <c r="F497" s="198"/>
      <c r="G497" s="198"/>
      <c r="H497" s="198"/>
      <c r="I497" s="615"/>
      <c r="J497" s="614"/>
      <c r="K497" s="614"/>
      <c r="L497" s="614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hidden="1" customHeight="1">
      <c r="A498" s="613"/>
      <c r="B498" s="614"/>
      <c r="C498" s="614"/>
      <c r="D498" s="615"/>
      <c r="E498" s="198"/>
      <c r="F498" s="198"/>
      <c r="G498" s="198"/>
      <c r="H498" s="198"/>
      <c r="I498" s="615"/>
      <c r="J498" s="614"/>
      <c r="K498" s="614"/>
      <c r="L498" s="614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hidden="1" customHeight="1">
      <c r="A499" s="613"/>
      <c r="B499" s="614"/>
      <c r="C499" s="614"/>
      <c r="D499" s="615"/>
      <c r="E499" s="198"/>
      <c r="F499" s="198"/>
      <c r="G499" s="198"/>
      <c r="H499" s="198"/>
      <c r="I499" s="615"/>
      <c r="J499" s="614"/>
      <c r="K499" s="614"/>
      <c r="L499" s="614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hidden="1" customHeight="1">
      <c r="A500" s="613"/>
      <c r="B500" s="614"/>
      <c r="C500" s="614"/>
      <c r="D500" s="615"/>
      <c r="E500" s="198"/>
      <c r="F500" s="198"/>
      <c r="G500" s="198"/>
      <c r="H500" s="198"/>
      <c r="I500" s="615"/>
      <c r="J500" s="614"/>
      <c r="K500" s="614"/>
      <c r="L500" s="614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hidden="1" customHeight="1">
      <c r="A501" s="613"/>
      <c r="B501" s="614"/>
      <c r="C501" s="614"/>
      <c r="D501" s="615"/>
      <c r="E501" s="198"/>
      <c r="F501" s="198"/>
      <c r="G501" s="198"/>
      <c r="H501" s="198"/>
      <c r="I501" s="615"/>
      <c r="J501" s="614"/>
      <c r="K501" s="614"/>
      <c r="L501" s="614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hidden="1" customHeight="1">
      <c r="A502" s="613"/>
      <c r="B502" s="614"/>
      <c r="C502" s="614"/>
      <c r="D502" s="615"/>
      <c r="E502" s="198"/>
      <c r="F502" s="198"/>
      <c r="G502" s="198"/>
      <c r="H502" s="198"/>
      <c r="I502" s="615"/>
      <c r="J502" s="614"/>
      <c r="K502" s="614"/>
      <c r="L502" s="614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hidden="1" customHeight="1">
      <c r="A503" s="613"/>
      <c r="B503" s="614"/>
      <c r="C503" s="614"/>
      <c r="D503" s="615"/>
      <c r="E503" s="198"/>
      <c r="F503" s="198"/>
      <c r="G503" s="198"/>
      <c r="H503" s="198"/>
      <c r="I503" s="615"/>
      <c r="J503" s="614"/>
      <c r="K503" s="614"/>
      <c r="L503" s="614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hidden="1" customHeight="1">
      <c r="A504" s="613"/>
      <c r="B504" s="614"/>
      <c r="C504" s="614"/>
      <c r="D504" s="615"/>
      <c r="E504" s="198"/>
      <c r="F504" s="198"/>
      <c r="G504" s="198"/>
      <c r="H504" s="198"/>
      <c r="I504" s="615"/>
      <c r="J504" s="614"/>
      <c r="K504" s="614"/>
      <c r="L504" s="614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hidden="1" customHeight="1">
      <c r="A505" s="613"/>
      <c r="B505" s="614"/>
      <c r="C505" s="614"/>
      <c r="D505" s="615"/>
      <c r="E505" s="198"/>
      <c r="F505" s="198"/>
      <c r="G505" s="198"/>
      <c r="H505" s="198"/>
      <c r="I505" s="615"/>
      <c r="J505" s="614"/>
      <c r="K505" s="614"/>
      <c r="L505" s="614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hidden="1" customHeight="1">
      <c r="A506" s="613"/>
      <c r="B506" s="614"/>
      <c r="C506" s="614"/>
      <c r="D506" s="615"/>
      <c r="E506" s="198"/>
      <c r="F506" s="198"/>
      <c r="G506" s="198"/>
      <c r="H506" s="198"/>
      <c r="I506" s="615"/>
      <c r="J506" s="614"/>
      <c r="K506" s="614"/>
      <c r="L506" s="614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hidden="1" customHeight="1">
      <c r="A507" s="613"/>
      <c r="B507" s="614"/>
      <c r="C507" s="614"/>
      <c r="D507" s="615"/>
      <c r="E507" s="198"/>
      <c r="F507" s="198"/>
      <c r="G507" s="198"/>
      <c r="H507" s="198"/>
      <c r="I507" s="615"/>
      <c r="J507" s="614"/>
      <c r="K507" s="614"/>
      <c r="L507" s="614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hidden="1" customHeight="1">
      <c r="A508" s="613"/>
      <c r="B508" s="614"/>
      <c r="C508" s="614"/>
      <c r="D508" s="615"/>
      <c r="E508" s="198"/>
      <c r="F508" s="198"/>
      <c r="G508" s="198"/>
      <c r="H508" s="198"/>
      <c r="I508" s="615"/>
      <c r="J508" s="614"/>
      <c r="K508" s="614"/>
      <c r="L508" s="614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hidden="1" customHeight="1">
      <c r="A509" s="613"/>
      <c r="B509" s="614"/>
      <c r="C509" s="614"/>
      <c r="D509" s="615"/>
      <c r="E509" s="198"/>
      <c r="F509" s="198"/>
      <c r="G509" s="198"/>
      <c r="H509" s="198"/>
      <c r="I509" s="615"/>
      <c r="J509" s="614"/>
      <c r="K509" s="614"/>
      <c r="L509" s="614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hidden="1" customHeight="1">
      <c r="A510" s="613"/>
      <c r="B510" s="614"/>
      <c r="C510" s="614"/>
      <c r="D510" s="615"/>
      <c r="E510" s="198"/>
      <c r="F510" s="198"/>
      <c r="G510" s="198"/>
      <c r="H510" s="198"/>
      <c r="I510" s="615"/>
      <c r="J510" s="614"/>
      <c r="K510" s="614"/>
      <c r="L510" s="614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hidden="1" customHeight="1">
      <c r="A511" s="613"/>
      <c r="B511" s="614"/>
      <c r="C511" s="614"/>
      <c r="D511" s="615"/>
      <c r="E511" s="198"/>
      <c r="F511" s="198"/>
      <c r="G511" s="198"/>
      <c r="H511" s="198"/>
      <c r="I511" s="615"/>
      <c r="J511" s="614"/>
      <c r="K511" s="614"/>
      <c r="L511" s="614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hidden="1" customHeight="1">
      <c r="A512" s="613"/>
      <c r="B512" s="614"/>
      <c r="C512" s="614"/>
      <c r="D512" s="615"/>
      <c r="E512" s="198"/>
      <c r="F512" s="198"/>
      <c r="G512" s="198"/>
      <c r="H512" s="198"/>
      <c r="I512" s="615"/>
      <c r="J512" s="614"/>
      <c r="K512" s="614"/>
      <c r="L512" s="614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hidden="1" customHeight="1">
      <c r="A513" s="613"/>
      <c r="B513" s="614"/>
      <c r="C513" s="614"/>
      <c r="D513" s="615"/>
      <c r="E513" s="198"/>
      <c r="F513" s="198"/>
      <c r="G513" s="198"/>
      <c r="H513" s="198"/>
      <c r="I513" s="615"/>
      <c r="J513" s="614"/>
      <c r="K513" s="614"/>
      <c r="L513" s="614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hidden="1" customHeight="1">
      <c r="A514" s="613"/>
      <c r="B514" s="614"/>
      <c r="C514" s="614"/>
      <c r="D514" s="615"/>
      <c r="E514" s="198"/>
      <c r="F514" s="198"/>
      <c r="G514" s="198"/>
      <c r="H514" s="198"/>
      <c r="I514" s="615"/>
      <c r="J514" s="614"/>
      <c r="K514" s="614"/>
      <c r="L514" s="614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hidden="1" customHeight="1">
      <c r="A515" s="613"/>
      <c r="B515" s="614"/>
      <c r="C515" s="614"/>
      <c r="D515" s="615"/>
      <c r="E515" s="198"/>
      <c r="F515" s="198"/>
      <c r="G515" s="198"/>
      <c r="H515" s="198"/>
      <c r="I515" s="615"/>
      <c r="J515" s="614"/>
      <c r="K515" s="614"/>
      <c r="L515" s="614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hidden="1" customHeight="1">
      <c r="A516" s="613"/>
      <c r="B516" s="614"/>
      <c r="C516" s="614"/>
      <c r="D516" s="615"/>
      <c r="E516" s="198"/>
      <c r="F516" s="198"/>
      <c r="G516" s="198"/>
      <c r="H516" s="198"/>
      <c r="I516" s="615"/>
      <c r="J516" s="614"/>
      <c r="K516" s="614"/>
      <c r="L516" s="614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hidden="1" customHeight="1">
      <c r="A517" s="613"/>
      <c r="B517" s="614"/>
      <c r="C517" s="614"/>
      <c r="D517" s="615"/>
      <c r="E517" s="198"/>
      <c r="F517" s="198"/>
      <c r="G517" s="198"/>
      <c r="H517" s="198"/>
      <c r="I517" s="615"/>
      <c r="J517" s="614"/>
      <c r="K517" s="614"/>
      <c r="L517" s="614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hidden="1" customHeight="1">
      <c r="A518" s="613"/>
      <c r="B518" s="614"/>
      <c r="C518" s="614"/>
      <c r="D518" s="615"/>
      <c r="E518" s="198"/>
      <c r="F518" s="198"/>
      <c r="G518" s="198"/>
      <c r="H518" s="198"/>
      <c r="I518" s="615"/>
      <c r="J518" s="614"/>
      <c r="K518" s="614"/>
      <c r="L518" s="614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hidden="1" customHeight="1">
      <c r="A519" s="613"/>
      <c r="B519" s="614"/>
      <c r="C519" s="614"/>
      <c r="D519" s="615"/>
      <c r="E519" s="198"/>
      <c r="F519" s="198"/>
      <c r="G519" s="198"/>
      <c r="H519" s="198"/>
      <c r="I519" s="615"/>
      <c r="J519" s="614"/>
      <c r="K519" s="614"/>
      <c r="L519" s="614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hidden="1" customHeight="1">
      <c r="A520" s="613"/>
      <c r="B520" s="614"/>
      <c r="C520" s="614"/>
      <c r="D520" s="615"/>
      <c r="E520" s="198"/>
      <c r="F520" s="198"/>
      <c r="G520" s="198"/>
      <c r="H520" s="198"/>
      <c r="I520" s="615"/>
      <c r="J520" s="614"/>
      <c r="K520" s="614"/>
      <c r="L520" s="614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hidden="1" customHeight="1">
      <c r="A521" s="613"/>
      <c r="B521" s="614"/>
      <c r="C521" s="614"/>
      <c r="D521" s="615"/>
      <c r="E521" s="198"/>
      <c r="F521" s="198"/>
      <c r="G521" s="198"/>
      <c r="H521" s="198"/>
      <c r="I521" s="615"/>
      <c r="J521" s="614"/>
      <c r="K521" s="614"/>
      <c r="L521" s="614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hidden="1" customHeight="1">
      <c r="A522" s="613"/>
      <c r="B522" s="614"/>
      <c r="C522" s="614"/>
      <c r="D522" s="615"/>
      <c r="E522" s="198"/>
      <c r="F522" s="198"/>
      <c r="G522" s="198"/>
      <c r="H522" s="198"/>
      <c r="I522" s="615"/>
      <c r="J522" s="614"/>
      <c r="K522" s="614"/>
      <c r="L522" s="614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hidden="1" customHeight="1">
      <c r="A523" s="613"/>
      <c r="B523" s="614"/>
      <c r="C523" s="614"/>
      <c r="D523" s="615"/>
      <c r="E523" s="198"/>
      <c r="F523" s="198"/>
      <c r="G523" s="198"/>
      <c r="H523" s="198"/>
      <c r="I523" s="615"/>
      <c r="J523" s="614"/>
      <c r="K523" s="614"/>
      <c r="L523" s="614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hidden="1" customHeight="1">
      <c r="A524" s="613"/>
      <c r="B524" s="614"/>
      <c r="C524" s="614"/>
      <c r="D524" s="615"/>
      <c r="E524" s="198"/>
      <c r="F524" s="198"/>
      <c r="G524" s="198"/>
      <c r="H524" s="198"/>
      <c r="I524" s="615"/>
      <c r="J524" s="614"/>
      <c r="K524" s="614"/>
      <c r="L524" s="614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hidden="1" customHeight="1">
      <c r="A525" s="613"/>
      <c r="B525" s="614"/>
      <c r="C525" s="614"/>
      <c r="D525" s="615"/>
      <c r="E525" s="198"/>
      <c r="F525" s="198"/>
      <c r="G525" s="198"/>
      <c r="H525" s="198"/>
      <c r="I525" s="615"/>
      <c r="J525" s="614"/>
      <c r="K525" s="614"/>
      <c r="L525" s="614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hidden="1" customHeight="1">
      <c r="A526" s="613"/>
      <c r="B526" s="614"/>
      <c r="C526" s="614"/>
      <c r="D526" s="615"/>
      <c r="E526" s="198"/>
      <c r="F526" s="198"/>
      <c r="G526" s="198"/>
      <c r="H526" s="198"/>
      <c r="I526" s="615"/>
      <c r="J526" s="614"/>
      <c r="K526" s="614"/>
      <c r="L526" s="614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hidden="1" customHeight="1">
      <c r="A527" s="613"/>
      <c r="B527" s="614"/>
      <c r="C527" s="614"/>
      <c r="D527" s="615"/>
      <c r="E527" s="198"/>
      <c r="F527" s="198"/>
      <c r="G527" s="198"/>
      <c r="H527" s="198"/>
      <c r="I527" s="615"/>
      <c r="J527" s="614"/>
      <c r="K527" s="614"/>
      <c r="L527" s="614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hidden="1" customHeight="1">
      <c r="A528" s="613"/>
      <c r="B528" s="614"/>
      <c r="C528" s="614"/>
      <c r="D528" s="615"/>
      <c r="E528" s="198"/>
      <c r="F528" s="198"/>
      <c r="G528" s="198"/>
      <c r="H528" s="198"/>
      <c r="I528" s="615"/>
      <c r="J528" s="614"/>
      <c r="K528" s="614"/>
      <c r="L528" s="614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hidden="1" customHeight="1">
      <c r="A529" s="613"/>
      <c r="B529" s="614"/>
      <c r="C529" s="614"/>
      <c r="D529" s="615"/>
      <c r="E529" s="198"/>
      <c r="F529" s="198"/>
      <c r="G529" s="198"/>
      <c r="H529" s="198"/>
      <c r="I529" s="615"/>
      <c r="J529" s="614"/>
      <c r="K529" s="614"/>
      <c r="L529" s="614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hidden="1" customHeight="1">
      <c r="A530" s="613"/>
      <c r="B530" s="614"/>
      <c r="C530" s="614"/>
      <c r="D530" s="615"/>
      <c r="E530" s="198"/>
      <c r="F530" s="198"/>
      <c r="G530" s="198"/>
      <c r="H530" s="198"/>
      <c r="I530" s="615"/>
      <c r="J530" s="614"/>
      <c r="K530" s="614"/>
      <c r="L530" s="614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hidden="1" customHeight="1">
      <c r="A531" s="613"/>
      <c r="B531" s="614"/>
      <c r="C531" s="614"/>
      <c r="D531" s="615"/>
      <c r="E531" s="198"/>
      <c r="F531" s="198"/>
      <c r="G531" s="198"/>
      <c r="H531" s="198"/>
      <c r="I531" s="615"/>
      <c r="J531" s="614"/>
      <c r="K531" s="614"/>
      <c r="L531" s="614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hidden="1" customHeight="1">
      <c r="A532" s="613"/>
      <c r="B532" s="614"/>
      <c r="C532" s="614"/>
      <c r="D532" s="615"/>
      <c r="E532" s="198"/>
      <c r="F532" s="198"/>
      <c r="G532" s="198"/>
      <c r="H532" s="198"/>
      <c r="I532" s="615"/>
      <c r="J532" s="614"/>
      <c r="K532" s="614"/>
      <c r="L532" s="614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hidden="1" customHeight="1">
      <c r="A533" s="613"/>
      <c r="B533" s="614"/>
      <c r="C533" s="614"/>
      <c r="D533" s="615"/>
      <c r="E533" s="198"/>
      <c r="F533" s="198"/>
      <c r="G533" s="198"/>
      <c r="H533" s="198"/>
      <c r="I533" s="615"/>
      <c r="J533" s="614"/>
      <c r="K533" s="614"/>
      <c r="L533" s="614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hidden="1" customHeight="1">
      <c r="A534" s="613"/>
      <c r="B534" s="614"/>
      <c r="C534" s="614"/>
      <c r="D534" s="615"/>
      <c r="E534" s="198"/>
      <c r="F534" s="198"/>
      <c r="G534" s="198"/>
      <c r="H534" s="198"/>
      <c r="I534" s="615"/>
      <c r="J534" s="614"/>
      <c r="K534" s="614"/>
      <c r="L534" s="614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hidden="1" customHeight="1">
      <c r="A535" s="613"/>
      <c r="B535" s="614"/>
      <c r="C535" s="614"/>
      <c r="D535" s="615"/>
      <c r="E535" s="198"/>
      <c r="F535" s="198"/>
      <c r="G535" s="198"/>
      <c r="H535" s="198"/>
      <c r="I535" s="615"/>
      <c r="J535" s="614"/>
      <c r="K535" s="614"/>
      <c r="L535" s="614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hidden="1" customHeight="1">
      <c r="A536" s="613"/>
      <c r="B536" s="614"/>
      <c r="C536" s="614"/>
      <c r="D536" s="615"/>
      <c r="E536" s="198"/>
      <c r="F536" s="198"/>
      <c r="G536" s="198"/>
      <c r="H536" s="198"/>
      <c r="I536" s="615"/>
      <c r="J536" s="614"/>
      <c r="K536" s="614"/>
      <c r="L536" s="614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hidden="1" customHeight="1">
      <c r="A537" s="613"/>
      <c r="B537" s="614"/>
      <c r="C537" s="614"/>
      <c r="D537" s="615"/>
      <c r="E537" s="198"/>
      <c r="F537" s="198"/>
      <c r="G537" s="198"/>
      <c r="H537" s="198"/>
      <c r="I537" s="615"/>
      <c r="J537" s="614"/>
      <c r="K537" s="614"/>
      <c r="L537" s="614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hidden="1" customHeight="1">
      <c r="A538" s="613"/>
      <c r="B538" s="614"/>
      <c r="C538" s="614"/>
      <c r="D538" s="615"/>
      <c r="E538" s="198"/>
      <c r="F538" s="198"/>
      <c r="G538" s="198"/>
      <c r="H538" s="198"/>
      <c r="I538" s="615"/>
      <c r="J538" s="614"/>
      <c r="K538" s="614"/>
      <c r="L538" s="614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hidden="1" customHeight="1">
      <c r="A539" s="613"/>
      <c r="B539" s="614"/>
      <c r="C539" s="614"/>
      <c r="D539" s="615"/>
      <c r="E539" s="198"/>
      <c r="F539" s="198"/>
      <c r="G539" s="198"/>
      <c r="H539" s="198"/>
      <c r="I539" s="615"/>
      <c r="J539" s="614"/>
      <c r="K539" s="614"/>
      <c r="L539" s="614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hidden="1" customHeight="1">
      <c r="A540" s="613"/>
      <c r="B540" s="614"/>
      <c r="C540" s="614"/>
      <c r="D540" s="615"/>
      <c r="E540" s="198"/>
      <c r="F540" s="198"/>
      <c r="G540" s="198"/>
      <c r="H540" s="198"/>
      <c r="I540" s="615"/>
      <c r="J540" s="614"/>
      <c r="K540" s="614"/>
      <c r="L540" s="614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hidden="1" customHeight="1">
      <c r="A541" s="613"/>
      <c r="B541" s="614"/>
      <c r="C541" s="614"/>
      <c r="D541" s="615"/>
      <c r="E541" s="198"/>
      <c r="F541" s="198"/>
      <c r="G541" s="198"/>
      <c r="H541" s="198"/>
      <c r="I541" s="615"/>
      <c r="J541" s="614"/>
      <c r="K541" s="614"/>
      <c r="L541" s="614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hidden="1" customHeight="1">
      <c r="A542" s="613"/>
      <c r="B542" s="614"/>
      <c r="C542" s="614"/>
      <c r="D542" s="615"/>
      <c r="E542" s="198"/>
      <c r="F542" s="198"/>
      <c r="G542" s="198"/>
      <c r="H542" s="198"/>
      <c r="I542" s="615"/>
      <c r="J542" s="614"/>
      <c r="K542" s="614"/>
      <c r="L542" s="614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hidden="1" customHeight="1">
      <c r="A543" s="613"/>
      <c r="B543" s="614"/>
      <c r="C543" s="614"/>
      <c r="D543" s="615"/>
      <c r="E543" s="198"/>
      <c r="F543" s="198"/>
      <c r="G543" s="198"/>
      <c r="H543" s="198"/>
      <c r="I543" s="615"/>
      <c r="J543" s="614"/>
      <c r="K543" s="614"/>
      <c r="L543" s="614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hidden="1" customHeight="1">
      <c r="A544" s="613"/>
      <c r="B544" s="614"/>
      <c r="C544" s="614"/>
      <c r="D544" s="615"/>
      <c r="E544" s="198"/>
      <c r="F544" s="198"/>
      <c r="G544" s="198"/>
      <c r="H544" s="198"/>
      <c r="I544" s="615"/>
      <c r="J544" s="614"/>
      <c r="K544" s="614"/>
      <c r="L544" s="614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hidden="1" customHeight="1">
      <c r="A545" s="613"/>
      <c r="B545" s="614"/>
      <c r="C545" s="614"/>
      <c r="D545" s="615"/>
      <c r="E545" s="198"/>
      <c r="F545" s="198"/>
      <c r="G545" s="198"/>
      <c r="H545" s="198"/>
      <c r="I545" s="615"/>
      <c r="J545" s="614"/>
      <c r="K545" s="614"/>
      <c r="L545" s="614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hidden="1" customHeight="1">
      <c r="A546" s="613"/>
      <c r="B546" s="614"/>
      <c r="C546" s="614"/>
      <c r="D546" s="615"/>
      <c r="E546" s="198"/>
      <c r="F546" s="198"/>
      <c r="G546" s="198"/>
      <c r="H546" s="198"/>
      <c r="I546" s="615"/>
      <c r="J546" s="614"/>
      <c r="K546" s="614"/>
      <c r="L546" s="614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hidden="1" customHeight="1">
      <c r="A547" s="613"/>
      <c r="B547" s="614"/>
      <c r="C547" s="614"/>
      <c r="D547" s="615"/>
      <c r="E547" s="198"/>
      <c r="F547" s="198"/>
      <c r="G547" s="198"/>
      <c r="H547" s="198"/>
      <c r="I547" s="615"/>
      <c r="J547" s="614"/>
      <c r="K547" s="614"/>
      <c r="L547" s="614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hidden="1" customHeight="1">
      <c r="A548" s="613"/>
      <c r="B548" s="614"/>
      <c r="C548" s="614"/>
      <c r="D548" s="615"/>
      <c r="E548" s="198"/>
      <c r="F548" s="198"/>
      <c r="G548" s="198"/>
      <c r="H548" s="198"/>
      <c r="I548" s="615"/>
      <c r="J548" s="614"/>
      <c r="K548" s="614"/>
      <c r="L548" s="614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hidden="1" customHeight="1">
      <c r="A549" s="613"/>
      <c r="B549" s="614"/>
      <c r="C549" s="614"/>
      <c r="D549" s="615"/>
      <c r="E549" s="198"/>
      <c r="F549" s="198"/>
      <c r="G549" s="198"/>
      <c r="H549" s="198"/>
      <c r="I549" s="615"/>
      <c r="J549" s="614"/>
      <c r="K549" s="614"/>
      <c r="L549" s="614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hidden="1" customHeight="1">
      <c r="A550" s="613"/>
      <c r="B550" s="614"/>
      <c r="C550" s="614"/>
      <c r="D550" s="615"/>
      <c r="E550" s="198"/>
      <c r="F550" s="198"/>
      <c r="G550" s="198"/>
      <c r="H550" s="198"/>
      <c r="I550" s="615"/>
      <c r="J550" s="614"/>
      <c r="K550" s="614"/>
      <c r="L550" s="614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hidden="1" customHeight="1">
      <c r="A551" s="613"/>
      <c r="B551" s="614"/>
      <c r="C551" s="614"/>
      <c r="D551" s="615"/>
      <c r="E551" s="198"/>
      <c r="F551" s="198"/>
      <c r="G551" s="198"/>
      <c r="H551" s="198"/>
      <c r="I551" s="615"/>
      <c r="J551" s="614"/>
      <c r="K551" s="614"/>
      <c r="L551" s="614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hidden="1" customHeight="1">
      <c r="A552" s="613"/>
      <c r="B552" s="614"/>
      <c r="C552" s="614"/>
      <c r="D552" s="615"/>
      <c r="E552" s="198"/>
      <c r="F552" s="198"/>
      <c r="G552" s="198"/>
      <c r="H552" s="198"/>
      <c r="I552" s="615"/>
      <c r="J552" s="614"/>
      <c r="K552" s="614"/>
      <c r="L552" s="614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hidden="1" customHeight="1">
      <c r="A553" s="613"/>
      <c r="B553" s="614"/>
      <c r="C553" s="614"/>
      <c r="D553" s="615"/>
      <c r="E553" s="198"/>
      <c r="F553" s="198"/>
      <c r="G553" s="198"/>
      <c r="H553" s="198"/>
      <c r="I553" s="615"/>
      <c r="J553" s="614"/>
      <c r="K553" s="614"/>
      <c r="L553" s="614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hidden="1" customHeight="1">
      <c r="A554" s="613"/>
      <c r="B554" s="614"/>
      <c r="C554" s="614"/>
      <c r="D554" s="615"/>
      <c r="E554" s="198"/>
      <c r="F554" s="198"/>
      <c r="G554" s="198"/>
      <c r="H554" s="198"/>
      <c r="I554" s="615"/>
      <c r="J554" s="614"/>
      <c r="K554" s="614"/>
      <c r="L554" s="614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hidden="1" customHeight="1">
      <c r="A555" s="613"/>
      <c r="B555" s="614"/>
      <c r="C555" s="614"/>
      <c r="D555" s="615"/>
      <c r="E555" s="198"/>
      <c r="F555" s="198"/>
      <c r="G555" s="198"/>
      <c r="H555" s="198"/>
      <c r="I555" s="615"/>
      <c r="J555" s="614"/>
      <c r="K555" s="614"/>
      <c r="L555" s="614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hidden="1" customHeight="1">
      <c r="A556" s="613"/>
      <c r="B556" s="614"/>
      <c r="C556" s="614"/>
      <c r="D556" s="615"/>
      <c r="E556" s="198"/>
      <c r="F556" s="198"/>
      <c r="G556" s="198"/>
      <c r="H556" s="198"/>
      <c r="I556" s="615"/>
      <c r="J556" s="614"/>
      <c r="K556" s="614"/>
      <c r="L556" s="614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hidden="1" customHeight="1">
      <c r="A557" s="613"/>
      <c r="B557" s="614"/>
      <c r="C557" s="614"/>
      <c r="D557" s="615"/>
      <c r="E557" s="198"/>
      <c r="F557" s="198"/>
      <c r="G557" s="198"/>
      <c r="H557" s="198"/>
      <c r="I557" s="615"/>
      <c r="J557" s="614"/>
      <c r="K557" s="614"/>
      <c r="L557" s="614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hidden="1" customHeight="1">
      <c r="A558" s="613"/>
      <c r="B558" s="614"/>
      <c r="C558" s="614"/>
      <c r="D558" s="615"/>
      <c r="E558" s="198"/>
      <c r="F558" s="198"/>
      <c r="G558" s="198"/>
      <c r="H558" s="198"/>
      <c r="I558" s="615"/>
      <c r="J558" s="614"/>
      <c r="K558" s="614"/>
      <c r="L558" s="614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hidden="1" customHeight="1">
      <c r="A559" s="613"/>
      <c r="B559" s="614"/>
      <c r="C559" s="614"/>
      <c r="D559" s="615"/>
      <c r="E559" s="198"/>
      <c r="F559" s="198"/>
      <c r="G559" s="198"/>
      <c r="H559" s="198"/>
      <c r="I559" s="615"/>
      <c r="J559" s="614"/>
      <c r="K559" s="614"/>
      <c r="L559" s="614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hidden="1" customHeight="1">
      <c r="A560" s="613"/>
      <c r="B560" s="614"/>
      <c r="C560" s="614"/>
      <c r="D560" s="615"/>
      <c r="E560" s="198"/>
      <c r="F560" s="198"/>
      <c r="G560" s="198"/>
      <c r="H560" s="198"/>
      <c r="I560" s="615"/>
      <c r="J560" s="614"/>
      <c r="K560" s="614"/>
      <c r="L560" s="614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hidden="1" customHeight="1">
      <c r="A561" s="613"/>
      <c r="B561" s="614"/>
      <c r="C561" s="614"/>
      <c r="D561" s="615"/>
      <c r="E561" s="198"/>
      <c r="F561" s="198"/>
      <c r="G561" s="198"/>
      <c r="H561" s="198"/>
      <c r="I561" s="615"/>
      <c r="J561" s="614"/>
      <c r="K561" s="614"/>
      <c r="L561" s="614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hidden="1" customHeight="1">
      <c r="A562" s="613"/>
      <c r="B562" s="614"/>
      <c r="C562" s="614"/>
      <c r="D562" s="615"/>
      <c r="E562" s="198"/>
      <c r="F562" s="198"/>
      <c r="G562" s="198"/>
      <c r="H562" s="198"/>
      <c r="I562" s="615"/>
      <c r="J562" s="614"/>
      <c r="K562" s="614"/>
      <c r="L562" s="614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hidden="1" customHeight="1">
      <c r="A563" s="613"/>
      <c r="B563" s="614"/>
      <c r="C563" s="614"/>
      <c r="D563" s="615"/>
      <c r="E563" s="198"/>
      <c r="F563" s="198"/>
      <c r="G563" s="198"/>
      <c r="H563" s="198"/>
      <c r="I563" s="615"/>
      <c r="J563" s="614"/>
      <c r="K563" s="614"/>
      <c r="L563" s="614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hidden="1" customHeight="1">
      <c r="A564" s="613"/>
      <c r="B564" s="614"/>
      <c r="C564" s="614"/>
      <c r="D564" s="615"/>
      <c r="E564" s="198"/>
      <c r="F564" s="198"/>
      <c r="G564" s="198"/>
      <c r="H564" s="198"/>
      <c r="I564" s="615"/>
      <c r="J564" s="614"/>
      <c r="K564" s="614"/>
      <c r="L564" s="614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hidden="1" customHeight="1">
      <c r="A565" s="613"/>
      <c r="B565" s="614"/>
      <c r="C565" s="614"/>
      <c r="D565" s="615"/>
      <c r="E565" s="198"/>
      <c r="F565" s="198"/>
      <c r="G565" s="198"/>
      <c r="H565" s="198"/>
      <c r="I565" s="615"/>
      <c r="J565" s="614"/>
      <c r="K565" s="614"/>
      <c r="L565" s="614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hidden="1" customHeight="1">
      <c r="A566" s="613"/>
      <c r="B566" s="614"/>
      <c r="C566" s="614"/>
      <c r="D566" s="615"/>
      <c r="E566" s="198"/>
      <c r="F566" s="198"/>
      <c r="G566" s="198"/>
      <c r="H566" s="198"/>
      <c r="I566" s="615"/>
      <c r="J566" s="614"/>
      <c r="K566" s="614"/>
      <c r="L566" s="614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hidden="1" customHeight="1">
      <c r="A567" s="613"/>
      <c r="B567" s="614"/>
      <c r="C567" s="614"/>
      <c r="D567" s="615"/>
      <c r="E567" s="198"/>
      <c r="F567" s="198"/>
      <c r="G567" s="198"/>
      <c r="H567" s="198"/>
      <c r="I567" s="615"/>
      <c r="J567" s="614"/>
      <c r="K567" s="614"/>
      <c r="L567" s="614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hidden="1" customHeight="1">
      <c r="A568" s="613"/>
      <c r="B568" s="614"/>
      <c r="C568" s="614"/>
      <c r="D568" s="615"/>
      <c r="E568" s="198"/>
      <c r="F568" s="198"/>
      <c r="G568" s="198"/>
      <c r="H568" s="198"/>
      <c r="I568" s="615"/>
      <c r="J568" s="614"/>
      <c r="K568" s="614"/>
      <c r="L568" s="614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hidden="1" customHeight="1">
      <c r="A569" s="613"/>
      <c r="B569" s="614"/>
      <c r="C569" s="614"/>
      <c r="D569" s="615"/>
      <c r="E569" s="198"/>
      <c r="F569" s="198"/>
      <c r="G569" s="198"/>
      <c r="H569" s="198"/>
      <c r="I569" s="615"/>
      <c r="J569" s="614"/>
      <c r="K569" s="614"/>
      <c r="L569" s="614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hidden="1" customHeight="1">
      <c r="A570" s="613"/>
      <c r="B570" s="614"/>
      <c r="C570" s="614"/>
      <c r="D570" s="615"/>
      <c r="E570" s="198"/>
      <c r="F570" s="198"/>
      <c r="G570" s="198"/>
      <c r="H570" s="198"/>
      <c r="I570" s="615"/>
      <c r="J570" s="614"/>
      <c r="K570" s="614"/>
      <c r="L570" s="614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hidden="1" customHeight="1">
      <c r="A571" s="613"/>
      <c r="B571" s="614"/>
      <c r="C571" s="614"/>
      <c r="D571" s="615"/>
      <c r="E571" s="198"/>
      <c r="F571" s="198"/>
      <c r="G571" s="198"/>
      <c r="H571" s="198"/>
      <c r="I571" s="615"/>
      <c r="J571" s="614"/>
      <c r="K571" s="614"/>
      <c r="L571" s="614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hidden="1" customHeight="1">
      <c r="A572" s="613"/>
      <c r="B572" s="614"/>
      <c r="C572" s="614"/>
      <c r="D572" s="615"/>
      <c r="E572" s="198"/>
      <c r="F572" s="198"/>
      <c r="G572" s="198"/>
      <c r="H572" s="198"/>
      <c r="I572" s="615"/>
      <c r="J572" s="614"/>
      <c r="K572" s="614"/>
      <c r="L572" s="614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hidden="1" customHeight="1">
      <c r="A573" s="613"/>
      <c r="B573" s="614"/>
      <c r="C573" s="614"/>
      <c r="D573" s="615"/>
      <c r="E573" s="198"/>
      <c r="F573" s="198"/>
      <c r="G573" s="198"/>
      <c r="H573" s="198"/>
      <c r="I573" s="615"/>
      <c r="J573" s="614"/>
      <c r="K573" s="614"/>
      <c r="L573" s="614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hidden="1" customHeight="1">
      <c r="A574" s="613"/>
      <c r="B574" s="614"/>
      <c r="C574" s="614"/>
      <c r="D574" s="615"/>
      <c r="E574" s="198"/>
      <c r="F574" s="198"/>
      <c r="G574" s="198"/>
      <c r="H574" s="198"/>
      <c r="I574" s="615"/>
      <c r="J574" s="614"/>
      <c r="K574" s="614"/>
      <c r="L574" s="614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hidden="1" customHeight="1">
      <c r="A575" s="613"/>
      <c r="B575" s="614"/>
      <c r="C575" s="614"/>
      <c r="D575" s="615"/>
      <c r="E575" s="198"/>
      <c r="F575" s="198"/>
      <c r="G575" s="198"/>
      <c r="H575" s="198"/>
      <c r="I575" s="615"/>
      <c r="J575" s="614"/>
      <c r="K575" s="614"/>
      <c r="L575" s="614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hidden="1" customHeight="1">
      <c r="A576" s="613"/>
      <c r="B576" s="614"/>
      <c r="C576" s="614"/>
      <c r="D576" s="615"/>
      <c r="E576" s="198"/>
      <c r="F576" s="198"/>
      <c r="G576" s="198"/>
      <c r="H576" s="198"/>
      <c r="I576" s="615"/>
      <c r="J576" s="614"/>
      <c r="K576" s="614"/>
      <c r="L576" s="614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hidden="1" customHeight="1">
      <c r="A577" s="613"/>
      <c r="B577" s="614"/>
      <c r="C577" s="614"/>
      <c r="D577" s="615"/>
      <c r="E577" s="198"/>
      <c r="F577" s="198"/>
      <c r="G577" s="198"/>
      <c r="H577" s="198"/>
      <c r="I577" s="615"/>
      <c r="J577" s="614"/>
      <c r="K577" s="614"/>
      <c r="L577" s="614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hidden="1" customHeight="1">
      <c r="A578" s="613"/>
      <c r="B578" s="614"/>
      <c r="C578" s="614"/>
      <c r="D578" s="615"/>
      <c r="E578" s="198"/>
      <c r="F578" s="198"/>
      <c r="G578" s="198"/>
      <c r="H578" s="198"/>
      <c r="I578" s="615"/>
      <c r="J578" s="614"/>
      <c r="K578" s="614"/>
      <c r="L578" s="614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hidden="1" customHeight="1">
      <c r="A579" s="613"/>
      <c r="B579" s="614"/>
      <c r="C579" s="614"/>
      <c r="D579" s="615"/>
      <c r="E579" s="198"/>
      <c r="F579" s="198"/>
      <c r="G579" s="198"/>
      <c r="H579" s="198"/>
      <c r="I579" s="615"/>
      <c r="J579" s="614"/>
      <c r="K579" s="614"/>
      <c r="L579" s="614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hidden="1" customHeight="1">
      <c r="A580" s="613"/>
      <c r="B580" s="614"/>
      <c r="C580" s="614"/>
      <c r="D580" s="615"/>
      <c r="E580" s="198"/>
      <c r="F580" s="198"/>
      <c r="G580" s="198"/>
      <c r="H580" s="198"/>
      <c r="I580" s="615"/>
      <c r="J580" s="614"/>
      <c r="K580" s="614"/>
      <c r="L580" s="614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hidden="1" customHeight="1">
      <c r="A581" s="613"/>
      <c r="B581" s="614"/>
      <c r="C581" s="614"/>
      <c r="D581" s="615"/>
      <c r="E581" s="198"/>
      <c r="F581" s="198"/>
      <c r="G581" s="198"/>
      <c r="H581" s="198"/>
      <c r="I581" s="615"/>
      <c r="J581" s="614"/>
      <c r="K581" s="614"/>
      <c r="L581" s="614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hidden="1" customHeight="1">
      <c r="A582" s="613"/>
      <c r="B582" s="614"/>
      <c r="C582" s="614"/>
      <c r="D582" s="615"/>
      <c r="E582" s="198"/>
      <c r="F582" s="198"/>
      <c r="G582" s="198"/>
      <c r="H582" s="198"/>
      <c r="I582" s="615"/>
      <c r="J582" s="614"/>
      <c r="K582" s="614"/>
      <c r="L582" s="614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hidden="1" customHeight="1">
      <c r="A583" s="613"/>
      <c r="B583" s="614"/>
      <c r="C583" s="614"/>
      <c r="D583" s="615"/>
      <c r="E583" s="198"/>
      <c r="F583" s="198"/>
      <c r="G583" s="198"/>
      <c r="H583" s="198"/>
      <c r="I583" s="615"/>
      <c r="J583" s="614"/>
      <c r="K583" s="614"/>
      <c r="L583" s="614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hidden="1" customHeight="1">
      <c r="A584" s="613"/>
      <c r="B584" s="614"/>
      <c r="C584" s="614"/>
      <c r="D584" s="615"/>
      <c r="E584" s="198"/>
      <c r="F584" s="198"/>
      <c r="G584" s="198"/>
      <c r="H584" s="198"/>
      <c r="I584" s="615"/>
      <c r="J584" s="614"/>
      <c r="K584" s="614"/>
      <c r="L584" s="614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hidden="1" customHeight="1">
      <c r="A585" s="613"/>
      <c r="B585" s="614"/>
      <c r="C585" s="614"/>
      <c r="D585" s="615"/>
      <c r="E585" s="198"/>
      <c r="F585" s="198"/>
      <c r="G585" s="198"/>
      <c r="H585" s="198"/>
      <c r="I585" s="615"/>
      <c r="J585" s="614"/>
      <c r="K585" s="614"/>
      <c r="L585" s="614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hidden="1" customHeight="1">
      <c r="A586" s="613"/>
      <c r="B586" s="614"/>
      <c r="C586" s="614"/>
      <c r="D586" s="615"/>
      <c r="E586" s="198"/>
      <c r="F586" s="198"/>
      <c r="G586" s="198"/>
      <c r="H586" s="198"/>
      <c r="I586" s="615"/>
      <c r="J586" s="614"/>
      <c r="K586" s="614"/>
      <c r="L586" s="614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hidden="1" customHeight="1">
      <c r="A587" s="613"/>
      <c r="B587" s="614"/>
      <c r="C587" s="614"/>
      <c r="D587" s="615"/>
      <c r="E587" s="198"/>
      <c r="F587" s="198"/>
      <c r="G587" s="198"/>
      <c r="H587" s="198"/>
      <c r="I587" s="615"/>
      <c r="J587" s="614"/>
      <c r="K587" s="614"/>
      <c r="L587" s="614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hidden="1" customHeight="1">
      <c r="A588" s="613"/>
      <c r="B588" s="614"/>
      <c r="C588" s="614"/>
      <c r="D588" s="615"/>
      <c r="E588" s="198"/>
      <c r="F588" s="198"/>
      <c r="G588" s="198"/>
      <c r="H588" s="198"/>
      <c r="I588" s="615"/>
      <c r="J588" s="614"/>
      <c r="K588" s="614"/>
      <c r="L588" s="614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hidden="1" customHeight="1">
      <c r="A589" s="613"/>
      <c r="B589" s="614"/>
      <c r="C589" s="614"/>
      <c r="D589" s="615"/>
      <c r="E589" s="198"/>
      <c r="F589" s="198"/>
      <c r="G589" s="198"/>
      <c r="H589" s="198"/>
      <c r="I589" s="615"/>
      <c r="J589" s="614"/>
      <c r="K589" s="614"/>
      <c r="L589" s="614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hidden="1" customHeight="1">
      <c r="A590" s="613"/>
      <c r="B590" s="614"/>
      <c r="C590" s="614"/>
      <c r="D590" s="615"/>
      <c r="E590" s="198"/>
      <c r="F590" s="198"/>
      <c r="G590" s="198"/>
      <c r="H590" s="198"/>
      <c r="I590" s="615"/>
      <c r="J590" s="614"/>
      <c r="K590" s="614"/>
      <c r="L590" s="614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hidden="1" customHeight="1">
      <c r="A591" s="613"/>
      <c r="B591" s="614"/>
      <c r="C591" s="614"/>
      <c r="D591" s="615"/>
      <c r="E591" s="198"/>
      <c r="F591" s="198"/>
      <c r="G591" s="198"/>
      <c r="H591" s="198"/>
      <c r="I591" s="615"/>
      <c r="J591" s="614"/>
      <c r="K591" s="614"/>
      <c r="L591" s="614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hidden="1" customHeight="1">
      <c r="A592" s="613"/>
      <c r="B592" s="614"/>
      <c r="C592" s="614"/>
      <c r="D592" s="615"/>
      <c r="E592" s="198"/>
      <c r="F592" s="198"/>
      <c r="G592" s="198"/>
      <c r="H592" s="198"/>
      <c r="I592" s="615"/>
      <c r="J592" s="614"/>
      <c r="K592" s="614"/>
      <c r="L592" s="614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hidden="1" customHeight="1">
      <c r="A593" s="613"/>
      <c r="B593" s="614"/>
      <c r="C593" s="614"/>
      <c r="D593" s="615"/>
      <c r="E593" s="198"/>
      <c r="F593" s="198"/>
      <c r="G593" s="198"/>
      <c r="H593" s="198"/>
      <c r="I593" s="615"/>
      <c r="J593" s="614"/>
      <c r="K593" s="614"/>
      <c r="L593" s="614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hidden="1" customHeight="1">
      <c r="A594" s="613"/>
      <c r="B594" s="614"/>
      <c r="C594" s="614"/>
      <c r="D594" s="615"/>
      <c r="E594" s="198"/>
      <c r="F594" s="198"/>
      <c r="G594" s="198"/>
      <c r="H594" s="198"/>
      <c r="I594" s="615"/>
      <c r="J594" s="614"/>
      <c r="K594" s="614"/>
      <c r="L594" s="614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hidden="1" customHeight="1">
      <c r="A595" s="613"/>
      <c r="B595" s="614"/>
      <c r="C595" s="614"/>
      <c r="D595" s="615"/>
      <c r="E595" s="198"/>
      <c r="F595" s="198"/>
      <c r="G595" s="198"/>
      <c r="H595" s="198"/>
      <c r="I595" s="615"/>
      <c r="J595" s="614"/>
      <c r="K595" s="614"/>
      <c r="L595" s="614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hidden="1" customHeight="1">
      <c r="A596" s="613"/>
      <c r="B596" s="614"/>
      <c r="C596" s="614"/>
      <c r="D596" s="615"/>
      <c r="E596" s="198"/>
      <c r="F596" s="198"/>
      <c r="G596" s="198"/>
      <c r="H596" s="198"/>
      <c r="I596" s="615"/>
      <c r="J596" s="614"/>
      <c r="K596" s="614"/>
      <c r="L596" s="614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hidden="1" customHeight="1">
      <c r="A597" s="613"/>
      <c r="B597" s="614"/>
      <c r="C597" s="614"/>
      <c r="D597" s="615"/>
      <c r="E597" s="198"/>
      <c r="F597" s="198"/>
      <c r="G597" s="198"/>
      <c r="H597" s="198"/>
      <c r="I597" s="615"/>
      <c r="J597" s="614"/>
      <c r="K597" s="614"/>
      <c r="L597" s="614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hidden="1" customHeight="1">
      <c r="A598" s="613"/>
      <c r="B598" s="614"/>
      <c r="C598" s="614"/>
      <c r="D598" s="615"/>
      <c r="E598" s="198"/>
      <c r="F598" s="198"/>
      <c r="G598" s="198"/>
      <c r="H598" s="198"/>
      <c r="I598" s="615"/>
      <c r="J598" s="614"/>
      <c r="K598" s="614"/>
      <c r="L598" s="614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hidden="1" customHeight="1">
      <c r="A599" s="613"/>
      <c r="B599" s="614"/>
      <c r="C599" s="614"/>
      <c r="D599" s="615"/>
      <c r="E599" s="198"/>
      <c r="F599" s="198"/>
      <c r="G599" s="198"/>
      <c r="H599" s="198"/>
      <c r="I599" s="615"/>
      <c r="J599" s="614"/>
      <c r="K599" s="614"/>
      <c r="L599" s="614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hidden="1" customHeight="1">
      <c r="A600" s="613"/>
      <c r="B600" s="614"/>
      <c r="C600" s="614"/>
      <c r="D600" s="615"/>
      <c r="E600" s="198"/>
      <c r="F600" s="198"/>
      <c r="G600" s="198"/>
      <c r="H600" s="198"/>
      <c r="I600" s="615"/>
      <c r="J600" s="614"/>
      <c r="K600" s="614"/>
      <c r="L600" s="614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hidden="1" customHeight="1">
      <c r="A601" s="613"/>
      <c r="B601" s="614"/>
      <c r="C601" s="614"/>
      <c r="D601" s="615"/>
      <c r="E601" s="198"/>
      <c r="F601" s="198"/>
      <c r="G601" s="198"/>
      <c r="H601" s="198"/>
      <c r="I601" s="615"/>
      <c r="J601" s="614"/>
      <c r="K601" s="614"/>
      <c r="L601" s="614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hidden="1" customHeight="1">
      <c r="A602" s="613"/>
      <c r="B602" s="614"/>
      <c r="C602" s="614"/>
      <c r="D602" s="615"/>
      <c r="E602" s="198"/>
      <c r="F602" s="198"/>
      <c r="G602" s="198"/>
      <c r="H602" s="198"/>
      <c r="I602" s="615"/>
      <c r="J602" s="614"/>
      <c r="K602" s="614"/>
      <c r="L602" s="614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hidden="1" customHeight="1">
      <c r="A603" s="613"/>
      <c r="B603" s="614"/>
      <c r="C603" s="614"/>
      <c r="D603" s="615"/>
      <c r="E603" s="198"/>
      <c r="F603" s="198"/>
      <c r="G603" s="198"/>
      <c r="H603" s="198"/>
      <c r="I603" s="615"/>
      <c r="J603" s="614"/>
      <c r="K603" s="614"/>
      <c r="L603" s="614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hidden="1" customHeight="1">
      <c r="A604" s="613"/>
      <c r="B604" s="614"/>
      <c r="C604" s="614"/>
      <c r="D604" s="615"/>
      <c r="E604" s="198"/>
      <c r="F604" s="198"/>
      <c r="G604" s="198"/>
      <c r="H604" s="198"/>
      <c r="I604" s="615"/>
      <c r="J604" s="614"/>
      <c r="K604" s="614"/>
      <c r="L604" s="614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hidden="1" customHeight="1">
      <c r="A605" s="613"/>
      <c r="B605" s="614"/>
      <c r="C605" s="614"/>
      <c r="D605" s="615"/>
      <c r="E605" s="198"/>
      <c r="F605" s="198"/>
      <c r="G605" s="198"/>
      <c r="H605" s="198"/>
      <c r="I605" s="615"/>
      <c r="J605" s="614"/>
      <c r="K605" s="614"/>
      <c r="L605" s="614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hidden="1" customHeight="1">
      <c r="A606" s="613"/>
      <c r="B606" s="614"/>
      <c r="C606" s="614"/>
      <c r="D606" s="615"/>
      <c r="E606" s="198"/>
      <c r="F606" s="198"/>
      <c r="G606" s="198"/>
      <c r="H606" s="198"/>
      <c r="I606" s="615"/>
      <c r="J606" s="614"/>
      <c r="K606" s="614"/>
      <c r="L606" s="614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4"/>
      <c r="C607" s="614"/>
      <c r="D607" s="615"/>
      <c r="E607" s="198"/>
      <c r="F607" s="198"/>
      <c r="G607" s="198"/>
      <c r="H607" s="198"/>
      <c r="I607" s="615"/>
      <c r="J607" s="614"/>
      <c r="K607" s="614"/>
      <c r="L607" s="614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4"/>
      <c r="C608" s="614"/>
      <c r="D608" s="615"/>
      <c r="E608" s="198"/>
      <c r="F608" s="198"/>
      <c r="G608" s="198"/>
      <c r="H608" s="198"/>
      <c r="I608" s="615"/>
      <c r="J608" s="614"/>
      <c r="K608" s="614"/>
      <c r="L608" s="614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4"/>
      <c r="C609" s="614"/>
      <c r="D609" s="615"/>
      <c r="E609" s="198"/>
      <c r="F609" s="198"/>
      <c r="G609" s="198"/>
      <c r="H609" s="198"/>
      <c r="I609" s="615"/>
      <c r="J609" s="614"/>
      <c r="K609" s="614"/>
      <c r="L609" s="614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4"/>
      <c r="C610" s="614"/>
      <c r="D610" s="615"/>
      <c r="E610" s="198"/>
      <c r="F610" s="198"/>
      <c r="G610" s="198"/>
      <c r="H610" s="198"/>
      <c r="I610" s="615"/>
      <c r="J610" s="614"/>
      <c r="K610" s="614"/>
      <c r="L610" s="614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4"/>
      <c r="C611" s="614"/>
      <c r="D611" s="615"/>
      <c r="E611" s="198"/>
      <c r="F611" s="198"/>
      <c r="G611" s="198"/>
      <c r="H611" s="198"/>
      <c r="I611" s="615"/>
      <c r="J611" s="614"/>
      <c r="K611" s="614"/>
      <c r="L611" s="614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4"/>
      <c r="C612" s="614"/>
      <c r="D612" s="615"/>
      <c r="E612" s="198"/>
      <c r="F612" s="198"/>
      <c r="G612" s="198"/>
      <c r="H612" s="198"/>
      <c r="I612" s="615"/>
      <c r="J612" s="614"/>
      <c r="K612" s="614"/>
      <c r="L612" s="614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4"/>
      <c r="C613" s="614"/>
      <c r="D613" s="615"/>
      <c r="E613" s="198"/>
      <c r="F613" s="198"/>
      <c r="G613" s="198"/>
      <c r="H613" s="198"/>
      <c r="I613" s="615"/>
      <c r="J613" s="614"/>
      <c r="K613" s="614"/>
      <c r="L613" s="614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4"/>
      <c r="C614" s="614"/>
      <c r="D614" s="615"/>
      <c r="E614" s="198"/>
      <c r="F614" s="198"/>
      <c r="G614" s="198"/>
      <c r="H614" s="198"/>
      <c r="I614" s="615"/>
      <c r="J614" s="614"/>
      <c r="K614" s="614"/>
      <c r="L614" s="614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4"/>
      <c r="C615" s="614"/>
      <c r="D615" s="615"/>
      <c r="E615" s="198"/>
      <c r="F615" s="198"/>
      <c r="G615" s="198"/>
      <c r="H615" s="198"/>
      <c r="I615" s="615"/>
      <c r="J615" s="614"/>
      <c r="K615" s="614"/>
      <c r="L615" s="614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4"/>
      <c r="C616" s="614"/>
      <c r="D616" s="615"/>
      <c r="E616" s="198"/>
      <c r="F616" s="198"/>
      <c r="G616" s="198"/>
      <c r="H616" s="198"/>
      <c r="I616" s="615"/>
      <c r="J616" s="614"/>
      <c r="K616" s="614"/>
      <c r="L616" s="614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4"/>
      <c r="C617" s="614"/>
      <c r="D617" s="615"/>
      <c r="E617" s="198"/>
      <c r="F617" s="198"/>
      <c r="G617" s="198"/>
      <c r="H617" s="198"/>
      <c r="I617" s="615"/>
      <c r="J617" s="614"/>
      <c r="K617" s="614"/>
      <c r="L617" s="614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4"/>
      <c r="C618" s="614"/>
      <c r="D618" s="615"/>
      <c r="E618" s="198"/>
      <c r="F618" s="198"/>
      <c r="G618" s="198"/>
      <c r="H618" s="198"/>
      <c r="I618" s="615"/>
      <c r="J618" s="614"/>
      <c r="K618" s="614"/>
      <c r="L618" s="614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4"/>
      <c r="C619" s="614"/>
      <c r="D619" s="615"/>
      <c r="E619" s="198"/>
      <c r="F619" s="198"/>
      <c r="G619" s="198"/>
      <c r="H619" s="198"/>
      <c r="I619" s="615"/>
      <c r="J619" s="614"/>
      <c r="K619" s="614"/>
      <c r="L619" s="614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4"/>
      <c r="C620" s="614"/>
      <c r="D620" s="615"/>
      <c r="E620" s="198"/>
      <c r="F620" s="198"/>
      <c r="G620" s="198"/>
      <c r="H620" s="198"/>
      <c r="I620" s="615"/>
      <c r="J620" s="614"/>
      <c r="K620" s="614"/>
      <c r="L620" s="614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4"/>
      <c r="C621" s="614"/>
      <c r="D621" s="615"/>
      <c r="E621" s="198"/>
      <c r="F621" s="198"/>
      <c r="G621" s="198"/>
      <c r="H621" s="198"/>
      <c r="I621" s="615"/>
      <c r="J621" s="614"/>
      <c r="K621" s="614"/>
      <c r="L621" s="614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4"/>
      <c r="C622" s="614"/>
      <c r="D622" s="615"/>
      <c r="E622" s="198"/>
      <c r="F622" s="198"/>
      <c r="G622" s="198"/>
      <c r="H622" s="198"/>
      <c r="I622" s="615"/>
      <c r="J622" s="614"/>
      <c r="K622" s="614"/>
      <c r="L622" s="614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4"/>
      <c r="C623" s="614"/>
      <c r="D623" s="615"/>
      <c r="E623" s="198"/>
      <c r="F623" s="198"/>
      <c r="G623" s="198"/>
      <c r="H623" s="198"/>
      <c r="I623" s="615"/>
      <c r="J623" s="614"/>
      <c r="K623" s="614"/>
      <c r="L623" s="614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4"/>
      <c r="C624" s="614"/>
      <c r="D624" s="615"/>
      <c r="E624" s="198"/>
      <c r="F624" s="198"/>
      <c r="G624" s="198"/>
      <c r="H624" s="198"/>
      <c r="I624" s="615"/>
      <c r="J624" s="614"/>
      <c r="K624" s="614"/>
      <c r="L624" s="614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4"/>
      <c r="C625" s="614"/>
      <c r="D625" s="615"/>
      <c r="E625" s="198"/>
      <c r="F625" s="198"/>
      <c r="G625" s="198"/>
      <c r="H625" s="198"/>
      <c r="I625" s="615"/>
      <c r="J625" s="614"/>
      <c r="K625" s="614"/>
      <c r="L625" s="614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4"/>
      <c r="C626" s="614"/>
      <c r="D626" s="615"/>
      <c r="E626" s="198"/>
      <c r="F626" s="198"/>
      <c r="G626" s="198"/>
      <c r="H626" s="198"/>
      <c r="I626" s="615"/>
      <c r="J626" s="614"/>
      <c r="K626" s="614"/>
      <c r="L626" s="614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4"/>
      <c r="C627" s="614"/>
      <c r="D627" s="615"/>
      <c r="E627" s="198"/>
      <c r="F627" s="198"/>
      <c r="G627" s="198"/>
      <c r="H627" s="198"/>
      <c r="I627" s="615"/>
      <c r="J627" s="614"/>
      <c r="K627" s="614"/>
      <c r="L627" s="614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4"/>
      <c r="C628" s="614"/>
      <c r="D628" s="615"/>
      <c r="E628" s="198"/>
      <c r="F628" s="198"/>
      <c r="G628" s="198"/>
      <c r="H628" s="198"/>
      <c r="I628" s="615"/>
      <c r="J628" s="614"/>
      <c r="K628" s="614"/>
      <c r="L628" s="614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4"/>
      <c r="C629" s="614"/>
      <c r="D629" s="615"/>
      <c r="E629" s="198"/>
      <c r="F629" s="198"/>
      <c r="G629" s="198"/>
      <c r="H629" s="198"/>
      <c r="I629" s="615"/>
      <c r="J629" s="614"/>
      <c r="K629" s="614"/>
      <c r="L629" s="614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4"/>
      <c r="C630" s="614"/>
      <c r="D630" s="615"/>
      <c r="E630" s="198"/>
      <c r="F630" s="198"/>
      <c r="G630" s="198"/>
      <c r="H630" s="198"/>
      <c r="I630" s="615"/>
      <c r="J630" s="614"/>
      <c r="K630" s="614"/>
      <c r="L630" s="614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4"/>
      <c r="C631" s="614"/>
      <c r="D631" s="615"/>
      <c r="E631" s="198"/>
      <c r="F631" s="198"/>
      <c r="G631" s="198"/>
      <c r="H631" s="198"/>
      <c r="I631" s="615"/>
      <c r="J631" s="614"/>
      <c r="K631" s="614"/>
      <c r="L631" s="614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4"/>
      <c r="C632" s="614"/>
      <c r="D632" s="615"/>
      <c r="E632" s="198"/>
      <c r="F632" s="198"/>
      <c r="G632" s="198"/>
      <c r="H632" s="198"/>
      <c r="I632" s="615"/>
      <c r="J632" s="614"/>
      <c r="K632" s="614"/>
      <c r="L632" s="614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4"/>
      <c r="C633" s="614"/>
      <c r="D633" s="615"/>
      <c r="E633" s="198"/>
      <c r="F633" s="198"/>
      <c r="G633" s="198"/>
      <c r="H633" s="198"/>
      <c r="I633" s="615"/>
      <c r="J633" s="614"/>
      <c r="K633" s="614"/>
      <c r="L633" s="614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4"/>
      <c r="C634" s="614"/>
      <c r="D634" s="615"/>
      <c r="E634" s="198"/>
      <c r="F634" s="198"/>
      <c r="G634" s="198"/>
      <c r="H634" s="198"/>
      <c r="I634" s="615"/>
      <c r="J634" s="614"/>
      <c r="K634" s="614"/>
      <c r="L634" s="614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4"/>
      <c r="C635" s="614"/>
      <c r="D635" s="615"/>
      <c r="E635" s="198"/>
      <c r="F635" s="198"/>
      <c r="G635" s="198"/>
      <c r="H635" s="198"/>
      <c r="I635" s="615"/>
      <c r="J635" s="614"/>
      <c r="K635" s="614"/>
      <c r="L635" s="614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4"/>
      <c r="C636" s="614"/>
      <c r="D636" s="615"/>
      <c r="E636" s="198"/>
      <c r="F636" s="198"/>
      <c r="G636" s="198"/>
      <c r="H636" s="198"/>
      <c r="I636" s="615"/>
      <c r="J636" s="614"/>
      <c r="K636" s="614"/>
      <c r="L636" s="614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4"/>
      <c r="C637" s="614"/>
      <c r="D637" s="615"/>
      <c r="E637" s="198"/>
      <c r="F637" s="198"/>
      <c r="G637" s="198"/>
      <c r="H637" s="198"/>
      <c r="I637" s="615"/>
      <c r="J637" s="614"/>
      <c r="K637" s="614"/>
      <c r="L637" s="614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4"/>
      <c r="C638" s="614"/>
      <c r="D638" s="615"/>
      <c r="E638" s="198"/>
      <c r="F638" s="198"/>
      <c r="G638" s="198"/>
      <c r="H638" s="198"/>
      <c r="I638" s="615"/>
      <c r="J638" s="614"/>
      <c r="K638" s="614"/>
      <c r="L638" s="614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4"/>
      <c r="C639" s="614"/>
      <c r="D639" s="615"/>
      <c r="E639" s="198"/>
      <c r="F639" s="198"/>
      <c r="G639" s="198"/>
      <c r="H639" s="198"/>
      <c r="I639" s="615"/>
      <c r="J639" s="614"/>
      <c r="K639" s="614"/>
      <c r="L639" s="614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4"/>
      <c r="C640" s="614"/>
      <c r="D640" s="615"/>
      <c r="E640" s="198"/>
      <c r="F640" s="198"/>
      <c r="G640" s="198"/>
      <c r="H640" s="198"/>
      <c r="I640" s="615"/>
      <c r="J640" s="614"/>
      <c r="K640" s="614"/>
      <c r="L640" s="614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4"/>
      <c r="C641" s="614"/>
      <c r="D641" s="615"/>
      <c r="E641" s="198"/>
      <c r="F641" s="198"/>
      <c r="G641" s="198"/>
      <c r="H641" s="198"/>
      <c r="I641" s="615"/>
      <c r="J641" s="614"/>
      <c r="K641" s="614"/>
      <c r="L641" s="614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4"/>
      <c r="C642" s="614"/>
      <c r="D642" s="615"/>
      <c r="E642" s="198"/>
      <c r="F642" s="198"/>
      <c r="G642" s="198"/>
      <c r="H642" s="198"/>
      <c r="I642" s="615"/>
      <c r="J642" s="614"/>
      <c r="K642" s="614"/>
      <c r="L642" s="614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4"/>
      <c r="C643" s="614"/>
      <c r="D643" s="615"/>
      <c r="E643" s="198"/>
      <c r="F643" s="198"/>
      <c r="G643" s="198"/>
      <c r="H643" s="198"/>
      <c r="I643" s="615"/>
      <c r="J643" s="614"/>
      <c r="K643" s="614"/>
      <c r="L643" s="614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4"/>
      <c r="C644" s="614"/>
      <c r="D644" s="615"/>
      <c r="E644" s="198"/>
      <c r="F644" s="198"/>
      <c r="G644" s="198"/>
      <c r="H644" s="198"/>
      <c r="I644" s="615"/>
      <c r="J644" s="614"/>
      <c r="K644" s="614"/>
      <c r="L644" s="614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4"/>
      <c r="C645" s="614"/>
      <c r="D645" s="615"/>
      <c r="E645" s="198"/>
      <c r="F645" s="198"/>
      <c r="G645" s="198"/>
      <c r="H645" s="198"/>
      <c r="I645" s="615"/>
      <c r="J645" s="614"/>
      <c r="K645" s="614"/>
      <c r="L645" s="614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4"/>
      <c r="C646" s="614"/>
      <c r="D646" s="615"/>
      <c r="E646" s="198"/>
      <c r="F646" s="198"/>
      <c r="G646" s="198"/>
      <c r="H646" s="198"/>
      <c r="I646" s="615"/>
      <c r="J646" s="614"/>
      <c r="K646" s="614"/>
      <c r="L646" s="614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4"/>
      <c r="C647" s="614"/>
      <c r="D647" s="615"/>
      <c r="E647" s="198"/>
      <c r="F647" s="198"/>
      <c r="G647" s="198"/>
      <c r="H647" s="198"/>
      <c r="I647" s="615"/>
      <c r="J647" s="614"/>
      <c r="K647" s="614"/>
      <c r="L647" s="614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4"/>
      <c r="C648" s="614"/>
      <c r="D648" s="615"/>
      <c r="E648" s="198"/>
      <c r="F648" s="198"/>
      <c r="G648" s="198"/>
      <c r="H648" s="198"/>
      <c r="I648" s="615"/>
      <c r="J648" s="614"/>
      <c r="K648" s="614"/>
      <c r="L648" s="614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4"/>
      <c r="C649" s="614"/>
      <c r="D649" s="615"/>
      <c r="E649" s="198"/>
      <c r="F649" s="198"/>
      <c r="G649" s="198"/>
      <c r="H649" s="198"/>
      <c r="I649" s="615"/>
      <c r="J649" s="614"/>
      <c r="K649" s="614"/>
      <c r="L649" s="614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4"/>
      <c r="C650" s="614"/>
      <c r="D650" s="615"/>
      <c r="E650" s="198"/>
      <c r="F650" s="198"/>
      <c r="G650" s="198"/>
      <c r="H650" s="198"/>
      <c r="I650" s="615"/>
      <c r="J650" s="614"/>
      <c r="K650" s="614"/>
      <c r="L650" s="614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4"/>
      <c r="C651" s="614"/>
      <c r="D651" s="615"/>
      <c r="E651" s="198"/>
      <c r="F651" s="198"/>
      <c r="G651" s="198"/>
      <c r="H651" s="198"/>
      <c r="I651" s="615"/>
      <c r="J651" s="614"/>
      <c r="K651" s="614"/>
      <c r="L651" s="614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4"/>
      <c r="C652" s="614"/>
      <c r="D652" s="615"/>
      <c r="E652" s="198"/>
      <c r="F652" s="198"/>
      <c r="G652" s="198"/>
      <c r="H652" s="198"/>
      <c r="I652" s="615"/>
      <c r="J652" s="614"/>
      <c r="K652" s="614"/>
      <c r="L652" s="614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4"/>
      <c r="C653" s="614"/>
      <c r="D653" s="615"/>
      <c r="E653" s="198"/>
      <c r="F653" s="198"/>
      <c r="G653" s="198"/>
      <c r="H653" s="198"/>
      <c r="I653" s="615"/>
      <c r="J653" s="614"/>
      <c r="K653" s="614"/>
      <c r="L653" s="614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4"/>
      <c r="C654" s="614"/>
      <c r="D654" s="615"/>
      <c r="E654" s="198"/>
      <c r="F654" s="198"/>
      <c r="G654" s="198"/>
      <c r="H654" s="198"/>
      <c r="I654" s="615"/>
      <c r="J654" s="614"/>
      <c r="K654" s="614"/>
      <c r="L654" s="614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4"/>
      <c r="C655" s="614"/>
      <c r="D655" s="615"/>
      <c r="E655" s="198"/>
      <c r="F655" s="198"/>
      <c r="G655" s="198"/>
      <c r="H655" s="198"/>
      <c r="I655" s="615"/>
      <c r="J655" s="614"/>
      <c r="K655" s="614"/>
      <c r="L655" s="614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4"/>
      <c r="C656" s="614"/>
      <c r="D656" s="615"/>
      <c r="E656" s="198"/>
      <c r="F656" s="198"/>
      <c r="G656" s="198"/>
      <c r="H656" s="198"/>
      <c r="I656" s="615"/>
      <c r="J656" s="614"/>
      <c r="K656" s="614"/>
      <c r="L656" s="614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4"/>
      <c r="C657" s="614"/>
      <c r="D657" s="615"/>
      <c r="E657" s="198"/>
      <c r="F657" s="198"/>
      <c r="G657" s="198"/>
      <c r="H657" s="198"/>
      <c r="I657" s="615"/>
      <c r="J657" s="614"/>
      <c r="K657" s="614"/>
      <c r="L657" s="614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4"/>
      <c r="C658" s="614"/>
      <c r="D658" s="615"/>
      <c r="E658" s="198"/>
      <c r="F658" s="198"/>
      <c r="G658" s="198"/>
      <c r="H658" s="198"/>
      <c r="I658" s="615"/>
      <c r="J658" s="614"/>
      <c r="K658" s="614"/>
      <c r="L658" s="614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4"/>
      <c r="C659" s="614"/>
      <c r="D659" s="615"/>
      <c r="E659" s="198"/>
      <c r="F659" s="198"/>
      <c r="G659" s="198"/>
      <c r="H659" s="198"/>
      <c r="I659" s="615"/>
      <c r="J659" s="614"/>
      <c r="K659" s="614"/>
      <c r="L659" s="614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4"/>
      <c r="C660" s="614"/>
      <c r="D660" s="615"/>
      <c r="E660" s="198"/>
      <c r="F660" s="198"/>
      <c r="G660" s="198"/>
      <c r="H660" s="198"/>
      <c r="I660" s="615"/>
      <c r="J660" s="614"/>
      <c r="K660" s="614"/>
      <c r="L660" s="614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4"/>
      <c r="C661" s="614"/>
      <c r="D661" s="615"/>
      <c r="E661" s="198"/>
      <c r="F661" s="198"/>
      <c r="G661" s="198"/>
      <c r="H661" s="198"/>
      <c r="I661" s="615"/>
      <c r="J661" s="614"/>
      <c r="K661" s="614"/>
      <c r="L661" s="614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4"/>
      <c r="C662" s="614"/>
      <c r="D662" s="615"/>
      <c r="E662" s="198"/>
      <c r="F662" s="198"/>
      <c r="G662" s="198"/>
      <c r="H662" s="198"/>
      <c r="I662" s="615"/>
      <c r="J662" s="614"/>
      <c r="K662" s="614"/>
      <c r="L662" s="614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4"/>
      <c r="C663" s="614"/>
      <c r="D663" s="615"/>
      <c r="E663" s="198"/>
      <c r="F663" s="198"/>
      <c r="G663" s="198"/>
      <c r="H663" s="198"/>
      <c r="I663" s="615"/>
      <c r="J663" s="614"/>
      <c r="K663" s="614"/>
      <c r="L663" s="614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4"/>
      <c r="C664" s="614"/>
      <c r="D664" s="615"/>
      <c r="E664" s="198"/>
      <c r="F664" s="198"/>
      <c r="G664" s="198"/>
      <c r="H664" s="198"/>
      <c r="I664" s="615"/>
      <c r="J664" s="614"/>
      <c r="K664" s="614"/>
      <c r="L664" s="614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4"/>
      <c r="C665" s="614"/>
      <c r="D665" s="615"/>
      <c r="E665" s="198"/>
      <c r="F665" s="198"/>
      <c r="G665" s="198"/>
      <c r="H665" s="198"/>
      <c r="I665" s="615"/>
      <c r="J665" s="614"/>
      <c r="K665" s="614"/>
      <c r="L665" s="614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4"/>
      <c r="C666" s="614"/>
      <c r="D666" s="615"/>
      <c r="E666" s="198"/>
      <c r="F666" s="198"/>
      <c r="G666" s="198"/>
      <c r="H666" s="198"/>
      <c r="I666" s="615"/>
      <c r="J666" s="614"/>
      <c r="K666" s="614"/>
      <c r="L666" s="614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4"/>
      <c r="C667" s="614"/>
      <c r="D667" s="615"/>
      <c r="E667" s="198"/>
      <c r="F667" s="198"/>
      <c r="G667" s="198"/>
      <c r="H667" s="198"/>
      <c r="I667" s="615"/>
      <c r="J667" s="614"/>
      <c r="K667" s="614"/>
      <c r="L667" s="614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4"/>
      <c r="C668" s="614"/>
      <c r="D668" s="615"/>
      <c r="E668" s="198"/>
      <c r="F668" s="198"/>
      <c r="G668" s="198"/>
      <c r="H668" s="198"/>
      <c r="I668" s="615"/>
      <c r="J668" s="614"/>
      <c r="K668" s="614"/>
      <c r="L668" s="614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4"/>
      <c r="C669" s="614"/>
      <c r="D669" s="615"/>
      <c r="E669" s="198"/>
      <c r="F669" s="198"/>
      <c r="G669" s="198"/>
      <c r="H669" s="198"/>
      <c r="I669" s="615"/>
      <c r="J669" s="614"/>
      <c r="K669" s="614"/>
      <c r="L669" s="614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4"/>
      <c r="C670" s="614"/>
      <c r="D670" s="615"/>
      <c r="E670" s="198"/>
      <c r="F670" s="198"/>
      <c r="G670" s="198"/>
      <c r="H670" s="198"/>
      <c r="I670" s="615"/>
      <c r="J670" s="614"/>
      <c r="K670" s="614"/>
      <c r="L670" s="614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4"/>
      <c r="C671" s="614"/>
      <c r="D671" s="615"/>
      <c r="E671" s="198"/>
      <c r="F671" s="198"/>
      <c r="G671" s="198"/>
      <c r="H671" s="198"/>
      <c r="I671" s="615"/>
      <c r="J671" s="614"/>
      <c r="K671" s="614"/>
      <c r="L671" s="614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4"/>
      <c r="C672" s="614"/>
      <c r="D672" s="615"/>
      <c r="E672" s="198"/>
      <c r="F672" s="198"/>
      <c r="G672" s="198"/>
      <c r="H672" s="198"/>
      <c r="I672" s="615"/>
      <c r="J672" s="614"/>
      <c r="K672" s="614"/>
      <c r="L672" s="614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4"/>
      <c r="C673" s="614"/>
      <c r="D673" s="615"/>
      <c r="E673" s="198"/>
      <c r="F673" s="198"/>
      <c r="G673" s="198"/>
      <c r="H673" s="198"/>
      <c r="I673" s="615"/>
      <c r="J673" s="614"/>
      <c r="K673" s="614"/>
      <c r="L673" s="614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4"/>
      <c r="C674" s="614"/>
      <c r="D674" s="615"/>
      <c r="E674" s="198"/>
      <c r="F674" s="198"/>
      <c r="G674" s="198"/>
      <c r="H674" s="198"/>
      <c r="I674" s="615"/>
      <c r="J674" s="614"/>
      <c r="K674" s="614"/>
      <c r="L674" s="614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4"/>
      <c r="C675" s="614"/>
      <c r="D675" s="615"/>
      <c r="E675" s="198"/>
      <c r="F675" s="198"/>
      <c r="G675" s="198"/>
      <c r="H675" s="198"/>
      <c r="I675" s="615"/>
      <c r="J675" s="614"/>
      <c r="K675" s="614"/>
      <c r="L675" s="614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4"/>
      <c r="C676" s="614"/>
      <c r="D676" s="615"/>
      <c r="E676" s="198"/>
      <c r="F676" s="198"/>
      <c r="G676" s="198"/>
      <c r="H676" s="198"/>
      <c r="I676" s="615"/>
      <c r="J676" s="614"/>
      <c r="K676" s="614"/>
      <c r="L676" s="614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4"/>
      <c r="C677" s="614"/>
      <c r="D677" s="615"/>
      <c r="E677" s="198"/>
      <c r="F677" s="198"/>
      <c r="G677" s="198"/>
      <c r="H677" s="198"/>
      <c r="I677" s="615"/>
      <c r="J677" s="614"/>
      <c r="K677" s="614"/>
      <c r="L677" s="614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4"/>
      <c r="C678" s="614"/>
      <c r="D678" s="615"/>
      <c r="E678" s="198"/>
      <c r="F678" s="198"/>
      <c r="G678" s="198"/>
      <c r="H678" s="198"/>
      <c r="I678" s="615"/>
      <c r="J678" s="614"/>
      <c r="K678" s="614"/>
      <c r="L678" s="614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4"/>
      <c r="C679" s="614"/>
      <c r="D679" s="615"/>
      <c r="E679" s="198"/>
      <c r="F679" s="198"/>
      <c r="G679" s="198"/>
      <c r="H679" s="198"/>
      <c r="I679" s="615"/>
      <c r="J679" s="614"/>
      <c r="K679" s="614"/>
      <c r="L679" s="614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4"/>
      <c r="C680" s="614"/>
      <c r="D680" s="615"/>
      <c r="E680" s="198"/>
      <c r="F680" s="198"/>
      <c r="G680" s="198"/>
      <c r="H680" s="198"/>
      <c r="I680" s="615"/>
      <c r="J680" s="614"/>
      <c r="K680" s="614"/>
      <c r="L680" s="614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4"/>
      <c r="C681" s="614"/>
      <c r="D681" s="615"/>
      <c r="E681" s="198"/>
      <c r="F681" s="198"/>
      <c r="G681" s="198"/>
      <c r="H681" s="198"/>
      <c r="I681" s="615"/>
      <c r="J681" s="614"/>
      <c r="K681" s="614"/>
      <c r="L681" s="614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4"/>
      <c r="C682" s="614"/>
      <c r="D682" s="615"/>
      <c r="E682" s="198"/>
      <c r="F682" s="198"/>
      <c r="G682" s="198"/>
      <c r="H682" s="198"/>
      <c r="I682" s="615"/>
      <c r="J682" s="614"/>
      <c r="K682" s="614"/>
      <c r="L682" s="614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4"/>
      <c r="C683" s="614"/>
      <c r="D683" s="615"/>
      <c r="E683" s="198"/>
      <c r="F683" s="198"/>
      <c r="G683" s="198"/>
      <c r="H683" s="198"/>
      <c r="I683" s="615"/>
      <c r="J683" s="614"/>
      <c r="K683" s="614"/>
      <c r="L683" s="614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4"/>
      <c r="C684" s="614"/>
      <c r="D684" s="615"/>
      <c r="E684" s="198"/>
      <c r="F684" s="198"/>
      <c r="G684" s="198"/>
      <c r="H684" s="198"/>
      <c r="I684" s="615"/>
      <c r="J684" s="614"/>
      <c r="K684" s="614"/>
      <c r="L684" s="614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4"/>
      <c r="C685" s="614"/>
      <c r="D685" s="615"/>
      <c r="E685" s="198"/>
      <c r="F685" s="198"/>
      <c r="G685" s="198"/>
      <c r="H685" s="198"/>
      <c r="I685" s="615"/>
      <c r="J685" s="614"/>
      <c r="K685" s="614"/>
      <c r="L685" s="614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4"/>
      <c r="C686" s="614"/>
      <c r="D686" s="615"/>
      <c r="E686" s="198"/>
      <c r="F686" s="198"/>
      <c r="G686" s="198"/>
      <c r="H686" s="198"/>
      <c r="I686" s="615"/>
      <c r="J686" s="614"/>
      <c r="K686" s="614"/>
      <c r="L686" s="614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4"/>
      <c r="C687" s="614"/>
      <c r="D687" s="615"/>
      <c r="E687" s="198"/>
      <c r="F687" s="198"/>
      <c r="G687" s="198"/>
      <c r="H687" s="198"/>
      <c r="I687" s="615"/>
      <c r="J687" s="614"/>
      <c r="K687" s="614"/>
      <c r="L687" s="614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4"/>
      <c r="C688" s="614"/>
      <c r="D688" s="615"/>
      <c r="E688" s="198"/>
      <c r="F688" s="198"/>
      <c r="G688" s="198"/>
      <c r="H688" s="198"/>
      <c r="I688" s="615"/>
      <c r="J688" s="614"/>
      <c r="K688" s="614"/>
      <c r="L688" s="614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4"/>
      <c r="C689" s="614"/>
      <c r="D689" s="615"/>
      <c r="E689" s="198"/>
      <c r="F689" s="198"/>
      <c r="G689" s="198"/>
      <c r="H689" s="198"/>
      <c r="I689" s="615"/>
      <c r="J689" s="614"/>
      <c r="K689" s="614"/>
      <c r="L689" s="614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4"/>
      <c r="C690" s="614"/>
      <c r="D690" s="615"/>
      <c r="E690" s="198"/>
      <c r="F690" s="198"/>
      <c r="G690" s="198"/>
      <c r="H690" s="198"/>
      <c r="I690" s="615"/>
      <c r="J690" s="614"/>
      <c r="K690" s="614"/>
      <c r="L690" s="614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4"/>
      <c r="C691" s="614"/>
      <c r="D691" s="615"/>
      <c r="E691" s="198"/>
      <c r="F691" s="198"/>
      <c r="G691" s="198"/>
      <c r="H691" s="198"/>
      <c r="I691" s="615"/>
      <c r="J691" s="614"/>
      <c r="K691" s="614"/>
      <c r="L691" s="614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4"/>
      <c r="C692" s="614"/>
      <c r="D692" s="615"/>
      <c r="E692" s="198"/>
      <c r="F692" s="198"/>
      <c r="G692" s="198"/>
      <c r="H692" s="198"/>
      <c r="I692" s="615"/>
      <c r="J692" s="614"/>
      <c r="K692" s="614"/>
      <c r="L692" s="614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4"/>
      <c r="C693" s="614"/>
      <c r="D693" s="615"/>
      <c r="E693" s="198"/>
      <c r="F693" s="198"/>
      <c r="G693" s="198"/>
      <c r="H693" s="198"/>
      <c r="I693" s="615"/>
      <c r="J693" s="614"/>
      <c r="K693" s="614"/>
      <c r="L693" s="614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4"/>
      <c r="C694" s="614"/>
      <c r="D694" s="615"/>
      <c r="E694" s="198"/>
      <c r="F694" s="198"/>
      <c r="G694" s="198"/>
      <c r="H694" s="198"/>
      <c r="I694" s="615"/>
      <c r="J694" s="614"/>
      <c r="K694" s="614"/>
      <c r="L694" s="614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4"/>
      <c r="C695" s="614"/>
      <c r="D695" s="615"/>
      <c r="E695" s="198"/>
      <c r="F695" s="198"/>
      <c r="G695" s="198"/>
      <c r="H695" s="198"/>
      <c r="I695" s="615"/>
      <c r="J695" s="614"/>
      <c r="K695" s="614"/>
      <c r="L695" s="614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4"/>
      <c r="C696" s="614"/>
      <c r="D696" s="615"/>
      <c r="E696" s="198"/>
      <c r="F696" s="198"/>
      <c r="G696" s="198"/>
      <c r="H696" s="198"/>
      <c r="I696" s="615"/>
      <c r="J696" s="614"/>
      <c r="K696" s="614"/>
      <c r="L696" s="614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4"/>
      <c r="C697" s="614"/>
      <c r="D697" s="615"/>
      <c r="E697" s="198"/>
      <c r="F697" s="198"/>
      <c r="G697" s="198"/>
      <c r="H697" s="198"/>
      <c r="I697" s="615"/>
      <c r="J697" s="614"/>
      <c r="K697" s="614"/>
      <c r="L697" s="614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4"/>
      <c r="C698" s="614"/>
      <c r="D698" s="615"/>
      <c r="E698" s="198"/>
      <c r="F698" s="198"/>
      <c r="G698" s="198"/>
      <c r="H698" s="198"/>
      <c r="I698" s="615"/>
      <c r="J698" s="614"/>
      <c r="K698" s="614"/>
      <c r="L698" s="614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4"/>
      <c r="C699" s="614"/>
      <c r="D699" s="615"/>
      <c r="E699" s="198"/>
      <c r="F699" s="198"/>
      <c r="G699" s="198"/>
      <c r="H699" s="198"/>
      <c r="I699" s="615"/>
      <c r="J699" s="614"/>
      <c r="K699" s="614"/>
      <c r="L699" s="614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4"/>
      <c r="C700" s="614"/>
      <c r="D700" s="615"/>
      <c r="E700" s="198"/>
      <c r="F700" s="198"/>
      <c r="G700" s="198"/>
      <c r="H700" s="198"/>
      <c r="I700" s="615"/>
      <c r="J700" s="614"/>
      <c r="K700" s="614"/>
      <c r="L700" s="614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4"/>
      <c r="C701" s="614"/>
      <c r="D701" s="615"/>
      <c r="E701" s="198"/>
      <c r="F701" s="198"/>
      <c r="G701" s="198"/>
      <c r="H701" s="198"/>
      <c r="I701" s="615"/>
      <c r="J701" s="614"/>
      <c r="K701" s="614"/>
      <c r="L701" s="614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4"/>
      <c r="C702" s="614"/>
      <c r="D702" s="615"/>
      <c r="E702" s="198"/>
      <c r="F702" s="198"/>
      <c r="G702" s="198"/>
      <c r="H702" s="198"/>
      <c r="I702" s="615"/>
      <c r="J702" s="614"/>
      <c r="K702" s="614"/>
      <c r="L702" s="614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4"/>
      <c r="C703" s="614"/>
      <c r="D703" s="615"/>
      <c r="E703" s="198"/>
      <c r="F703" s="198"/>
      <c r="G703" s="198"/>
      <c r="H703" s="198"/>
      <c r="I703" s="615"/>
      <c r="J703" s="614"/>
      <c r="K703" s="614"/>
      <c r="L703" s="614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4"/>
      <c r="C704" s="614"/>
      <c r="D704" s="615"/>
      <c r="E704" s="198"/>
      <c r="F704" s="198"/>
      <c r="G704" s="198"/>
      <c r="H704" s="198"/>
      <c r="I704" s="615"/>
      <c r="J704" s="614"/>
      <c r="K704" s="614"/>
      <c r="L704" s="614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4"/>
      <c r="C705" s="614"/>
      <c r="D705" s="615"/>
      <c r="E705" s="198"/>
      <c r="F705" s="198"/>
      <c r="G705" s="198"/>
      <c r="H705" s="198"/>
      <c r="I705" s="615"/>
      <c r="J705" s="614"/>
      <c r="K705" s="614"/>
      <c r="L705" s="614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4"/>
      <c r="C706" s="614"/>
      <c r="D706" s="615"/>
      <c r="E706" s="198"/>
      <c r="F706" s="198"/>
      <c r="G706" s="198"/>
      <c r="H706" s="198"/>
      <c r="I706" s="615"/>
      <c r="J706" s="614"/>
      <c r="K706" s="614"/>
      <c r="L706" s="614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4"/>
      <c r="C707" s="614"/>
      <c r="D707" s="615"/>
      <c r="E707" s="198"/>
      <c r="F707" s="198"/>
      <c r="G707" s="198"/>
      <c r="H707" s="198"/>
      <c r="I707" s="615"/>
      <c r="J707" s="614"/>
      <c r="K707" s="614"/>
      <c r="L707" s="614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4"/>
      <c r="C708" s="614"/>
      <c r="D708" s="615"/>
      <c r="E708" s="198"/>
      <c r="F708" s="198"/>
      <c r="G708" s="198"/>
      <c r="H708" s="198"/>
      <c r="I708" s="615"/>
      <c r="J708" s="614"/>
      <c r="K708" s="614"/>
      <c r="L708" s="614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4"/>
      <c r="C709" s="614"/>
      <c r="D709" s="615"/>
      <c r="E709" s="198"/>
      <c r="F709" s="198"/>
      <c r="G709" s="198"/>
      <c r="H709" s="198"/>
      <c r="I709" s="615"/>
      <c r="J709" s="614"/>
      <c r="K709" s="614"/>
      <c r="L709" s="614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4"/>
      <c r="C710" s="614"/>
      <c r="D710" s="615"/>
      <c r="E710" s="198"/>
      <c r="F710" s="198"/>
      <c r="G710" s="198"/>
      <c r="H710" s="198"/>
      <c r="I710" s="615"/>
      <c r="J710" s="614"/>
      <c r="K710" s="614"/>
      <c r="L710" s="614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4"/>
      <c r="C711" s="614"/>
      <c r="D711" s="615"/>
      <c r="E711" s="198"/>
      <c r="F711" s="198"/>
      <c r="G711" s="198"/>
      <c r="H711" s="198"/>
      <c r="I711" s="615"/>
      <c r="J711" s="614"/>
      <c r="K711" s="614"/>
      <c r="L711" s="614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4"/>
      <c r="C712" s="614"/>
      <c r="D712" s="615"/>
      <c r="E712" s="198"/>
      <c r="F712" s="198"/>
      <c r="G712" s="198"/>
      <c r="H712" s="198"/>
      <c r="I712" s="615"/>
      <c r="J712" s="614"/>
      <c r="K712" s="614"/>
      <c r="L712" s="614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4"/>
      <c r="C713" s="614"/>
      <c r="D713" s="615"/>
      <c r="E713" s="198"/>
      <c r="F713" s="198"/>
      <c r="G713" s="198"/>
      <c r="H713" s="198"/>
      <c r="I713" s="615"/>
      <c r="J713" s="614"/>
      <c r="K713" s="614"/>
      <c r="L713" s="614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4"/>
      <c r="C714" s="614"/>
      <c r="D714" s="615"/>
      <c r="E714" s="198"/>
      <c r="F714" s="198"/>
      <c r="G714" s="198"/>
      <c r="H714" s="198"/>
      <c r="I714" s="615"/>
      <c r="J714" s="614"/>
      <c r="K714" s="614"/>
      <c r="L714" s="614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4"/>
      <c r="C715" s="614"/>
      <c r="D715" s="615"/>
      <c r="E715" s="198"/>
      <c r="F715" s="198"/>
      <c r="G715" s="198"/>
      <c r="H715" s="198"/>
      <c r="I715" s="615"/>
      <c r="J715" s="614"/>
      <c r="K715" s="614"/>
      <c r="L715" s="614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4"/>
      <c r="C716" s="614"/>
      <c r="D716" s="615"/>
      <c r="E716" s="198"/>
      <c r="F716" s="198"/>
      <c r="G716" s="198"/>
      <c r="H716" s="198"/>
      <c r="I716" s="615"/>
      <c r="J716" s="614"/>
      <c r="K716" s="614"/>
      <c r="L716" s="614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4"/>
      <c r="C717" s="614"/>
      <c r="D717" s="615"/>
      <c r="E717" s="198"/>
      <c r="F717" s="198"/>
      <c r="G717" s="198"/>
      <c r="H717" s="198"/>
      <c r="I717" s="615"/>
      <c r="J717" s="614"/>
      <c r="K717" s="614"/>
      <c r="L717" s="614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4"/>
      <c r="C718" s="614"/>
      <c r="D718" s="615"/>
      <c r="E718" s="198"/>
      <c r="F718" s="198"/>
      <c r="G718" s="198"/>
      <c r="H718" s="198"/>
      <c r="I718" s="615"/>
      <c r="J718" s="614"/>
      <c r="K718" s="614"/>
      <c r="L718" s="614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4"/>
      <c r="C719" s="614"/>
      <c r="D719" s="615"/>
      <c r="E719" s="198"/>
      <c r="F719" s="198"/>
      <c r="G719" s="198"/>
      <c r="H719" s="198"/>
      <c r="I719" s="615"/>
      <c r="J719" s="614"/>
      <c r="K719" s="614"/>
      <c r="L719" s="614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4"/>
      <c r="C720" s="614"/>
      <c r="D720" s="615"/>
      <c r="E720" s="198"/>
      <c r="F720" s="198"/>
      <c r="G720" s="198"/>
      <c r="H720" s="198"/>
      <c r="I720" s="615"/>
      <c r="J720" s="614"/>
      <c r="K720" s="614"/>
      <c r="L720" s="614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4"/>
      <c r="C721" s="614"/>
      <c r="D721" s="615"/>
      <c r="E721" s="198"/>
      <c r="F721" s="198"/>
      <c r="G721" s="198"/>
      <c r="H721" s="198"/>
      <c r="I721" s="615"/>
      <c r="J721" s="614"/>
      <c r="K721" s="614"/>
      <c r="L721" s="614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4"/>
      <c r="C722" s="614"/>
      <c r="D722" s="615"/>
      <c r="E722" s="198"/>
      <c r="F722" s="198"/>
      <c r="G722" s="198"/>
      <c r="H722" s="198"/>
      <c r="I722" s="615"/>
      <c r="J722" s="614"/>
      <c r="K722" s="614"/>
      <c r="L722" s="614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4"/>
      <c r="C723" s="614"/>
      <c r="D723" s="615"/>
      <c r="E723" s="198"/>
      <c r="F723" s="198"/>
      <c r="G723" s="198"/>
      <c r="H723" s="198"/>
      <c r="I723" s="615"/>
      <c r="J723" s="614"/>
      <c r="K723" s="614"/>
      <c r="L723" s="614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4"/>
      <c r="C724" s="614"/>
      <c r="D724" s="615"/>
      <c r="E724" s="198"/>
      <c r="F724" s="198"/>
      <c r="G724" s="198"/>
      <c r="H724" s="198"/>
      <c r="I724" s="615"/>
      <c r="J724" s="614"/>
      <c r="K724" s="614"/>
      <c r="L724" s="614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4"/>
      <c r="C725" s="614"/>
      <c r="D725" s="615"/>
      <c r="E725" s="198"/>
      <c r="F725" s="198"/>
      <c r="G725" s="198"/>
      <c r="H725" s="198"/>
      <c r="I725" s="615"/>
      <c r="J725" s="614"/>
      <c r="K725" s="614"/>
      <c r="L725" s="614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4"/>
      <c r="C726" s="614"/>
      <c r="D726" s="615"/>
      <c r="E726" s="198"/>
      <c r="F726" s="198"/>
      <c r="G726" s="198"/>
      <c r="H726" s="198"/>
      <c r="I726" s="615"/>
      <c r="J726" s="614"/>
      <c r="K726" s="614"/>
      <c r="L726" s="614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4"/>
      <c r="C727" s="614"/>
      <c r="D727" s="615"/>
      <c r="E727" s="198"/>
      <c r="F727" s="198"/>
      <c r="G727" s="198"/>
      <c r="H727" s="198"/>
      <c r="I727" s="615"/>
      <c r="J727" s="614"/>
      <c r="K727" s="614"/>
      <c r="L727" s="614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4"/>
      <c r="C728" s="614"/>
      <c r="D728" s="615"/>
      <c r="E728" s="198"/>
      <c r="F728" s="198"/>
      <c r="G728" s="198"/>
      <c r="H728" s="198"/>
      <c r="I728" s="615"/>
      <c r="J728" s="614"/>
      <c r="K728" s="614"/>
      <c r="L728" s="614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4"/>
      <c r="C729" s="614"/>
      <c r="D729" s="615"/>
      <c r="E729" s="198"/>
      <c r="F729" s="198"/>
      <c r="G729" s="198"/>
      <c r="H729" s="198"/>
      <c r="I729" s="615"/>
      <c r="J729" s="614"/>
      <c r="K729" s="614"/>
      <c r="L729" s="614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4"/>
      <c r="C730" s="614"/>
      <c r="D730" s="615"/>
      <c r="E730" s="198"/>
      <c r="F730" s="198"/>
      <c r="G730" s="198"/>
      <c r="H730" s="198"/>
      <c r="I730" s="615"/>
      <c r="J730" s="614"/>
      <c r="K730" s="614"/>
      <c r="L730" s="614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4"/>
      <c r="C731" s="614"/>
      <c r="D731" s="615"/>
      <c r="E731" s="198"/>
      <c r="F731" s="198"/>
      <c r="G731" s="198"/>
      <c r="H731" s="198"/>
      <c r="I731" s="615"/>
      <c r="J731" s="614"/>
      <c r="K731" s="614"/>
      <c r="L731" s="614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4"/>
      <c r="C732" s="614"/>
      <c r="D732" s="615"/>
      <c r="E732" s="198"/>
      <c r="F732" s="198"/>
      <c r="G732" s="198"/>
      <c r="H732" s="198"/>
      <c r="I732" s="615"/>
      <c r="J732" s="614"/>
      <c r="K732" s="614"/>
      <c r="L732" s="614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4"/>
      <c r="C733" s="614"/>
      <c r="D733" s="615"/>
      <c r="E733" s="198"/>
      <c r="F733" s="198"/>
      <c r="G733" s="198"/>
      <c r="H733" s="198"/>
      <c r="I733" s="615"/>
      <c r="J733" s="614"/>
      <c r="K733" s="614"/>
      <c r="L733" s="614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4"/>
      <c r="C734" s="614"/>
      <c r="D734" s="615"/>
      <c r="E734" s="198"/>
      <c r="F734" s="198"/>
      <c r="G734" s="198"/>
      <c r="H734" s="198"/>
      <c r="I734" s="615"/>
      <c r="J734" s="614"/>
      <c r="K734" s="614"/>
      <c r="L734" s="614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4"/>
      <c r="C735" s="614"/>
      <c r="D735" s="615"/>
      <c r="E735" s="198"/>
      <c r="F735" s="198"/>
      <c r="G735" s="198"/>
      <c r="H735" s="198"/>
      <c r="I735" s="615"/>
      <c r="J735" s="614"/>
      <c r="K735" s="614"/>
      <c r="L735" s="614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4"/>
      <c r="C736" s="614"/>
      <c r="D736" s="615"/>
      <c r="E736" s="198"/>
      <c r="F736" s="198"/>
      <c r="G736" s="198"/>
      <c r="H736" s="198"/>
      <c r="I736" s="615"/>
      <c r="J736" s="614"/>
      <c r="K736" s="614"/>
      <c r="L736" s="614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4"/>
      <c r="C737" s="614"/>
      <c r="D737" s="615"/>
      <c r="E737" s="198"/>
      <c r="F737" s="198"/>
      <c r="G737" s="198"/>
      <c r="H737" s="198"/>
      <c r="I737" s="615"/>
      <c r="J737" s="614"/>
      <c r="K737" s="614"/>
      <c r="L737" s="614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4"/>
      <c r="C738" s="614"/>
      <c r="D738" s="615"/>
      <c r="E738" s="198"/>
      <c r="F738" s="198"/>
      <c r="G738" s="198"/>
      <c r="H738" s="198"/>
      <c r="I738" s="615"/>
      <c r="J738" s="614"/>
      <c r="K738" s="614"/>
      <c r="L738" s="614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4"/>
      <c r="C739" s="614"/>
      <c r="D739" s="615"/>
      <c r="E739" s="198"/>
      <c r="F739" s="198"/>
      <c r="G739" s="198"/>
      <c r="H739" s="198"/>
      <c r="I739" s="615"/>
      <c r="J739" s="614"/>
      <c r="K739" s="614"/>
      <c r="L739" s="614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4"/>
      <c r="C740" s="614"/>
      <c r="D740" s="615"/>
      <c r="E740" s="198"/>
      <c r="F740" s="198"/>
      <c r="G740" s="198"/>
      <c r="H740" s="198"/>
      <c r="I740" s="615"/>
      <c r="J740" s="614"/>
      <c r="K740" s="614"/>
      <c r="L740" s="614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4"/>
      <c r="C741" s="614"/>
      <c r="D741" s="615"/>
      <c r="E741" s="198"/>
      <c r="F741" s="198"/>
      <c r="G741" s="198"/>
      <c r="H741" s="198"/>
      <c r="I741" s="615"/>
      <c r="J741" s="614"/>
      <c r="K741" s="614"/>
      <c r="L741" s="614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4"/>
      <c r="C742" s="614"/>
      <c r="D742" s="615"/>
      <c r="E742" s="198"/>
      <c r="F742" s="198"/>
      <c r="G742" s="198"/>
      <c r="H742" s="198"/>
      <c r="I742" s="615"/>
      <c r="J742" s="614"/>
      <c r="K742" s="614"/>
      <c r="L742" s="614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4"/>
      <c r="C743" s="614"/>
      <c r="D743" s="615"/>
      <c r="E743" s="198"/>
      <c r="F743" s="198"/>
      <c r="G743" s="198"/>
      <c r="H743" s="198"/>
      <c r="I743" s="615"/>
      <c r="J743" s="614"/>
      <c r="K743" s="614"/>
      <c r="L743" s="614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4"/>
      <c r="C744" s="614"/>
      <c r="D744" s="615"/>
      <c r="E744" s="198"/>
      <c r="F744" s="198"/>
      <c r="G744" s="198"/>
      <c r="H744" s="198"/>
      <c r="I744" s="615"/>
      <c r="J744" s="614"/>
      <c r="K744" s="614"/>
      <c r="L744" s="614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4"/>
      <c r="C745" s="614"/>
      <c r="D745" s="615"/>
      <c r="E745" s="198"/>
      <c r="F745" s="198"/>
      <c r="G745" s="198"/>
      <c r="H745" s="198"/>
      <c r="I745" s="615"/>
      <c r="J745" s="614"/>
      <c r="K745" s="614"/>
      <c r="L745" s="614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4"/>
      <c r="C746" s="614"/>
      <c r="D746" s="615"/>
      <c r="E746" s="198"/>
      <c r="F746" s="198"/>
      <c r="G746" s="198"/>
      <c r="H746" s="198"/>
      <c r="I746" s="615"/>
      <c r="J746" s="614"/>
      <c r="K746" s="614"/>
      <c r="L746" s="614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4"/>
      <c r="C747" s="614"/>
      <c r="D747" s="615"/>
      <c r="E747" s="198"/>
      <c r="F747" s="198"/>
      <c r="G747" s="198"/>
      <c r="H747" s="198"/>
      <c r="I747" s="615"/>
      <c r="J747" s="614"/>
      <c r="K747" s="614"/>
      <c r="L747" s="614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4"/>
      <c r="C748" s="614"/>
      <c r="D748" s="615"/>
      <c r="E748" s="198"/>
      <c r="F748" s="198"/>
      <c r="G748" s="198"/>
      <c r="H748" s="198"/>
      <c r="I748" s="615"/>
      <c r="J748" s="614"/>
      <c r="K748" s="614"/>
      <c r="L748" s="614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4"/>
      <c r="C749" s="614"/>
      <c r="D749" s="615"/>
      <c r="E749" s="198"/>
      <c r="F749" s="198"/>
      <c r="G749" s="198"/>
      <c r="H749" s="198"/>
      <c r="I749" s="615"/>
      <c r="J749" s="614"/>
      <c r="K749" s="614"/>
      <c r="L749" s="614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4"/>
      <c r="C750" s="614"/>
      <c r="D750" s="615"/>
      <c r="E750" s="198"/>
      <c r="F750" s="198"/>
      <c r="G750" s="198"/>
      <c r="H750" s="198"/>
      <c r="I750" s="615"/>
      <c r="J750" s="614"/>
      <c r="K750" s="614"/>
      <c r="L750" s="614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4"/>
      <c r="C751" s="614"/>
      <c r="D751" s="615"/>
      <c r="E751" s="198"/>
      <c r="F751" s="198"/>
      <c r="G751" s="198"/>
      <c r="H751" s="198"/>
      <c r="I751" s="615"/>
      <c r="J751" s="614"/>
      <c r="K751" s="614"/>
      <c r="L751" s="614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4"/>
      <c r="C752" s="614"/>
      <c r="D752" s="615"/>
      <c r="E752" s="198"/>
      <c r="F752" s="198"/>
      <c r="G752" s="198"/>
      <c r="H752" s="198"/>
      <c r="I752" s="615"/>
      <c r="J752" s="614"/>
      <c r="K752" s="614"/>
      <c r="L752" s="614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4"/>
      <c r="C753" s="614"/>
      <c r="D753" s="615"/>
      <c r="E753" s="198"/>
      <c r="F753" s="198"/>
      <c r="G753" s="198"/>
      <c r="H753" s="198"/>
      <c r="I753" s="615"/>
      <c r="J753" s="614"/>
      <c r="K753" s="614"/>
      <c r="L753" s="614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4"/>
      <c r="C754" s="614"/>
      <c r="D754" s="615"/>
      <c r="E754" s="198"/>
      <c r="F754" s="198"/>
      <c r="G754" s="198"/>
      <c r="H754" s="198"/>
      <c r="I754" s="615"/>
      <c r="J754" s="614"/>
      <c r="K754" s="614"/>
      <c r="L754" s="614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4"/>
      <c r="C755" s="614"/>
      <c r="D755" s="615"/>
      <c r="E755" s="198"/>
      <c r="F755" s="198"/>
      <c r="G755" s="198"/>
      <c r="H755" s="198"/>
      <c r="I755" s="615"/>
      <c r="J755" s="614"/>
      <c r="K755" s="614"/>
      <c r="L755" s="614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4"/>
      <c r="C756" s="614"/>
      <c r="D756" s="615"/>
      <c r="E756" s="198"/>
      <c r="F756" s="198"/>
      <c r="G756" s="198"/>
      <c r="H756" s="198"/>
      <c r="I756" s="615"/>
      <c r="J756" s="614"/>
      <c r="K756" s="614"/>
      <c r="L756" s="614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4"/>
      <c r="C757" s="614"/>
      <c r="D757" s="615"/>
      <c r="E757" s="198"/>
      <c r="F757" s="198"/>
      <c r="G757" s="198"/>
      <c r="H757" s="198"/>
      <c r="I757" s="615"/>
      <c r="J757" s="614"/>
      <c r="K757" s="614"/>
      <c r="L757" s="614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4"/>
      <c r="C758" s="614"/>
      <c r="D758" s="615"/>
      <c r="E758" s="198"/>
      <c r="F758" s="198"/>
      <c r="G758" s="198"/>
      <c r="H758" s="198"/>
      <c r="I758" s="615"/>
      <c r="J758" s="614"/>
      <c r="K758" s="614"/>
      <c r="L758" s="614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4"/>
      <c r="C759" s="614"/>
      <c r="D759" s="615"/>
      <c r="E759" s="198"/>
      <c r="F759" s="198"/>
      <c r="G759" s="198"/>
      <c r="H759" s="198"/>
      <c r="I759" s="615"/>
      <c r="J759" s="614"/>
      <c r="K759" s="614"/>
      <c r="L759" s="614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4"/>
      <c r="C760" s="614"/>
      <c r="D760" s="615"/>
      <c r="E760" s="198"/>
      <c r="F760" s="198"/>
      <c r="G760" s="198"/>
      <c r="H760" s="198"/>
      <c r="I760" s="615"/>
      <c r="J760" s="614"/>
      <c r="K760" s="614"/>
      <c r="L760" s="614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4"/>
      <c r="C761" s="614"/>
      <c r="D761" s="615"/>
      <c r="E761" s="198"/>
      <c r="F761" s="198"/>
      <c r="G761" s="198"/>
      <c r="H761" s="198"/>
      <c r="I761" s="615"/>
      <c r="J761" s="614"/>
      <c r="K761" s="614"/>
      <c r="L761" s="614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4"/>
      <c r="C762" s="614"/>
      <c r="D762" s="615"/>
      <c r="E762" s="198"/>
      <c r="F762" s="198"/>
      <c r="G762" s="198"/>
      <c r="H762" s="198"/>
      <c r="I762" s="615"/>
      <c r="J762" s="614"/>
      <c r="K762" s="614"/>
      <c r="L762" s="614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4"/>
      <c r="C763" s="614"/>
      <c r="D763" s="615"/>
      <c r="E763" s="198"/>
      <c r="F763" s="198"/>
      <c r="G763" s="198"/>
      <c r="H763" s="198"/>
      <c r="I763" s="615"/>
      <c r="J763" s="614"/>
      <c r="K763" s="614"/>
      <c r="L763" s="614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4"/>
      <c r="C764" s="614"/>
      <c r="D764" s="615"/>
      <c r="E764" s="198"/>
      <c r="F764" s="198"/>
      <c r="G764" s="198"/>
      <c r="H764" s="198"/>
      <c r="I764" s="615"/>
      <c r="J764" s="614"/>
      <c r="K764" s="614"/>
      <c r="L764" s="614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4"/>
      <c r="C765" s="614"/>
      <c r="D765" s="615"/>
      <c r="E765" s="198"/>
      <c r="F765" s="198"/>
      <c r="G765" s="198"/>
      <c r="H765" s="198"/>
      <c r="I765" s="615"/>
      <c r="J765" s="614"/>
      <c r="K765" s="614"/>
      <c r="L765" s="614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4"/>
      <c r="C766" s="614"/>
      <c r="D766" s="615"/>
      <c r="E766" s="198"/>
      <c r="F766" s="198"/>
      <c r="G766" s="198"/>
      <c r="H766" s="198"/>
      <c r="I766" s="615"/>
      <c r="J766" s="614"/>
      <c r="K766" s="614"/>
      <c r="L766" s="614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4"/>
      <c r="C767" s="614"/>
      <c r="D767" s="615"/>
      <c r="E767" s="198"/>
      <c r="F767" s="198"/>
      <c r="G767" s="198"/>
      <c r="H767" s="198"/>
      <c r="I767" s="615"/>
      <c r="J767" s="614"/>
      <c r="K767" s="614"/>
      <c r="L767" s="614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4"/>
      <c r="C768" s="614"/>
      <c r="D768" s="615"/>
      <c r="E768" s="198"/>
      <c r="F768" s="198"/>
      <c r="G768" s="198"/>
      <c r="H768" s="198"/>
      <c r="I768" s="615"/>
      <c r="J768" s="614"/>
      <c r="K768" s="614"/>
      <c r="L768" s="614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4"/>
      <c r="C769" s="614"/>
      <c r="D769" s="615"/>
      <c r="E769" s="198"/>
      <c r="F769" s="198"/>
      <c r="G769" s="198"/>
      <c r="H769" s="198"/>
      <c r="I769" s="615"/>
      <c r="J769" s="614"/>
      <c r="K769" s="614"/>
      <c r="L769" s="614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4"/>
      <c r="C770" s="614"/>
      <c r="D770" s="615"/>
      <c r="E770" s="198"/>
      <c r="F770" s="198"/>
      <c r="G770" s="198"/>
      <c r="H770" s="198"/>
      <c r="I770" s="615"/>
      <c r="J770" s="614"/>
      <c r="K770" s="614"/>
      <c r="L770" s="614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4"/>
      <c r="C771" s="614"/>
      <c r="D771" s="615"/>
      <c r="E771" s="198"/>
      <c r="F771" s="198"/>
      <c r="G771" s="198"/>
      <c r="H771" s="198"/>
      <c r="I771" s="615"/>
      <c r="J771" s="614"/>
      <c r="K771" s="614"/>
      <c r="L771" s="614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4"/>
      <c r="C772" s="614"/>
      <c r="D772" s="615"/>
      <c r="E772" s="198"/>
      <c r="F772" s="198"/>
      <c r="G772" s="198"/>
      <c r="H772" s="198"/>
      <c r="I772" s="615"/>
      <c r="J772" s="614"/>
      <c r="K772" s="614"/>
      <c r="L772" s="614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4"/>
      <c r="C773" s="614"/>
      <c r="D773" s="615"/>
      <c r="E773" s="198"/>
      <c r="F773" s="198"/>
      <c r="G773" s="198"/>
      <c r="H773" s="198"/>
      <c r="I773" s="615"/>
      <c r="J773" s="614"/>
      <c r="K773" s="614"/>
      <c r="L773" s="614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4"/>
      <c r="C774" s="614"/>
      <c r="D774" s="615"/>
      <c r="E774" s="198"/>
      <c r="F774" s="198"/>
      <c r="G774" s="198"/>
      <c r="H774" s="198"/>
      <c r="I774" s="615"/>
      <c r="J774" s="614"/>
      <c r="K774" s="614"/>
      <c r="L774" s="614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4"/>
      <c r="C775" s="614"/>
      <c r="D775" s="615"/>
      <c r="E775" s="198"/>
      <c r="F775" s="198"/>
      <c r="G775" s="198"/>
      <c r="H775" s="198"/>
      <c r="I775" s="615"/>
      <c r="J775" s="614"/>
      <c r="K775" s="614"/>
      <c r="L775" s="614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4"/>
      <c r="C776" s="614"/>
      <c r="D776" s="615"/>
      <c r="E776" s="198"/>
      <c r="F776" s="198"/>
      <c r="G776" s="198"/>
      <c r="H776" s="198"/>
      <c r="I776" s="615"/>
      <c r="J776" s="614"/>
      <c r="K776" s="614"/>
      <c r="L776" s="614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4"/>
      <c r="C777" s="614"/>
      <c r="D777" s="615"/>
      <c r="E777" s="198"/>
      <c r="F777" s="198"/>
      <c r="G777" s="198"/>
      <c r="H777" s="198"/>
      <c r="I777" s="615"/>
      <c r="J777" s="614"/>
      <c r="K777" s="614"/>
      <c r="L777" s="614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4"/>
      <c r="C778" s="614"/>
      <c r="D778" s="615"/>
      <c r="E778" s="198"/>
      <c r="F778" s="198"/>
      <c r="G778" s="198"/>
      <c r="H778" s="198"/>
      <c r="I778" s="615"/>
      <c r="J778" s="614"/>
      <c r="K778" s="614"/>
      <c r="L778" s="614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4"/>
      <c r="C779" s="614"/>
      <c r="D779" s="615"/>
      <c r="E779" s="198"/>
      <c r="F779" s="198"/>
      <c r="G779" s="198"/>
      <c r="H779" s="198"/>
      <c r="I779" s="615"/>
      <c r="J779" s="614"/>
      <c r="K779" s="614"/>
      <c r="L779" s="614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4"/>
      <c r="C780" s="614"/>
      <c r="D780" s="615"/>
      <c r="E780" s="198"/>
      <c r="F780" s="198"/>
      <c r="G780" s="198"/>
      <c r="H780" s="198"/>
      <c r="I780" s="615"/>
      <c r="J780" s="614"/>
      <c r="K780" s="614"/>
      <c r="L780" s="614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4"/>
      <c r="C781" s="614"/>
      <c r="D781" s="615"/>
      <c r="E781" s="198"/>
      <c r="F781" s="198"/>
      <c r="G781" s="198"/>
      <c r="H781" s="198"/>
      <c r="I781" s="615"/>
      <c r="J781" s="614"/>
      <c r="K781" s="614"/>
      <c r="L781" s="614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4"/>
      <c r="C782" s="614"/>
      <c r="D782" s="615"/>
      <c r="E782" s="198"/>
      <c r="F782" s="198"/>
      <c r="G782" s="198"/>
      <c r="H782" s="198"/>
      <c r="I782" s="615"/>
      <c r="J782" s="614"/>
      <c r="K782" s="614"/>
      <c r="L782" s="614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4"/>
      <c r="C783" s="614"/>
      <c r="D783" s="615"/>
      <c r="E783" s="198"/>
      <c r="F783" s="198"/>
      <c r="G783" s="198"/>
      <c r="H783" s="198"/>
      <c r="I783" s="615"/>
      <c r="J783" s="614"/>
      <c r="K783" s="614"/>
      <c r="L783" s="614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4"/>
      <c r="C784" s="614"/>
      <c r="D784" s="615"/>
      <c r="E784" s="198"/>
      <c r="F784" s="198"/>
      <c r="G784" s="198"/>
      <c r="H784" s="198"/>
      <c r="I784" s="615"/>
      <c r="J784" s="614"/>
      <c r="K784" s="614"/>
      <c r="L784" s="614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4"/>
      <c r="C785" s="614"/>
      <c r="D785" s="615"/>
      <c r="E785" s="198"/>
      <c r="F785" s="198"/>
      <c r="G785" s="198"/>
      <c r="H785" s="198"/>
      <c r="I785" s="615"/>
      <c r="J785" s="614"/>
      <c r="K785" s="614"/>
      <c r="L785" s="614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4"/>
      <c r="C786" s="614"/>
      <c r="D786" s="615"/>
      <c r="E786" s="198"/>
      <c r="F786" s="198"/>
      <c r="G786" s="198"/>
      <c r="H786" s="198"/>
      <c r="I786" s="615"/>
      <c r="J786" s="614"/>
      <c r="K786" s="614"/>
      <c r="L786" s="614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4"/>
      <c r="C787" s="614"/>
      <c r="D787" s="615"/>
      <c r="E787" s="198"/>
      <c r="F787" s="198"/>
      <c r="G787" s="198"/>
      <c r="H787" s="198"/>
      <c r="I787" s="615"/>
      <c r="J787" s="614"/>
      <c r="K787" s="614"/>
      <c r="L787" s="614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4"/>
      <c r="C788" s="614"/>
      <c r="D788" s="615"/>
      <c r="E788" s="198"/>
      <c r="F788" s="198"/>
      <c r="G788" s="198"/>
      <c r="H788" s="198"/>
      <c r="I788" s="615"/>
      <c r="J788" s="614"/>
      <c r="K788" s="614"/>
      <c r="L788" s="614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4"/>
      <c r="C789" s="614"/>
      <c r="D789" s="615"/>
      <c r="E789" s="198"/>
      <c r="F789" s="198"/>
      <c r="G789" s="198"/>
      <c r="H789" s="198"/>
      <c r="I789" s="615"/>
      <c r="J789" s="614"/>
      <c r="K789" s="614"/>
      <c r="L789" s="614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4"/>
      <c r="C790" s="614"/>
      <c r="D790" s="615"/>
      <c r="E790" s="198"/>
      <c r="F790" s="198"/>
      <c r="G790" s="198"/>
      <c r="H790" s="198"/>
      <c r="I790" s="615"/>
      <c r="J790" s="614"/>
      <c r="K790" s="614"/>
      <c r="L790" s="614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4"/>
      <c r="C791" s="614"/>
      <c r="D791" s="615"/>
      <c r="E791" s="198"/>
      <c r="F791" s="198"/>
      <c r="G791" s="198"/>
      <c r="H791" s="198"/>
      <c r="I791" s="615"/>
      <c r="J791" s="614"/>
      <c r="K791" s="614"/>
      <c r="L791" s="614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4"/>
      <c r="C792" s="614"/>
      <c r="D792" s="615"/>
      <c r="E792" s="198"/>
      <c r="F792" s="198"/>
      <c r="G792" s="198"/>
      <c r="H792" s="198"/>
      <c r="I792" s="615"/>
      <c r="J792" s="614"/>
      <c r="K792" s="614"/>
      <c r="L792" s="614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4"/>
      <c r="C793" s="614"/>
      <c r="D793" s="615"/>
      <c r="E793" s="198"/>
      <c r="F793" s="198"/>
      <c r="G793" s="198"/>
      <c r="H793" s="198"/>
      <c r="I793" s="615"/>
      <c r="J793" s="614"/>
      <c r="K793" s="614"/>
      <c r="L793" s="614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4"/>
      <c r="C794" s="614"/>
      <c r="D794" s="615"/>
      <c r="E794" s="198"/>
      <c r="F794" s="198"/>
      <c r="G794" s="198"/>
      <c r="H794" s="198"/>
      <c r="I794" s="615"/>
      <c r="J794" s="614"/>
      <c r="K794" s="614"/>
      <c r="L794" s="614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4"/>
      <c r="C795" s="614"/>
      <c r="D795" s="615"/>
      <c r="E795" s="198"/>
      <c r="F795" s="198"/>
      <c r="G795" s="198"/>
      <c r="H795" s="198"/>
      <c r="I795" s="615"/>
      <c r="J795" s="614"/>
      <c r="K795" s="614"/>
      <c r="L795" s="614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4"/>
      <c r="C796" s="614"/>
      <c r="D796" s="615"/>
      <c r="E796" s="198"/>
      <c r="F796" s="198"/>
      <c r="G796" s="198"/>
      <c r="H796" s="198"/>
      <c r="I796" s="615"/>
      <c r="J796" s="614"/>
      <c r="K796" s="614"/>
      <c r="L796" s="614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4"/>
      <c r="C797" s="614"/>
      <c r="D797" s="615"/>
      <c r="E797" s="198"/>
      <c r="F797" s="198"/>
      <c r="G797" s="198"/>
      <c r="H797" s="198"/>
      <c r="I797" s="615"/>
      <c r="J797" s="614"/>
      <c r="K797" s="614"/>
      <c r="L797" s="614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4"/>
      <c r="C798" s="614"/>
      <c r="D798" s="615"/>
      <c r="E798" s="198"/>
      <c r="F798" s="198"/>
      <c r="G798" s="198"/>
      <c r="H798" s="198"/>
      <c r="I798" s="615"/>
      <c r="J798" s="614"/>
      <c r="K798" s="614"/>
      <c r="L798" s="614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4"/>
      <c r="C799" s="614"/>
      <c r="D799" s="615"/>
      <c r="E799" s="198"/>
      <c r="F799" s="198"/>
      <c r="G799" s="198"/>
      <c r="H799" s="198"/>
      <c r="I799" s="615"/>
      <c r="J799" s="614"/>
      <c r="K799" s="614"/>
      <c r="L799" s="614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4"/>
      <c r="C800" s="614"/>
      <c r="D800" s="615"/>
      <c r="E800" s="198"/>
      <c r="F800" s="198"/>
      <c r="G800" s="198"/>
      <c r="H800" s="198"/>
      <c r="I800" s="615"/>
      <c r="J800" s="614"/>
      <c r="K800" s="614"/>
      <c r="L800" s="614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4"/>
      <c r="C801" s="614"/>
      <c r="D801" s="615"/>
      <c r="E801" s="198"/>
      <c r="F801" s="198"/>
      <c r="G801" s="198"/>
      <c r="H801" s="198"/>
      <c r="I801" s="615"/>
      <c r="J801" s="614"/>
      <c r="K801" s="614"/>
      <c r="L801" s="614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4"/>
      <c r="C802" s="614"/>
      <c r="D802" s="615"/>
      <c r="E802" s="198"/>
      <c r="F802" s="198"/>
      <c r="G802" s="198"/>
      <c r="H802" s="198"/>
      <c r="I802" s="615"/>
      <c r="J802" s="614"/>
      <c r="K802" s="614"/>
      <c r="L802" s="614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4"/>
      <c r="C803" s="614"/>
      <c r="D803" s="615"/>
      <c r="E803" s="198"/>
      <c r="F803" s="198"/>
      <c r="G803" s="198"/>
      <c r="H803" s="198"/>
      <c r="I803" s="615"/>
      <c r="J803" s="614"/>
      <c r="K803" s="614"/>
      <c r="L803" s="614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4"/>
      <c r="C804" s="614"/>
      <c r="D804" s="615"/>
      <c r="E804" s="198"/>
      <c r="F804" s="198"/>
      <c r="G804" s="198"/>
      <c r="H804" s="198"/>
      <c r="I804" s="615"/>
      <c r="J804" s="614"/>
      <c r="K804" s="614"/>
      <c r="L804" s="614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4"/>
      <c r="C805" s="614"/>
      <c r="D805" s="615"/>
      <c r="E805" s="198"/>
      <c r="F805" s="198"/>
      <c r="G805" s="198"/>
      <c r="H805" s="198"/>
      <c r="I805" s="615"/>
      <c r="J805" s="614"/>
      <c r="K805" s="614"/>
      <c r="L805" s="614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4"/>
      <c r="C806" s="614"/>
      <c r="D806" s="615"/>
      <c r="E806" s="198"/>
      <c r="F806" s="198"/>
      <c r="G806" s="198"/>
      <c r="H806" s="198"/>
      <c r="I806" s="615"/>
      <c r="J806" s="614"/>
      <c r="K806" s="614"/>
      <c r="L806" s="614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4"/>
      <c r="C807" s="614"/>
      <c r="D807" s="615"/>
      <c r="E807" s="198"/>
      <c r="F807" s="198"/>
      <c r="G807" s="198"/>
      <c r="H807" s="198"/>
      <c r="I807" s="615"/>
      <c r="J807" s="614"/>
      <c r="K807" s="614"/>
      <c r="L807" s="614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4"/>
      <c r="C808" s="614"/>
      <c r="D808" s="615"/>
      <c r="E808" s="198"/>
      <c r="F808" s="198"/>
      <c r="G808" s="198"/>
      <c r="H808" s="198"/>
      <c r="I808" s="615"/>
      <c r="J808" s="614"/>
      <c r="K808" s="614"/>
      <c r="L808" s="614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4"/>
      <c r="C809" s="614"/>
      <c r="D809" s="615"/>
      <c r="E809" s="198"/>
      <c r="F809" s="198"/>
      <c r="G809" s="198"/>
      <c r="H809" s="198"/>
      <c r="I809" s="615"/>
      <c r="J809" s="614"/>
      <c r="K809" s="614"/>
      <c r="L809" s="614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4"/>
      <c r="C810" s="614"/>
      <c r="D810" s="615"/>
      <c r="E810" s="198"/>
      <c r="F810" s="198"/>
      <c r="G810" s="198"/>
      <c r="H810" s="198"/>
      <c r="I810" s="615"/>
      <c r="J810" s="614"/>
      <c r="K810" s="614"/>
      <c r="L810" s="614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4"/>
      <c r="C811" s="614"/>
      <c r="D811" s="615"/>
      <c r="E811" s="198"/>
      <c r="F811" s="198"/>
      <c r="G811" s="198"/>
      <c r="H811" s="198"/>
      <c r="I811" s="615"/>
      <c r="J811" s="614"/>
      <c r="K811" s="614"/>
      <c r="L811" s="614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4"/>
      <c r="C812" s="614"/>
      <c r="D812" s="615"/>
      <c r="E812" s="198"/>
      <c r="F812" s="198"/>
      <c r="G812" s="198"/>
      <c r="H812" s="198"/>
      <c r="I812" s="615"/>
      <c r="J812" s="614"/>
      <c r="K812" s="614"/>
      <c r="L812" s="614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4"/>
      <c r="C813" s="614"/>
      <c r="D813" s="615"/>
      <c r="E813" s="198"/>
      <c r="F813" s="198"/>
      <c r="G813" s="198"/>
      <c r="H813" s="198"/>
      <c r="I813" s="615"/>
      <c r="J813" s="614"/>
      <c r="K813" s="614"/>
      <c r="L813" s="614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4"/>
      <c r="C814" s="614"/>
      <c r="D814" s="615"/>
      <c r="E814" s="198"/>
      <c r="F814" s="198"/>
      <c r="G814" s="198"/>
      <c r="H814" s="198"/>
      <c r="I814" s="615"/>
      <c r="J814" s="614"/>
      <c r="K814" s="614"/>
      <c r="L814" s="614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4"/>
      <c r="C815" s="614"/>
      <c r="D815" s="615"/>
      <c r="E815" s="198"/>
      <c r="F815" s="198"/>
      <c r="G815" s="198"/>
      <c r="H815" s="198"/>
      <c r="I815" s="615"/>
      <c r="J815" s="614"/>
      <c r="K815" s="614"/>
      <c r="L815" s="614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4"/>
      <c r="C816" s="614"/>
      <c r="D816" s="615"/>
      <c r="E816" s="198"/>
      <c r="F816" s="198"/>
      <c r="G816" s="198"/>
      <c r="H816" s="198"/>
      <c r="I816" s="615"/>
      <c r="J816" s="614"/>
      <c r="K816" s="614"/>
      <c r="L816" s="614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4"/>
      <c r="C817" s="614"/>
      <c r="D817" s="615"/>
      <c r="E817" s="198"/>
      <c r="F817" s="198"/>
      <c r="G817" s="198"/>
      <c r="H817" s="198"/>
      <c r="I817" s="615"/>
      <c r="J817" s="614"/>
      <c r="K817" s="614"/>
      <c r="L817" s="614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4"/>
      <c r="C818" s="614"/>
      <c r="D818" s="615"/>
      <c r="E818" s="198"/>
      <c r="F818" s="198"/>
      <c r="G818" s="198"/>
      <c r="H818" s="198"/>
      <c r="I818" s="615"/>
      <c r="J818" s="614"/>
      <c r="K818" s="614"/>
      <c r="L818" s="614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4"/>
      <c r="C819" s="614"/>
      <c r="D819" s="615"/>
      <c r="E819" s="198"/>
      <c r="F819" s="198"/>
      <c r="G819" s="198"/>
      <c r="H819" s="198"/>
      <c r="I819" s="615"/>
      <c r="J819" s="614"/>
      <c r="K819" s="614"/>
      <c r="L819" s="614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4"/>
      <c r="C820" s="614"/>
      <c r="D820" s="615"/>
      <c r="E820" s="198"/>
      <c r="F820" s="198"/>
      <c r="G820" s="198"/>
      <c r="H820" s="198"/>
      <c r="I820" s="615"/>
      <c r="J820" s="614"/>
      <c r="K820" s="614"/>
      <c r="L820" s="614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4"/>
      <c r="C821" s="614"/>
      <c r="D821" s="615"/>
      <c r="E821" s="198"/>
      <c r="F821" s="198"/>
      <c r="G821" s="198"/>
      <c r="H821" s="198"/>
      <c r="I821" s="615"/>
      <c r="J821" s="614"/>
      <c r="K821" s="614"/>
      <c r="L821" s="614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4"/>
      <c r="C822" s="614"/>
      <c r="D822" s="615"/>
      <c r="E822" s="198"/>
      <c r="F822" s="198"/>
      <c r="G822" s="198"/>
      <c r="H822" s="198"/>
      <c r="I822" s="615"/>
      <c r="J822" s="614"/>
      <c r="K822" s="614"/>
      <c r="L822" s="614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4"/>
      <c r="C823" s="614"/>
      <c r="D823" s="615"/>
      <c r="E823" s="198"/>
      <c r="F823" s="198"/>
      <c r="G823" s="198"/>
      <c r="H823" s="198"/>
      <c r="I823" s="615"/>
      <c r="J823" s="614"/>
      <c r="K823" s="614"/>
      <c r="L823" s="614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4"/>
      <c r="C824" s="614"/>
      <c r="D824" s="615"/>
      <c r="E824" s="198"/>
      <c r="F824" s="198"/>
      <c r="G824" s="198"/>
      <c r="H824" s="198"/>
      <c r="I824" s="615"/>
      <c r="J824" s="614"/>
      <c r="K824" s="614"/>
      <c r="L824" s="614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4"/>
      <c r="C825" s="614"/>
      <c r="D825" s="615"/>
      <c r="E825" s="198"/>
      <c r="F825" s="198"/>
      <c r="G825" s="198"/>
      <c r="H825" s="198"/>
      <c r="I825" s="615"/>
      <c r="J825" s="614"/>
      <c r="K825" s="614"/>
      <c r="L825" s="614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4"/>
      <c r="C826" s="614"/>
      <c r="D826" s="615"/>
      <c r="E826" s="198"/>
      <c r="F826" s="198"/>
      <c r="G826" s="198"/>
      <c r="H826" s="198"/>
      <c r="I826" s="615"/>
      <c r="J826" s="614"/>
      <c r="K826" s="614"/>
      <c r="L826" s="614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4"/>
      <c r="C827" s="614"/>
      <c r="D827" s="615"/>
      <c r="E827" s="198"/>
      <c r="F827" s="198"/>
      <c r="G827" s="198"/>
      <c r="H827" s="198"/>
      <c r="I827" s="615"/>
      <c r="J827" s="614"/>
      <c r="K827" s="614"/>
      <c r="L827" s="614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4"/>
      <c r="C828" s="614"/>
      <c r="D828" s="615"/>
      <c r="E828" s="198"/>
      <c r="F828" s="198"/>
      <c r="G828" s="198"/>
      <c r="H828" s="198"/>
      <c r="I828" s="615"/>
      <c r="J828" s="614"/>
      <c r="K828" s="614"/>
      <c r="L828" s="614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4"/>
      <c r="C829" s="614"/>
      <c r="D829" s="615"/>
      <c r="E829" s="198"/>
      <c r="F829" s="198"/>
      <c r="G829" s="198"/>
      <c r="H829" s="198"/>
      <c r="I829" s="615"/>
      <c r="J829" s="614"/>
      <c r="K829" s="614"/>
      <c r="L829" s="614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4"/>
      <c r="C830" s="614"/>
      <c r="D830" s="615"/>
      <c r="E830" s="198"/>
      <c r="F830" s="198"/>
      <c r="G830" s="198"/>
      <c r="H830" s="198"/>
      <c r="I830" s="615"/>
      <c r="J830" s="614"/>
      <c r="K830" s="614"/>
      <c r="L830" s="614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4"/>
      <c r="C831" s="614"/>
      <c r="D831" s="615"/>
      <c r="E831" s="198"/>
      <c r="F831" s="198"/>
      <c r="G831" s="198"/>
      <c r="H831" s="198"/>
      <c r="I831" s="615"/>
      <c r="J831" s="614"/>
      <c r="K831" s="614"/>
      <c r="L831" s="614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4"/>
      <c r="C832" s="614"/>
      <c r="D832" s="615"/>
      <c r="E832" s="198"/>
      <c r="F832" s="198"/>
      <c r="G832" s="198"/>
      <c r="H832" s="198"/>
      <c r="I832" s="615"/>
      <c r="J832" s="614"/>
      <c r="K832" s="614"/>
      <c r="L832" s="614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4"/>
      <c r="C833" s="614"/>
      <c r="D833" s="615"/>
      <c r="E833" s="198"/>
      <c r="F833" s="198"/>
      <c r="G833" s="198"/>
      <c r="H833" s="198"/>
      <c r="I833" s="615"/>
      <c r="J833" s="614"/>
      <c r="K833" s="614"/>
      <c r="L833" s="614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4"/>
      <c r="C834" s="614"/>
      <c r="D834" s="615"/>
      <c r="E834" s="198"/>
      <c r="F834" s="198"/>
      <c r="G834" s="198"/>
      <c r="H834" s="198"/>
      <c r="I834" s="615"/>
      <c r="J834" s="614"/>
      <c r="K834" s="614"/>
      <c r="L834" s="614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4"/>
      <c r="C835" s="614"/>
      <c r="D835" s="615"/>
      <c r="E835" s="198"/>
      <c r="F835" s="198"/>
      <c r="G835" s="198"/>
      <c r="H835" s="198"/>
      <c r="I835" s="615"/>
      <c r="J835" s="614"/>
      <c r="K835" s="614"/>
      <c r="L835" s="614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4"/>
      <c r="C836" s="614"/>
      <c r="D836" s="615"/>
      <c r="E836" s="198"/>
      <c r="F836" s="198"/>
      <c r="G836" s="198"/>
      <c r="H836" s="198"/>
      <c r="I836" s="615"/>
      <c r="J836" s="614"/>
      <c r="K836" s="614"/>
      <c r="L836" s="614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4"/>
      <c r="C837" s="614"/>
      <c r="D837" s="615"/>
      <c r="E837" s="198"/>
      <c r="F837" s="198"/>
      <c r="G837" s="198"/>
      <c r="H837" s="198"/>
      <c r="I837" s="615"/>
      <c r="J837" s="614"/>
      <c r="K837" s="614"/>
      <c r="L837" s="614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4"/>
      <c r="C838" s="614"/>
      <c r="D838" s="615"/>
      <c r="E838" s="198"/>
      <c r="F838" s="198"/>
      <c r="G838" s="198"/>
      <c r="H838" s="198"/>
      <c r="I838" s="615"/>
      <c r="J838" s="614"/>
      <c r="K838" s="614"/>
      <c r="L838" s="614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4"/>
      <c r="C839" s="614"/>
      <c r="D839" s="615"/>
      <c r="E839" s="198"/>
      <c r="F839" s="198"/>
      <c r="G839" s="198"/>
      <c r="H839" s="198"/>
      <c r="I839" s="615"/>
      <c r="J839" s="614"/>
      <c r="K839" s="614"/>
      <c r="L839" s="614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4"/>
      <c r="C840" s="614"/>
      <c r="D840" s="615"/>
      <c r="E840" s="198"/>
      <c r="F840" s="198"/>
      <c r="G840" s="198"/>
      <c r="H840" s="198"/>
      <c r="I840" s="615"/>
      <c r="J840" s="614"/>
      <c r="K840" s="614"/>
      <c r="L840" s="614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4"/>
      <c r="C841" s="614"/>
      <c r="D841" s="615"/>
      <c r="E841" s="198"/>
      <c r="F841" s="198"/>
      <c r="G841" s="198"/>
      <c r="H841" s="198"/>
      <c r="I841" s="615"/>
      <c r="J841" s="614"/>
      <c r="K841" s="614"/>
      <c r="L841" s="614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4"/>
      <c r="C842" s="614"/>
      <c r="D842" s="615"/>
      <c r="E842" s="198"/>
      <c r="F842" s="198"/>
      <c r="G842" s="198"/>
      <c r="H842" s="198"/>
      <c r="I842" s="615"/>
      <c r="J842" s="614"/>
      <c r="K842" s="614"/>
      <c r="L842" s="614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4"/>
      <c r="C843" s="614"/>
      <c r="D843" s="615"/>
      <c r="E843" s="198"/>
      <c r="F843" s="198"/>
      <c r="G843" s="198"/>
      <c r="H843" s="198"/>
      <c r="I843" s="615"/>
      <c r="J843" s="614"/>
      <c r="K843" s="614"/>
      <c r="L843" s="614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4"/>
      <c r="C844" s="614"/>
      <c r="D844" s="615"/>
      <c r="E844" s="198"/>
      <c r="F844" s="198"/>
      <c r="G844" s="198"/>
      <c r="H844" s="198"/>
      <c r="I844" s="615"/>
      <c r="J844" s="614"/>
      <c r="K844" s="614"/>
      <c r="L844" s="614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4"/>
      <c r="C845" s="614"/>
      <c r="D845" s="615"/>
      <c r="E845" s="198"/>
      <c r="F845" s="198"/>
      <c r="G845" s="198"/>
      <c r="H845" s="198"/>
      <c r="I845" s="615"/>
      <c r="J845" s="614"/>
      <c r="K845" s="614"/>
      <c r="L845" s="614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4"/>
      <c r="C846" s="614"/>
      <c r="D846" s="615"/>
      <c r="E846" s="198"/>
      <c r="F846" s="198"/>
      <c r="G846" s="198"/>
      <c r="H846" s="198"/>
      <c r="I846" s="615"/>
      <c r="J846" s="614"/>
      <c r="K846" s="614"/>
      <c r="L846" s="614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4"/>
      <c r="C847" s="614"/>
      <c r="D847" s="615"/>
      <c r="E847" s="198"/>
      <c r="F847" s="198"/>
      <c r="G847" s="198"/>
      <c r="H847" s="198"/>
      <c r="I847" s="615"/>
      <c r="J847" s="614"/>
      <c r="K847" s="614"/>
      <c r="L847" s="614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4"/>
      <c r="C848" s="614"/>
      <c r="D848" s="615"/>
      <c r="E848" s="198"/>
      <c r="F848" s="198"/>
      <c r="G848" s="198"/>
      <c r="H848" s="198"/>
      <c r="I848" s="615"/>
      <c r="J848" s="614"/>
      <c r="K848" s="614"/>
      <c r="L848" s="614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4"/>
      <c r="C849" s="614"/>
      <c r="D849" s="615"/>
      <c r="E849" s="198"/>
      <c r="F849" s="198"/>
      <c r="G849" s="198"/>
      <c r="H849" s="198"/>
      <c r="I849" s="615"/>
      <c r="J849" s="614"/>
      <c r="K849" s="614"/>
      <c r="L849" s="614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4"/>
      <c r="C850" s="614"/>
      <c r="D850" s="615"/>
      <c r="E850" s="198"/>
      <c r="F850" s="198"/>
      <c r="G850" s="198"/>
      <c r="H850" s="198"/>
      <c r="I850" s="615"/>
      <c r="J850" s="614"/>
      <c r="K850" s="614"/>
      <c r="L850" s="614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4"/>
      <c r="C851" s="614"/>
      <c r="D851" s="615"/>
      <c r="E851" s="198"/>
      <c r="F851" s="198"/>
      <c r="G851" s="198"/>
      <c r="H851" s="198"/>
      <c r="I851" s="615"/>
      <c r="J851" s="614"/>
      <c r="K851" s="614"/>
      <c r="L851" s="614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4"/>
      <c r="C852" s="614"/>
      <c r="D852" s="615"/>
      <c r="E852" s="198"/>
      <c r="F852" s="198"/>
      <c r="G852" s="198"/>
      <c r="H852" s="198"/>
      <c r="I852" s="615"/>
      <c r="J852" s="614"/>
      <c r="K852" s="614"/>
      <c r="L852" s="614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4"/>
      <c r="C853" s="614"/>
      <c r="D853" s="615"/>
      <c r="E853" s="198"/>
      <c r="F853" s="198"/>
      <c r="G853" s="198"/>
      <c r="H853" s="198"/>
      <c r="I853" s="615"/>
      <c r="J853" s="614"/>
      <c r="K853" s="614"/>
      <c r="L853" s="614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4"/>
      <c r="C854" s="614"/>
      <c r="D854" s="615"/>
      <c r="E854" s="198"/>
      <c r="F854" s="198"/>
      <c r="G854" s="198"/>
      <c r="H854" s="198"/>
      <c r="I854" s="615"/>
      <c r="J854" s="614"/>
      <c r="K854" s="614"/>
      <c r="L854" s="614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4"/>
      <c r="C855" s="614"/>
      <c r="D855" s="615"/>
      <c r="E855" s="198"/>
      <c r="F855" s="198"/>
      <c r="G855" s="198"/>
      <c r="H855" s="198"/>
      <c r="I855" s="615"/>
      <c r="J855" s="614"/>
      <c r="K855" s="614"/>
      <c r="L855" s="614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4"/>
      <c r="C856" s="614"/>
      <c r="D856" s="615"/>
      <c r="E856" s="198"/>
      <c r="F856" s="198"/>
      <c r="G856" s="198"/>
      <c r="H856" s="198"/>
      <c r="I856" s="615"/>
      <c r="J856" s="614"/>
      <c r="K856" s="614"/>
      <c r="L856" s="614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4"/>
      <c r="C857" s="614"/>
      <c r="D857" s="615"/>
      <c r="E857" s="198"/>
      <c r="F857" s="198"/>
      <c r="G857" s="198"/>
      <c r="H857" s="198"/>
      <c r="I857" s="615"/>
      <c r="J857" s="614"/>
      <c r="K857" s="614"/>
      <c r="L857" s="614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4"/>
      <c r="C858" s="614"/>
      <c r="D858" s="615"/>
      <c r="E858" s="198"/>
      <c r="F858" s="198"/>
      <c r="G858" s="198"/>
      <c r="H858" s="198"/>
      <c r="I858" s="615"/>
      <c r="J858" s="614"/>
      <c r="K858" s="614"/>
      <c r="L858" s="614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4"/>
      <c r="C859" s="614"/>
      <c r="D859" s="615"/>
      <c r="E859" s="198"/>
      <c r="F859" s="198"/>
      <c r="G859" s="198"/>
      <c r="H859" s="198"/>
      <c r="I859" s="615"/>
      <c r="J859" s="614"/>
      <c r="K859" s="614"/>
      <c r="L859" s="614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4"/>
      <c r="C860" s="614"/>
      <c r="D860" s="615"/>
      <c r="E860" s="198"/>
      <c r="F860" s="198"/>
      <c r="G860" s="198"/>
      <c r="H860" s="198"/>
      <c r="I860" s="615"/>
      <c r="J860" s="614"/>
      <c r="K860" s="614"/>
      <c r="L860" s="614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4"/>
      <c r="C861" s="614"/>
      <c r="D861" s="615"/>
      <c r="E861" s="198"/>
      <c r="F861" s="198"/>
      <c r="G861" s="198"/>
      <c r="H861" s="198"/>
      <c r="I861" s="615"/>
      <c r="J861" s="614"/>
      <c r="K861" s="614"/>
      <c r="L861" s="614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4"/>
      <c r="C862" s="614"/>
      <c r="D862" s="615"/>
      <c r="E862" s="198"/>
      <c r="F862" s="198"/>
      <c r="G862" s="198"/>
      <c r="H862" s="198"/>
      <c r="I862" s="615"/>
      <c r="J862" s="614"/>
      <c r="K862" s="614"/>
      <c r="L862" s="614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4"/>
      <c r="C863" s="614"/>
      <c r="D863" s="615"/>
      <c r="E863" s="198"/>
      <c r="F863" s="198"/>
      <c r="G863" s="198"/>
      <c r="H863" s="198"/>
      <c r="I863" s="615"/>
      <c r="J863" s="614"/>
      <c r="K863" s="614"/>
      <c r="L863" s="614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4"/>
      <c r="C864" s="614"/>
      <c r="D864" s="615"/>
      <c r="E864" s="198"/>
      <c r="F864" s="198"/>
      <c r="G864" s="198"/>
      <c r="H864" s="198"/>
      <c r="I864" s="615"/>
      <c r="J864" s="614"/>
      <c r="K864" s="614"/>
      <c r="L864" s="614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4"/>
      <c r="C865" s="614"/>
      <c r="D865" s="615"/>
      <c r="E865" s="198"/>
      <c r="F865" s="198"/>
      <c r="G865" s="198"/>
      <c r="H865" s="198"/>
      <c r="I865" s="615"/>
      <c r="J865" s="614"/>
      <c r="K865" s="614"/>
      <c r="L865" s="614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4"/>
      <c r="C866" s="614"/>
      <c r="D866" s="615"/>
      <c r="E866" s="198"/>
      <c r="F866" s="198"/>
      <c r="G866" s="198"/>
      <c r="H866" s="198"/>
      <c r="I866" s="615"/>
      <c r="J866" s="614"/>
      <c r="K866" s="614"/>
      <c r="L866" s="614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4"/>
      <c r="C867" s="614"/>
      <c r="D867" s="615"/>
      <c r="E867" s="198"/>
      <c r="F867" s="198"/>
      <c r="G867" s="198"/>
      <c r="H867" s="198"/>
      <c r="I867" s="615"/>
      <c r="J867" s="614"/>
      <c r="K867" s="614"/>
      <c r="L867" s="614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4"/>
      <c r="C868" s="614"/>
      <c r="D868" s="615"/>
      <c r="E868" s="198"/>
      <c r="F868" s="198"/>
      <c r="G868" s="198"/>
      <c r="H868" s="198"/>
      <c r="I868" s="615"/>
      <c r="J868" s="614"/>
      <c r="K868" s="614"/>
      <c r="L868" s="614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4"/>
      <c r="C869" s="614"/>
      <c r="D869" s="615"/>
      <c r="E869" s="198"/>
      <c r="F869" s="198"/>
      <c r="G869" s="198"/>
      <c r="H869" s="198"/>
      <c r="I869" s="615"/>
      <c r="J869" s="614"/>
      <c r="K869" s="614"/>
      <c r="L869" s="614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4"/>
      <c r="C870" s="614"/>
      <c r="D870" s="615"/>
      <c r="E870" s="198"/>
      <c r="F870" s="198"/>
      <c r="G870" s="198"/>
      <c r="H870" s="198"/>
      <c r="I870" s="615"/>
      <c r="J870" s="614"/>
      <c r="K870" s="614"/>
      <c r="L870" s="614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4"/>
      <c r="C871" s="614"/>
      <c r="D871" s="615"/>
      <c r="E871" s="198"/>
      <c r="F871" s="198"/>
      <c r="G871" s="198"/>
      <c r="H871" s="198"/>
      <c r="I871" s="615"/>
      <c r="J871" s="614"/>
      <c r="K871" s="614"/>
      <c r="L871" s="614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4"/>
      <c r="C872" s="614"/>
      <c r="D872" s="615"/>
      <c r="E872" s="198"/>
      <c r="F872" s="198"/>
      <c r="G872" s="198"/>
      <c r="H872" s="198"/>
      <c r="I872" s="615"/>
      <c r="J872" s="614"/>
      <c r="K872" s="614"/>
      <c r="L872" s="614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4"/>
      <c r="C873" s="614"/>
      <c r="D873" s="615"/>
      <c r="E873" s="198"/>
      <c r="F873" s="198"/>
      <c r="G873" s="198"/>
      <c r="H873" s="198"/>
      <c r="I873" s="615"/>
      <c r="J873" s="614"/>
      <c r="K873" s="614"/>
      <c r="L873" s="614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4"/>
      <c r="C874" s="614"/>
      <c r="D874" s="615"/>
      <c r="E874" s="198"/>
      <c r="F874" s="198"/>
      <c r="G874" s="198"/>
      <c r="H874" s="198"/>
      <c r="I874" s="615"/>
      <c r="J874" s="614"/>
      <c r="K874" s="614"/>
      <c r="L874" s="614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4"/>
      <c r="C875" s="614"/>
      <c r="D875" s="615"/>
      <c r="E875" s="198"/>
      <c r="F875" s="198"/>
      <c r="G875" s="198"/>
      <c r="H875" s="198"/>
      <c r="I875" s="615"/>
      <c r="J875" s="614"/>
      <c r="K875" s="614"/>
      <c r="L875" s="614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4"/>
      <c r="C876" s="614"/>
      <c r="D876" s="615"/>
      <c r="E876" s="198"/>
      <c r="F876" s="198"/>
      <c r="G876" s="198"/>
      <c r="H876" s="198"/>
      <c r="I876" s="615"/>
      <c r="J876" s="614"/>
      <c r="K876" s="614"/>
      <c r="L876" s="614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4"/>
      <c r="C877" s="614"/>
      <c r="D877" s="615"/>
      <c r="E877" s="198"/>
      <c r="F877" s="198"/>
      <c r="G877" s="198"/>
      <c r="H877" s="198"/>
      <c r="I877" s="615"/>
      <c r="J877" s="614"/>
      <c r="K877" s="614"/>
      <c r="L877" s="614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4"/>
      <c r="C878" s="614"/>
      <c r="D878" s="615"/>
      <c r="E878" s="198"/>
      <c r="F878" s="198"/>
      <c r="G878" s="198"/>
      <c r="H878" s="198"/>
      <c r="I878" s="615"/>
      <c r="J878" s="614"/>
      <c r="K878" s="614"/>
      <c r="L878" s="614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4"/>
      <c r="C879" s="614"/>
      <c r="D879" s="615"/>
      <c r="E879" s="198"/>
      <c r="F879" s="198"/>
      <c r="G879" s="198"/>
      <c r="H879" s="198"/>
      <c r="I879" s="615"/>
      <c r="J879" s="614"/>
      <c r="K879" s="614"/>
      <c r="L879" s="614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4"/>
      <c r="C880" s="614"/>
      <c r="D880" s="615"/>
      <c r="E880" s="198"/>
      <c r="F880" s="198"/>
      <c r="G880" s="198"/>
      <c r="H880" s="198"/>
      <c r="I880" s="615"/>
      <c r="J880" s="614"/>
      <c r="K880" s="614"/>
      <c r="L880" s="614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4"/>
      <c r="C881" s="614"/>
      <c r="D881" s="615"/>
      <c r="E881" s="198"/>
      <c r="F881" s="198"/>
      <c r="G881" s="198"/>
      <c r="H881" s="198"/>
      <c r="I881" s="615"/>
      <c r="J881" s="614"/>
      <c r="K881" s="614"/>
      <c r="L881" s="614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4"/>
      <c r="C882" s="614"/>
      <c r="D882" s="615"/>
      <c r="E882" s="198"/>
      <c r="F882" s="198"/>
      <c r="G882" s="198"/>
      <c r="H882" s="198"/>
      <c r="I882" s="615"/>
      <c r="J882" s="614"/>
      <c r="K882" s="614"/>
      <c r="L882" s="614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4"/>
      <c r="C883" s="614"/>
      <c r="D883" s="615"/>
      <c r="E883" s="198"/>
      <c r="F883" s="198"/>
      <c r="G883" s="198"/>
      <c r="H883" s="198"/>
      <c r="I883" s="615"/>
      <c r="J883" s="614"/>
      <c r="K883" s="614"/>
      <c r="L883" s="614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4"/>
      <c r="C884" s="614"/>
      <c r="D884" s="615"/>
      <c r="E884" s="198"/>
      <c r="F884" s="198"/>
      <c r="G884" s="198"/>
      <c r="H884" s="198"/>
      <c r="I884" s="615"/>
      <c r="J884" s="614"/>
      <c r="K884" s="614"/>
      <c r="L884" s="614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4"/>
      <c r="C885" s="614"/>
      <c r="D885" s="615"/>
      <c r="E885" s="198"/>
      <c r="F885" s="198"/>
      <c r="G885" s="198"/>
      <c r="H885" s="198"/>
      <c r="I885" s="615"/>
      <c r="J885" s="614"/>
      <c r="K885" s="614"/>
      <c r="L885" s="614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4"/>
      <c r="C886" s="614"/>
      <c r="D886" s="615"/>
      <c r="E886" s="198"/>
      <c r="F886" s="198"/>
      <c r="G886" s="198"/>
      <c r="H886" s="198"/>
      <c r="I886" s="615"/>
      <c r="J886" s="614"/>
      <c r="K886" s="614"/>
      <c r="L886" s="614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4"/>
      <c r="C887" s="614"/>
      <c r="D887" s="615"/>
      <c r="E887" s="198"/>
      <c r="F887" s="198"/>
      <c r="G887" s="198"/>
      <c r="H887" s="198"/>
      <c r="I887" s="615"/>
      <c r="J887" s="614"/>
      <c r="K887" s="614"/>
      <c r="L887" s="614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4"/>
      <c r="C888" s="614"/>
      <c r="D888" s="615"/>
      <c r="E888" s="198"/>
      <c r="F888" s="198"/>
      <c r="G888" s="198"/>
      <c r="H888" s="198"/>
      <c r="I888" s="615"/>
      <c r="J888" s="614"/>
      <c r="K888" s="614"/>
      <c r="L888" s="614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4"/>
      <c r="C889" s="614"/>
      <c r="D889" s="615"/>
      <c r="E889" s="198"/>
      <c r="F889" s="198"/>
      <c r="G889" s="198"/>
      <c r="H889" s="198"/>
      <c r="I889" s="615"/>
      <c r="J889" s="614"/>
      <c r="K889" s="614"/>
      <c r="L889" s="614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4"/>
      <c r="C890" s="614"/>
      <c r="D890" s="615"/>
      <c r="E890" s="198"/>
      <c r="F890" s="198"/>
      <c r="G890" s="198"/>
      <c r="H890" s="198"/>
      <c r="I890" s="615"/>
      <c r="J890" s="614"/>
      <c r="K890" s="614"/>
      <c r="L890" s="614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4"/>
      <c r="C891" s="614"/>
      <c r="D891" s="615"/>
      <c r="E891" s="198"/>
      <c r="F891" s="198"/>
      <c r="G891" s="198"/>
      <c r="H891" s="198"/>
      <c r="I891" s="615"/>
      <c r="J891" s="614"/>
      <c r="K891" s="614"/>
      <c r="L891" s="614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4"/>
      <c r="C892" s="614"/>
      <c r="D892" s="615"/>
      <c r="E892" s="198"/>
      <c r="F892" s="198"/>
      <c r="G892" s="198"/>
      <c r="H892" s="198"/>
      <c r="I892" s="615"/>
      <c r="J892" s="614"/>
      <c r="K892" s="614"/>
      <c r="L892" s="614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4"/>
      <c r="C893" s="614"/>
      <c r="D893" s="615"/>
      <c r="E893" s="198"/>
      <c r="F893" s="198"/>
      <c r="G893" s="198"/>
      <c r="H893" s="198"/>
      <c r="I893" s="615"/>
      <c r="J893" s="614"/>
      <c r="K893" s="614"/>
      <c r="L893" s="614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4"/>
      <c r="C894" s="614"/>
      <c r="D894" s="615"/>
      <c r="E894" s="198"/>
      <c r="F894" s="198"/>
      <c r="G894" s="198"/>
      <c r="H894" s="198"/>
      <c r="I894" s="615"/>
      <c r="J894" s="614"/>
      <c r="K894" s="614"/>
      <c r="L894" s="614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4"/>
      <c r="C895" s="614"/>
      <c r="D895" s="615"/>
      <c r="E895" s="198"/>
      <c r="F895" s="198"/>
      <c r="G895" s="198"/>
      <c r="H895" s="198"/>
      <c r="I895" s="615"/>
      <c r="J895" s="614"/>
      <c r="K895" s="614"/>
      <c r="L895" s="614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4"/>
      <c r="C896" s="614"/>
      <c r="D896" s="615"/>
      <c r="E896" s="198"/>
      <c r="F896" s="198"/>
      <c r="G896" s="198"/>
      <c r="H896" s="198"/>
      <c r="I896" s="615"/>
      <c r="J896" s="614"/>
      <c r="K896" s="614"/>
      <c r="L896" s="614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4"/>
      <c r="C897" s="614"/>
      <c r="D897" s="615"/>
      <c r="E897" s="198"/>
      <c r="F897" s="198"/>
      <c r="G897" s="198"/>
      <c r="H897" s="198"/>
      <c r="I897" s="615"/>
      <c r="J897" s="614"/>
      <c r="K897" s="614"/>
      <c r="L897" s="614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4"/>
      <c r="C898" s="614"/>
      <c r="D898" s="615"/>
      <c r="E898" s="198"/>
      <c r="F898" s="198"/>
      <c r="G898" s="198"/>
      <c r="H898" s="198"/>
      <c r="I898" s="615"/>
      <c r="J898" s="614"/>
      <c r="K898" s="614"/>
      <c r="L898" s="614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4"/>
      <c r="C899" s="614"/>
      <c r="D899" s="615"/>
      <c r="E899" s="198"/>
      <c r="F899" s="198"/>
      <c r="G899" s="198"/>
      <c r="H899" s="198"/>
      <c r="I899" s="615"/>
      <c r="J899" s="614"/>
      <c r="K899" s="614"/>
      <c r="L899" s="614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4"/>
      <c r="C900" s="614"/>
      <c r="D900" s="615"/>
      <c r="E900" s="198"/>
      <c r="F900" s="198"/>
      <c r="G900" s="198"/>
      <c r="H900" s="198"/>
      <c r="I900" s="615"/>
      <c r="J900" s="614"/>
      <c r="K900" s="614"/>
      <c r="L900" s="614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4"/>
      <c r="C901" s="614"/>
      <c r="D901" s="615"/>
      <c r="E901" s="198"/>
      <c r="F901" s="198"/>
      <c r="G901" s="198"/>
      <c r="H901" s="198"/>
      <c r="I901" s="615"/>
      <c r="J901" s="614"/>
      <c r="K901" s="614"/>
      <c r="L901" s="614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4"/>
      <c r="C902" s="614"/>
      <c r="D902" s="615"/>
      <c r="E902" s="198"/>
      <c r="F902" s="198"/>
      <c r="G902" s="198"/>
      <c r="H902" s="198"/>
      <c r="I902" s="615"/>
      <c r="J902" s="614"/>
      <c r="K902" s="614"/>
      <c r="L902" s="614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4"/>
      <c r="C903" s="614"/>
      <c r="D903" s="615"/>
      <c r="E903" s="198"/>
      <c r="F903" s="198"/>
      <c r="G903" s="198"/>
      <c r="H903" s="198"/>
      <c r="I903" s="615"/>
      <c r="J903" s="614"/>
      <c r="K903" s="614"/>
      <c r="L903" s="614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4"/>
      <c r="C904" s="614"/>
      <c r="D904" s="615"/>
      <c r="E904" s="198"/>
      <c r="F904" s="198"/>
      <c r="G904" s="198"/>
      <c r="H904" s="198"/>
      <c r="I904" s="615"/>
      <c r="J904" s="614"/>
      <c r="K904" s="614"/>
      <c r="L904" s="614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4"/>
      <c r="C905" s="614"/>
      <c r="D905" s="615"/>
      <c r="E905" s="198"/>
      <c r="F905" s="198"/>
      <c r="G905" s="198"/>
      <c r="H905" s="198"/>
      <c r="I905" s="615"/>
      <c r="J905" s="614"/>
      <c r="K905" s="614"/>
      <c r="L905" s="614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4"/>
      <c r="C906" s="614"/>
      <c r="D906" s="615"/>
      <c r="E906" s="198"/>
      <c r="F906" s="198"/>
      <c r="G906" s="198"/>
      <c r="H906" s="198"/>
      <c r="I906" s="615"/>
      <c r="J906" s="614"/>
      <c r="K906" s="614"/>
      <c r="L906" s="614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4"/>
      <c r="C907" s="614"/>
      <c r="D907" s="615"/>
      <c r="E907" s="198"/>
      <c r="F907" s="198"/>
      <c r="G907" s="198"/>
      <c r="H907" s="198"/>
      <c r="I907" s="615"/>
      <c r="J907" s="614"/>
      <c r="K907" s="614"/>
      <c r="L907" s="614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4"/>
      <c r="C908" s="614"/>
      <c r="D908" s="615"/>
      <c r="E908" s="198"/>
      <c r="F908" s="198"/>
      <c r="G908" s="198"/>
      <c r="H908" s="198"/>
      <c r="I908" s="615"/>
      <c r="J908" s="614"/>
      <c r="K908" s="614"/>
      <c r="L908" s="614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4"/>
      <c r="C909" s="614"/>
      <c r="D909" s="615"/>
      <c r="E909" s="198"/>
      <c r="F909" s="198"/>
      <c r="G909" s="198"/>
      <c r="H909" s="198"/>
      <c r="I909" s="615"/>
      <c r="J909" s="614"/>
      <c r="K909" s="614"/>
      <c r="L909" s="614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4"/>
      <c r="C910" s="614"/>
      <c r="D910" s="615"/>
      <c r="E910" s="198"/>
      <c r="F910" s="198"/>
      <c r="G910" s="198"/>
      <c r="H910" s="198"/>
      <c r="I910" s="615"/>
      <c r="J910" s="614"/>
      <c r="K910" s="614"/>
      <c r="L910" s="614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4"/>
      <c r="C911" s="614"/>
      <c r="D911" s="615"/>
      <c r="E911" s="198"/>
      <c r="F911" s="198"/>
      <c r="G911" s="198"/>
      <c r="H911" s="198"/>
      <c r="I911" s="615"/>
      <c r="J911" s="614"/>
      <c r="K911" s="614"/>
      <c r="L911" s="614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4"/>
      <c r="C912" s="614"/>
      <c r="D912" s="615"/>
      <c r="E912" s="198"/>
      <c r="F912" s="198"/>
      <c r="G912" s="198"/>
      <c r="H912" s="198"/>
      <c r="I912" s="615"/>
      <c r="J912" s="614"/>
      <c r="K912" s="614"/>
      <c r="L912" s="614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4"/>
      <c r="C913" s="614"/>
      <c r="D913" s="615"/>
      <c r="E913" s="198"/>
      <c r="F913" s="198"/>
      <c r="G913" s="198"/>
      <c r="H913" s="198"/>
      <c r="I913" s="615"/>
      <c r="J913" s="614"/>
      <c r="K913" s="614"/>
      <c r="L913" s="614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4"/>
      <c r="C914" s="614"/>
      <c r="D914" s="615"/>
      <c r="E914" s="198"/>
      <c r="F914" s="198"/>
      <c r="G914" s="198"/>
      <c r="H914" s="198"/>
      <c r="I914" s="615"/>
      <c r="J914" s="614"/>
      <c r="K914" s="614"/>
      <c r="L914" s="614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4"/>
      <c r="C915" s="614"/>
      <c r="D915" s="615"/>
      <c r="E915" s="198"/>
      <c r="F915" s="198"/>
      <c r="G915" s="198"/>
      <c r="H915" s="198"/>
      <c r="I915" s="615"/>
      <c r="J915" s="614"/>
      <c r="K915" s="614"/>
      <c r="L915" s="614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4"/>
      <c r="C916" s="614"/>
      <c r="D916" s="615"/>
      <c r="E916" s="198"/>
      <c r="F916" s="198"/>
      <c r="G916" s="198"/>
      <c r="H916" s="198"/>
      <c r="I916" s="615"/>
      <c r="J916" s="614"/>
      <c r="K916" s="614"/>
      <c r="L916" s="614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4"/>
      <c r="C917" s="614"/>
      <c r="D917" s="615"/>
      <c r="E917" s="198"/>
      <c r="F917" s="198"/>
      <c r="G917" s="198"/>
      <c r="H917" s="198"/>
      <c r="I917" s="615"/>
      <c r="J917" s="614"/>
      <c r="K917" s="614"/>
      <c r="L917" s="614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4"/>
      <c r="C918" s="614"/>
      <c r="D918" s="615"/>
      <c r="E918" s="198"/>
      <c r="F918" s="198"/>
      <c r="G918" s="198"/>
      <c r="H918" s="198"/>
      <c r="I918" s="615"/>
      <c r="J918" s="614"/>
      <c r="K918" s="614"/>
      <c r="L918" s="614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4"/>
      <c r="C919" s="614"/>
      <c r="D919" s="615"/>
      <c r="E919" s="198"/>
      <c r="F919" s="198"/>
      <c r="G919" s="198"/>
      <c r="H919" s="198"/>
      <c r="I919" s="615"/>
      <c r="J919" s="614"/>
      <c r="K919" s="614"/>
      <c r="L919" s="614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4"/>
      <c r="C920" s="614"/>
      <c r="D920" s="615"/>
      <c r="E920" s="198"/>
      <c r="F920" s="198"/>
      <c r="G920" s="198"/>
      <c r="H920" s="198"/>
      <c r="I920" s="615"/>
      <c r="J920" s="614"/>
      <c r="K920" s="614"/>
      <c r="L920" s="614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4"/>
      <c r="C921" s="614"/>
      <c r="D921" s="615"/>
      <c r="E921" s="198"/>
      <c r="F921" s="198"/>
      <c r="G921" s="198"/>
      <c r="H921" s="198"/>
      <c r="I921" s="615"/>
      <c r="J921" s="614"/>
      <c r="K921" s="614"/>
      <c r="L921" s="614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4"/>
      <c r="C922" s="614"/>
      <c r="D922" s="615"/>
      <c r="E922" s="198"/>
      <c r="F922" s="198"/>
      <c r="G922" s="198"/>
      <c r="H922" s="198"/>
      <c r="I922" s="615"/>
      <c r="J922" s="614"/>
      <c r="K922" s="614"/>
      <c r="L922" s="614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4"/>
      <c r="C923" s="614"/>
      <c r="D923" s="615"/>
      <c r="E923" s="198"/>
      <c r="F923" s="198"/>
      <c r="G923" s="198"/>
      <c r="H923" s="198"/>
      <c r="I923" s="615"/>
      <c r="J923" s="614"/>
      <c r="K923" s="614"/>
      <c r="L923" s="614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4"/>
      <c r="C924" s="614"/>
      <c r="D924" s="615"/>
      <c r="E924" s="198"/>
      <c r="F924" s="198"/>
      <c r="G924" s="198"/>
      <c r="H924" s="198"/>
      <c r="I924" s="615"/>
      <c r="J924" s="614"/>
      <c r="K924" s="614"/>
      <c r="L924" s="614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4"/>
      <c r="C925" s="614"/>
      <c r="D925" s="615"/>
      <c r="E925" s="198"/>
      <c r="F925" s="198"/>
      <c r="G925" s="198"/>
      <c r="H925" s="198"/>
      <c r="I925" s="615"/>
      <c r="J925" s="614"/>
      <c r="K925" s="614"/>
      <c r="L925" s="614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4"/>
      <c r="C926" s="614"/>
      <c r="D926" s="615"/>
      <c r="E926" s="198"/>
      <c r="F926" s="198"/>
      <c r="G926" s="198"/>
      <c r="H926" s="198"/>
      <c r="I926" s="615"/>
      <c r="J926" s="614"/>
      <c r="K926" s="614"/>
      <c r="L926" s="614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4"/>
      <c r="C927" s="614"/>
      <c r="D927" s="615"/>
      <c r="E927" s="198"/>
      <c r="F927" s="198"/>
      <c r="G927" s="198"/>
      <c r="H927" s="198"/>
      <c r="I927" s="615"/>
      <c r="J927" s="614"/>
      <c r="K927" s="614"/>
      <c r="L927" s="614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4"/>
      <c r="C928" s="614"/>
      <c r="D928" s="615"/>
      <c r="E928" s="198"/>
      <c r="F928" s="198"/>
      <c r="G928" s="198"/>
      <c r="H928" s="198"/>
      <c r="I928" s="615"/>
      <c r="J928" s="614"/>
      <c r="K928" s="614"/>
      <c r="L928" s="614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4"/>
      <c r="C929" s="614"/>
      <c r="D929" s="615"/>
      <c r="E929" s="198"/>
      <c r="F929" s="198"/>
      <c r="G929" s="198"/>
      <c r="H929" s="198"/>
      <c r="I929" s="615"/>
      <c r="J929" s="614"/>
      <c r="K929" s="614"/>
      <c r="L929" s="614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4"/>
      <c r="C930" s="614"/>
      <c r="D930" s="615"/>
      <c r="E930" s="198"/>
      <c r="F930" s="198"/>
      <c r="G930" s="198"/>
      <c r="H930" s="198"/>
      <c r="I930" s="615"/>
      <c r="J930" s="614"/>
      <c r="K930" s="614"/>
      <c r="L930" s="614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4"/>
      <c r="C931" s="614"/>
      <c r="D931" s="615"/>
      <c r="E931" s="198"/>
      <c r="F931" s="198"/>
      <c r="G931" s="198"/>
      <c r="H931" s="198"/>
      <c r="I931" s="615"/>
      <c r="J931" s="614"/>
      <c r="K931" s="614"/>
      <c r="L931" s="614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4"/>
      <c r="C932" s="614"/>
      <c r="D932" s="615"/>
      <c r="E932" s="198"/>
      <c r="F932" s="198"/>
      <c r="G932" s="198"/>
      <c r="H932" s="198"/>
      <c r="I932" s="615"/>
      <c r="J932" s="614"/>
      <c r="K932" s="614"/>
      <c r="L932" s="614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4"/>
      <c r="C933" s="614"/>
      <c r="D933" s="615"/>
      <c r="E933" s="198"/>
      <c r="F933" s="198"/>
      <c r="G933" s="198"/>
      <c r="H933" s="198"/>
      <c r="I933" s="615"/>
      <c r="J933" s="614"/>
      <c r="K933" s="614"/>
      <c r="L933" s="614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4"/>
      <c r="C934" s="614"/>
      <c r="D934" s="615"/>
      <c r="E934" s="198"/>
      <c r="F934" s="198"/>
      <c r="G934" s="198"/>
      <c r="H934" s="198"/>
      <c r="I934" s="615"/>
      <c r="J934" s="614"/>
      <c r="K934" s="614"/>
      <c r="L934" s="614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4"/>
      <c r="C935" s="614"/>
      <c r="D935" s="615"/>
      <c r="E935" s="198"/>
      <c r="F935" s="198"/>
      <c r="G935" s="198"/>
      <c r="H935" s="198"/>
      <c r="I935" s="615"/>
      <c r="J935" s="614"/>
      <c r="K935" s="614"/>
      <c r="L935" s="614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4"/>
      <c r="C936" s="614"/>
      <c r="D936" s="615"/>
      <c r="E936" s="198"/>
      <c r="F936" s="198"/>
      <c r="G936" s="198"/>
      <c r="H936" s="198"/>
      <c r="I936" s="615"/>
      <c r="J936" s="614"/>
      <c r="K936" s="614"/>
      <c r="L936" s="614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4"/>
      <c r="C937" s="614"/>
      <c r="D937" s="615"/>
      <c r="E937" s="198"/>
      <c r="F937" s="198"/>
      <c r="G937" s="198"/>
      <c r="H937" s="198"/>
      <c r="I937" s="615"/>
      <c r="J937" s="614"/>
      <c r="K937" s="614"/>
      <c r="L937" s="614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4"/>
      <c r="C938" s="614"/>
      <c r="D938" s="615"/>
      <c r="E938" s="198"/>
      <c r="F938" s="198"/>
      <c r="G938" s="198"/>
      <c r="H938" s="198"/>
      <c r="I938" s="615"/>
      <c r="J938" s="614"/>
      <c r="K938" s="614"/>
      <c r="L938" s="614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4"/>
      <c r="C939" s="614"/>
      <c r="D939" s="615"/>
      <c r="E939" s="198"/>
      <c r="F939" s="198"/>
      <c r="G939" s="198"/>
      <c r="H939" s="198"/>
      <c r="I939" s="615"/>
      <c r="J939" s="614"/>
      <c r="K939" s="614"/>
      <c r="L939" s="614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4"/>
      <c r="C940" s="614"/>
      <c r="D940" s="615"/>
      <c r="E940" s="198"/>
      <c r="F940" s="198"/>
      <c r="G940" s="198"/>
      <c r="H940" s="198"/>
      <c r="I940" s="615"/>
      <c r="J940" s="614"/>
      <c r="K940" s="614"/>
      <c r="L940" s="614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4"/>
      <c r="C941" s="614"/>
      <c r="D941" s="615"/>
      <c r="E941" s="198"/>
      <c r="F941" s="198"/>
      <c r="G941" s="198"/>
      <c r="H941" s="198"/>
      <c r="I941" s="615"/>
      <c r="J941" s="614"/>
      <c r="K941" s="614"/>
      <c r="L941" s="614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4"/>
      <c r="C942" s="614"/>
      <c r="D942" s="615"/>
      <c r="E942" s="198"/>
      <c r="F942" s="198"/>
      <c r="G942" s="198"/>
      <c r="H942" s="198"/>
      <c r="I942" s="615"/>
      <c r="J942" s="614"/>
      <c r="K942" s="614"/>
      <c r="L942" s="614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4"/>
      <c r="C943" s="614"/>
      <c r="D943" s="615"/>
      <c r="E943" s="198"/>
      <c r="F943" s="198"/>
      <c r="G943" s="198"/>
      <c r="H943" s="198"/>
      <c r="I943" s="615"/>
      <c r="J943" s="614"/>
      <c r="K943" s="614"/>
      <c r="L943" s="614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4"/>
      <c r="C944" s="614"/>
      <c r="D944" s="615"/>
      <c r="E944" s="198"/>
      <c r="F944" s="198"/>
      <c r="G944" s="198"/>
      <c r="H944" s="198"/>
      <c r="I944" s="615"/>
      <c r="J944" s="614"/>
      <c r="K944" s="614"/>
      <c r="L944" s="614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4"/>
      <c r="C945" s="614"/>
      <c r="D945" s="615"/>
      <c r="E945" s="198"/>
      <c r="F945" s="198"/>
      <c r="G945" s="198"/>
      <c r="H945" s="198"/>
      <c r="I945" s="615"/>
      <c r="J945" s="614"/>
      <c r="K945" s="614"/>
      <c r="L945" s="614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4"/>
      <c r="C946" s="614"/>
      <c r="D946" s="615"/>
      <c r="E946" s="198"/>
      <c r="F946" s="198"/>
      <c r="G946" s="198"/>
      <c r="H946" s="198"/>
      <c r="I946" s="615"/>
      <c r="J946" s="614"/>
      <c r="K946" s="614"/>
      <c r="L946" s="614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4"/>
      <c r="C947" s="614"/>
      <c r="D947" s="615"/>
      <c r="E947" s="198"/>
      <c r="F947" s="198"/>
      <c r="G947" s="198"/>
      <c r="H947" s="198"/>
      <c r="I947" s="615"/>
      <c r="J947" s="614"/>
      <c r="K947" s="614"/>
      <c r="L947" s="614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4"/>
      <c r="C948" s="614"/>
      <c r="D948" s="615"/>
      <c r="E948" s="198"/>
      <c r="F948" s="198"/>
      <c r="G948" s="198"/>
      <c r="H948" s="198"/>
      <c r="I948" s="615"/>
      <c r="J948" s="614"/>
      <c r="K948" s="614"/>
      <c r="L948" s="614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4"/>
      <c r="C949" s="614"/>
      <c r="D949" s="615"/>
      <c r="E949" s="198"/>
      <c r="F949" s="198"/>
      <c r="G949" s="198"/>
      <c r="H949" s="198"/>
      <c r="I949" s="615"/>
      <c r="J949" s="614"/>
      <c r="K949" s="614"/>
      <c r="L949" s="614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4"/>
      <c r="C950" s="614"/>
      <c r="D950" s="615"/>
      <c r="E950" s="198"/>
      <c r="F950" s="198"/>
      <c r="G950" s="198"/>
      <c r="H950" s="198"/>
      <c r="I950" s="615"/>
      <c r="J950" s="614"/>
      <c r="K950" s="614"/>
      <c r="L950" s="614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4"/>
      <c r="C951" s="614"/>
      <c r="D951" s="615"/>
      <c r="E951" s="198"/>
      <c r="F951" s="198"/>
      <c r="G951" s="198"/>
      <c r="H951" s="198"/>
      <c r="I951" s="615"/>
      <c r="J951" s="614"/>
      <c r="K951" s="614"/>
      <c r="L951" s="614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4"/>
      <c r="C952" s="614"/>
      <c r="D952" s="615"/>
      <c r="E952" s="198"/>
      <c r="F952" s="198"/>
      <c r="G952" s="198"/>
      <c r="H952" s="198"/>
      <c r="I952" s="615"/>
      <c r="J952" s="614"/>
      <c r="K952" s="614"/>
      <c r="L952" s="614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4"/>
      <c r="C953" s="614"/>
      <c r="D953" s="615"/>
      <c r="E953" s="198"/>
      <c r="F953" s="198"/>
      <c r="G953" s="198"/>
      <c r="H953" s="198"/>
      <c r="I953" s="615"/>
      <c r="J953" s="614"/>
      <c r="K953" s="614"/>
      <c r="L953" s="614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4"/>
      <c r="C954" s="614"/>
      <c r="D954" s="615"/>
      <c r="E954" s="198"/>
      <c r="F954" s="198"/>
      <c r="G954" s="198"/>
      <c r="H954" s="198"/>
      <c r="I954" s="615"/>
      <c r="J954" s="614"/>
      <c r="K954" s="614"/>
      <c r="L954" s="614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4"/>
      <c r="C955" s="614"/>
      <c r="D955" s="615"/>
      <c r="E955" s="198"/>
      <c r="F955" s="198"/>
      <c r="G955" s="198"/>
      <c r="H955" s="198"/>
      <c r="I955" s="615"/>
      <c r="J955" s="614"/>
      <c r="K955" s="614"/>
      <c r="L955" s="614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4"/>
      <c r="C956" s="614"/>
      <c r="D956" s="615"/>
      <c r="E956" s="198"/>
      <c r="F956" s="198"/>
      <c r="G956" s="198"/>
      <c r="H956" s="198"/>
      <c r="I956" s="615"/>
      <c r="J956" s="614"/>
      <c r="K956" s="614"/>
      <c r="L956" s="614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4"/>
      <c r="C957" s="614"/>
      <c r="D957" s="615"/>
      <c r="E957" s="198"/>
      <c r="F957" s="198"/>
      <c r="G957" s="198"/>
      <c r="H957" s="198"/>
      <c r="I957" s="615"/>
      <c r="J957" s="614"/>
      <c r="K957" s="614"/>
      <c r="L957" s="614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4"/>
      <c r="C958" s="614"/>
      <c r="D958" s="615"/>
      <c r="E958" s="198"/>
      <c r="F958" s="198"/>
      <c r="G958" s="198"/>
      <c r="H958" s="198"/>
      <c r="I958" s="615"/>
      <c r="J958" s="614"/>
      <c r="K958" s="614"/>
      <c r="L958" s="614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4"/>
      <c r="C959" s="614"/>
      <c r="D959" s="615"/>
      <c r="E959" s="198"/>
      <c r="F959" s="198"/>
      <c r="G959" s="198"/>
      <c r="H959" s="198"/>
      <c r="I959" s="615"/>
      <c r="J959" s="614"/>
      <c r="K959" s="614"/>
      <c r="L959" s="614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4"/>
      <c r="C960" s="614"/>
      <c r="D960" s="615"/>
      <c r="E960" s="198"/>
      <c r="F960" s="198"/>
      <c r="G960" s="198"/>
      <c r="H960" s="198"/>
      <c r="I960" s="615"/>
      <c r="J960" s="614"/>
      <c r="K960" s="614"/>
      <c r="L960" s="614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4"/>
      <c r="C961" s="614"/>
      <c r="D961" s="615"/>
      <c r="E961" s="198"/>
      <c r="F961" s="198"/>
      <c r="G961" s="198"/>
      <c r="H961" s="198"/>
      <c r="I961" s="615"/>
      <c r="J961" s="614"/>
      <c r="K961" s="614"/>
      <c r="L961" s="614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4"/>
      <c r="C962" s="614"/>
      <c r="D962" s="615"/>
      <c r="E962" s="198"/>
      <c r="F962" s="198"/>
      <c r="G962" s="198"/>
      <c r="H962" s="198"/>
      <c r="I962" s="615"/>
      <c r="J962" s="614"/>
      <c r="K962" s="614"/>
      <c r="L962" s="614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4"/>
      <c r="C963" s="614"/>
      <c r="D963" s="615"/>
      <c r="E963" s="198"/>
      <c r="F963" s="198"/>
      <c r="G963" s="198"/>
      <c r="H963" s="198"/>
      <c r="I963" s="615"/>
      <c r="J963" s="614"/>
      <c r="K963" s="614"/>
      <c r="L963" s="614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4"/>
      <c r="C964" s="614"/>
      <c r="D964" s="615"/>
      <c r="E964" s="198"/>
      <c r="F964" s="198"/>
      <c r="G964" s="198"/>
      <c r="H964" s="198"/>
      <c r="I964" s="615"/>
      <c r="J964" s="614"/>
      <c r="K964" s="614"/>
      <c r="L964" s="614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4"/>
      <c r="C965" s="614"/>
      <c r="D965" s="615"/>
      <c r="E965" s="198"/>
      <c r="F965" s="198"/>
      <c r="G965" s="198"/>
      <c r="H965" s="198"/>
      <c r="I965" s="615"/>
      <c r="J965" s="614"/>
      <c r="K965" s="614"/>
      <c r="L965" s="614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4"/>
      <c r="C966" s="614"/>
      <c r="D966" s="615"/>
      <c r="E966" s="198"/>
      <c r="F966" s="198"/>
      <c r="G966" s="198"/>
      <c r="H966" s="198"/>
      <c r="I966" s="615"/>
      <c r="J966" s="614"/>
      <c r="K966" s="614"/>
      <c r="L966" s="614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4"/>
      <c r="C967" s="614"/>
      <c r="D967" s="615"/>
      <c r="E967" s="198"/>
      <c r="F967" s="198"/>
      <c r="G967" s="198"/>
      <c r="H967" s="198"/>
      <c r="I967" s="615"/>
      <c r="J967" s="614"/>
      <c r="K967" s="614"/>
      <c r="L967" s="614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4"/>
      <c r="C968" s="614"/>
      <c r="D968" s="615"/>
      <c r="E968" s="198"/>
      <c r="F968" s="198"/>
      <c r="G968" s="198"/>
      <c r="H968" s="198"/>
      <c r="I968" s="615"/>
      <c r="J968" s="614"/>
      <c r="K968" s="614"/>
      <c r="L968" s="614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4"/>
      <c r="C969" s="614"/>
      <c r="D969" s="615"/>
      <c r="E969" s="198"/>
      <c r="F969" s="198"/>
      <c r="G969" s="198"/>
      <c r="H969" s="198"/>
      <c r="I969" s="615"/>
      <c r="J969" s="614"/>
      <c r="K969" s="614"/>
      <c r="L969" s="614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4"/>
      <c r="C970" s="614"/>
      <c r="D970" s="615"/>
      <c r="E970" s="198"/>
      <c r="F970" s="198"/>
      <c r="G970" s="198"/>
      <c r="H970" s="198"/>
      <c r="I970" s="615"/>
      <c r="J970" s="614"/>
      <c r="K970" s="614"/>
      <c r="L970" s="614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4"/>
      <c r="C971" s="614"/>
      <c r="D971" s="615"/>
      <c r="E971" s="198"/>
      <c r="F971" s="198"/>
      <c r="G971" s="198"/>
      <c r="H971" s="198"/>
      <c r="I971" s="615"/>
      <c r="J971" s="614"/>
      <c r="K971" s="614"/>
      <c r="L971" s="614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4"/>
      <c r="C972" s="614"/>
      <c r="D972" s="615"/>
      <c r="E972" s="198"/>
      <c r="F972" s="198"/>
      <c r="G972" s="198"/>
      <c r="H972" s="198"/>
      <c r="I972" s="615"/>
      <c r="J972" s="614"/>
      <c r="K972" s="614"/>
      <c r="L972" s="614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4"/>
      <c r="C973" s="614"/>
      <c r="D973" s="615"/>
      <c r="E973" s="198"/>
      <c r="F973" s="198"/>
      <c r="G973" s="198"/>
      <c r="H973" s="198"/>
      <c r="I973" s="615"/>
      <c r="J973" s="614"/>
      <c r="K973" s="614"/>
      <c r="L973" s="614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4"/>
      <c r="C974" s="614"/>
      <c r="D974" s="615"/>
      <c r="E974" s="198"/>
      <c r="F974" s="198"/>
      <c r="G974" s="198"/>
      <c r="H974" s="198"/>
      <c r="I974" s="615"/>
      <c r="J974" s="614"/>
      <c r="K974" s="614"/>
      <c r="L974" s="614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4"/>
      <c r="C975" s="614"/>
      <c r="D975" s="615"/>
      <c r="E975" s="198"/>
      <c r="F975" s="198"/>
      <c r="G975" s="198"/>
      <c r="H975" s="198"/>
      <c r="I975" s="615"/>
      <c r="J975" s="614"/>
      <c r="K975" s="614"/>
      <c r="L975" s="614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4"/>
      <c r="C976" s="614"/>
      <c r="D976" s="615"/>
      <c r="E976" s="198"/>
      <c r="F976" s="198"/>
      <c r="G976" s="198"/>
      <c r="H976" s="198"/>
      <c r="I976" s="615"/>
      <c r="J976" s="614"/>
      <c r="K976" s="614"/>
      <c r="L976" s="614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4"/>
      <c r="C977" s="614"/>
      <c r="D977" s="615"/>
      <c r="E977" s="198"/>
      <c r="F977" s="198"/>
      <c r="G977" s="198"/>
      <c r="H977" s="198"/>
      <c r="I977" s="615"/>
      <c r="J977" s="614"/>
      <c r="K977" s="614"/>
      <c r="L977" s="614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4"/>
      <c r="C978" s="614"/>
      <c r="D978" s="615"/>
      <c r="E978" s="198"/>
      <c r="F978" s="198"/>
      <c r="G978" s="198"/>
      <c r="H978" s="198"/>
      <c r="I978" s="615"/>
      <c r="J978" s="614"/>
      <c r="K978" s="614"/>
      <c r="L978" s="614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4"/>
      <c r="C979" s="614"/>
      <c r="D979" s="615"/>
      <c r="E979" s="198"/>
      <c r="F979" s="198"/>
      <c r="G979" s="198"/>
      <c r="H979" s="198"/>
      <c r="I979" s="615"/>
      <c r="J979" s="614"/>
      <c r="K979" s="614"/>
      <c r="L979" s="614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4"/>
      <c r="C980" s="614"/>
      <c r="D980" s="615"/>
      <c r="E980" s="198"/>
      <c r="F980" s="198"/>
      <c r="G980" s="198"/>
      <c r="H980" s="198"/>
      <c r="I980" s="615"/>
      <c r="J980" s="614"/>
      <c r="K980" s="614"/>
      <c r="L980" s="614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4"/>
      <c r="C981" s="614"/>
      <c r="D981" s="615"/>
      <c r="E981" s="198"/>
      <c r="F981" s="198"/>
      <c r="G981" s="198"/>
      <c r="H981" s="198"/>
      <c r="I981" s="615"/>
      <c r="J981" s="614"/>
      <c r="K981" s="614"/>
      <c r="L981" s="614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4"/>
      <c r="C982" s="614"/>
      <c r="D982" s="615"/>
      <c r="E982" s="198"/>
      <c r="F982" s="198"/>
      <c r="G982" s="198"/>
      <c r="H982" s="198"/>
      <c r="I982" s="615"/>
      <c r="J982" s="614"/>
      <c r="K982" s="614"/>
      <c r="L982" s="614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4"/>
      <c r="C983" s="614"/>
      <c r="D983" s="615"/>
      <c r="E983" s="198"/>
      <c r="F983" s="198"/>
      <c r="G983" s="198"/>
      <c r="H983" s="198"/>
      <c r="I983" s="615"/>
      <c r="J983" s="614"/>
      <c r="K983" s="614"/>
      <c r="L983" s="614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4"/>
      <c r="C984" s="614"/>
      <c r="D984" s="615"/>
      <c r="E984" s="198"/>
      <c r="F984" s="198"/>
      <c r="G984" s="198"/>
      <c r="H984" s="198"/>
      <c r="I984" s="615"/>
      <c r="J984" s="614"/>
      <c r="K984" s="614"/>
      <c r="L984" s="614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4"/>
      <c r="C985" s="614"/>
      <c r="D985" s="615"/>
      <c r="E985" s="198"/>
      <c r="F985" s="198"/>
      <c r="G985" s="198"/>
      <c r="H985" s="198"/>
      <c r="I985" s="615"/>
      <c r="J985" s="614"/>
      <c r="K985" s="614"/>
      <c r="L985" s="614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4"/>
      <c r="C986" s="614"/>
      <c r="D986" s="615"/>
      <c r="E986" s="198"/>
      <c r="F986" s="198"/>
      <c r="G986" s="198"/>
      <c r="H986" s="198"/>
      <c r="I986" s="615"/>
      <c r="J986" s="614"/>
      <c r="K986" s="614"/>
      <c r="L986" s="614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4"/>
      <c r="C987" s="614"/>
      <c r="D987" s="615"/>
      <c r="E987" s="198"/>
      <c r="F987" s="198"/>
      <c r="G987" s="198"/>
      <c r="H987" s="198"/>
      <c r="I987" s="615"/>
      <c r="J987" s="614"/>
      <c r="K987" s="614"/>
      <c r="L987" s="614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4"/>
      <c r="C988" s="614"/>
      <c r="D988" s="615"/>
      <c r="E988" s="198"/>
      <c r="F988" s="198"/>
      <c r="G988" s="198"/>
      <c r="H988" s="198"/>
      <c r="I988" s="615"/>
      <c r="J988" s="614"/>
      <c r="K988" s="614"/>
      <c r="L988" s="614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4"/>
      <c r="C989" s="614"/>
      <c r="D989" s="615"/>
      <c r="E989" s="198"/>
      <c r="F989" s="198"/>
      <c r="G989" s="198"/>
      <c r="H989" s="198"/>
      <c r="I989" s="615"/>
      <c r="J989" s="614"/>
      <c r="K989" s="614"/>
      <c r="L989" s="614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4"/>
      <c r="C990" s="614"/>
      <c r="D990" s="615"/>
      <c r="E990" s="198"/>
      <c r="F990" s="198"/>
      <c r="G990" s="198"/>
      <c r="H990" s="198"/>
      <c r="I990" s="615"/>
      <c r="J990" s="614"/>
      <c r="K990" s="614"/>
      <c r="L990" s="614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4"/>
      <c r="C991" s="614"/>
      <c r="D991" s="615"/>
      <c r="E991" s="198"/>
      <c r="F991" s="198"/>
      <c r="G991" s="198"/>
      <c r="H991" s="198"/>
      <c r="I991" s="615"/>
      <c r="J991" s="614"/>
      <c r="K991" s="614"/>
      <c r="L991" s="614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4"/>
      <c r="C992" s="614"/>
      <c r="D992" s="615"/>
      <c r="E992" s="198"/>
      <c r="F992" s="198"/>
      <c r="G992" s="198"/>
      <c r="H992" s="198"/>
      <c r="I992" s="615"/>
      <c r="J992" s="614"/>
      <c r="K992" s="614"/>
      <c r="L992" s="614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4"/>
      <c r="C993" s="614"/>
      <c r="D993" s="615"/>
      <c r="E993" s="198"/>
      <c r="F993" s="198"/>
      <c r="G993" s="198"/>
      <c r="H993" s="198"/>
      <c r="I993" s="615"/>
      <c r="J993" s="614"/>
      <c r="K993" s="614"/>
      <c r="L993" s="614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4"/>
      <c r="C994" s="614"/>
      <c r="D994" s="615"/>
      <c r="E994" s="198"/>
      <c r="F994" s="198"/>
      <c r="G994" s="198"/>
      <c r="H994" s="198"/>
      <c r="I994" s="615"/>
      <c r="J994" s="614"/>
      <c r="K994" s="614"/>
      <c r="L994" s="614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4"/>
      <c r="C995" s="614"/>
      <c r="D995" s="615"/>
      <c r="E995" s="198"/>
      <c r="F995" s="198"/>
      <c r="G995" s="198"/>
      <c r="H995" s="198"/>
      <c r="I995" s="615"/>
      <c r="J995" s="614"/>
      <c r="K995" s="614"/>
      <c r="L995" s="614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4"/>
      <c r="C996" s="614"/>
      <c r="D996" s="615"/>
      <c r="E996" s="198"/>
      <c r="F996" s="198"/>
      <c r="G996" s="198"/>
      <c r="H996" s="198"/>
      <c r="I996" s="615"/>
      <c r="J996" s="614"/>
      <c r="K996" s="614"/>
      <c r="L996" s="614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4"/>
      <c r="C997" s="614"/>
      <c r="D997" s="615"/>
      <c r="E997" s="198"/>
      <c r="F997" s="198"/>
      <c r="G997" s="198"/>
      <c r="H997" s="198"/>
      <c r="I997" s="615"/>
      <c r="J997" s="614"/>
      <c r="K997" s="614"/>
      <c r="L997" s="614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4"/>
      <c r="C998" s="614"/>
      <c r="D998" s="615"/>
      <c r="E998" s="198"/>
      <c r="F998" s="198"/>
      <c r="G998" s="198"/>
      <c r="H998" s="198"/>
      <c r="I998" s="615"/>
      <c r="J998" s="614"/>
      <c r="K998" s="614"/>
      <c r="L998" s="614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4"/>
      <c r="C999" s="614"/>
      <c r="D999" s="615"/>
      <c r="E999" s="198"/>
      <c r="F999" s="198"/>
      <c r="G999" s="198"/>
      <c r="H999" s="198"/>
      <c r="I999" s="615"/>
      <c r="J999" s="614"/>
      <c r="K999" s="614"/>
      <c r="L999" s="614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4"/>
      <c r="C1000" s="614"/>
      <c r="D1000" s="615"/>
      <c r="E1000" s="198"/>
      <c r="F1000" s="198"/>
      <c r="G1000" s="198"/>
      <c r="H1000" s="198"/>
      <c r="I1000" s="615"/>
      <c r="J1000" s="614"/>
      <c r="K1000" s="614"/>
      <c r="L1000" s="614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L$4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4.71"/>
    <col customWidth="1" min="3" max="3" width="23.29"/>
    <col customWidth="1" min="4" max="4" width="37.71"/>
    <col customWidth="1" min="5" max="5" width="39.29"/>
    <col customWidth="1" min="6" max="6" width="47.86"/>
    <col customWidth="1" min="7" max="7" width="27.71"/>
    <col customWidth="1" min="8" max="8" width="24.14"/>
    <col customWidth="1" min="9" max="9" width="33.29"/>
    <col customWidth="1" min="10" max="10" width="24.14"/>
    <col customWidth="1" min="11" max="11" width="63.43"/>
    <col customWidth="1" min="12" max="12" width="82.14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7" t="s">
        <v>1</v>
      </c>
      <c r="C1" s="567" t="s">
        <v>2</v>
      </c>
      <c r="D1" s="568" t="s">
        <v>3</v>
      </c>
      <c r="E1" s="569" t="s">
        <v>4</v>
      </c>
      <c r="F1" s="312" t="s">
        <v>5</v>
      </c>
      <c r="G1" s="569" t="s">
        <v>6</v>
      </c>
      <c r="H1" s="312" t="s">
        <v>7</v>
      </c>
      <c r="I1" s="568" t="s">
        <v>8</v>
      </c>
      <c r="J1" s="569" t="s">
        <v>9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116.0</v>
      </c>
      <c r="B2" s="426" t="s">
        <v>8678</v>
      </c>
      <c r="C2" s="426">
        <v>2010.0</v>
      </c>
      <c r="D2" s="500">
        <v>40541.0</v>
      </c>
      <c r="E2" s="426" t="s">
        <v>8679</v>
      </c>
      <c r="F2" s="426" t="s">
        <v>8680</v>
      </c>
      <c r="G2" s="426" t="s">
        <v>552</v>
      </c>
      <c r="H2" s="426" t="s">
        <v>163</v>
      </c>
      <c r="I2" s="500">
        <v>42376.0</v>
      </c>
      <c r="J2" s="428">
        <v>1.0</v>
      </c>
      <c r="K2" s="617" t="s">
        <v>228</v>
      </c>
      <c r="L2" s="426" t="s">
        <v>256</v>
      </c>
      <c r="M2" s="319">
        <f t="shared" ref="M2:M278" si="1">I2-D2</f>
        <v>1835</v>
      </c>
      <c r="N2" s="198"/>
      <c r="O2" s="545" t="s">
        <v>8681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5.0" customHeight="1">
      <c r="A3" s="419">
        <v>216.0</v>
      </c>
      <c r="B3" s="420" t="s">
        <v>8682</v>
      </c>
      <c r="C3" s="420">
        <v>2010.0</v>
      </c>
      <c r="D3" s="497">
        <v>40491.0</v>
      </c>
      <c r="E3" s="420" t="s">
        <v>8683</v>
      </c>
      <c r="F3" s="420" t="s">
        <v>1203</v>
      </c>
      <c r="G3" s="420" t="s">
        <v>17</v>
      </c>
      <c r="H3" s="420" t="s">
        <v>153</v>
      </c>
      <c r="I3" s="497">
        <v>42395.0</v>
      </c>
      <c r="J3" s="422">
        <v>1.0</v>
      </c>
      <c r="K3" s="618" t="s">
        <v>238</v>
      </c>
      <c r="L3" s="420" t="s">
        <v>256</v>
      </c>
      <c r="M3" s="316">
        <f t="shared" si="1"/>
        <v>1904</v>
      </c>
      <c r="N3" s="198"/>
      <c r="O3" s="320" t="s">
        <v>27</v>
      </c>
      <c r="P3" s="320">
        <f>COUNTIF($G$2:$G$478,"PT")</f>
        <v>1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5.0" customHeight="1">
      <c r="A4" s="425">
        <v>316.0</v>
      </c>
      <c r="B4" s="426" t="s">
        <v>8684</v>
      </c>
      <c r="C4" s="426">
        <v>2010.0</v>
      </c>
      <c r="D4" s="500">
        <v>40542.0</v>
      </c>
      <c r="E4" s="426" t="s">
        <v>8685</v>
      </c>
      <c r="F4" s="426" t="s">
        <v>1674</v>
      </c>
      <c r="G4" s="426" t="s">
        <v>17</v>
      </c>
      <c r="H4" s="426" t="s">
        <v>740</v>
      </c>
      <c r="I4" s="500">
        <v>42396.0</v>
      </c>
      <c r="J4" s="428">
        <v>1.0</v>
      </c>
      <c r="K4" s="618" t="s">
        <v>238</v>
      </c>
      <c r="L4" s="426" t="s">
        <v>258</v>
      </c>
      <c r="M4" s="319">
        <f t="shared" si="1"/>
        <v>1854</v>
      </c>
      <c r="N4" s="198"/>
      <c r="O4" s="321" t="s">
        <v>34</v>
      </c>
      <c r="P4" s="321">
        <f>COUNTIF($G$2:$G$478,"PTN")</f>
        <v>1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5.0" customHeight="1">
      <c r="A5" s="419">
        <v>416.0</v>
      </c>
      <c r="B5" s="420" t="s">
        <v>8686</v>
      </c>
      <c r="C5" s="420">
        <v>2013.0</v>
      </c>
      <c r="D5" s="497">
        <v>41330.0</v>
      </c>
      <c r="E5" s="420" t="s">
        <v>8687</v>
      </c>
      <c r="F5" s="420" t="s">
        <v>1203</v>
      </c>
      <c r="G5" s="420" t="s">
        <v>17</v>
      </c>
      <c r="H5" s="420" t="s">
        <v>4597</v>
      </c>
      <c r="I5" s="497">
        <v>42397.0</v>
      </c>
      <c r="J5" s="422">
        <v>1.0</v>
      </c>
      <c r="K5" s="618" t="s">
        <v>238</v>
      </c>
      <c r="L5" s="420" t="s">
        <v>256</v>
      </c>
      <c r="M5" s="316">
        <f t="shared" si="1"/>
        <v>1067</v>
      </c>
      <c r="N5" s="198"/>
      <c r="O5" s="322" t="s">
        <v>40</v>
      </c>
      <c r="P5" s="322">
        <f>COUNTIF($G$2:$G$478,"PTE")</f>
        <v>160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5.75" customHeight="1">
      <c r="A6" s="425">
        <v>516.0</v>
      </c>
      <c r="B6" s="426" t="s">
        <v>8688</v>
      </c>
      <c r="C6" s="426">
        <v>2010.0</v>
      </c>
      <c r="D6" s="500">
        <v>40491.0</v>
      </c>
      <c r="E6" s="426" t="s">
        <v>8689</v>
      </c>
      <c r="F6" s="426" t="s">
        <v>8690</v>
      </c>
      <c r="G6" s="426" t="s">
        <v>547</v>
      </c>
      <c r="H6" s="426" t="s">
        <v>651</v>
      </c>
      <c r="I6" s="500">
        <v>42397.0</v>
      </c>
      <c r="J6" s="428">
        <v>1.0</v>
      </c>
      <c r="K6" s="618" t="s">
        <v>238</v>
      </c>
      <c r="L6" s="426" t="s">
        <v>256</v>
      </c>
      <c r="M6" s="319">
        <f t="shared" si="1"/>
        <v>1906</v>
      </c>
      <c r="N6" s="619"/>
      <c r="O6" s="321" t="s">
        <v>46</v>
      </c>
      <c r="P6" s="321">
        <f>COUNTIF($G$2:$G$478,"Pré-Mistura")</f>
        <v>1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616.0</v>
      </c>
      <c r="B7" s="420" t="s">
        <v>8691</v>
      </c>
      <c r="C7" s="420">
        <v>2013.0</v>
      </c>
      <c r="D7" s="497">
        <v>41366.0</v>
      </c>
      <c r="E7" s="420" t="s">
        <v>8692</v>
      </c>
      <c r="F7" s="420" t="s">
        <v>8693</v>
      </c>
      <c r="G7" s="420" t="s">
        <v>17</v>
      </c>
      <c r="H7" s="420" t="s">
        <v>50</v>
      </c>
      <c r="I7" s="497">
        <v>42398.0</v>
      </c>
      <c r="J7" s="422">
        <v>1.0</v>
      </c>
      <c r="K7" s="618" t="s">
        <v>238</v>
      </c>
      <c r="L7" s="420" t="s">
        <v>256</v>
      </c>
      <c r="M7" s="316">
        <f t="shared" si="1"/>
        <v>1032</v>
      </c>
      <c r="N7" s="198"/>
      <c r="O7" s="322" t="s">
        <v>553</v>
      </c>
      <c r="P7" s="322">
        <f>COUNTIF($G$2:$G$478,"PF")</f>
        <v>19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716.0</v>
      </c>
      <c r="B8" s="426" t="s">
        <v>8694</v>
      </c>
      <c r="C8" s="426">
        <v>2013.0</v>
      </c>
      <c r="D8" s="500">
        <v>41596.0</v>
      </c>
      <c r="E8" s="426" t="s">
        <v>8695</v>
      </c>
      <c r="F8" s="426" t="s">
        <v>8693</v>
      </c>
      <c r="G8" s="426" t="s">
        <v>17</v>
      </c>
      <c r="H8" s="426" t="s">
        <v>153</v>
      </c>
      <c r="I8" s="500">
        <v>42398.0</v>
      </c>
      <c r="J8" s="428">
        <v>1.0</v>
      </c>
      <c r="K8" s="618" t="s">
        <v>238</v>
      </c>
      <c r="L8" s="426" t="s">
        <v>256</v>
      </c>
      <c r="M8" s="319">
        <f t="shared" si="1"/>
        <v>802</v>
      </c>
      <c r="N8" s="198"/>
      <c r="O8" s="321" t="s">
        <v>547</v>
      </c>
      <c r="P8" s="321">
        <f>COUNTIF($G$2:$G$478,"PFN")</f>
        <v>10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816.0</v>
      </c>
      <c r="B9" s="420" t="s">
        <v>8696</v>
      </c>
      <c r="C9" s="420">
        <v>2009.0</v>
      </c>
      <c r="D9" s="497">
        <v>40060.0</v>
      </c>
      <c r="E9" s="420" t="s">
        <v>8697</v>
      </c>
      <c r="F9" s="420" t="s">
        <v>719</v>
      </c>
      <c r="G9" s="420" t="s">
        <v>552</v>
      </c>
      <c r="H9" s="420" t="s">
        <v>66</v>
      </c>
      <c r="I9" s="497">
        <v>42405.0</v>
      </c>
      <c r="J9" s="422">
        <v>2.0</v>
      </c>
      <c r="K9" s="620" t="s">
        <v>234</v>
      </c>
      <c r="L9" s="420" t="s">
        <v>258</v>
      </c>
      <c r="M9" s="316">
        <f t="shared" si="1"/>
        <v>2345</v>
      </c>
      <c r="N9" s="198"/>
      <c r="O9" s="322" t="s">
        <v>560</v>
      </c>
      <c r="P9" s="322">
        <f>COUNTIF($G$2:$G$478,"PF/PTE")</f>
        <v>46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916.0</v>
      </c>
      <c r="B10" s="426" t="s">
        <v>8698</v>
      </c>
      <c r="C10" s="426">
        <v>2014.0</v>
      </c>
      <c r="D10" s="500">
        <v>41978.0</v>
      </c>
      <c r="E10" s="426" t="s">
        <v>8699</v>
      </c>
      <c r="F10" s="426" t="s">
        <v>8700</v>
      </c>
      <c r="G10" s="426" t="s">
        <v>565</v>
      </c>
      <c r="H10" s="426" t="s">
        <v>601</v>
      </c>
      <c r="I10" s="500">
        <v>42405.0</v>
      </c>
      <c r="J10" s="428">
        <v>2.0</v>
      </c>
      <c r="K10" s="621" t="s">
        <v>244</v>
      </c>
      <c r="L10" s="426" t="s">
        <v>260</v>
      </c>
      <c r="M10" s="319">
        <f t="shared" si="1"/>
        <v>427</v>
      </c>
      <c r="N10" s="619"/>
      <c r="O10" s="321" t="s">
        <v>565</v>
      </c>
      <c r="P10" s="321">
        <f>COUNTIF($G$2:$G$478,"Bio")</f>
        <v>15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1016.0</v>
      </c>
      <c r="B11" s="420" t="s">
        <v>8701</v>
      </c>
      <c r="C11" s="420">
        <v>2014.0</v>
      </c>
      <c r="D11" s="497">
        <v>41978.0</v>
      </c>
      <c r="E11" s="420" t="s">
        <v>8702</v>
      </c>
      <c r="F11" s="420" t="s">
        <v>8700</v>
      </c>
      <c r="G11" s="420" t="s">
        <v>565</v>
      </c>
      <c r="H11" s="420" t="s">
        <v>2539</v>
      </c>
      <c r="I11" s="497">
        <v>42410.0</v>
      </c>
      <c r="J11" s="422">
        <v>2.0</v>
      </c>
      <c r="K11" s="621" t="s">
        <v>244</v>
      </c>
      <c r="L11" s="420" t="s">
        <v>260</v>
      </c>
      <c r="M11" s="316">
        <f t="shared" si="1"/>
        <v>432</v>
      </c>
      <c r="N11" s="198"/>
      <c r="O11" s="323" t="s">
        <v>569</v>
      </c>
      <c r="P11" s="323">
        <f>COUNTIF($G$2:$G$478,"Bio/Org")</f>
        <v>24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1116.0</v>
      </c>
      <c r="B12" s="426" t="s">
        <v>8703</v>
      </c>
      <c r="C12" s="426">
        <v>2012.0</v>
      </c>
      <c r="D12" s="500">
        <v>41059.0</v>
      </c>
      <c r="E12" s="426" t="s">
        <v>8704</v>
      </c>
      <c r="F12" s="426" t="s">
        <v>8705</v>
      </c>
      <c r="G12" s="426" t="s">
        <v>650</v>
      </c>
      <c r="H12" s="426" t="s">
        <v>601</v>
      </c>
      <c r="I12" s="500">
        <v>42412.0</v>
      </c>
      <c r="J12" s="428">
        <v>2.0</v>
      </c>
      <c r="K12" s="620" t="s">
        <v>234</v>
      </c>
      <c r="L12" s="426" t="s">
        <v>256</v>
      </c>
      <c r="M12" s="319">
        <f t="shared" si="1"/>
        <v>1353</v>
      </c>
      <c r="N12" s="198"/>
      <c r="O12" s="324" t="s">
        <v>51</v>
      </c>
      <c r="P12" s="325">
        <f>SUM(P3:P11)</f>
        <v>277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419">
        <v>1216.0</v>
      </c>
      <c r="B13" s="420" t="s">
        <v>8706</v>
      </c>
      <c r="C13" s="420">
        <v>2011.0</v>
      </c>
      <c r="D13" s="497">
        <v>40703.0</v>
      </c>
      <c r="E13" s="420" t="s">
        <v>8707</v>
      </c>
      <c r="F13" s="420" t="s">
        <v>8119</v>
      </c>
      <c r="G13" s="420" t="s">
        <v>552</v>
      </c>
      <c r="H13" s="420" t="s">
        <v>5016</v>
      </c>
      <c r="I13" s="497">
        <v>42419.0</v>
      </c>
      <c r="J13" s="422">
        <v>2.0</v>
      </c>
      <c r="K13" s="617" t="s">
        <v>228</v>
      </c>
      <c r="L13" s="420" t="s">
        <v>258</v>
      </c>
      <c r="M13" s="316">
        <f t="shared" si="1"/>
        <v>1716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4.25" customHeight="1">
      <c r="A14" s="425">
        <v>1316.0</v>
      </c>
      <c r="B14" s="426" t="s">
        <v>8708</v>
      </c>
      <c r="C14" s="426">
        <v>2013.0</v>
      </c>
      <c r="D14" s="500">
        <v>41605.0</v>
      </c>
      <c r="E14" s="426" t="s">
        <v>8709</v>
      </c>
      <c r="F14" s="622" t="s">
        <v>2343</v>
      </c>
      <c r="G14" s="426" t="s">
        <v>569</v>
      </c>
      <c r="H14" s="426" t="s">
        <v>8710</v>
      </c>
      <c r="I14" s="500">
        <v>42422.0</v>
      </c>
      <c r="J14" s="428">
        <v>2.0</v>
      </c>
      <c r="K14" s="621" t="s">
        <v>244</v>
      </c>
      <c r="L14" s="426" t="s">
        <v>260</v>
      </c>
      <c r="M14" s="319">
        <f t="shared" si="1"/>
        <v>817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5.0" customHeight="1">
      <c r="A15" s="419">
        <v>1416.0</v>
      </c>
      <c r="B15" s="420" t="s">
        <v>8711</v>
      </c>
      <c r="C15" s="420">
        <v>2013.0</v>
      </c>
      <c r="D15" s="497">
        <v>41605.0</v>
      </c>
      <c r="E15" s="420" t="s">
        <v>8712</v>
      </c>
      <c r="F15" s="623" t="s">
        <v>2343</v>
      </c>
      <c r="G15" s="420" t="s">
        <v>569</v>
      </c>
      <c r="H15" s="420" t="s">
        <v>8710</v>
      </c>
      <c r="I15" s="497">
        <v>42422.0</v>
      </c>
      <c r="J15" s="422">
        <v>2.0</v>
      </c>
      <c r="K15" s="621" t="s">
        <v>244</v>
      </c>
      <c r="L15" s="420" t="s">
        <v>260</v>
      </c>
      <c r="M15" s="316">
        <f t="shared" si="1"/>
        <v>817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4.25" customHeight="1">
      <c r="A16" s="425">
        <v>1516.0</v>
      </c>
      <c r="B16" s="426" t="s">
        <v>8713</v>
      </c>
      <c r="C16" s="426">
        <v>2014.0</v>
      </c>
      <c r="D16" s="500">
        <v>41898.0</v>
      </c>
      <c r="E16" s="426" t="s">
        <v>8714</v>
      </c>
      <c r="F16" s="622" t="s">
        <v>5332</v>
      </c>
      <c r="G16" s="426" t="s">
        <v>569</v>
      </c>
      <c r="H16" s="426" t="s">
        <v>8715</v>
      </c>
      <c r="I16" s="500">
        <v>42425.0</v>
      </c>
      <c r="J16" s="428">
        <v>2.0</v>
      </c>
      <c r="K16" s="621" t="s">
        <v>850</v>
      </c>
      <c r="L16" s="426" t="s">
        <v>260</v>
      </c>
      <c r="M16" s="319">
        <f t="shared" si="1"/>
        <v>527</v>
      </c>
      <c r="N16" s="198"/>
      <c r="O16" s="331" t="s">
        <v>8716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3.5" customHeight="1">
      <c r="A17" s="419">
        <v>1616.0</v>
      </c>
      <c r="B17" s="420" t="s">
        <v>8717</v>
      </c>
      <c r="C17" s="420">
        <v>2009.0</v>
      </c>
      <c r="D17" s="497">
        <v>40039.0</v>
      </c>
      <c r="E17" s="420" t="s">
        <v>8718</v>
      </c>
      <c r="F17" s="420" t="s">
        <v>4525</v>
      </c>
      <c r="G17" s="420" t="s">
        <v>34</v>
      </c>
      <c r="H17" s="420" t="s">
        <v>705</v>
      </c>
      <c r="I17" s="497">
        <v>42432.0</v>
      </c>
      <c r="J17" s="422">
        <v>3.0</v>
      </c>
      <c r="K17" s="618" t="s">
        <v>238</v>
      </c>
      <c r="L17" s="420" t="s">
        <v>258</v>
      </c>
      <c r="M17" s="316">
        <f t="shared" si="1"/>
        <v>2393</v>
      </c>
      <c r="N17" s="198"/>
      <c r="O17" s="334" t="s">
        <v>8719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3.5" customHeight="1">
      <c r="A18" s="425">
        <v>1716.0</v>
      </c>
      <c r="B18" s="426" t="s">
        <v>8720</v>
      </c>
      <c r="C18" s="426">
        <v>2010.0</v>
      </c>
      <c r="D18" s="500">
        <v>40505.0</v>
      </c>
      <c r="E18" s="426" t="s">
        <v>8721</v>
      </c>
      <c r="F18" s="426" t="s">
        <v>171</v>
      </c>
      <c r="G18" s="426" t="s">
        <v>17</v>
      </c>
      <c r="H18" s="426" t="s">
        <v>153</v>
      </c>
      <c r="I18" s="500">
        <v>42436.0</v>
      </c>
      <c r="J18" s="428">
        <v>3.0</v>
      </c>
      <c r="K18" s="618" t="s">
        <v>238</v>
      </c>
      <c r="L18" s="426" t="s">
        <v>256</v>
      </c>
      <c r="M18" s="319">
        <f t="shared" si="1"/>
        <v>1931</v>
      </c>
      <c r="N18" s="198"/>
      <c r="O18" s="335" t="s">
        <v>8722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3.5" customHeight="1">
      <c r="A19" s="419">
        <v>1816.0</v>
      </c>
      <c r="B19" s="420" t="s">
        <v>8723</v>
      </c>
      <c r="C19" s="420">
        <v>2009.0</v>
      </c>
      <c r="D19" s="497">
        <v>40086.0</v>
      </c>
      <c r="E19" s="420" t="s">
        <v>8724</v>
      </c>
      <c r="F19" s="420" t="s">
        <v>1408</v>
      </c>
      <c r="G19" s="420" t="s">
        <v>17</v>
      </c>
      <c r="H19" s="420" t="s">
        <v>929</v>
      </c>
      <c r="I19" s="497">
        <v>42436.0</v>
      </c>
      <c r="J19" s="422">
        <v>3.0</v>
      </c>
      <c r="K19" s="618" t="s">
        <v>238</v>
      </c>
      <c r="L19" s="420" t="s">
        <v>256</v>
      </c>
      <c r="M19" s="316">
        <f t="shared" si="1"/>
        <v>2350</v>
      </c>
      <c r="N19" s="198"/>
      <c r="O19" s="334" t="s">
        <v>8725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3.5" customHeight="1">
      <c r="A20" s="425">
        <v>1916.0</v>
      </c>
      <c r="B20" s="426" t="s">
        <v>8726</v>
      </c>
      <c r="C20" s="426">
        <v>2014.0</v>
      </c>
      <c r="D20" s="500">
        <v>41995.0</v>
      </c>
      <c r="E20" s="426" t="s">
        <v>8727</v>
      </c>
      <c r="F20" s="426" t="s">
        <v>1108</v>
      </c>
      <c r="G20" s="426" t="s">
        <v>17</v>
      </c>
      <c r="H20" s="426" t="s">
        <v>66</v>
      </c>
      <c r="I20" s="500">
        <v>42437.0</v>
      </c>
      <c r="J20" s="428">
        <v>3.0</v>
      </c>
      <c r="K20" s="618" t="s">
        <v>238</v>
      </c>
      <c r="L20" s="426" t="s">
        <v>256</v>
      </c>
      <c r="M20" s="319">
        <f t="shared" si="1"/>
        <v>442</v>
      </c>
      <c r="N20" s="198"/>
      <c r="O20" s="335" t="s">
        <v>8728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3.5" customHeight="1">
      <c r="A21" s="419">
        <v>2016.0</v>
      </c>
      <c r="B21" s="420" t="s">
        <v>8729</v>
      </c>
      <c r="C21" s="420">
        <v>2013.0</v>
      </c>
      <c r="D21" s="497">
        <v>41333.0</v>
      </c>
      <c r="E21" s="420" t="s">
        <v>8730</v>
      </c>
      <c r="F21" s="420" t="s">
        <v>8731</v>
      </c>
      <c r="G21" s="420" t="s">
        <v>17</v>
      </c>
      <c r="H21" s="420" t="s">
        <v>596</v>
      </c>
      <c r="I21" s="497">
        <v>42437.0</v>
      </c>
      <c r="J21" s="422">
        <v>3.0</v>
      </c>
      <c r="K21" s="620" t="s">
        <v>234</v>
      </c>
      <c r="L21" s="420" t="s">
        <v>256</v>
      </c>
      <c r="M21" s="316">
        <f t="shared" si="1"/>
        <v>1104</v>
      </c>
      <c r="N21" s="198"/>
      <c r="O21" s="334" t="s">
        <v>8732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3.5" customHeight="1">
      <c r="A22" s="425">
        <v>2116.0</v>
      </c>
      <c r="B22" s="426" t="s">
        <v>8733</v>
      </c>
      <c r="C22" s="426">
        <v>2014.0</v>
      </c>
      <c r="D22" s="500">
        <v>41954.0</v>
      </c>
      <c r="E22" s="426" t="s">
        <v>8734</v>
      </c>
      <c r="F22" s="426" t="s">
        <v>8731</v>
      </c>
      <c r="G22" s="426" t="s">
        <v>17</v>
      </c>
      <c r="H22" s="426" t="s">
        <v>573</v>
      </c>
      <c r="I22" s="500">
        <v>42438.0</v>
      </c>
      <c r="J22" s="428">
        <v>3.0</v>
      </c>
      <c r="K22" s="620" t="s">
        <v>234</v>
      </c>
      <c r="L22" s="426" t="s">
        <v>256</v>
      </c>
      <c r="M22" s="319">
        <f t="shared" si="1"/>
        <v>484</v>
      </c>
      <c r="N22" s="198"/>
      <c r="O22" s="335" t="s">
        <v>8735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2216.0</v>
      </c>
      <c r="B23" s="420" t="s">
        <v>8736</v>
      </c>
      <c r="C23" s="420">
        <v>2015.0</v>
      </c>
      <c r="D23" s="497">
        <v>42023.0</v>
      </c>
      <c r="E23" s="420" t="s">
        <v>8737</v>
      </c>
      <c r="F23" s="420" t="s">
        <v>44</v>
      </c>
      <c r="G23" s="420" t="s">
        <v>17</v>
      </c>
      <c r="H23" s="420" t="s">
        <v>153</v>
      </c>
      <c r="I23" s="497">
        <v>42438.0</v>
      </c>
      <c r="J23" s="422">
        <v>3.0</v>
      </c>
      <c r="K23" s="617" t="s">
        <v>228</v>
      </c>
      <c r="L23" s="420" t="s">
        <v>258</v>
      </c>
      <c r="M23" s="316">
        <f t="shared" si="1"/>
        <v>415</v>
      </c>
      <c r="N23" s="198"/>
      <c r="O23" s="334" t="s">
        <v>8738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425">
        <v>2316.0</v>
      </c>
      <c r="B24" s="426" t="s">
        <v>8739</v>
      </c>
      <c r="C24" s="426">
        <v>2015.0</v>
      </c>
      <c r="D24" s="500">
        <v>42041.0</v>
      </c>
      <c r="E24" s="426" t="s">
        <v>8740</v>
      </c>
      <c r="F24" s="426" t="s">
        <v>44</v>
      </c>
      <c r="G24" s="426" t="s">
        <v>17</v>
      </c>
      <c r="H24" s="426" t="s">
        <v>153</v>
      </c>
      <c r="I24" s="500">
        <v>42438.0</v>
      </c>
      <c r="J24" s="428">
        <v>3.0</v>
      </c>
      <c r="K24" s="617" t="s">
        <v>228</v>
      </c>
      <c r="L24" s="426" t="s">
        <v>258</v>
      </c>
      <c r="M24" s="319">
        <f t="shared" si="1"/>
        <v>397</v>
      </c>
      <c r="N24" s="198"/>
      <c r="O24" s="336" t="s">
        <v>8741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2416.0</v>
      </c>
      <c r="B25" s="420" t="s">
        <v>8742</v>
      </c>
      <c r="C25" s="420">
        <v>2015.0</v>
      </c>
      <c r="D25" s="497">
        <v>42044.0</v>
      </c>
      <c r="E25" s="420" t="s">
        <v>8743</v>
      </c>
      <c r="F25" s="420" t="s">
        <v>44</v>
      </c>
      <c r="G25" s="420" t="s">
        <v>17</v>
      </c>
      <c r="H25" s="420" t="s">
        <v>153</v>
      </c>
      <c r="I25" s="497">
        <v>42438.0</v>
      </c>
      <c r="J25" s="422">
        <v>3.0</v>
      </c>
      <c r="K25" s="617" t="s">
        <v>228</v>
      </c>
      <c r="L25" s="420" t="s">
        <v>258</v>
      </c>
      <c r="M25" s="316">
        <f t="shared" si="1"/>
        <v>394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2516.0</v>
      </c>
      <c r="B26" s="426" t="s">
        <v>8744</v>
      </c>
      <c r="C26" s="426">
        <v>2014.0</v>
      </c>
      <c r="D26" s="500">
        <v>41914.0</v>
      </c>
      <c r="E26" s="426" t="s">
        <v>8745</v>
      </c>
      <c r="F26" s="426" t="s">
        <v>1108</v>
      </c>
      <c r="G26" s="426" t="s">
        <v>17</v>
      </c>
      <c r="H26" s="426" t="s">
        <v>153</v>
      </c>
      <c r="I26" s="500">
        <v>42438.0</v>
      </c>
      <c r="J26" s="428">
        <v>3.0</v>
      </c>
      <c r="K26" s="618" t="s">
        <v>238</v>
      </c>
      <c r="L26" s="426" t="s">
        <v>256</v>
      </c>
      <c r="M26" s="319">
        <f t="shared" si="1"/>
        <v>524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2616.0</v>
      </c>
      <c r="B27" s="420" t="s">
        <v>8746</v>
      </c>
      <c r="C27" s="420">
        <v>2010.0</v>
      </c>
      <c r="D27" s="497">
        <v>40500.0</v>
      </c>
      <c r="E27" s="420" t="s">
        <v>8747</v>
      </c>
      <c r="F27" s="420" t="s">
        <v>134</v>
      </c>
      <c r="G27" s="420" t="s">
        <v>17</v>
      </c>
      <c r="H27" s="420" t="s">
        <v>1907</v>
      </c>
      <c r="I27" s="497">
        <v>42438.0</v>
      </c>
      <c r="J27" s="422">
        <v>3.0</v>
      </c>
      <c r="K27" s="620" t="s">
        <v>234</v>
      </c>
      <c r="L27" s="420" t="s">
        <v>258</v>
      </c>
      <c r="M27" s="316">
        <f t="shared" si="1"/>
        <v>1938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5.0" customHeight="1">
      <c r="A28" s="425">
        <v>2716.0</v>
      </c>
      <c r="B28" s="426" t="s">
        <v>8748</v>
      </c>
      <c r="C28" s="426">
        <v>2010.0</v>
      </c>
      <c r="D28" s="500">
        <v>40347.0</v>
      </c>
      <c r="E28" s="426" t="s">
        <v>8749</v>
      </c>
      <c r="F28" s="426" t="s">
        <v>6666</v>
      </c>
      <c r="G28" s="426" t="s">
        <v>17</v>
      </c>
      <c r="H28" s="426" t="s">
        <v>5611</v>
      </c>
      <c r="I28" s="500">
        <v>42443.0</v>
      </c>
      <c r="J28" s="428">
        <v>3.0</v>
      </c>
      <c r="K28" s="620" t="s">
        <v>234</v>
      </c>
      <c r="L28" s="426" t="s">
        <v>256</v>
      </c>
      <c r="M28" s="319">
        <f t="shared" si="1"/>
        <v>2096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3.5" customHeight="1">
      <c r="A29" s="419">
        <v>2816.0</v>
      </c>
      <c r="B29" s="420" t="s">
        <v>8750</v>
      </c>
      <c r="C29" s="420">
        <v>2009.0</v>
      </c>
      <c r="D29" s="497">
        <v>40147.0</v>
      </c>
      <c r="E29" s="420" t="s">
        <v>8751</v>
      </c>
      <c r="F29" s="420" t="s">
        <v>6666</v>
      </c>
      <c r="G29" s="420" t="s">
        <v>17</v>
      </c>
      <c r="H29" s="420" t="s">
        <v>740</v>
      </c>
      <c r="I29" s="497">
        <v>42443.0</v>
      </c>
      <c r="J29" s="422">
        <v>3.0</v>
      </c>
      <c r="K29" s="620" t="s">
        <v>234</v>
      </c>
      <c r="L29" s="420" t="s">
        <v>256</v>
      </c>
      <c r="M29" s="316">
        <f t="shared" si="1"/>
        <v>2296</v>
      </c>
      <c r="N29" s="198"/>
      <c r="O29" s="322">
        <v>2004.0</v>
      </c>
      <c r="P29" s="346">
        <f>COUNTIF($C$2:$C$505,"2004")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3.5" customHeight="1">
      <c r="A30" s="425">
        <v>2916.0</v>
      </c>
      <c r="B30" s="426" t="s">
        <v>8752</v>
      </c>
      <c r="C30" s="426">
        <v>2010.0</v>
      </c>
      <c r="D30" s="500">
        <v>40340.0</v>
      </c>
      <c r="E30" s="426" t="s">
        <v>8753</v>
      </c>
      <c r="F30" s="426" t="s">
        <v>1108</v>
      </c>
      <c r="G30" s="426" t="s">
        <v>17</v>
      </c>
      <c r="H30" s="426" t="s">
        <v>153</v>
      </c>
      <c r="I30" s="500">
        <v>42444.0</v>
      </c>
      <c r="J30" s="428">
        <v>3.0</v>
      </c>
      <c r="K30" s="618" t="s">
        <v>238</v>
      </c>
      <c r="L30" s="426" t="s">
        <v>256</v>
      </c>
      <c r="M30" s="319">
        <f t="shared" si="1"/>
        <v>2104</v>
      </c>
      <c r="N30" s="198"/>
      <c r="O30" s="321">
        <v>2005.0</v>
      </c>
      <c r="P30" s="344">
        <f>COUNTIF($C$2:$C$505,"2005")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3.5" customHeight="1">
      <c r="A31" s="419">
        <v>3016.0</v>
      </c>
      <c r="B31" s="420" t="s">
        <v>8754</v>
      </c>
      <c r="C31" s="420">
        <v>2010.0</v>
      </c>
      <c r="D31" s="497">
        <v>40190.0</v>
      </c>
      <c r="E31" s="420" t="s">
        <v>8755</v>
      </c>
      <c r="F31" s="420" t="s">
        <v>7186</v>
      </c>
      <c r="G31" s="420" t="s">
        <v>17</v>
      </c>
      <c r="H31" s="420" t="s">
        <v>1907</v>
      </c>
      <c r="I31" s="497">
        <v>42445.0</v>
      </c>
      <c r="J31" s="422">
        <v>3.0</v>
      </c>
      <c r="K31" s="618" t="s">
        <v>238</v>
      </c>
      <c r="L31" s="420" t="s">
        <v>258</v>
      </c>
      <c r="M31" s="316">
        <f t="shared" si="1"/>
        <v>2255</v>
      </c>
      <c r="N31" s="198"/>
      <c r="O31" s="322">
        <v>2006.0</v>
      </c>
      <c r="P31" s="346">
        <f>COUNTIF($C$2:$C$505,"2006")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3.5" customHeight="1">
      <c r="A32" s="425">
        <v>3116.0</v>
      </c>
      <c r="B32" s="426" t="s">
        <v>8756</v>
      </c>
      <c r="C32" s="426">
        <v>2010.0</v>
      </c>
      <c r="D32" s="500">
        <v>40301.0</v>
      </c>
      <c r="E32" s="426" t="s">
        <v>8757</v>
      </c>
      <c r="F32" s="426" t="s">
        <v>4525</v>
      </c>
      <c r="G32" s="426" t="s">
        <v>547</v>
      </c>
      <c r="H32" s="426" t="s">
        <v>705</v>
      </c>
      <c r="I32" s="500">
        <v>42445.0</v>
      </c>
      <c r="J32" s="428">
        <v>3.0</v>
      </c>
      <c r="K32" s="618" t="s">
        <v>238</v>
      </c>
      <c r="L32" s="426" t="s">
        <v>258</v>
      </c>
      <c r="M32" s="319">
        <f t="shared" si="1"/>
        <v>2144</v>
      </c>
      <c r="N32" s="198"/>
      <c r="O32" s="321">
        <v>2007.0</v>
      </c>
      <c r="P32" s="344">
        <f>COUNTIF($C$2:$C$505,"2007")</f>
        <v>1</v>
      </c>
      <c r="Q32" s="113"/>
      <c r="R32" s="114"/>
      <c r="S32" s="345">
        <f>(P32/P42)</f>
        <v>0.003610108303</v>
      </c>
      <c r="T32" s="25"/>
      <c r="U32" s="198"/>
      <c r="V32" s="198"/>
      <c r="W32" s="198"/>
      <c r="X32" s="198"/>
      <c r="Y32" s="198"/>
      <c r="Z32" s="198"/>
    </row>
    <row r="33" ht="13.5" customHeight="1">
      <c r="A33" s="419">
        <v>3216.0</v>
      </c>
      <c r="B33" s="420" t="s">
        <v>8758</v>
      </c>
      <c r="C33" s="420">
        <v>2015.0</v>
      </c>
      <c r="D33" s="497">
        <v>42045.0</v>
      </c>
      <c r="E33" s="420" t="s">
        <v>8759</v>
      </c>
      <c r="F33" s="420" t="s">
        <v>44</v>
      </c>
      <c r="G33" s="420" t="s">
        <v>17</v>
      </c>
      <c r="H33" s="420" t="s">
        <v>153</v>
      </c>
      <c r="I33" s="497">
        <v>42445.0</v>
      </c>
      <c r="J33" s="422">
        <v>3.0</v>
      </c>
      <c r="K33" s="617" t="s">
        <v>228</v>
      </c>
      <c r="L33" s="420" t="s">
        <v>258</v>
      </c>
      <c r="M33" s="316">
        <f t="shared" si="1"/>
        <v>400</v>
      </c>
      <c r="N33" s="198"/>
      <c r="O33" s="322">
        <v>2008.0</v>
      </c>
      <c r="P33" s="346">
        <f>COUNTIF($C$2:$C$505,"2008")</f>
        <v>4</v>
      </c>
      <c r="Q33" s="113"/>
      <c r="R33" s="114"/>
      <c r="S33" s="343">
        <f>(P33/P42)</f>
        <v>0.01444043321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3316.0</v>
      </c>
      <c r="B34" s="426" t="s">
        <v>8760</v>
      </c>
      <c r="C34" s="426">
        <v>2015.0</v>
      </c>
      <c r="D34" s="500">
        <v>42046.0</v>
      </c>
      <c r="E34" s="426" t="s">
        <v>8761</v>
      </c>
      <c r="F34" s="426" t="s">
        <v>44</v>
      </c>
      <c r="G34" s="426" t="s">
        <v>17</v>
      </c>
      <c r="H34" s="426" t="s">
        <v>153</v>
      </c>
      <c r="I34" s="500">
        <v>42445.0</v>
      </c>
      <c r="J34" s="428">
        <v>3.0</v>
      </c>
      <c r="K34" s="617" t="s">
        <v>228</v>
      </c>
      <c r="L34" s="426" t="s">
        <v>258</v>
      </c>
      <c r="M34" s="319">
        <f t="shared" si="1"/>
        <v>399</v>
      </c>
      <c r="N34" s="198"/>
      <c r="O34" s="321">
        <v>2009.0</v>
      </c>
      <c r="P34" s="344">
        <f>COUNTIF($C$2:$C$505,"2009")</f>
        <v>15</v>
      </c>
      <c r="Q34" s="113"/>
      <c r="R34" s="114"/>
      <c r="S34" s="345">
        <f>(P34/P42)</f>
        <v>0.05415162455</v>
      </c>
      <c r="T34" s="25"/>
      <c r="U34" s="198"/>
      <c r="V34" s="198"/>
      <c r="W34" s="198"/>
      <c r="X34" s="198"/>
      <c r="Y34" s="198"/>
      <c r="Z34" s="198"/>
    </row>
    <row r="35" ht="13.5" customHeight="1">
      <c r="A35" s="419">
        <v>3416.0</v>
      </c>
      <c r="B35" s="420" t="s">
        <v>8762</v>
      </c>
      <c r="C35" s="420">
        <v>2010.0</v>
      </c>
      <c r="D35" s="497">
        <v>40434.0</v>
      </c>
      <c r="E35" s="420" t="s">
        <v>8763</v>
      </c>
      <c r="F35" s="420" t="s">
        <v>963</v>
      </c>
      <c r="G35" s="420" t="s">
        <v>552</v>
      </c>
      <c r="H35" s="420" t="s">
        <v>50</v>
      </c>
      <c r="I35" s="497">
        <v>42457.0</v>
      </c>
      <c r="J35" s="422">
        <v>3.0</v>
      </c>
      <c r="K35" s="617" t="s">
        <v>228</v>
      </c>
      <c r="L35" s="420" t="s">
        <v>258</v>
      </c>
      <c r="M35" s="316">
        <f t="shared" si="1"/>
        <v>2023</v>
      </c>
      <c r="N35" s="198"/>
      <c r="O35" s="322">
        <v>2010.0</v>
      </c>
      <c r="P35" s="346">
        <f>COUNTIF($C$2:$C$505,"2010")</f>
        <v>46</v>
      </c>
      <c r="Q35" s="113"/>
      <c r="R35" s="114"/>
      <c r="S35" s="343">
        <f>(P35/P42)</f>
        <v>0.1660649819</v>
      </c>
      <c r="T35" s="25"/>
      <c r="U35" s="198"/>
      <c r="V35" s="198"/>
      <c r="W35" s="198"/>
      <c r="X35" s="198"/>
      <c r="Y35" s="198"/>
      <c r="Z35" s="198"/>
    </row>
    <row r="36" ht="14.25" customHeight="1">
      <c r="A36" s="425">
        <v>3516.0</v>
      </c>
      <c r="B36" s="426" t="s">
        <v>8764</v>
      </c>
      <c r="C36" s="426">
        <v>2011.0</v>
      </c>
      <c r="D36" s="500">
        <v>40652.0</v>
      </c>
      <c r="E36" s="426" t="s">
        <v>8765</v>
      </c>
      <c r="F36" s="426" t="s">
        <v>8731</v>
      </c>
      <c r="G36" s="426" t="s">
        <v>552</v>
      </c>
      <c r="H36" s="426" t="s">
        <v>153</v>
      </c>
      <c r="I36" s="500">
        <v>42458.0</v>
      </c>
      <c r="J36" s="428">
        <v>3.0</v>
      </c>
      <c r="K36" s="617" t="s">
        <v>228</v>
      </c>
      <c r="L36" s="426" t="s">
        <v>256</v>
      </c>
      <c r="M36" s="319">
        <f t="shared" si="1"/>
        <v>1806</v>
      </c>
      <c r="N36" s="198"/>
      <c r="O36" s="321">
        <v>2011.0</v>
      </c>
      <c r="P36" s="344">
        <f>COUNTIF($C$2:$C$505,"2011")</f>
        <v>35</v>
      </c>
      <c r="Q36" s="113"/>
      <c r="R36" s="114"/>
      <c r="S36" s="345">
        <f>(P36/P42)</f>
        <v>0.1263537906</v>
      </c>
      <c r="T36" s="25"/>
      <c r="U36" s="198"/>
      <c r="V36" s="198"/>
      <c r="W36" s="198"/>
      <c r="X36" s="198"/>
      <c r="Y36" s="198"/>
      <c r="Z36" s="198"/>
    </row>
    <row r="37" ht="13.5" customHeight="1">
      <c r="A37" s="419">
        <v>3616.0</v>
      </c>
      <c r="B37" s="420" t="s">
        <v>8766</v>
      </c>
      <c r="C37" s="420">
        <v>2012.0</v>
      </c>
      <c r="D37" s="497">
        <v>41002.0</v>
      </c>
      <c r="E37" s="420" t="s">
        <v>8767</v>
      </c>
      <c r="F37" s="420" t="s">
        <v>2485</v>
      </c>
      <c r="G37" s="420" t="s">
        <v>547</v>
      </c>
      <c r="H37" s="420" t="s">
        <v>158</v>
      </c>
      <c r="I37" s="497">
        <v>42459.0</v>
      </c>
      <c r="J37" s="422">
        <v>3.0</v>
      </c>
      <c r="K37" s="617" t="s">
        <v>228</v>
      </c>
      <c r="L37" s="420" t="s">
        <v>256</v>
      </c>
      <c r="M37" s="316">
        <f t="shared" si="1"/>
        <v>1457</v>
      </c>
      <c r="N37" s="198"/>
      <c r="O37" s="322">
        <v>2012.0</v>
      </c>
      <c r="P37" s="346">
        <f>COUNTIF($C$2:$C$505,"2012")</f>
        <v>28</v>
      </c>
      <c r="Q37" s="113"/>
      <c r="R37" s="114"/>
      <c r="S37" s="343">
        <f>(P37/P42)</f>
        <v>0.1010830325</v>
      </c>
      <c r="T37" s="25"/>
      <c r="U37" s="198"/>
      <c r="V37" s="198"/>
      <c r="W37" s="198"/>
      <c r="X37" s="198"/>
      <c r="Y37" s="198"/>
      <c r="Z37" s="198"/>
    </row>
    <row r="38" ht="13.5" customHeight="1">
      <c r="A38" s="425">
        <v>3716.0</v>
      </c>
      <c r="B38" s="426" t="s">
        <v>8768</v>
      </c>
      <c r="C38" s="426">
        <v>2015.0</v>
      </c>
      <c r="D38" s="500">
        <v>42278.0</v>
      </c>
      <c r="E38" s="426" t="s">
        <v>8769</v>
      </c>
      <c r="F38" s="622" t="s">
        <v>2343</v>
      </c>
      <c r="G38" s="426" t="s">
        <v>569</v>
      </c>
      <c r="H38" s="426" t="s">
        <v>2093</v>
      </c>
      <c r="I38" s="500">
        <v>42459.0</v>
      </c>
      <c r="J38" s="428">
        <v>3.0</v>
      </c>
      <c r="K38" s="621" t="s">
        <v>244</v>
      </c>
      <c r="L38" s="426" t="s">
        <v>260</v>
      </c>
      <c r="M38" s="319">
        <f t="shared" si="1"/>
        <v>181</v>
      </c>
      <c r="N38" s="198"/>
      <c r="O38" s="321">
        <v>2013.0</v>
      </c>
      <c r="P38" s="344">
        <f>COUNTIF($C$2:$C$505,"2013")</f>
        <v>54</v>
      </c>
      <c r="Q38" s="113"/>
      <c r="R38" s="114"/>
      <c r="S38" s="345">
        <f>(P38/P42)</f>
        <v>0.1949458484</v>
      </c>
      <c r="T38" s="25"/>
      <c r="U38" s="198"/>
      <c r="V38" s="198"/>
      <c r="W38" s="198"/>
      <c r="X38" s="198"/>
      <c r="Y38" s="198"/>
      <c r="Z38" s="198"/>
    </row>
    <row r="39" ht="14.25" customHeight="1">
      <c r="A39" s="419">
        <v>3816.0</v>
      </c>
      <c r="B39" s="420" t="s">
        <v>8770</v>
      </c>
      <c r="C39" s="420">
        <v>2015.0</v>
      </c>
      <c r="D39" s="497">
        <v>42095.0</v>
      </c>
      <c r="E39" s="420" t="s">
        <v>8771</v>
      </c>
      <c r="F39" s="623" t="s">
        <v>2614</v>
      </c>
      <c r="G39" s="420" t="s">
        <v>569</v>
      </c>
      <c r="H39" s="420" t="s">
        <v>2093</v>
      </c>
      <c r="I39" s="497">
        <v>42459.0</v>
      </c>
      <c r="J39" s="422">
        <v>3.0</v>
      </c>
      <c r="K39" s="621" t="s">
        <v>244</v>
      </c>
      <c r="L39" s="420" t="s">
        <v>260</v>
      </c>
      <c r="M39" s="316">
        <f t="shared" si="1"/>
        <v>364</v>
      </c>
      <c r="N39" s="619"/>
      <c r="O39" s="322">
        <v>2014.0</v>
      </c>
      <c r="P39" s="346">
        <f>COUNTIF($C$2:$C$505,"2014")</f>
        <v>55</v>
      </c>
      <c r="Q39" s="113"/>
      <c r="R39" s="114"/>
      <c r="S39" s="343">
        <f>(P39/P42)</f>
        <v>0.1985559567</v>
      </c>
      <c r="T39" s="25"/>
      <c r="U39" s="198"/>
      <c r="V39" s="198"/>
      <c r="W39" s="198"/>
      <c r="X39" s="198"/>
      <c r="Y39" s="198"/>
      <c r="Z39" s="198"/>
    </row>
    <row r="40" ht="14.25" customHeight="1">
      <c r="A40" s="425">
        <v>3916.0</v>
      </c>
      <c r="B40" s="426" t="s">
        <v>8772</v>
      </c>
      <c r="C40" s="426">
        <v>2010.0</v>
      </c>
      <c r="D40" s="500">
        <v>40511.0</v>
      </c>
      <c r="E40" s="426" t="s">
        <v>8773</v>
      </c>
      <c r="F40" s="426" t="s">
        <v>8774</v>
      </c>
      <c r="G40" s="426" t="s">
        <v>650</v>
      </c>
      <c r="H40" s="426" t="s">
        <v>158</v>
      </c>
      <c r="I40" s="500">
        <v>42459.0</v>
      </c>
      <c r="J40" s="428">
        <v>3.0</v>
      </c>
      <c r="K40" s="620" t="s">
        <v>234</v>
      </c>
      <c r="L40" s="426" t="s">
        <v>256</v>
      </c>
      <c r="M40" s="319">
        <f t="shared" si="1"/>
        <v>1948</v>
      </c>
      <c r="N40" s="198"/>
      <c r="O40" s="321">
        <v>2015.0</v>
      </c>
      <c r="P40" s="344">
        <f>COUNTIF($C$2:$C$505,"2015")</f>
        <v>34</v>
      </c>
      <c r="Q40" s="113"/>
      <c r="R40" s="114"/>
      <c r="S40" s="345">
        <f>(P40/P42)</f>
        <v>0.1227436823</v>
      </c>
      <c r="T40" s="25"/>
      <c r="U40" s="198"/>
      <c r="V40" s="198"/>
      <c r="W40" s="198"/>
      <c r="X40" s="198"/>
      <c r="Y40" s="198"/>
      <c r="Z40" s="198"/>
    </row>
    <row r="41" ht="14.25" customHeight="1">
      <c r="A41" s="419">
        <v>4016.0</v>
      </c>
      <c r="B41" s="420" t="s">
        <v>8775</v>
      </c>
      <c r="C41" s="420">
        <v>2010.0</v>
      </c>
      <c r="D41" s="497">
        <v>40379.0</v>
      </c>
      <c r="E41" s="420" t="s">
        <v>8776</v>
      </c>
      <c r="F41" s="420" t="s">
        <v>963</v>
      </c>
      <c r="G41" s="420" t="s">
        <v>552</v>
      </c>
      <c r="H41" s="420" t="s">
        <v>45</v>
      </c>
      <c r="I41" s="497">
        <v>42471.0</v>
      </c>
      <c r="J41" s="422">
        <v>4.0</v>
      </c>
      <c r="K41" s="617" t="s">
        <v>228</v>
      </c>
      <c r="L41" s="420" t="s">
        <v>258</v>
      </c>
      <c r="M41" s="316">
        <f t="shared" si="1"/>
        <v>2092</v>
      </c>
      <c r="N41" s="198"/>
      <c r="O41" s="322">
        <v>2016.0</v>
      </c>
      <c r="P41" s="346">
        <f>COUNTIF($C$2:$C$505,"2016")</f>
        <v>5</v>
      </c>
      <c r="Q41" s="113"/>
      <c r="R41" s="114"/>
      <c r="S41" s="343">
        <f>(P41/P42)</f>
        <v>0.01805054152</v>
      </c>
      <c r="T41" s="25"/>
      <c r="U41" s="198"/>
      <c r="V41" s="198"/>
      <c r="W41" s="198"/>
      <c r="X41" s="198"/>
      <c r="Y41" s="198"/>
      <c r="Z41" s="198"/>
    </row>
    <row r="42" ht="13.5" customHeight="1">
      <c r="A42" s="425">
        <v>4116.0</v>
      </c>
      <c r="B42" s="426" t="s">
        <v>8777</v>
      </c>
      <c r="C42" s="426">
        <v>2010.0</v>
      </c>
      <c r="D42" s="500">
        <v>40499.0</v>
      </c>
      <c r="E42" s="426" t="s">
        <v>8778</v>
      </c>
      <c r="F42" s="426" t="s">
        <v>7186</v>
      </c>
      <c r="G42" s="426" t="s">
        <v>552</v>
      </c>
      <c r="H42" s="426" t="s">
        <v>50</v>
      </c>
      <c r="I42" s="500">
        <v>42471.0</v>
      </c>
      <c r="J42" s="428">
        <v>4.0</v>
      </c>
      <c r="K42" s="618" t="s">
        <v>238</v>
      </c>
      <c r="L42" s="426" t="s">
        <v>258</v>
      </c>
      <c r="M42" s="319">
        <f t="shared" si="1"/>
        <v>1972</v>
      </c>
      <c r="N42" s="198"/>
      <c r="O42" s="348" t="s">
        <v>179</v>
      </c>
      <c r="P42" s="349">
        <f>SUM(P29:R41)</f>
        <v>277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3.5" customHeight="1">
      <c r="A43" s="419">
        <v>4216.0</v>
      </c>
      <c r="B43" s="420" t="s">
        <v>8779</v>
      </c>
      <c r="C43" s="420">
        <v>2007.0</v>
      </c>
      <c r="D43" s="497">
        <v>39307.0</v>
      </c>
      <c r="E43" s="420" t="s">
        <v>8780</v>
      </c>
      <c r="F43" s="420" t="s">
        <v>2192</v>
      </c>
      <c r="G43" s="420" t="s">
        <v>650</v>
      </c>
      <c r="H43" s="420" t="s">
        <v>651</v>
      </c>
      <c r="I43" s="497">
        <v>42473.0</v>
      </c>
      <c r="J43" s="422">
        <v>4.0</v>
      </c>
      <c r="K43" s="617" t="s">
        <v>228</v>
      </c>
      <c r="L43" s="420" t="s">
        <v>258</v>
      </c>
      <c r="M43" s="316">
        <f t="shared" si="1"/>
        <v>3166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2.75" customHeight="1">
      <c r="A44" s="425">
        <v>4316.0</v>
      </c>
      <c r="B44" s="426" t="s">
        <v>8781</v>
      </c>
      <c r="C44" s="426">
        <v>2011.0</v>
      </c>
      <c r="D44" s="500">
        <v>40745.0</v>
      </c>
      <c r="E44" s="426" t="s">
        <v>8782</v>
      </c>
      <c r="F44" s="426" t="s">
        <v>963</v>
      </c>
      <c r="G44" s="426" t="s">
        <v>650</v>
      </c>
      <c r="H44" s="426" t="s">
        <v>1002</v>
      </c>
      <c r="I44" s="500">
        <v>42473.0</v>
      </c>
      <c r="J44" s="428">
        <v>4.0</v>
      </c>
      <c r="K44" s="617" t="s">
        <v>228</v>
      </c>
      <c r="L44" s="426" t="s">
        <v>258</v>
      </c>
      <c r="M44" s="319">
        <f t="shared" si="1"/>
        <v>1728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4416.0</v>
      </c>
      <c r="B45" s="420" t="s">
        <v>8783</v>
      </c>
      <c r="C45" s="420">
        <v>2011.0</v>
      </c>
      <c r="D45" s="497">
        <v>40634.0</v>
      </c>
      <c r="E45" s="420" t="s">
        <v>8784</v>
      </c>
      <c r="F45" s="420" t="s">
        <v>4525</v>
      </c>
      <c r="G45" s="420" t="s">
        <v>547</v>
      </c>
      <c r="H45" s="420" t="s">
        <v>705</v>
      </c>
      <c r="I45" s="497">
        <v>42473.0</v>
      </c>
      <c r="J45" s="422">
        <v>4.0</v>
      </c>
      <c r="K45" s="618" t="s">
        <v>238</v>
      </c>
      <c r="L45" s="420" t="s">
        <v>258</v>
      </c>
      <c r="M45" s="316">
        <f t="shared" si="1"/>
        <v>1839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4.25" customHeight="1">
      <c r="A46" s="425">
        <v>4516.0</v>
      </c>
      <c r="B46" s="426" t="s">
        <v>8785</v>
      </c>
      <c r="C46" s="426">
        <v>2010.0</v>
      </c>
      <c r="D46" s="500">
        <v>40535.0</v>
      </c>
      <c r="E46" s="426" t="s">
        <v>8786</v>
      </c>
      <c r="F46" s="426" t="s">
        <v>1150</v>
      </c>
      <c r="G46" s="426" t="s">
        <v>552</v>
      </c>
      <c r="H46" s="426" t="s">
        <v>56</v>
      </c>
      <c r="I46" s="500">
        <v>42474.0</v>
      </c>
      <c r="J46" s="428">
        <v>4.0</v>
      </c>
      <c r="K46" s="617" t="s">
        <v>228</v>
      </c>
      <c r="L46" s="426" t="s">
        <v>256</v>
      </c>
      <c r="M46" s="319">
        <f t="shared" si="1"/>
        <v>1939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3.5" customHeight="1">
      <c r="A47" s="419">
        <v>4616.0</v>
      </c>
      <c r="B47" s="420" t="s">
        <v>8787</v>
      </c>
      <c r="C47" s="420">
        <v>2009.0</v>
      </c>
      <c r="D47" s="497">
        <v>39990.0</v>
      </c>
      <c r="E47" s="420" t="s">
        <v>8788</v>
      </c>
      <c r="F47" s="420" t="s">
        <v>947</v>
      </c>
      <c r="G47" s="420" t="s">
        <v>17</v>
      </c>
      <c r="H47" s="420" t="s">
        <v>5989</v>
      </c>
      <c r="I47" s="497">
        <v>42474.0</v>
      </c>
      <c r="J47" s="422">
        <v>4.0</v>
      </c>
      <c r="K47" s="618" t="s">
        <v>238</v>
      </c>
      <c r="L47" s="420" t="s">
        <v>258</v>
      </c>
      <c r="M47" s="316">
        <f t="shared" si="1"/>
        <v>2484</v>
      </c>
      <c r="N47" s="198"/>
      <c r="O47" s="353" t="s">
        <v>195</v>
      </c>
      <c r="P47" s="346">
        <f>COUNTIF($J$2:$J$478,"1")</f>
        <v>7</v>
      </c>
      <c r="Q47" s="113"/>
      <c r="R47" s="114"/>
      <c r="S47" s="354">
        <f>(P47/P59)</f>
        <v>0.02527075812</v>
      </c>
      <c r="T47" s="25"/>
      <c r="U47" s="198"/>
      <c r="V47" s="198"/>
      <c r="W47" s="198"/>
      <c r="X47" s="198"/>
      <c r="Y47" s="198"/>
      <c r="Z47" s="198"/>
    </row>
    <row r="48" ht="15.75" customHeight="1">
      <c r="A48" s="425">
        <v>4716.0</v>
      </c>
      <c r="B48" s="426" t="s">
        <v>8789</v>
      </c>
      <c r="C48" s="426">
        <v>2014.0</v>
      </c>
      <c r="D48" s="500">
        <v>41954.0</v>
      </c>
      <c r="E48" s="426" t="s">
        <v>8790</v>
      </c>
      <c r="F48" s="622" t="s">
        <v>2614</v>
      </c>
      <c r="G48" s="426" t="s">
        <v>569</v>
      </c>
      <c r="H48" s="426" t="s">
        <v>8791</v>
      </c>
      <c r="I48" s="500">
        <v>42480.0</v>
      </c>
      <c r="J48" s="428">
        <v>4.0</v>
      </c>
      <c r="K48" s="621" t="s">
        <v>244</v>
      </c>
      <c r="L48" s="426" t="s">
        <v>260</v>
      </c>
      <c r="M48" s="319">
        <f t="shared" si="1"/>
        <v>526</v>
      </c>
      <c r="N48" s="619"/>
      <c r="O48" s="321" t="s">
        <v>197</v>
      </c>
      <c r="P48" s="344">
        <f>COUNTIF($J$2:$J$478,"2")</f>
        <v>8</v>
      </c>
      <c r="Q48" s="113"/>
      <c r="R48" s="114"/>
      <c r="S48" s="345">
        <f>(P48/P59)</f>
        <v>0.02888086643</v>
      </c>
      <c r="T48" s="25"/>
      <c r="U48" s="198"/>
      <c r="V48" s="198"/>
      <c r="W48" s="198"/>
      <c r="X48" s="198"/>
      <c r="Y48" s="198"/>
      <c r="Z48" s="198"/>
    </row>
    <row r="49" ht="13.5" customHeight="1">
      <c r="A49" s="419">
        <v>4816.0</v>
      </c>
      <c r="B49" s="420" t="s">
        <v>8792</v>
      </c>
      <c r="C49" s="420">
        <v>2014.0</v>
      </c>
      <c r="D49" s="497">
        <v>41978.0</v>
      </c>
      <c r="E49" s="420" t="s">
        <v>8793</v>
      </c>
      <c r="F49" s="623" t="s">
        <v>3544</v>
      </c>
      <c r="G49" s="420" t="s">
        <v>565</v>
      </c>
      <c r="H49" s="420" t="s">
        <v>2093</v>
      </c>
      <c r="I49" s="497">
        <v>42480.0</v>
      </c>
      <c r="J49" s="422">
        <v>4.0</v>
      </c>
      <c r="K49" s="621" t="s">
        <v>244</v>
      </c>
      <c r="L49" s="420" t="s">
        <v>260</v>
      </c>
      <c r="M49" s="316">
        <f t="shared" si="1"/>
        <v>502</v>
      </c>
      <c r="N49" s="198"/>
      <c r="O49" s="322" t="s">
        <v>199</v>
      </c>
      <c r="P49" s="346">
        <f>COUNTIF($J$2:$J$478,"3")</f>
        <v>24</v>
      </c>
      <c r="Q49" s="113"/>
      <c r="R49" s="114"/>
      <c r="S49" s="343">
        <f>(P49/P59)</f>
        <v>0.08664259928</v>
      </c>
      <c r="T49" s="25"/>
      <c r="U49" s="198"/>
      <c r="V49" s="198"/>
      <c r="W49" s="198"/>
      <c r="X49" s="198"/>
      <c r="Y49" s="198"/>
      <c r="Z49" s="198"/>
    </row>
    <row r="50" ht="14.25" customHeight="1">
      <c r="A50" s="425">
        <v>4916.0</v>
      </c>
      <c r="B50" s="426" t="s">
        <v>8794</v>
      </c>
      <c r="C50" s="426">
        <v>2011.0</v>
      </c>
      <c r="D50" s="500">
        <v>40903.0</v>
      </c>
      <c r="E50" s="426" t="s">
        <v>8795</v>
      </c>
      <c r="F50" s="426" t="s">
        <v>186</v>
      </c>
      <c r="G50" s="426" t="s">
        <v>650</v>
      </c>
      <c r="H50" s="426" t="s">
        <v>651</v>
      </c>
      <c r="I50" s="500">
        <v>42480.0</v>
      </c>
      <c r="J50" s="428">
        <v>4.0</v>
      </c>
      <c r="K50" s="618" t="s">
        <v>238</v>
      </c>
      <c r="L50" s="426" t="s">
        <v>258</v>
      </c>
      <c r="M50" s="319">
        <f t="shared" si="1"/>
        <v>1577</v>
      </c>
      <c r="N50" s="198"/>
      <c r="O50" s="321" t="s">
        <v>201</v>
      </c>
      <c r="P50" s="344">
        <f>COUNTIF($J$2:$J$478,"4")</f>
        <v>14</v>
      </c>
      <c r="Q50" s="113"/>
      <c r="R50" s="114"/>
      <c r="S50" s="345">
        <f>(P50/P59)</f>
        <v>0.05054151625</v>
      </c>
      <c r="T50" s="25"/>
      <c r="U50" s="198"/>
      <c r="V50" s="198"/>
      <c r="W50" s="198"/>
      <c r="X50" s="198"/>
      <c r="Y50" s="198"/>
      <c r="Z50" s="198"/>
    </row>
    <row r="51" ht="14.25" customHeight="1">
      <c r="A51" s="419">
        <v>5016.0</v>
      </c>
      <c r="B51" s="420" t="s">
        <v>8796</v>
      </c>
      <c r="C51" s="420">
        <v>2011.0</v>
      </c>
      <c r="D51" s="497">
        <v>40906.0</v>
      </c>
      <c r="E51" s="420" t="s">
        <v>8797</v>
      </c>
      <c r="F51" s="420" t="s">
        <v>2046</v>
      </c>
      <c r="G51" s="420" t="s">
        <v>650</v>
      </c>
      <c r="H51" s="420" t="s">
        <v>3788</v>
      </c>
      <c r="I51" s="497">
        <v>42485.0</v>
      </c>
      <c r="J51" s="422">
        <v>4.0</v>
      </c>
      <c r="K51" s="617" t="s">
        <v>228</v>
      </c>
      <c r="L51" s="420" t="s">
        <v>256</v>
      </c>
      <c r="M51" s="316">
        <f t="shared" si="1"/>
        <v>1579</v>
      </c>
      <c r="N51" s="198"/>
      <c r="O51" s="322" t="s">
        <v>203</v>
      </c>
      <c r="P51" s="346">
        <f>COUNTIF($J$2:$J$478,"5")</f>
        <v>25</v>
      </c>
      <c r="Q51" s="113"/>
      <c r="R51" s="114"/>
      <c r="S51" s="343">
        <f>(P51/P59)</f>
        <v>0.09025270758</v>
      </c>
      <c r="T51" s="25"/>
      <c r="U51" s="198"/>
      <c r="V51" s="198"/>
      <c r="W51" s="198"/>
      <c r="X51" s="198"/>
      <c r="Y51" s="198"/>
      <c r="Z51" s="198"/>
    </row>
    <row r="52" ht="13.5" customHeight="1">
      <c r="A52" s="425">
        <v>5116.0</v>
      </c>
      <c r="B52" s="426" t="s">
        <v>8798</v>
      </c>
      <c r="C52" s="426">
        <v>2012.0</v>
      </c>
      <c r="D52" s="500">
        <v>40917.0</v>
      </c>
      <c r="E52" s="426" t="s">
        <v>8799</v>
      </c>
      <c r="F52" s="426" t="s">
        <v>8800</v>
      </c>
      <c r="G52" s="426" t="s">
        <v>650</v>
      </c>
      <c r="H52" s="426" t="s">
        <v>3788</v>
      </c>
      <c r="I52" s="500">
        <v>42485.0</v>
      </c>
      <c r="J52" s="428">
        <v>4.0</v>
      </c>
      <c r="K52" s="617" t="s">
        <v>228</v>
      </c>
      <c r="L52" s="426" t="s">
        <v>256</v>
      </c>
      <c r="M52" s="319">
        <f t="shared" si="1"/>
        <v>1568</v>
      </c>
      <c r="N52" s="198"/>
      <c r="O52" s="321" t="s">
        <v>205</v>
      </c>
      <c r="P52" s="344">
        <f>COUNTIF($J$2:$J$478,"6")</f>
        <v>25</v>
      </c>
      <c r="Q52" s="113"/>
      <c r="R52" s="114"/>
      <c r="S52" s="345">
        <f>(P52/P59)</f>
        <v>0.09025270758</v>
      </c>
      <c r="T52" s="25"/>
      <c r="U52" s="198"/>
      <c r="V52" s="198"/>
      <c r="W52" s="198"/>
      <c r="X52" s="198"/>
      <c r="Y52" s="198"/>
      <c r="Z52" s="198"/>
    </row>
    <row r="53" ht="13.5" customHeight="1">
      <c r="A53" s="419">
        <v>5216.0</v>
      </c>
      <c r="B53" s="420" t="s">
        <v>8801</v>
      </c>
      <c r="C53" s="420">
        <v>2009.0</v>
      </c>
      <c r="D53" s="497">
        <v>39951.0</v>
      </c>
      <c r="E53" s="420" t="s">
        <v>8802</v>
      </c>
      <c r="F53" s="420" t="s">
        <v>2311</v>
      </c>
      <c r="G53" s="420" t="s">
        <v>17</v>
      </c>
      <c r="H53" s="420" t="s">
        <v>8803</v>
      </c>
      <c r="I53" s="497">
        <v>42488.0</v>
      </c>
      <c r="J53" s="422">
        <v>4.0</v>
      </c>
      <c r="K53" s="620" t="s">
        <v>234</v>
      </c>
      <c r="L53" s="420" t="s">
        <v>256</v>
      </c>
      <c r="M53" s="316">
        <f t="shared" si="1"/>
        <v>2537</v>
      </c>
      <c r="N53" s="198"/>
      <c r="O53" s="322" t="s">
        <v>207</v>
      </c>
      <c r="P53" s="346">
        <f>COUNTIF($J$2:$J$478,"7")</f>
        <v>3</v>
      </c>
      <c r="Q53" s="113"/>
      <c r="R53" s="114"/>
      <c r="S53" s="343">
        <f>(P53/P59)</f>
        <v>0.01083032491</v>
      </c>
      <c r="T53" s="25"/>
      <c r="U53" s="198"/>
      <c r="V53" s="198"/>
      <c r="W53" s="198"/>
      <c r="X53" s="198"/>
      <c r="Y53" s="198"/>
      <c r="Z53" s="198"/>
    </row>
    <row r="54" ht="13.5" customHeight="1">
      <c r="A54" s="425">
        <v>5316.0</v>
      </c>
      <c r="B54" s="426" t="s">
        <v>8804</v>
      </c>
      <c r="C54" s="426">
        <v>2011.0</v>
      </c>
      <c r="D54" s="500">
        <v>40756.0</v>
      </c>
      <c r="E54" s="426" t="s">
        <v>8805</v>
      </c>
      <c r="F54" s="426" t="s">
        <v>654</v>
      </c>
      <c r="G54" s="426" t="s">
        <v>547</v>
      </c>
      <c r="H54" s="426" t="s">
        <v>5180</v>
      </c>
      <c r="I54" s="500">
        <v>42488.0</v>
      </c>
      <c r="J54" s="428">
        <v>4.0</v>
      </c>
      <c r="K54" s="621" t="s">
        <v>244</v>
      </c>
      <c r="L54" s="426" t="s">
        <v>258</v>
      </c>
      <c r="M54" s="319">
        <f t="shared" si="1"/>
        <v>1732</v>
      </c>
      <c r="N54" s="198"/>
      <c r="O54" s="321" t="s">
        <v>209</v>
      </c>
      <c r="P54" s="344">
        <f>COUNTIF($J$2:$J$478,"8")</f>
        <v>20</v>
      </c>
      <c r="Q54" s="113"/>
      <c r="R54" s="114"/>
      <c r="S54" s="345">
        <f>(P54/P59)</f>
        <v>0.07220216606</v>
      </c>
      <c r="T54" s="25"/>
      <c r="U54" s="198"/>
      <c r="V54" s="198"/>
      <c r="W54" s="198"/>
      <c r="X54" s="198"/>
      <c r="Y54" s="198"/>
      <c r="Z54" s="198"/>
    </row>
    <row r="55" ht="14.25" customHeight="1">
      <c r="A55" s="419">
        <v>5416.0</v>
      </c>
      <c r="B55" s="420" t="s">
        <v>8806</v>
      </c>
      <c r="C55" s="420">
        <v>2009.0</v>
      </c>
      <c r="D55" s="497">
        <v>40042.0</v>
      </c>
      <c r="E55" s="420" t="s">
        <v>8807</v>
      </c>
      <c r="F55" s="420" t="s">
        <v>563</v>
      </c>
      <c r="G55" s="420" t="s">
        <v>552</v>
      </c>
      <c r="H55" s="420" t="s">
        <v>66</v>
      </c>
      <c r="I55" s="497">
        <v>42496.0</v>
      </c>
      <c r="J55" s="422">
        <v>5.0</v>
      </c>
      <c r="K55" s="620" t="s">
        <v>234</v>
      </c>
      <c r="L55" s="420" t="s">
        <v>256</v>
      </c>
      <c r="M55" s="316">
        <f t="shared" si="1"/>
        <v>2454</v>
      </c>
      <c r="N55" s="198"/>
      <c r="O55" s="322" t="s">
        <v>211</v>
      </c>
      <c r="P55" s="346">
        <f>COUNTIF($J$2:$J$478,"9")</f>
        <v>25</v>
      </c>
      <c r="Q55" s="113"/>
      <c r="R55" s="114"/>
      <c r="S55" s="343">
        <f>(P55/P59)</f>
        <v>0.09025270758</v>
      </c>
      <c r="T55" s="25"/>
      <c r="U55" s="198"/>
      <c r="V55" s="198"/>
      <c r="W55" s="198"/>
      <c r="X55" s="198"/>
      <c r="Y55" s="198"/>
      <c r="Z55" s="198"/>
    </row>
    <row r="56" ht="14.25" customHeight="1">
      <c r="A56" s="425">
        <v>5516.0</v>
      </c>
      <c r="B56" s="426" t="s">
        <v>8808</v>
      </c>
      <c r="C56" s="426">
        <v>2010.0</v>
      </c>
      <c r="D56" s="500">
        <v>40535.0</v>
      </c>
      <c r="E56" s="426" t="s">
        <v>8809</v>
      </c>
      <c r="F56" s="426" t="s">
        <v>1846</v>
      </c>
      <c r="G56" s="426" t="s">
        <v>17</v>
      </c>
      <c r="H56" s="426" t="s">
        <v>583</v>
      </c>
      <c r="I56" s="500">
        <v>42496.0</v>
      </c>
      <c r="J56" s="428">
        <v>5.0</v>
      </c>
      <c r="K56" s="618" t="s">
        <v>238</v>
      </c>
      <c r="L56" s="426" t="s">
        <v>256</v>
      </c>
      <c r="M56" s="319">
        <f t="shared" si="1"/>
        <v>1961</v>
      </c>
      <c r="N56" s="198"/>
      <c r="O56" s="321" t="s">
        <v>213</v>
      </c>
      <c r="P56" s="344">
        <f>COUNTIF($J$2:$J$478,"10")</f>
        <v>32</v>
      </c>
      <c r="Q56" s="113"/>
      <c r="R56" s="114"/>
      <c r="S56" s="345">
        <f>(P56/P59)</f>
        <v>0.1155234657</v>
      </c>
      <c r="T56" s="25"/>
      <c r="U56" s="198"/>
      <c r="V56" s="198"/>
      <c r="W56" s="198"/>
      <c r="X56" s="198"/>
      <c r="Y56" s="198"/>
      <c r="Z56" s="198"/>
    </row>
    <row r="57" ht="14.25" customHeight="1">
      <c r="A57" s="419">
        <v>5616.0</v>
      </c>
      <c r="B57" s="420" t="s">
        <v>8810</v>
      </c>
      <c r="C57" s="420">
        <v>2013.0</v>
      </c>
      <c r="D57" s="497">
        <v>41572.0</v>
      </c>
      <c r="E57" s="420" t="s">
        <v>8811</v>
      </c>
      <c r="F57" s="420" t="s">
        <v>8119</v>
      </c>
      <c r="G57" s="420" t="s">
        <v>552</v>
      </c>
      <c r="H57" s="420" t="s">
        <v>1178</v>
      </c>
      <c r="I57" s="497">
        <v>42496.0</v>
      </c>
      <c r="J57" s="422">
        <v>5.0</v>
      </c>
      <c r="K57" s="617" t="s">
        <v>228</v>
      </c>
      <c r="L57" s="420" t="s">
        <v>258</v>
      </c>
      <c r="M57" s="316">
        <f t="shared" si="1"/>
        <v>924</v>
      </c>
      <c r="N57" s="198"/>
      <c r="O57" s="322" t="s">
        <v>215</v>
      </c>
      <c r="P57" s="346">
        <f>COUNTIF($J$2:$J$478,"11")</f>
        <v>23</v>
      </c>
      <c r="Q57" s="113"/>
      <c r="R57" s="114"/>
      <c r="S57" s="343">
        <f>(P57/P59)</f>
        <v>0.08303249097</v>
      </c>
      <c r="T57" s="25"/>
      <c r="U57" s="198"/>
      <c r="V57" s="198"/>
      <c r="W57" s="198"/>
      <c r="X57" s="198"/>
      <c r="Y57" s="198"/>
      <c r="Z57" s="198"/>
    </row>
    <row r="58" ht="14.25" customHeight="1">
      <c r="A58" s="425">
        <v>5716.0</v>
      </c>
      <c r="B58" s="426" t="s">
        <v>8812</v>
      </c>
      <c r="C58" s="426">
        <v>2014.0</v>
      </c>
      <c r="D58" s="500">
        <v>41704.0</v>
      </c>
      <c r="E58" s="426" t="s">
        <v>8813</v>
      </c>
      <c r="F58" s="426" t="s">
        <v>1846</v>
      </c>
      <c r="G58" s="426" t="s">
        <v>17</v>
      </c>
      <c r="H58" s="426" t="s">
        <v>740</v>
      </c>
      <c r="I58" s="500">
        <v>42499.0</v>
      </c>
      <c r="J58" s="428">
        <v>5.0</v>
      </c>
      <c r="K58" s="618" t="s">
        <v>238</v>
      </c>
      <c r="L58" s="426" t="s">
        <v>256</v>
      </c>
      <c r="M58" s="319">
        <f t="shared" si="1"/>
        <v>795</v>
      </c>
      <c r="N58" s="198"/>
      <c r="O58" s="355" t="s">
        <v>217</v>
      </c>
      <c r="P58" s="344">
        <f>COUNTIF($J$2:$J$478,"12")</f>
        <v>71</v>
      </c>
      <c r="Q58" s="113"/>
      <c r="R58" s="114"/>
      <c r="S58" s="356">
        <f>(P58/P59)</f>
        <v>0.2563176895</v>
      </c>
      <c r="T58" s="25"/>
      <c r="U58" s="198"/>
      <c r="V58" s="198"/>
      <c r="W58" s="198"/>
      <c r="X58" s="198"/>
      <c r="Y58" s="198"/>
      <c r="Z58" s="198"/>
    </row>
    <row r="59" ht="14.25" customHeight="1">
      <c r="A59" s="419">
        <v>5816.0</v>
      </c>
      <c r="B59" s="420" t="s">
        <v>8814</v>
      </c>
      <c r="C59" s="420">
        <v>2014.0</v>
      </c>
      <c r="D59" s="497">
        <v>41705.0</v>
      </c>
      <c r="E59" s="420" t="s">
        <v>8815</v>
      </c>
      <c r="F59" s="623" t="s">
        <v>5718</v>
      </c>
      <c r="G59" s="420" t="s">
        <v>565</v>
      </c>
      <c r="H59" s="420" t="s">
        <v>8816</v>
      </c>
      <c r="I59" s="497">
        <v>42500.0</v>
      </c>
      <c r="J59" s="422">
        <v>5.0</v>
      </c>
      <c r="K59" s="618" t="s">
        <v>238</v>
      </c>
      <c r="L59" s="420" t="s">
        <v>260</v>
      </c>
      <c r="M59" s="316">
        <f t="shared" si="1"/>
        <v>795</v>
      </c>
      <c r="N59" s="198"/>
      <c r="O59" s="348" t="s">
        <v>219</v>
      </c>
      <c r="P59" s="349">
        <f>SUM(P47:R58)</f>
        <v>277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4.25" customHeight="1">
      <c r="A60" s="425">
        <v>5916.0</v>
      </c>
      <c r="B60" s="426" t="s">
        <v>8817</v>
      </c>
      <c r="C60" s="426">
        <v>2010.0</v>
      </c>
      <c r="D60" s="500">
        <v>40266.0</v>
      </c>
      <c r="E60" s="426" t="s">
        <v>8818</v>
      </c>
      <c r="F60" s="426" t="s">
        <v>8819</v>
      </c>
      <c r="G60" s="426" t="s">
        <v>650</v>
      </c>
      <c r="H60" s="426" t="s">
        <v>651</v>
      </c>
      <c r="I60" s="500">
        <v>42500.0</v>
      </c>
      <c r="J60" s="428">
        <v>5.0</v>
      </c>
      <c r="K60" s="617" t="s">
        <v>228</v>
      </c>
      <c r="L60" s="426" t="s">
        <v>256</v>
      </c>
      <c r="M60" s="319">
        <f t="shared" si="1"/>
        <v>2234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5.0" customHeight="1">
      <c r="A61" s="419">
        <v>6016.0</v>
      </c>
      <c r="B61" s="420" t="s">
        <v>8820</v>
      </c>
      <c r="C61" s="420">
        <v>2010.0</v>
      </c>
      <c r="D61" s="497">
        <v>40479.0</v>
      </c>
      <c r="E61" s="420" t="s">
        <v>8821</v>
      </c>
      <c r="F61" s="420" t="s">
        <v>4572</v>
      </c>
      <c r="G61" s="420" t="s">
        <v>17</v>
      </c>
      <c r="H61" s="420" t="s">
        <v>1178</v>
      </c>
      <c r="I61" s="497">
        <v>42501.0</v>
      </c>
      <c r="J61" s="422">
        <v>5.0</v>
      </c>
      <c r="K61" s="618" t="s">
        <v>238</v>
      </c>
      <c r="L61" s="420" t="s">
        <v>258</v>
      </c>
      <c r="M61" s="316">
        <f t="shared" si="1"/>
        <v>2022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4.25" customHeight="1">
      <c r="A62" s="425">
        <v>6116.0</v>
      </c>
      <c r="B62" s="426" t="s">
        <v>8822</v>
      </c>
      <c r="C62" s="426">
        <v>2010.0</v>
      </c>
      <c r="D62" s="500">
        <v>40486.0</v>
      </c>
      <c r="E62" s="426" t="s">
        <v>8823</v>
      </c>
      <c r="F62" s="426" t="s">
        <v>4572</v>
      </c>
      <c r="G62" s="426" t="s">
        <v>17</v>
      </c>
      <c r="H62" s="426" t="s">
        <v>5016</v>
      </c>
      <c r="I62" s="500">
        <v>42501.0</v>
      </c>
      <c r="J62" s="428">
        <v>5.0</v>
      </c>
      <c r="K62" s="618" t="s">
        <v>238</v>
      </c>
      <c r="L62" s="426" t="s">
        <v>258</v>
      </c>
      <c r="M62" s="319">
        <f t="shared" si="1"/>
        <v>2015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4.25" customHeight="1">
      <c r="A63" s="419">
        <v>6216.0</v>
      </c>
      <c r="B63" s="420" t="s">
        <v>8824</v>
      </c>
      <c r="C63" s="420">
        <v>2012.0</v>
      </c>
      <c r="D63" s="497">
        <v>41241.0</v>
      </c>
      <c r="E63" s="420" t="s">
        <v>8825</v>
      </c>
      <c r="F63" s="420" t="s">
        <v>4572</v>
      </c>
      <c r="G63" s="420" t="s">
        <v>17</v>
      </c>
      <c r="H63" s="420" t="s">
        <v>596</v>
      </c>
      <c r="I63" s="497">
        <v>42501.0</v>
      </c>
      <c r="J63" s="422">
        <v>5.0</v>
      </c>
      <c r="K63" s="618" t="s">
        <v>238</v>
      </c>
      <c r="L63" s="420" t="s">
        <v>258</v>
      </c>
      <c r="M63" s="316">
        <f t="shared" si="1"/>
        <v>1260</v>
      </c>
      <c r="N63" s="198"/>
      <c r="O63" s="624" t="s">
        <v>225</v>
      </c>
      <c r="P63" s="625"/>
      <c r="Q63" s="625"/>
      <c r="R63" s="626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4.25" customHeight="1">
      <c r="A64" s="425">
        <v>6316.0</v>
      </c>
      <c r="B64" s="426" t="s">
        <v>8826</v>
      </c>
      <c r="C64" s="426">
        <v>2012.0</v>
      </c>
      <c r="D64" s="500">
        <v>40636.0</v>
      </c>
      <c r="E64" s="426" t="s">
        <v>8827</v>
      </c>
      <c r="F64" s="426" t="s">
        <v>4572</v>
      </c>
      <c r="G64" s="426" t="s">
        <v>17</v>
      </c>
      <c r="H64" s="426" t="s">
        <v>97</v>
      </c>
      <c r="I64" s="500">
        <v>42501.0</v>
      </c>
      <c r="J64" s="428">
        <v>5.0</v>
      </c>
      <c r="K64" s="618" t="s">
        <v>238</v>
      </c>
      <c r="L64" s="426" t="s">
        <v>258</v>
      </c>
      <c r="M64" s="319">
        <f t="shared" si="1"/>
        <v>1865</v>
      </c>
      <c r="N64" s="198"/>
      <c r="O64" s="627" t="s">
        <v>228</v>
      </c>
      <c r="P64" s="628"/>
      <c r="Q64" s="628"/>
      <c r="R64" s="629"/>
      <c r="S64" s="365">
        <f>COUNTIF($K$2:$K$478,"I - Extremamente tóxico")</f>
        <v>105</v>
      </c>
      <c r="T64" s="366">
        <f>(S64/S76)</f>
        <v>0.3790613718</v>
      </c>
      <c r="U64" s="198"/>
      <c r="V64" s="198"/>
      <c r="W64" s="198"/>
      <c r="X64" s="198"/>
      <c r="Y64" s="198"/>
      <c r="Z64" s="198"/>
    </row>
    <row r="65" ht="15.75" customHeight="1">
      <c r="A65" s="419">
        <v>6416.0</v>
      </c>
      <c r="B65" s="420" t="s">
        <v>8828</v>
      </c>
      <c r="C65" s="420">
        <v>2012.0</v>
      </c>
      <c r="D65" s="497">
        <v>41236.0</v>
      </c>
      <c r="E65" s="420" t="s">
        <v>8829</v>
      </c>
      <c r="F65" s="420" t="s">
        <v>4572</v>
      </c>
      <c r="G65" s="420" t="s">
        <v>17</v>
      </c>
      <c r="H65" s="420" t="s">
        <v>8830</v>
      </c>
      <c r="I65" s="497">
        <v>42502.0</v>
      </c>
      <c r="J65" s="422">
        <v>5.0</v>
      </c>
      <c r="K65" s="618" t="s">
        <v>238</v>
      </c>
      <c r="L65" s="420" t="s">
        <v>258</v>
      </c>
      <c r="M65" s="316">
        <f t="shared" si="1"/>
        <v>1266</v>
      </c>
      <c r="N65" s="198"/>
      <c r="O65" s="627" t="s">
        <v>230</v>
      </c>
      <c r="P65" s="628"/>
      <c r="Q65" s="628"/>
      <c r="R65" s="629"/>
      <c r="S65" s="370">
        <f>COUNTIF($K$2:$K$478,"Categoria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3.5" customHeight="1">
      <c r="A66" s="425">
        <v>6516.0</v>
      </c>
      <c r="B66" s="426" t="s">
        <v>8831</v>
      </c>
      <c r="C66" s="426">
        <v>2012.0</v>
      </c>
      <c r="D66" s="500">
        <v>41038.0</v>
      </c>
      <c r="E66" s="426" t="s">
        <v>8832</v>
      </c>
      <c r="F66" s="426" t="s">
        <v>4572</v>
      </c>
      <c r="G66" s="426" t="s">
        <v>17</v>
      </c>
      <c r="H66" s="426" t="s">
        <v>50</v>
      </c>
      <c r="I66" s="500">
        <v>42502.0</v>
      </c>
      <c r="J66" s="428">
        <v>5.0</v>
      </c>
      <c r="K66" s="618" t="s">
        <v>238</v>
      </c>
      <c r="L66" s="426" t="s">
        <v>258</v>
      </c>
      <c r="M66" s="319">
        <f t="shared" si="1"/>
        <v>1464</v>
      </c>
      <c r="N66" s="198"/>
      <c r="O66" s="627" t="s">
        <v>232</v>
      </c>
      <c r="P66" s="628"/>
      <c r="Q66" s="628"/>
      <c r="R66" s="629"/>
      <c r="S66" s="370">
        <f>COUNTIF($K$2:$K$478,"Categoria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4.25" customHeight="1">
      <c r="A67" s="419">
        <v>6616.0</v>
      </c>
      <c r="B67" s="420" t="s">
        <v>8833</v>
      </c>
      <c r="C67" s="420">
        <v>2013.0</v>
      </c>
      <c r="D67" s="497">
        <v>41554.0</v>
      </c>
      <c r="E67" s="420" t="s">
        <v>8834</v>
      </c>
      <c r="F67" s="420" t="s">
        <v>4572</v>
      </c>
      <c r="G67" s="420" t="s">
        <v>17</v>
      </c>
      <c r="H67" s="420" t="s">
        <v>881</v>
      </c>
      <c r="I67" s="497">
        <v>42502.0</v>
      </c>
      <c r="J67" s="422">
        <v>5.0</v>
      </c>
      <c r="K67" s="618" t="s">
        <v>238</v>
      </c>
      <c r="L67" s="420" t="s">
        <v>258</v>
      </c>
      <c r="M67" s="316">
        <f t="shared" si="1"/>
        <v>948</v>
      </c>
      <c r="N67" s="198"/>
      <c r="O67" s="630" t="s">
        <v>234</v>
      </c>
      <c r="P67" s="523"/>
      <c r="Q67" s="523"/>
      <c r="R67" s="524"/>
      <c r="S67" s="373">
        <f>COUNTIF($K$2:$K$478,"II - Altamente tóxico")</f>
        <v>35</v>
      </c>
      <c r="T67" s="374">
        <f>(S67/S76)</f>
        <v>0.1263537906</v>
      </c>
      <c r="U67" s="198"/>
      <c r="V67" s="198"/>
      <c r="W67" s="198"/>
      <c r="X67" s="198"/>
      <c r="Y67" s="198"/>
      <c r="Z67" s="198"/>
    </row>
    <row r="68" ht="13.5" customHeight="1">
      <c r="A68" s="425">
        <v>6716.0</v>
      </c>
      <c r="B68" s="426" t="s">
        <v>8835</v>
      </c>
      <c r="C68" s="426">
        <v>2010.0</v>
      </c>
      <c r="D68" s="500">
        <v>40210.0</v>
      </c>
      <c r="E68" s="426" t="s">
        <v>8836</v>
      </c>
      <c r="F68" s="426" t="s">
        <v>900</v>
      </c>
      <c r="G68" s="426" t="s">
        <v>17</v>
      </c>
      <c r="H68" s="426" t="s">
        <v>1749</v>
      </c>
      <c r="I68" s="500">
        <v>42502.0</v>
      </c>
      <c r="J68" s="428">
        <v>5.0</v>
      </c>
      <c r="K68" s="618" t="s">
        <v>238</v>
      </c>
      <c r="L68" s="426" t="s">
        <v>258</v>
      </c>
      <c r="M68" s="319">
        <f t="shared" si="1"/>
        <v>2292</v>
      </c>
      <c r="N68" s="198"/>
      <c r="O68" s="372" t="s">
        <v>236</v>
      </c>
      <c r="P68" s="368"/>
      <c r="Q68" s="368"/>
      <c r="R68" s="369"/>
      <c r="S68" s="373">
        <f>COUNTIF($K$2:$K$478,"Categoria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3.5" customHeight="1">
      <c r="A69" s="419">
        <v>6816.0</v>
      </c>
      <c r="B69" s="420" t="s">
        <v>8837</v>
      </c>
      <c r="C69" s="420">
        <v>2012.0</v>
      </c>
      <c r="D69" s="497">
        <v>41019.0</v>
      </c>
      <c r="E69" s="420" t="s">
        <v>8838</v>
      </c>
      <c r="F69" s="420" t="s">
        <v>1968</v>
      </c>
      <c r="G69" s="420" t="s">
        <v>17</v>
      </c>
      <c r="H69" s="420" t="s">
        <v>5016</v>
      </c>
      <c r="I69" s="497">
        <v>42502.0</v>
      </c>
      <c r="J69" s="422">
        <v>5.0</v>
      </c>
      <c r="K69" s="617" t="s">
        <v>228</v>
      </c>
      <c r="L69" s="420" t="s">
        <v>256</v>
      </c>
      <c r="M69" s="316">
        <f t="shared" si="1"/>
        <v>1483</v>
      </c>
      <c r="N69" s="198"/>
      <c r="O69" s="375" t="s">
        <v>238</v>
      </c>
      <c r="P69" s="368"/>
      <c r="Q69" s="368"/>
      <c r="R69" s="369"/>
      <c r="S69" s="376">
        <f>COUNTIF($K$2:$K$478,"III - Medianamente tóxico")</f>
        <v>89</v>
      </c>
      <c r="T69" s="377">
        <f>(S69/S76)</f>
        <v>0.321299639</v>
      </c>
      <c r="U69" s="198"/>
      <c r="V69" s="198"/>
      <c r="W69" s="198"/>
      <c r="X69" s="198"/>
      <c r="Y69" s="198"/>
      <c r="Z69" s="198"/>
    </row>
    <row r="70" ht="13.5" customHeight="1">
      <c r="A70" s="425">
        <v>6916.0</v>
      </c>
      <c r="B70" s="426" t="s">
        <v>8839</v>
      </c>
      <c r="C70" s="426">
        <v>2011.0</v>
      </c>
      <c r="D70" s="500">
        <v>40709.0</v>
      </c>
      <c r="E70" s="426" t="s">
        <v>8840</v>
      </c>
      <c r="F70" s="426" t="s">
        <v>8841</v>
      </c>
      <c r="G70" s="426" t="s">
        <v>17</v>
      </c>
      <c r="H70" s="426" t="s">
        <v>596</v>
      </c>
      <c r="I70" s="500">
        <v>42502.0</v>
      </c>
      <c r="J70" s="428">
        <v>5.0</v>
      </c>
      <c r="K70" s="617" t="s">
        <v>228</v>
      </c>
      <c r="L70" s="426" t="s">
        <v>258</v>
      </c>
      <c r="M70" s="319">
        <f t="shared" si="1"/>
        <v>1793</v>
      </c>
      <c r="N70" s="198"/>
      <c r="O70" s="375" t="s">
        <v>240</v>
      </c>
      <c r="P70" s="368"/>
      <c r="Q70" s="368"/>
      <c r="R70" s="369"/>
      <c r="S70" s="376">
        <f>COUNTIF($K$2:$K$478,"Categoria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3.5" customHeight="1">
      <c r="A71" s="419">
        <v>7016.0</v>
      </c>
      <c r="B71" s="420" t="s">
        <v>8842</v>
      </c>
      <c r="C71" s="420">
        <v>2010.0</v>
      </c>
      <c r="D71" s="497">
        <v>40532.0</v>
      </c>
      <c r="E71" s="420" t="s">
        <v>8843</v>
      </c>
      <c r="F71" s="420" t="s">
        <v>8844</v>
      </c>
      <c r="G71" s="420" t="s">
        <v>17</v>
      </c>
      <c r="H71" s="420" t="s">
        <v>8845</v>
      </c>
      <c r="I71" s="497">
        <v>42503.0</v>
      </c>
      <c r="J71" s="422">
        <v>5.0</v>
      </c>
      <c r="K71" s="618" t="s">
        <v>238</v>
      </c>
      <c r="L71" s="420" t="s">
        <v>258</v>
      </c>
      <c r="M71" s="316">
        <f t="shared" si="1"/>
        <v>1971</v>
      </c>
      <c r="N71" s="198"/>
      <c r="O71" s="375" t="s">
        <v>242</v>
      </c>
      <c r="P71" s="368"/>
      <c r="Q71" s="368"/>
      <c r="R71" s="369"/>
      <c r="S71" s="376">
        <f>COUNTIF($K$2:$K$478,"Categoria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3.5" customHeight="1">
      <c r="A72" s="425">
        <v>7116.0</v>
      </c>
      <c r="B72" s="426" t="s">
        <v>8846</v>
      </c>
      <c r="C72" s="426">
        <v>2011.0</v>
      </c>
      <c r="D72" s="500">
        <v>40809.0</v>
      </c>
      <c r="E72" s="426" t="s">
        <v>8847</v>
      </c>
      <c r="F72" s="426" t="s">
        <v>654</v>
      </c>
      <c r="G72" s="426" t="s">
        <v>547</v>
      </c>
      <c r="H72" s="426" t="s">
        <v>158</v>
      </c>
      <c r="I72" s="500">
        <v>42503.0</v>
      </c>
      <c r="J72" s="428">
        <v>5.0</v>
      </c>
      <c r="K72" s="617" t="s">
        <v>228</v>
      </c>
      <c r="L72" s="426" t="s">
        <v>258</v>
      </c>
      <c r="M72" s="319">
        <f t="shared" si="1"/>
        <v>1694</v>
      </c>
      <c r="N72" s="198"/>
      <c r="O72" s="378" t="s">
        <v>244</v>
      </c>
      <c r="P72" s="368"/>
      <c r="Q72" s="368"/>
      <c r="R72" s="369"/>
      <c r="S72" s="379">
        <f>COUNTIF($K$2:$K$478,"IV - Pouco tóxico")</f>
        <v>44</v>
      </c>
      <c r="T72" s="380">
        <f>(S72/S76)</f>
        <v>0.1588447653</v>
      </c>
      <c r="U72" s="198"/>
      <c r="V72" s="198"/>
      <c r="W72" s="198"/>
      <c r="X72" s="198"/>
      <c r="Y72" s="198"/>
      <c r="Z72" s="198"/>
    </row>
    <row r="73" ht="13.5" customHeight="1">
      <c r="A73" s="419">
        <v>7216.0</v>
      </c>
      <c r="B73" s="420" t="s">
        <v>8848</v>
      </c>
      <c r="C73" s="420">
        <v>2014.0</v>
      </c>
      <c r="D73" s="497">
        <v>41886.0</v>
      </c>
      <c r="E73" s="420" t="s">
        <v>8849</v>
      </c>
      <c r="F73" s="420" t="s">
        <v>1108</v>
      </c>
      <c r="G73" s="420" t="s">
        <v>17</v>
      </c>
      <c r="H73" s="420" t="s">
        <v>50</v>
      </c>
      <c r="I73" s="497">
        <v>42506.0</v>
      </c>
      <c r="J73" s="422">
        <v>5.0</v>
      </c>
      <c r="K73" s="618" t="s">
        <v>238</v>
      </c>
      <c r="L73" s="420" t="s">
        <v>256</v>
      </c>
      <c r="M73" s="316">
        <f t="shared" si="1"/>
        <v>620</v>
      </c>
      <c r="N73" s="198"/>
      <c r="O73" s="378" t="s">
        <v>822</v>
      </c>
      <c r="P73" s="368"/>
      <c r="Q73" s="368"/>
      <c r="R73" s="369"/>
      <c r="S73" s="379">
        <f>COUNTIF($K$2:$K$478,"Não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3.5" customHeight="1">
      <c r="A74" s="425">
        <v>7316.0</v>
      </c>
      <c r="B74" s="426" t="s">
        <v>8850</v>
      </c>
      <c r="C74" s="426">
        <v>2010.0</v>
      </c>
      <c r="D74" s="500">
        <v>40448.0</v>
      </c>
      <c r="E74" s="426" t="s">
        <v>8851</v>
      </c>
      <c r="F74" s="426" t="s">
        <v>963</v>
      </c>
      <c r="G74" s="426" t="s">
        <v>552</v>
      </c>
      <c r="H74" s="426" t="s">
        <v>50</v>
      </c>
      <c r="I74" s="500">
        <v>42513.0</v>
      </c>
      <c r="J74" s="428">
        <v>5.0</v>
      </c>
      <c r="K74" s="618" t="s">
        <v>238</v>
      </c>
      <c r="L74" s="426" t="s">
        <v>258</v>
      </c>
      <c r="M74" s="319">
        <f t="shared" si="1"/>
        <v>2065</v>
      </c>
      <c r="N74" s="198"/>
      <c r="O74" s="378" t="s">
        <v>850</v>
      </c>
      <c r="P74" s="368"/>
      <c r="Q74" s="368"/>
      <c r="R74" s="369"/>
      <c r="S74" s="379">
        <f>COUNTIF($K$2:$K$478,"Não determinada devido à natureza do produto (Inimigos naturais)")</f>
        <v>4</v>
      </c>
      <c r="T74" s="380">
        <f>(S74/S76)</f>
        <v>0.01444043321</v>
      </c>
      <c r="U74" s="198"/>
      <c r="V74" s="198"/>
      <c r="W74" s="198"/>
      <c r="X74" s="198"/>
      <c r="Y74" s="198"/>
      <c r="Z74" s="198"/>
    </row>
    <row r="75" ht="12.75" customHeight="1">
      <c r="A75" s="419">
        <v>7416.0</v>
      </c>
      <c r="B75" s="420" t="s">
        <v>8852</v>
      </c>
      <c r="C75" s="420">
        <v>2014.0</v>
      </c>
      <c r="D75" s="497">
        <v>41821.0</v>
      </c>
      <c r="E75" s="420" t="s">
        <v>8853</v>
      </c>
      <c r="F75" s="420" t="s">
        <v>963</v>
      </c>
      <c r="G75" s="420" t="s">
        <v>17</v>
      </c>
      <c r="H75" s="420" t="s">
        <v>153</v>
      </c>
      <c r="I75" s="497">
        <v>42513.0</v>
      </c>
      <c r="J75" s="422">
        <v>5.0</v>
      </c>
      <c r="K75" s="617" t="s">
        <v>228</v>
      </c>
      <c r="L75" s="420" t="s">
        <v>258</v>
      </c>
      <c r="M75" s="316">
        <f t="shared" si="1"/>
        <v>692</v>
      </c>
      <c r="N75" s="198"/>
      <c r="O75" s="381" t="s">
        <v>19</v>
      </c>
      <c r="P75" s="382"/>
      <c r="Q75" s="382"/>
      <c r="R75" s="383"/>
      <c r="S75" s="384">
        <f>COUNTIF($K$2:$K$478,"O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3.5" customHeight="1">
      <c r="A76" s="425">
        <v>7516.0</v>
      </c>
      <c r="B76" s="426" t="s">
        <v>8854</v>
      </c>
      <c r="C76" s="426">
        <v>2014.0</v>
      </c>
      <c r="D76" s="500">
        <v>41978.0</v>
      </c>
      <c r="E76" s="426" t="s">
        <v>8855</v>
      </c>
      <c r="F76" s="426" t="s">
        <v>8700</v>
      </c>
      <c r="G76" s="426" t="s">
        <v>565</v>
      </c>
      <c r="H76" s="426" t="s">
        <v>7420</v>
      </c>
      <c r="I76" s="500">
        <v>42514.0</v>
      </c>
      <c r="J76" s="428">
        <v>5.0</v>
      </c>
      <c r="K76" s="618" t="s">
        <v>238</v>
      </c>
      <c r="L76" s="426" t="s">
        <v>260</v>
      </c>
      <c r="M76" s="319">
        <f t="shared" si="1"/>
        <v>536</v>
      </c>
      <c r="N76" s="198"/>
      <c r="O76" s="386" t="s">
        <v>219</v>
      </c>
      <c r="P76" s="332"/>
      <c r="Q76" s="332"/>
      <c r="R76" s="387"/>
      <c r="S76" s="388">
        <f>SUM(S64:S75)</f>
        <v>277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4.25" customHeight="1">
      <c r="A77" s="419">
        <v>7616.0</v>
      </c>
      <c r="B77" s="420" t="s">
        <v>8856</v>
      </c>
      <c r="C77" s="420">
        <v>2015.0</v>
      </c>
      <c r="D77" s="497">
        <v>42037.0</v>
      </c>
      <c r="E77" s="420" t="s">
        <v>8857</v>
      </c>
      <c r="F77" s="420" t="s">
        <v>1846</v>
      </c>
      <c r="G77" s="420" t="s">
        <v>17</v>
      </c>
      <c r="H77" s="420" t="s">
        <v>50</v>
      </c>
      <c r="I77" s="497">
        <v>42514.0</v>
      </c>
      <c r="J77" s="422">
        <v>5.0</v>
      </c>
      <c r="K77" s="618" t="s">
        <v>238</v>
      </c>
      <c r="L77" s="420" t="s">
        <v>256</v>
      </c>
      <c r="M77" s="316">
        <f t="shared" si="1"/>
        <v>477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5.0" customHeight="1">
      <c r="A78" s="425">
        <v>7716.0</v>
      </c>
      <c r="B78" s="426" t="s">
        <v>8858</v>
      </c>
      <c r="C78" s="426">
        <v>2014.0</v>
      </c>
      <c r="D78" s="500">
        <v>41954.0</v>
      </c>
      <c r="E78" s="426" t="s">
        <v>8859</v>
      </c>
      <c r="F78" s="622" t="s">
        <v>2343</v>
      </c>
      <c r="G78" s="426" t="s">
        <v>569</v>
      </c>
      <c r="H78" s="426" t="s">
        <v>8791</v>
      </c>
      <c r="I78" s="500">
        <v>42521.0</v>
      </c>
      <c r="J78" s="428">
        <v>5.0</v>
      </c>
      <c r="K78" s="621" t="s">
        <v>244</v>
      </c>
      <c r="L78" s="426" t="s">
        <v>260</v>
      </c>
      <c r="M78" s="319">
        <f t="shared" si="1"/>
        <v>567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3.5" customHeight="1">
      <c r="A79" s="419">
        <v>7816.0</v>
      </c>
      <c r="B79" s="420" t="s">
        <v>8860</v>
      </c>
      <c r="C79" s="420">
        <v>2014.0</v>
      </c>
      <c r="D79" s="497">
        <v>41887.0</v>
      </c>
      <c r="E79" s="420" t="s">
        <v>8861</v>
      </c>
      <c r="F79" s="623" t="s">
        <v>2614</v>
      </c>
      <c r="G79" s="420" t="s">
        <v>569</v>
      </c>
      <c r="H79" s="420" t="s">
        <v>8710</v>
      </c>
      <c r="I79" s="497">
        <v>42521.0</v>
      </c>
      <c r="J79" s="422">
        <v>5.0</v>
      </c>
      <c r="K79" s="621" t="s">
        <v>244</v>
      </c>
      <c r="L79" s="420" t="s">
        <v>260</v>
      </c>
      <c r="M79" s="316">
        <f t="shared" si="1"/>
        <v>634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4.25" customHeight="1">
      <c r="A80" s="425">
        <v>7916.0</v>
      </c>
      <c r="B80" s="426" t="s">
        <v>8862</v>
      </c>
      <c r="C80" s="426">
        <v>2013.0</v>
      </c>
      <c r="D80" s="500">
        <v>41625.0</v>
      </c>
      <c r="E80" s="426" t="s">
        <v>8863</v>
      </c>
      <c r="F80" s="622" t="s">
        <v>2343</v>
      </c>
      <c r="G80" s="426" t="s">
        <v>569</v>
      </c>
      <c r="H80" s="426" t="s">
        <v>8864</v>
      </c>
      <c r="I80" s="500">
        <v>42523.0</v>
      </c>
      <c r="J80" s="428">
        <v>6.0</v>
      </c>
      <c r="K80" s="621" t="s">
        <v>244</v>
      </c>
      <c r="L80" s="426" t="s">
        <v>260</v>
      </c>
      <c r="M80" s="319">
        <f t="shared" si="1"/>
        <v>898</v>
      </c>
      <c r="N80" s="198"/>
      <c r="O80" s="624" t="s">
        <v>225</v>
      </c>
      <c r="P80" s="625"/>
      <c r="Q80" s="625"/>
      <c r="R80" s="626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4.25" customHeight="1">
      <c r="A81" s="419">
        <v>8016.0</v>
      </c>
      <c r="B81" s="420" t="s">
        <v>8865</v>
      </c>
      <c r="C81" s="420">
        <v>2015.0</v>
      </c>
      <c r="D81" s="497">
        <v>42146.0</v>
      </c>
      <c r="E81" s="420" t="s">
        <v>8866</v>
      </c>
      <c r="F81" s="420" t="s">
        <v>8700</v>
      </c>
      <c r="G81" s="420" t="s">
        <v>565</v>
      </c>
      <c r="H81" s="420" t="s">
        <v>8867</v>
      </c>
      <c r="I81" s="497">
        <v>42523.0</v>
      </c>
      <c r="J81" s="422">
        <v>6.0</v>
      </c>
      <c r="K81" s="621" t="s">
        <v>244</v>
      </c>
      <c r="L81" s="420" t="s">
        <v>260</v>
      </c>
      <c r="M81" s="316">
        <f t="shared" si="1"/>
        <v>377</v>
      </c>
      <c r="N81" s="198"/>
      <c r="O81" s="631" t="s">
        <v>254</v>
      </c>
      <c r="P81" s="632"/>
      <c r="Q81" s="632"/>
      <c r="R81" s="633"/>
      <c r="S81" s="394">
        <f>COUNTIF($L$2:$L$478,"I - Produto altamente perigoso ao meio ambiente")</f>
        <v>14</v>
      </c>
      <c r="T81" s="395">
        <f>(S81/S85)</f>
        <v>0.05054151625</v>
      </c>
      <c r="U81" s="198"/>
      <c r="V81" s="198"/>
      <c r="W81" s="198"/>
      <c r="X81" s="198"/>
      <c r="Y81" s="198"/>
      <c r="Z81" s="198"/>
    </row>
    <row r="82" ht="15.0" customHeight="1">
      <c r="A82" s="425">
        <v>8116.0</v>
      </c>
      <c r="B82" s="426" t="s">
        <v>8868</v>
      </c>
      <c r="C82" s="426">
        <v>2010.0</v>
      </c>
      <c r="D82" s="500">
        <v>40210.0</v>
      </c>
      <c r="E82" s="426" t="s">
        <v>8869</v>
      </c>
      <c r="F82" s="426" t="s">
        <v>900</v>
      </c>
      <c r="G82" s="426" t="s">
        <v>17</v>
      </c>
      <c r="H82" s="426" t="s">
        <v>596</v>
      </c>
      <c r="I82" s="500">
        <v>42529.0</v>
      </c>
      <c r="J82" s="428">
        <v>6.0</v>
      </c>
      <c r="K82" s="617" t="s">
        <v>228</v>
      </c>
      <c r="L82" s="426" t="s">
        <v>256</v>
      </c>
      <c r="M82" s="319">
        <f t="shared" si="1"/>
        <v>2319</v>
      </c>
      <c r="N82" s="198"/>
      <c r="O82" s="396" t="s">
        <v>256</v>
      </c>
      <c r="P82" s="113"/>
      <c r="Q82" s="113"/>
      <c r="R82" s="114"/>
      <c r="S82" s="397">
        <f>COUNTIF($L$2:$L$478,"II - Produto muito perigoso ao meio ambiente")</f>
        <v>122</v>
      </c>
      <c r="T82" s="398">
        <f>(S82/S85)</f>
        <v>0.440433213</v>
      </c>
      <c r="U82" s="198"/>
      <c r="V82" s="198"/>
      <c r="W82" s="198"/>
      <c r="X82" s="198"/>
      <c r="Y82" s="198"/>
      <c r="Z82" s="198"/>
    </row>
    <row r="83" ht="13.5" customHeight="1">
      <c r="A83" s="419">
        <v>8216.0</v>
      </c>
      <c r="B83" s="420" t="s">
        <v>8870</v>
      </c>
      <c r="C83" s="420">
        <v>2011.0</v>
      </c>
      <c r="D83" s="497">
        <v>40676.0</v>
      </c>
      <c r="E83" s="420" t="s">
        <v>8871</v>
      </c>
      <c r="F83" s="420" t="s">
        <v>1232</v>
      </c>
      <c r="G83" s="420" t="s">
        <v>552</v>
      </c>
      <c r="H83" s="420" t="s">
        <v>8872</v>
      </c>
      <c r="I83" s="497">
        <v>42529.0</v>
      </c>
      <c r="J83" s="422">
        <v>6.0</v>
      </c>
      <c r="K83" s="617" t="s">
        <v>228</v>
      </c>
      <c r="L83" s="420" t="s">
        <v>256</v>
      </c>
      <c r="M83" s="316">
        <f t="shared" si="1"/>
        <v>1853</v>
      </c>
      <c r="N83" s="198"/>
      <c r="O83" s="399" t="s">
        <v>258</v>
      </c>
      <c r="P83" s="113"/>
      <c r="Q83" s="113"/>
      <c r="R83" s="114"/>
      <c r="S83" s="394">
        <f>COUNTIF($L$2:$L$478,"III - Produto perigoso ao meio ambiente")</f>
        <v>102</v>
      </c>
      <c r="T83" s="395">
        <f>(S83/S85)</f>
        <v>0.3682310469</v>
      </c>
      <c r="U83" s="198"/>
      <c r="V83" s="198"/>
      <c r="W83" s="198"/>
      <c r="X83" s="198"/>
      <c r="Y83" s="198"/>
      <c r="Z83" s="198"/>
    </row>
    <row r="84" ht="13.5" customHeight="1">
      <c r="A84" s="425">
        <v>8316.0</v>
      </c>
      <c r="B84" s="426" t="s">
        <v>8873</v>
      </c>
      <c r="C84" s="426">
        <v>2011.0</v>
      </c>
      <c r="D84" s="500">
        <v>40904.0</v>
      </c>
      <c r="E84" s="426" t="s">
        <v>8874</v>
      </c>
      <c r="F84" s="426" t="s">
        <v>963</v>
      </c>
      <c r="G84" s="426" t="s">
        <v>552</v>
      </c>
      <c r="H84" s="426" t="s">
        <v>596</v>
      </c>
      <c r="I84" s="500">
        <v>42530.0</v>
      </c>
      <c r="J84" s="428">
        <v>6.0</v>
      </c>
      <c r="K84" s="617" t="s">
        <v>228</v>
      </c>
      <c r="L84" s="426" t="s">
        <v>258</v>
      </c>
      <c r="M84" s="319">
        <f t="shared" si="1"/>
        <v>1626</v>
      </c>
      <c r="N84" s="198"/>
      <c r="O84" s="396" t="s">
        <v>260</v>
      </c>
      <c r="P84" s="113"/>
      <c r="Q84" s="113"/>
      <c r="R84" s="114"/>
      <c r="S84" s="397">
        <f>COUNTIF($L$2:$L$478,"IV - Produto pouco perigoso ao meio ambiente")</f>
        <v>39</v>
      </c>
      <c r="T84" s="398">
        <f>(S84/S85)</f>
        <v>0.1407942238</v>
      </c>
      <c r="U84" s="198"/>
      <c r="V84" s="198"/>
      <c r="W84" s="198"/>
      <c r="X84" s="198"/>
      <c r="Y84" s="198"/>
      <c r="Z84" s="198"/>
    </row>
    <row r="85" ht="13.5" customHeight="1">
      <c r="A85" s="419">
        <v>8416.0</v>
      </c>
      <c r="B85" s="420" t="s">
        <v>8875</v>
      </c>
      <c r="C85" s="420">
        <v>2013.0</v>
      </c>
      <c r="D85" s="497">
        <v>41339.0</v>
      </c>
      <c r="E85" s="420" t="s">
        <v>8876</v>
      </c>
      <c r="F85" s="623" t="s">
        <v>2343</v>
      </c>
      <c r="G85" s="420" t="s">
        <v>569</v>
      </c>
      <c r="H85" s="420" t="s">
        <v>8877</v>
      </c>
      <c r="I85" s="497">
        <v>42530.0</v>
      </c>
      <c r="J85" s="422">
        <v>6.0</v>
      </c>
      <c r="K85" s="621" t="s">
        <v>244</v>
      </c>
      <c r="L85" s="420" t="s">
        <v>260</v>
      </c>
      <c r="M85" s="316">
        <f t="shared" si="1"/>
        <v>1191</v>
      </c>
      <c r="N85" s="198"/>
      <c r="O85" s="386" t="s">
        <v>219</v>
      </c>
      <c r="P85" s="332"/>
      <c r="Q85" s="332"/>
      <c r="R85" s="387"/>
      <c r="S85" s="388">
        <f>SUM(S81:S84)</f>
        <v>277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3.5" customHeight="1">
      <c r="A86" s="425">
        <v>8516.0</v>
      </c>
      <c r="B86" s="426" t="s">
        <v>8878</v>
      </c>
      <c r="C86" s="426">
        <v>2015.0</v>
      </c>
      <c r="D86" s="500">
        <v>42209.0</v>
      </c>
      <c r="E86" s="426" t="s">
        <v>8879</v>
      </c>
      <c r="F86" s="622" t="s">
        <v>5332</v>
      </c>
      <c r="G86" s="426" t="s">
        <v>569</v>
      </c>
      <c r="H86" s="426" t="s">
        <v>8880</v>
      </c>
      <c r="I86" s="500">
        <v>42530.0</v>
      </c>
      <c r="J86" s="428">
        <v>6.0</v>
      </c>
      <c r="K86" s="621" t="s">
        <v>850</v>
      </c>
      <c r="L86" s="426" t="s">
        <v>260</v>
      </c>
      <c r="M86" s="319">
        <f t="shared" si="1"/>
        <v>321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5.0" customHeight="1">
      <c r="A87" s="419">
        <v>8616.0</v>
      </c>
      <c r="B87" s="420" t="s">
        <v>8881</v>
      </c>
      <c r="C87" s="420">
        <v>2013.0</v>
      </c>
      <c r="D87" s="497">
        <v>41303.0</v>
      </c>
      <c r="E87" s="420" t="s">
        <v>8882</v>
      </c>
      <c r="F87" s="420" t="s">
        <v>1762</v>
      </c>
      <c r="G87" s="420" t="s">
        <v>17</v>
      </c>
      <c r="H87" s="420" t="s">
        <v>66</v>
      </c>
      <c r="I87" s="497">
        <v>42530.0</v>
      </c>
      <c r="J87" s="422">
        <v>6.0</v>
      </c>
      <c r="K87" s="618" t="s">
        <v>238</v>
      </c>
      <c r="L87" s="420" t="s">
        <v>256</v>
      </c>
      <c r="M87" s="316">
        <f t="shared" si="1"/>
        <v>1227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4.25" customHeight="1">
      <c r="A88" s="425">
        <v>8716.0</v>
      </c>
      <c r="B88" s="426" t="s">
        <v>8883</v>
      </c>
      <c r="C88" s="426">
        <v>2014.0</v>
      </c>
      <c r="D88" s="500">
        <v>41851.0</v>
      </c>
      <c r="E88" s="426" t="s">
        <v>8884</v>
      </c>
      <c r="F88" s="426" t="s">
        <v>874</v>
      </c>
      <c r="G88" s="426" t="s">
        <v>17</v>
      </c>
      <c r="H88" s="426" t="s">
        <v>740</v>
      </c>
      <c r="I88" s="500">
        <v>42531.0</v>
      </c>
      <c r="J88" s="428">
        <v>6.0</v>
      </c>
      <c r="K88" s="620" t="s">
        <v>234</v>
      </c>
      <c r="L88" s="426" t="s">
        <v>256</v>
      </c>
      <c r="M88" s="319">
        <f t="shared" si="1"/>
        <v>680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3.5" customHeight="1">
      <c r="A89" s="419">
        <v>8816.0</v>
      </c>
      <c r="B89" s="420" t="s">
        <v>8885</v>
      </c>
      <c r="C89" s="420">
        <v>2012.0</v>
      </c>
      <c r="D89" s="497">
        <v>41271.0</v>
      </c>
      <c r="E89" s="420" t="s">
        <v>8886</v>
      </c>
      <c r="F89" s="420" t="s">
        <v>1762</v>
      </c>
      <c r="G89" s="420" t="s">
        <v>17</v>
      </c>
      <c r="H89" s="420" t="s">
        <v>740</v>
      </c>
      <c r="I89" s="497">
        <v>42535.0</v>
      </c>
      <c r="J89" s="422">
        <v>6.0</v>
      </c>
      <c r="K89" s="618" t="s">
        <v>238</v>
      </c>
      <c r="L89" s="420" t="s">
        <v>256</v>
      </c>
      <c r="M89" s="316">
        <f t="shared" si="1"/>
        <v>1264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3.5" customHeight="1">
      <c r="A90" s="425">
        <v>8916.0</v>
      </c>
      <c r="B90" s="426" t="s">
        <v>8887</v>
      </c>
      <c r="C90" s="426">
        <v>2013.0</v>
      </c>
      <c r="D90" s="500">
        <v>41394.0</v>
      </c>
      <c r="E90" s="426" t="s">
        <v>8888</v>
      </c>
      <c r="F90" s="426" t="s">
        <v>1762</v>
      </c>
      <c r="G90" s="426" t="s">
        <v>17</v>
      </c>
      <c r="H90" s="426" t="s">
        <v>2509</v>
      </c>
      <c r="I90" s="500">
        <v>42535.0</v>
      </c>
      <c r="J90" s="428">
        <v>6.0</v>
      </c>
      <c r="K90" s="618" t="s">
        <v>238</v>
      </c>
      <c r="L90" s="426" t="s">
        <v>256</v>
      </c>
      <c r="M90" s="319">
        <f t="shared" si="1"/>
        <v>1141</v>
      </c>
      <c r="N90" s="198"/>
      <c r="O90" s="412" t="s">
        <v>270</v>
      </c>
      <c r="P90" s="413">
        <f>AVERAGEIF(G2:G478,"PT",M2:M478)</f>
        <v>3108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5.0" customHeight="1">
      <c r="A91" s="419">
        <v>9016.0</v>
      </c>
      <c r="B91" s="420" t="s">
        <v>8889</v>
      </c>
      <c r="C91" s="420">
        <v>2011.0</v>
      </c>
      <c r="D91" s="497">
        <v>40659.0</v>
      </c>
      <c r="E91" s="420" t="s">
        <v>8890</v>
      </c>
      <c r="F91" s="420" t="s">
        <v>134</v>
      </c>
      <c r="G91" s="420" t="s">
        <v>17</v>
      </c>
      <c r="H91" s="420" t="s">
        <v>901</v>
      </c>
      <c r="I91" s="497">
        <v>42535.0</v>
      </c>
      <c r="J91" s="422">
        <v>6.0</v>
      </c>
      <c r="K91" s="620" t="s">
        <v>234</v>
      </c>
      <c r="L91" s="420" t="s">
        <v>258</v>
      </c>
      <c r="M91" s="316">
        <f t="shared" si="1"/>
        <v>1876</v>
      </c>
      <c r="N91" s="198"/>
      <c r="O91" s="414" t="s">
        <v>34</v>
      </c>
      <c r="P91" s="415">
        <f>AVERAGEIF(G2:G479,"PTN",M2:M479)</f>
        <v>2393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3.5" customHeight="1">
      <c r="A92" s="425">
        <v>9116.0</v>
      </c>
      <c r="B92" s="426" t="s">
        <v>8891</v>
      </c>
      <c r="C92" s="426">
        <v>2015.0</v>
      </c>
      <c r="D92" s="500">
        <v>42128.0</v>
      </c>
      <c r="E92" s="426" t="s">
        <v>8892</v>
      </c>
      <c r="F92" s="426" t="s">
        <v>874</v>
      </c>
      <c r="G92" s="426" t="s">
        <v>17</v>
      </c>
      <c r="H92" s="426" t="s">
        <v>97</v>
      </c>
      <c r="I92" s="500">
        <v>42550.0</v>
      </c>
      <c r="J92" s="428">
        <v>6.0</v>
      </c>
      <c r="K92" s="620" t="s">
        <v>234</v>
      </c>
      <c r="L92" s="426" t="s">
        <v>256</v>
      </c>
      <c r="M92" s="319">
        <f t="shared" si="1"/>
        <v>422</v>
      </c>
      <c r="N92" s="198"/>
      <c r="O92" s="412" t="s">
        <v>17</v>
      </c>
      <c r="P92" s="413">
        <f>AVERAGEIF(G2:G478,"PTE",M2:M478)</f>
        <v>1369.55625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3.5" customHeight="1">
      <c r="A93" s="419">
        <v>9216.0</v>
      </c>
      <c r="B93" s="420" t="s">
        <v>8893</v>
      </c>
      <c r="C93" s="420">
        <v>2011.0</v>
      </c>
      <c r="D93" s="497">
        <v>40827.0</v>
      </c>
      <c r="E93" s="420" t="s">
        <v>8894</v>
      </c>
      <c r="F93" s="420" t="s">
        <v>874</v>
      </c>
      <c r="G93" s="420" t="s">
        <v>17</v>
      </c>
      <c r="H93" s="420" t="s">
        <v>163</v>
      </c>
      <c r="I93" s="497">
        <v>42550.0</v>
      </c>
      <c r="J93" s="422">
        <v>6.0</v>
      </c>
      <c r="K93" s="620" t="s">
        <v>234</v>
      </c>
      <c r="L93" s="420" t="s">
        <v>256</v>
      </c>
      <c r="M93" s="316">
        <f t="shared" si="1"/>
        <v>1723</v>
      </c>
      <c r="N93" s="198"/>
      <c r="O93" s="414" t="s">
        <v>46</v>
      </c>
      <c r="P93" s="415">
        <f>AVERAGEIF(G2:G478,"Pré-Mistura",M2:M478)</f>
        <v>1692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9316.0</v>
      </c>
      <c r="B94" s="426" t="s">
        <v>8895</v>
      </c>
      <c r="C94" s="426">
        <v>2012.0</v>
      </c>
      <c r="D94" s="500">
        <v>41120.0</v>
      </c>
      <c r="E94" s="426" t="s">
        <v>8896</v>
      </c>
      <c r="F94" s="426" t="s">
        <v>162</v>
      </c>
      <c r="G94" s="426" t="s">
        <v>17</v>
      </c>
      <c r="H94" s="426" t="s">
        <v>596</v>
      </c>
      <c r="I94" s="500">
        <v>42550.0</v>
      </c>
      <c r="J94" s="428">
        <v>6.0</v>
      </c>
      <c r="K94" s="618" t="s">
        <v>238</v>
      </c>
      <c r="L94" s="426" t="s">
        <v>256</v>
      </c>
      <c r="M94" s="319">
        <f t="shared" si="1"/>
        <v>1430</v>
      </c>
      <c r="N94" s="198"/>
      <c r="O94" s="412" t="s">
        <v>650</v>
      </c>
      <c r="P94" s="413">
        <f>AVERAGEIF(G2:G478,"PF",M2:M478)</f>
        <v>1505.105263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9416.0</v>
      </c>
      <c r="B95" s="420" t="s">
        <v>8897</v>
      </c>
      <c r="C95" s="420">
        <v>2010.0</v>
      </c>
      <c r="D95" s="497">
        <v>40519.0</v>
      </c>
      <c r="E95" s="420" t="s">
        <v>8898</v>
      </c>
      <c r="F95" s="420" t="s">
        <v>162</v>
      </c>
      <c r="G95" s="420" t="s">
        <v>17</v>
      </c>
      <c r="H95" s="420" t="s">
        <v>740</v>
      </c>
      <c r="I95" s="497">
        <v>42550.0</v>
      </c>
      <c r="J95" s="422">
        <v>6.0</v>
      </c>
      <c r="K95" s="620" t="s">
        <v>234</v>
      </c>
      <c r="L95" s="420" t="s">
        <v>256</v>
      </c>
      <c r="M95" s="316">
        <f t="shared" si="1"/>
        <v>2031</v>
      </c>
      <c r="N95" s="198"/>
      <c r="O95" s="414" t="s">
        <v>547</v>
      </c>
      <c r="P95" s="415">
        <f>AVERAGEIF(G2:G478,"PFN",M2:M478)</f>
        <v>1786.1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9516.0</v>
      </c>
      <c r="B96" s="426" t="s">
        <v>8899</v>
      </c>
      <c r="C96" s="426">
        <v>2014.0</v>
      </c>
      <c r="D96" s="500">
        <v>41712.0</v>
      </c>
      <c r="E96" s="426" t="s">
        <v>8900</v>
      </c>
      <c r="F96" s="426" t="s">
        <v>162</v>
      </c>
      <c r="G96" s="426" t="s">
        <v>17</v>
      </c>
      <c r="H96" s="426" t="s">
        <v>7907</v>
      </c>
      <c r="I96" s="500">
        <v>42550.0</v>
      </c>
      <c r="J96" s="428">
        <v>6.0</v>
      </c>
      <c r="K96" s="618" t="s">
        <v>238</v>
      </c>
      <c r="L96" s="426" t="s">
        <v>256</v>
      </c>
      <c r="M96" s="319">
        <f t="shared" si="1"/>
        <v>838</v>
      </c>
      <c r="N96" s="198"/>
      <c r="O96" s="412" t="s">
        <v>552</v>
      </c>
      <c r="P96" s="413">
        <f>AVERAGEIF(G2:G478,"PF/PTE",M2:M478)</f>
        <v>1775.630435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9616.0</v>
      </c>
      <c r="B97" s="420" t="s">
        <v>8901</v>
      </c>
      <c r="C97" s="420">
        <v>2013.0</v>
      </c>
      <c r="D97" s="497">
        <v>41430.0</v>
      </c>
      <c r="E97" s="420" t="s">
        <v>8902</v>
      </c>
      <c r="F97" s="420" t="s">
        <v>162</v>
      </c>
      <c r="G97" s="420" t="s">
        <v>17</v>
      </c>
      <c r="H97" s="420" t="s">
        <v>163</v>
      </c>
      <c r="I97" s="497">
        <v>42550.0</v>
      </c>
      <c r="J97" s="422">
        <v>6.0</v>
      </c>
      <c r="K97" s="618" t="s">
        <v>238</v>
      </c>
      <c r="L97" s="420" t="s">
        <v>256</v>
      </c>
      <c r="M97" s="316">
        <f t="shared" si="1"/>
        <v>1120</v>
      </c>
      <c r="N97" s="198"/>
      <c r="O97" s="414" t="s">
        <v>565</v>
      </c>
      <c r="P97" s="415">
        <f>AVERAGEIF(G2:G478,"Bio",M2:M478)</f>
        <v>689.6666667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9716.0</v>
      </c>
      <c r="B98" s="426" t="s">
        <v>8903</v>
      </c>
      <c r="C98" s="426">
        <v>2012.0</v>
      </c>
      <c r="D98" s="500">
        <v>41116.0</v>
      </c>
      <c r="E98" s="426" t="s">
        <v>8904</v>
      </c>
      <c r="F98" s="426" t="s">
        <v>162</v>
      </c>
      <c r="G98" s="426" t="s">
        <v>17</v>
      </c>
      <c r="H98" s="426" t="s">
        <v>8905</v>
      </c>
      <c r="I98" s="500">
        <v>42551.0</v>
      </c>
      <c r="J98" s="428">
        <v>6.0</v>
      </c>
      <c r="K98" s="618" t="s">
        <v>238</v>
      </c>
      <c r="L98" s="426" t="s">
        <v>256</v>
      </c>
      <c r="M98" s="319">
        <f t="shared" si="1"/>
        <v>1435</v>
      </c>
      <c r="N98" s="198"/>
      <c r="O98" s="412" t="s">
        <v>569</v>
      </c>
      <c r="P98" s="413">
        <f>AVERAGEIF(G2:G478,"Bio/Org",M2:M478)</f>
        <v>517.5416667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9816.0</v>
      </c>
      <c r="B99" s="420" t="s">
        <v>8906</v>
      </c>
      <c r="C99" s="420">
        <v>2012.0</v>
      </c>
      <c r="D99" s="497">
        <v>41151.0</v>
      </c>
      <c r="E99" s="420" t="s">
        <v>8907</v>
      </c>
      <c r="F99" s="420" t="s">
        <v>162</v>
      </c>
      <c r="G99" s="420" t="s">
        <v>17</v>
      </c>
      <c r="H99" s="420" t="s">
        <v>5016</v>
      </c>
      <c r="I99" s="497">
        <v>42551.0</v>
      </c>
      <c r="J99" s="422">
        <v>6.0</v>
      </c>
      <c r="K99" s="618" t="s">
        <v>238</v>
      </c>
      <c r="L99" s="420" t="s">
        <v>256</v>
      </c>
      <c r="M99" s="316">
        <f t="shared" si="1"/>
        <v>1400</v>
      </c>
      <c r="N99" s="198"/>
      <c r="O99" s="416" t="s">
        <v>275</v>
      </c>
      <c r="P99" s="417">
        <f>AVERAGE(M2:M496)</f>
        <v>1361.823105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9916.0</v>
      </c>
      <c r="B100" s="426" t="s">
        <v>8908</v>
      </c>
      <c r="C100" s="426">
        <v>2012.0</v>
      </c>
      <c r="D100" s="500">
        <v>41186.0</v>
      </c>
      <c r="E100" s="426" t="s">
        <v>8909</v>
      </c>
      <c r="F100" s="426" t="s">
        <v>8119</v>
      </c>
      <c r="G100" s="426" t="s">
        <v>552</v>
      </c>
      <c r="H100" s="426" t="s">
        <v>87</v>
      </c>
      <c r="I100" s="500">
        <v>42551.0</v>
      </c>
      <c r="J100" s="428">
        <v>6.0</v>
      </c>
      <c r="K100" s="617" t="s">
        <v>228</v>
      </c>
      <c r="L100" s="426" t="s">
        <v>258</v>
      </c>
      <c r="M100" s="319">
        <f t="shared" si="1"/>
        <v>1365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10016.0</v>
      </c>
      <c r="B101" s="420" t="s">
        <v>8910</v>
      </c>
      <c r="C101" s="420">
        <v>2015.0</v>
      </c>
      <c r="D101" s="497">
        <v>42030.0</v>
      </c>
      <c r="E101" s="420" t="s">
        <v>8911</v>
      </c>
      <c r="F101" s="420" t="s">
        <v>1150</v>
      </c>
      <c r="G101" s="420" t="s">
        <v>17</v>
      </c>
      <c r="H101" s="420" t="s">
        <v>153</v>
      </c>
      <c r="I101" s="497">
        <v>42551.0</v>
      </c>
      <c r="J101" s="422">
        <v>6.0</v>
      </c>
      <c r="K101" s="617" t="s">
        <v>228</v>
      </c>
      <c r="L101" s="420" t="s">
        <v>256</v>
      </c>
      <c r="M101" s="316">
        <f t="shared" si="1"/>
        <v>521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10116.0</v>
      </c>
      <c r="B102" s="426" t="s">
        <v>8912</v>
      </c>
      <c r="C102" s="426">
        <v>2010.0</v>
      </c>
      <c r="D102" s="500">
        <v>40297.0</v>
      </c>
      <c r="E102" s="426" t="s">
        <v>8913</v>
      </c>
      <c r="F102" s="426" t="s">
        <v>44</v>
      </c>
      <c r="G102" s="426" t="s">
        <v>17</v>
      </c>
      <c r="H102" s="426" t="s">
        <v>153</v>
      </c>
      <c r="I102" s="500">
        <v>42551.0</v>
      </c>
      <c r="J102" s="428">
        <v>6.0</v>
      </c>
      <c r="K102" s="617" t="s">
        <v>228</v>
      </c>
      <c r="L102" s="426" t="s">
        <v>258</v>
      </c>
      <c r="M102" s="319">
        <f t="shared" si="1"/>
        <v>2254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10216.0</v>
      </c>
      <c r="B103" s="420" t="s">
        <v>8914</v>
      </c>
      <c r="C103" s="420">
        <v>2009.0</v>
      </c>
      <c r="D103" s="497">
        <v>40029.0</v>
      </c>
      <c r="E103" s="420" t="s">
        <v>8915</v>
      </c>
      <c r="F103" s="420" t="s">
        <v>963</v>
      </c>
      <c r="G103" s="420" t="s">
        <v>17</v>
      </c>
      <c r="H103" s="420" t="s">
        <v>596</v>
      </c>
      <c r="I103" s="497">
        <v>42533.0</v>
      </c>
      <c r="J103" s="422">
        <v>6.0</v>
      </c>
      <c r="K103" s="617" t="s">
        <v>228</v>
      </c>
      <c r="L103" s="420" t="s">
        <v>258</v>
      </c>
      <c r="M103" s="316">
        <f t="shared" si="1"/>
        <v>2504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10316.0</v>
      </c>
      <c r="B104" s="426" t="s">
        <v>8916</v>
      </c>
      <c r="C104" s="426">
        <v>2009.0</v>
      </c>
      <c r="D104" s="500">
        <v>40029.0</v>
      </c>
      <c r="E104" s="426" t="s">
        <v>8917</v>
      </c>
      <c r="F104" s="426" t="s">
        <v>963</v>
      </c>
      <c r="G104" s="426" t="s">
        <v>17</v>
      </c>
      <c r="H104" s="426" t="s">
        <v>1749</v>
      </c>
      <c r="I104" s="500">
        <v>42533.0</v>
      </c>
      <c r="J104" s="428">
        <v>6.0</v>
      </c>
      <c r="K104" s="617" t="s">
        <v>228</v>
      </c>
      <c r="L104" s="426" t="s">
        <v>258</v>
      </c>
      <c r="M104" s="319">
        <f t="shared" si="1"/>
        <v>2504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10416.0</v>
      </c>
      <c r="B105" s="420" t="s">
        <v>8918</v>
      </c>
      <c r="C105" s="420">
        <v>2014.0</v>
      </c>
      <c r="D105" s="497">
        <v>41934.0</v>
      </c>
      <c r="E105" s="420" t="s">
        <v>8919</v>
      </c>
      <c r="F105" s="420" t="s">
        <v>8920</v>
      </c>
      <c r="G105" s="420" t="s">
        <v>650</v>
      </c>
      <c r="H105" s="420" t="s">
        <v>5016</v>
      </c>
      <c r="I105" s="497">
        <v>42578.0</v>
      </c>
      <c r="J105" s="422">
        <v>7.0</v>
      </c>
      <c r="K105" s="618" t="s">
        <v>238</v>
      </c>
      <c r="L105" s="420" t="s">
        <v>258</v>
      </c>
      <c r="M105" s="316">
        <f t="shared" si="1"/>
        <v>644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10516.0</v>
      </c>
      <c r="B106" s="426" t="s">
        <v>8921</v>
      </c>
      <c r="C106" s="426">
        <v>2010.0</v>
      </c>
      <c r="D106" s="500">
        <v>40186.0</v>
      </c>
      <c r="E106" s="426" t="s">
        <v>8922</v>
      </c>
      <c r="F106" s="426" t="s">
        <v>963</v>
      </c>
      <c r="G106" s="426" t="s">
        <v>17</v>
      </c>
      <c r="H106" s="426" t="s">
        <v>1178</v>
      </c>
      <c r="I106" s="500">
        <v>42580.0</v>
      </c>
      <c r="J106" s="428">
        <v>7.0</v>
      </c>
      <c r="K106" s="617" t="s">
        <v>228</v>
      </c>
      <c r="L106" s="426" t="s">
        <v>258</v>
      </c>
      <c r="M106" s="319">
        <f t="shared" si="1"/>
        <v>2394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10616.0</v>
      </c>
      <c r="B107" s="420" t="s">
        <v>8923</v>
      </c>
      <c r="C107" s="420">
        <v>2013.0</v>
      </c>
      <c r="D107" s="497">
        <v>41619.0</v>
      </c>
      <c r="E107" s="420" t="s">
        <v>8924</v>
      </c>
      <c r="F107" s="420" t="s">
        <v>65</v>
      </c>
      <c r="G107" s="420" t="s">
        <v>552</v>
      </c>
      <c r="H107" s="420" t="s">
        <v>5016</v>
      </c>
      <c r="I107" s="497">
        <v>42578.0</v>
      </c>
      <c r="J107" s="422">
        <v>7.0</v>
      </c>
      <c r="K107" s="617" t="s">
        <v>228</v>
      </c>
      <c r="L107" s="420" t="s">
        <v>254</v>
      </c>
      <c r="M107" s="316">
        <f t="shared" si="1"/>
        <v>959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10716.0</v>
      </c>
      <c r="B108" s="426" t="s">
        <v>8925</v>
      </c>
      <c r="C108" s="426">
        <v>2013.0</v>
      </c>
      <c r="D108" s="500">
        <v>41632.0</v>
      </c>
      <c r="E108" s="426" t="s">
        <v>8926</v>
      </c>
      <c r="F108" s="426" t="s">
        <v>1408</v>
      </c>
      <c r="G108" s="426" t="s">
        <v>552</v>
      </c>
      <c r="H108" s="426" t="s">
        <v>66</v>
      </c>
      <c r="I108" s="500">
        <v>42583.0</v>
      </c>
      <c r="J108" s="428">
        <v>8.0</v>
      </c>
      <c r="K108" s="618" t="s">
        <v>238</v>
      </c>
      <c r="L108" s="426" t="s">
        <v>256</v>
      </c>
      <c r="M108" s="319">
        <f t="shared" si="1"/>
        <v>951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10816.0</v>
      </c>
      <c r="B109" s="420" t="s">
        <v>8927</v>
      </c>
      <c r="C109" s="420">
        <v>2014.0</v>
      </c>
      <c r="D109" s="497">
        <v>41726.0</v>
      </c>
      <c r="E109" s="420" t="s">
        <v>8928</v>
      </c>
      <c r="F109" s="420" t="s">
        <v>563</v>
      </c>
      <c r="G109" s="420" t="s">
        <v>552</v>
      </c>
      <c r="H109" s="420" t="s">
        <v>5016</v>
      </c>
      <c r="I109" s="497">
        <v>42591.0</v>
      </c>
      <c r="J109" s="422">
        <v>8.0</v>
      </c>
      <c r="K109" s="618" t="s">
        <v>238</v>
      </c>
      <c r="L109" s="420" t="s">
        <v>256</v>
      </c>
      <c r="M109" s="316">
        <f t="shared" si="1"/>
        <v>865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10916.0</v>
      </c>
      <c r="B110" s="426" t="s">
        <v>8929</v>
      </c>
      <c r="C110" s="426">
        <v>2013.0</v>
      </c>
      <c r="D110" s="500">
        <v>41397.0</v>
      </c>
      <c r="E110" s="426" t="s">
        <v>8930</v>
      </c>
      <c r="F110" s="426" t="s">
        <v>3572</v>
      </c>
      <c r="G110" s="426" t="s">
        <v>17</v>
      </c>
      <c r="H110" s="426" t="s">
        <v>1749</v>
      </c>
      <c r="I110" s="500">
        <v>42600.0</v>
      </c>
      <c r="J110" s="428">
        <v>8.0</v>
      </c>
      <c r="K110" s="618" t="s">
        <v>238</v>
      </c>
      <c r="L110" s="426" t="s">
        <v>256</v>
      </c>
      <c r="M110" s="319">
        <f t="shared" si="1"/>
        <v>1203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11016.0</v>
      </c>
      <c r="B111" s="420" t="s">
        <v>8931</v>
      </c>
      <c r="C111" s="420">
        <v>2013.0</v>
      </c>
      <c r="D111" s="497">
        <v>41576.0</v>
      </c>
      <c r="E111" s="420" t="s">
        <v>8932</v>
      </c>
      <c r="F111" s="420" t="s">
        <v>3572</v>
      </c>
      <c r="G111" s="420" t="s">
        <v>17</v>
      </c>
      <c r="H111" s="420" t="s">
        <v>573</v>
      </c>
      <c r="I111" s="497">
        <v>42600.0</v>
      </c>
      <c r="J111" s="422">
        <v>8.0</v>
      </c>
      <c r="K111" s="618" t="s">
        <v>238</v>
      </c>
      <c r="L111" s="420" t="s">
        <v>256</v>
      </c>
      <c r="M111" s="316">
        <f t="shared" si="1"/>
        <v>1024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11116.0</v>
      </c>
      <c r="B112" s="426" t="s">
        <v>8933</v>
      </c>
      <c r="C112" s="426">
        <v>2010.0</v>
      </c>
      <c r="D112" s="500">
        <v>40539.0</v>
      </c>
      <c r="E112" s="426" t="s">
        <v>8934</v>
      </c>
      <c r="F112" s="426" t="s">
        <v>8935</v>
      </c>
      <c r="G112" s="426" t="s">
        <v>17</v>
      </c>
      <c r="H112" s="426" t="s">
        <v>740</v>
      </c>
      <c r="I112" s="500">
        <v>42598.0</v>
      </c>
      <c r="J112" s="428">
        <v>8.0</v>
      </c>
      <c r="K112" s="618" t="s">
        <v>238</v>
      </c>
      <c r="L112" s="426" t="s">
        <v>258</v>
      </c>
      <c r="M112" s="319">
        <f t="shared" si="1"/>
        <v>2059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11216.0</v>
      </c>
      <c r="B113" s="420" t="s">
        <v>8936</v>
      </c>
      <c r="C113" s="420">
        <v>2011.0</v>
      </c>
      <c r="D113" s="497">
        <v>40904.0</v>
      </c>
      <c r="E113" s="420" t="s">
        <v>8937</v>
      </c>
      <c r="F113" s="420" t="s">
        <v>8819</v>
      </c>
      <c r="G113" s="420" t="s">
        <v>650</v>
      </c>
      <c r="H113" s="420" t="s">
        <v>651</v>
      </c>
      <c r="I113" s="497">
        <v>42607.0</v>
      </c>
      <c r="J113" s="422">
        <v>8.0</v>
      </c>
      <c r="K113" s="617" t="s">
        <v>228</v>
      </c>
      <c r="L113" s="420" t="s">
        <v>256</v>
      </c>
      <c r="M113" s="316">
        <f t="shared" si="1"/>
        <v>1703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11316.0</v>
      </c>
      <c r="B114" s="426" t="s">
        <v>8938</v>
      </c>
      <c r="C114" s="426">
        <v>2010.0</v>
      </c>
      <c r="D114" s="500">
        <v>40501.0</v>
      </c>
      <c r="E114" s="426" t="s">
        <v>8939</v>
      </c>
      <c r="F114" s="426" t="s">
        <v>1544</v>
      </c>
      <c r="G114" s="426" t="s">
        <v>17</v>
      </c>
      <c r="H114" s="426" t="s">
        <v>5016</v>
      </c>
      <c r="I114" s="500">
        <v>42607.0</v>
      </c>
      <c r="J114" s="428">
        <v>8.0</v>
      </c>
      <c r="K114" s="620" t="s">
        <v>234</v>
      </c>
      <c r="L114" s="426" t="s">
        <v>254</v>
      </c>
      <c r="M114" s="319">
        <f t="shared" si="1"/>
        <v>2106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11416.0</v>
      </c>
      <c r="B115" s="420" t="s">
        <v>8940</v>
      </c>
      <c r="C115" s="420">
        <v>2011.0</v>
      </c>
      <c r="D115" s="497">
        <v>40708.0</v>
      </c>
      <c r="E115" s="420" t="s">
        <v>8941</v>
      </c>
      <c r="F115" s="420" t="s">
        <v>1544</v>
      </c>
      <c r="G115" s="420" t="s">
        <v>17</v>
      </c>
      <c r="H115" s="420" t="s">
        <v>5016</v>
      </c>
      <c r="I115" s="497">
        <v>42622.0</v>
      </c>
      <c r="J115" s="422">
        <v>8.0</v>
      </c>
      <c r="K115" s="620" t="s">
        <v>234</v>
      </c>
      <c r="L115" s="420" t="s">
        <v>254</v>
      </c>
      <c r="M115" s="316">
        <f t="shared" si="1"/>
        <v>1914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11516.0</v>
      </c>
      <c r="B116" s="426" t="s">
        <v>8942</v>
      </c>
      <c r="C116" s="426">
        <v>2012.0</v>
      </c>
      <c r="D116" s="500">
        <v>41057.0</v>
      </c>
      <c r="E116" s="426" t="s">
        <v>8943</v>
      </c>
      <c r="F116" s="426" t="s">
        <v>8467</v>
      </c>
      <c r="G116" s="426" t="s">
        <v>650</v>
      </c>
      <c r="H116" s="426" t="s">
        <v>1002</v>
      </c>
      <c r="I116" s="500">
        <v>42607.0</v>
      </c>
      <c r="J116" s="428">
        <v>8.0</v>
      </c>
      <c r="K116" s="618" t="s">
        <v>238</v>
      </c>
      <c r="L116" s="426" t="s">
        <v>256</v>
      </c>
      <c r="M116" s="319">
        <f t="shared" si="1"/>
        <v>1550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11616.0</v>
      </c>
      <c r="B117" s="420" t="s">
        <v>8944</v>
      </c>
      <c r="C117" s="420">
        <v>2012.0</v>
      </c>
      <c r="D117" s="497">
        <v>41120.0</v>
      </c>
      <c r="E117" s="420" t="s">
        <v>8945</v>
      </c>
      <c r="F117" s="420" t="s">
        <v>1544</v>
      </c>
      <c r="G117" s="420" t="s">
        <v>17</v>
      </c>
      <c r="H117" s="420" t="s">
        <v>8905</v>
      </c>
      <c r="I117" s="497">
        <v>42607.0</v>
      </c>
      <c r="J117" s="422">
        <v>8.0</v>
      </c>
      <c r="K117" s="620" t="s">
        <v>234</v>
      </c>
      <c r="L117" s="420" t="s">
        <v>254</v>
      </c>
      <c r="M117" s="316">
        <f t="shared" si="1"/>
        <v>1487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11716.0</v>
      </c>
      <c r="B118" s="426" t="s">
        <v>8946</v>
      </c>
      <c r="C118" s="426">
        <v>2013.0</v>
      </c>
      <c r="D118" s="500">
        <v>41515.0</v>
      </c>
      <c r="E118" s="426" t="s">
        <v>8947</v>
      </c>
      <c r="F118" s="426" t="s">
        <v>1544</v>
      </c>
      <c r="G118" s="426" t="s">
        <v>17</v>
      </c>
      <c r="H118" s="426" t="s">
        <v>6789</v>
      </c>
      <c r="I118" s="500">
        <v>42607.0</v>
      </c>
      <c r="J118" s="428">
        <v>8.0</v>
      </c>
      <c r="K118" s="620" t="s">
        <v>234</v>
      </c>
      <c r="L118" s="426" t="s">
        <v>254</v>
      </c>
      <c r="M118" s="319">
        <f t="shared" si="1"/>
        <v>1092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11816.0</v>
      </c>
      <c r="B119" s="420" t="s">
        <v>8948</v>
      </c>
      <c r="C119" s="420">
        <v>2014.0</v>
      </c>
      <c r="D119" s="497">
        <v>41885.0</v>
      </c>
      <c r="E119" s="420" t="s">
        <v>8949</v>
      </c>
      <c r="F119" s="420" t="s">
        <v>874</v>
      </c>
      <c r="G119" s="420" t="s">
        <v>17</v>
      </c>
      <c r="H119" s="420" t="s">
        <v>1421</v>
      </c>
      <c r="I119" s="497">
        <v>42607.0</v>
      </c>
      <c r="J119" s="422">
        <v>8.0</v>
      </c>
      <c r="K119" s="620" t="s">
        <v>234</v>
      </c>
      <c r="L119" s="420" t="s">
        <v>256</v>
      </c>
      <c r="M119" s="316">
        <f t="shared" si="1"/>
        <v>722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11916.0</v>
      </c>
      <c r="B120" s="426" t="s">
        <v>8950</v>
      </c>
      <c r="C120" s="426">
        <v>2013.0</v>
      </c>
      <c r="D120" s="500">
        <v>41635.0</v>
      </c>
      <c r="E120" s="426" t="s">
        <v>8951</v>
      </c>
      <c r="F120" s="426" t="s">
        <v>8819</v>
      </c>
      <c r="G120" s="426" t="s">
        <v>650</v>
      </c>
      <c r="H120" s="426" t="s">
        <v>651</v>
      </c>
      <c r="I120" s="500">
        <v>42607.0</v>
      </c>
      <c r="J120" s="428">
        <v>8.0</v>
      </c>
      <c r="K120" s="617" t="s">
        <v>228</v>
      </c>
      <c r="L120" s="426" t="s">
        <v>256</v>
      </c>
      <c r="M120" s="319">
        <f t="shared" si="1"/>
        <v>972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12016.0</v>
      </c>
      <c r="B121" s="420" t="s">
        <v>8952</v>
      </c>
      <c r="C121" s="420">
        <v>2014.0</v>
      </c>
      <c r="D121" s="497">
        <v>41873.0</v>
      </c>
      <c r="E121" s="420" t="s">
        <v>8953</v>
      </c>
      <c r="F121" s="623" t="s">
        <v>3647</v>
      </c>
      <c r="G121" s="420" t="s">
        <v>565</v>
      </c>
      <c r="H121" s="420" t="s">
        <v>2093</v>
      </c>
      <c r="I121" s="497">
        <v>42608.0</v>
      </c>
      <c r="J121" s="422">
        <v>8.0</v>
      </c>
      <c r="K121" s="618" t="s">
        <v>238</v>
      </c>
      <c r="L121" s="420" t="s">
        <v>260</v>
      </c>
      <c r="M121" s="316">
        <f t="shared" si="1"/>
        <v>735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12116.0</v>
      </c>
      <c r="B122" s="426" t="s">
        <v>8954</v>
      </c>
      <c r="C122" s="426">
        <v>2014.0</v>
      </c>
      <c r="D122" s="500">
        <v>41667.0</v>
      </c>
      <c r="E122" s="426" t="s">
        <v>8955</v>
      </c>
      <c r="F122" s="426" t="s">
        <v>1544</v>
      </c>
      <c r="G122" s="426" t="s">
        <v>17</v>
      </c>
      <c r="H122" s="426" t="s">
        <v>153</v>
      </c>
      <c r="I122" s="500">
        <v>42608.0</v>
      </c>
      <c r="J122" s="428">
        <v>8.0</v>
      </c>
      <c r="K122" s="620" t="s">
        <v>234</v>
      </c>
      <c r="L122" s="426" t="s">
        <v>254</v>
      </c>
      <c r="M122" s="319">
        <f t="shared" si="1"/>
        <v>941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12216.0</v>
      </c>
      <c r="B123" s="420" t="s">
        <v>8956</v>
      </c>
      <c r="C123" s="420">
        <v>2014.0</v>
      </c>
      <c r="D123" s="497">
        <v>41764.0</v>
      </c>
      <c r="E123" s="420" t="s">
        <v>8957</v>
      </c>
      <c r="F123" s="623" t="s">
        <v>2343</v>
      </c>
      <c r="G123" s="420" t="s">
        <v>569</v>
      </c>
      <c r="H123" s="420" t="s">
        <v>8958</v>
      </c>
      <c r="I123" s="497">
        <v>42611.0</v>
      </c>
      <c r="J123" s="422">
        <v>8.0</v>
      </c>
      <c r="K123" s="621" t="s">
        <v>244</v>
      </c>
      <c r="L123" s="420" t="s">
        <v>260</v>
      </c>
      <c r="M123" s="316">
        <f t="shared" si="1"/>
        <v>847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12316.0</v>
      </c>
      <c r="B124" s="426" t="s">
        <v>8959</v>
      </c>
      <c r="C124" s="426">
        <v>2015.0</v>
      </c>
      <c r="D124" s="500">
        <v>42223.0</v>
      </c>
      <c r="E124" s="426" t="s">
        <v>8960</v>
      </c>
      <c r="F124" s="622" t="s">
        <v>2592</v>
      </c>
      <c r="G124" s="426" t="s">
        <v>569</v>
      </c>
      <c r="H124" s="426" t="s">
        <v>3523</v>
      </c>
      <c r="I124" s="500">
        <v>42612.0</v>
      </c>
      <c r="J124" s="428">
        <v>8.0</v>
      </c>
      <c r="K124" s="621" t="s">
        <v>850</v>
      </c>
      <c r="L124" s="426" t="s">
        <v>260</v>
      </c>
      <c r="M124" s="319">
        <f t="shared" si="1"/>
        <v>389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12416.0</v>
      </c>
      <c r="B125" s="420" t="s">
        <v>8961</v>
      </c>
      <c r="C125" s="420">
        <v>2014.0</v>
      </c>
      <c r="D125" s="497">
        <v>41927.0</v>
      </c>
      <c r="E125" s="420" t="s">
        <v>8962</v>
      </c>
      <c r="F125" s="623" t="s">
        <v>2343</v>
      </c>
      <c r="G125" s="420" t="s">
        <v>569</v>
      </c>
      <c r="H125" s="420" t="s">
        <v>8963</v>
      </c>
      <c r="I125" s="497">
        <v>42612.0</v>
      </c>
      <c r="J125" s="422">
        <v>8.0</v>
      </c>
      <c r="K125" s="621" t="s">
        <v>244</v>
      </c>
      <c r="L125" s="420" t="s">
        <v>260</v>
      </c>
      <c r="M125" s="316">
        <f t="shared" si="1"/>
        <v>685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12516.0</v>
      </c>
      <c r="B126" s="426" t="s">
        <v>8964</v>
      </c>
      <c r="C126" s="426">
        <v>2015.0</v>
      </c>
      <c r="D126" s="500">
        <v>42356.0</v>
      </c>
      <c r="E126" s="426" t="s">
        <v>8965</v>
      </c>
      <c r="F126" s="622" t="s">
        <v>2614</v>
      </c>
      <c r="G126" s="426" t="s">
        <v>569</v>
      </c>
      <c r="H126" s="426" t="s">
        <v>3800</v>
      </c>
      <c r="I126" s="500">
        <v>42612.0</v>
      </c>
      <c r="J126" s="428">
        <v>8.0</v>
      </c>
      <c r="K126" s="621" t="s">
        <v>244</v>
      </c>
      <c r="L126" s="426" t="s">
        <v>260</v>
      </c>
      <c r="M126" s="319">
        <f t="shared" si="1"/>
        <v>256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12616.0</v>
      </c>
      <c r="B127" s="420" t="s">
        <v>8966</v>
      </c>
      <c r="C127" s="420">
        <v>2015.0</v>
      </c>
      <c r="D127" s="497">
        <v>42181.0</v>
      </c>
      <c r="E127" s="420" t="s">
        <v>8967</v>
      </c>
      <c r="F127" s="623" t="s">
        <v>3761</v>
      </c>
      <c r="G127" s="420" t="s">
        <v>569</v>
      </c>
      <c r="H127" s="420" t="s">
        <v>8958</v>
      </c>
      <c r="I127" s="497">
        <v>42612.0</v>
      </c>
      <c r="J127" s="422">
        <v>8.0</v>
      </c>
      <c r="K127" s="621" t="s">
        <v>244</v>
      </c>
      <c r="L127" s="420" t="s">
        <v>260</v>
      </c>
      <c r="M127" s="316">
        <f t="shared" si="1"/>
        <v>431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12716.0</v>
      </c>
      <c r="B128" s="426" t="s">
        <v>8968</v>
      </c>
      <c r="C128" s="426">
        <v>2011.0</v>
      </c>
      <c r="D128" s="500">
        <v>40876.0</v>
      </c>
      <c r="E128" s="426" t="s">
        <v>8969</v>
      </c>
      <c r="F128" s="426" t="s">
        <v>8467</v>
      </c>
      <c r="G128" s="426" t="s">
        <v>650</v>
      </c>
      <c r="H128" s="426" t="s">
        <v>1002</v>
      </c>
      <c r="I128" s="500">
        <v>42615.0</v>
      </c>
      <c r="J128" s="428">
        <v>9.0</v>
      </c>
      <c r="K128" s="617" t="s">
        <v>228</v>
      </c>
      <c r="L128" s="426" t="s">
        <v>256</v>
      </c>
      <c r="M128" s="319">
        <f t="shared" si="1"/>
        <v>1739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12816.0</v>
      </c>
      <c r="B129" s="420" t="s">
        <v>8970</v>
      </c>
      <c r="C129" s="420">
        <v>2015.0</v>
      </c>
      <c r="D129" s="497">
        <v>42356.0</v>
      </c>
      <c r="E129" s="420" t="s">
        <v>8971</v>
      </c>
      <c r="F129" s="623" t="s">
        <v>2343</v>
      </c>
      <c r="G129" s="420" t="s">
        <v>569</v>
      </c>
      <c r="H129" s="420" t="s">
        <v>3800</v>
      </c>
      <c r="I129" s="497">
        <v>42615.0</v>
      </c>
      <c r="J129" s="422">
        <v>9.0</v>
      </c>
      <c r="K129" s="621" t="s">
        <v>244</v>
      </c>
      <c r="L129" s="420" t="s">
        <v>260</v>
      </c>
      <c r="M129" s="316">
        <f t="shared" si="1"/>
        <v>259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12916.0</v>
      </c>
      <c r="B130" s="426" t="s">
        <v>8972</v>
      </c>
      <c r="C130" s="426">
        <v>2014.0</v>
      </c>
      <c r="D130" s="500">
        <v>41858.0</v>
      </c>
      <c r="E130" s="426" t="s">
        <v>8973</v>
      </c>
      <c r="F130" s="426" t="s">
        <v>2040</v>
      </c>
      <c r="G130" s="426" t="s">
        <v>650</v>
      </c>
      <c r="H130" s="426" t="s">
        <v>601</v>
      </c>
      <c r="I130" s="500">
        <v>42619.0</v>
      </c>
      <c r="J130" s="428">
        <v>9.0</v>
      </c>
      <c r="K130" s="618" t="s">
        <v>238</v>
      </c>
      <c r="L130" s="426" t="s">
        <v>256</v>
      </c>
      <c r="M130" s="319">
        <f t="shared" si="1"/>
        <v>761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13016.0</v>
      </c>
      <c r="B131" s="420" t="s">
        <v>8974</v>
      </c>
      <c r="C131" s="420">
        <v>2010.0</v>
      </c>
      <c r="D131" s="497">
        <v>40206.0</v>
      </c>
      <c r="E131" s="420" t="s">
        <v>8975</v>
      </c>
      <c r="F131" s="420" t="s">
        <v>963</v>
      </c>
      <c r="G131" s="420" t="s">
        <v>17</v>
      </c>
      <c r="H131" s="420" t="s">
        <v>56</v>
      </c>
      <c r="I131" s="497">
        <v>42619.0</v>
      </c>
      <c r="J131" s="422">
        <v>9.0</v>
      </c>
      <c r="K131" s="617" t="s">
        <v>228</v>
      </c>
      <c r="L131" s="420" t="s">
        <v>258</v>
      </c>
      <c r="M131" s="316">
        <f t="shared" si="1"/>
        <v>2413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13116.0</v>
      </c>
      <c r="B132" s="426" t="s">
        <v>8976</v>
      </c>
      <c r="C132" s="426">
        <v>2010.0</v>
      </c>
      <c r="D132" s="500">
        <v>40437.0</v>
      </c>
      <c r="E132" s="426" t="s">
        <v>8977</v>
      </c>
      <c r="F132" s="426" t="s">
        <v>963</v>
      </c>
      <c r="G132" s="426" t="s">
        <v>17</v>
      </c>
      <c r="H132" s="426" t="s">
        <v>8978</v>
      </c>
      <c r="I132" s="500">
        <v>42646.0</v>
      </c>
      <c r="J132" s="428">
        <v>10.0</v>
      </c>
      <c r="K132" s="617" t="s">
        <v>228</v>
      </c>
      <c r="L132" s="426" t="s">
        <v>258</v>
      </c>
      <c r="M132" s="319">
        <f t="shared" si="1"/>
        <v>2209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13216.0</v>
      </c>
      <c r="B133" s="420" t="s">
        <v>8979</v>
      </c>
      <c r="C133" s="420">
        <v>2011.0</v>
      </c>
      <c r="D133" s="497">
        <v>40582.0</v>
      </c>
      <c r="E133" s="420" t="s">
        <v>8980</v>
      </c>
      <c r="F133" s="420" t="s">
        <v>963</v>
      </c>
      <c r="G133" s="420" t="s">
        <v>17</v>
      </c>
      <c r="H133" s="420" t="s">
        <v>8981</v>
      </c>
      <c r="I133" s="497">
        <v>42646.0</v>
      </c>
      <c r="J133" s="422">
        <v>10.0</v>
      </c>
      <c r="K133" s="617" t="s">
        <v>228</v>
      </c>
      <c r="L133" s="420" t="s">
        <v>258</v>
      </c>
      <c r="M133" s="316">
        <f t="shared" si="1"/>
        <v>2064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13316.0</v>
      </c>
      <c r="B134" s="426" t="s">
        <v>8982</v>
      </c>
      <c r="C134" s="426">
        <v>2012.0</v>
      </c>
      <c r="D134" s="500">
        <v>41044.0</v>
      </c>
      <c r="E134" s="426" t="s">
        <v>8983</v>
      </c>
      <c r="F134" s="426" t="s">
        <v>963</v>
      </c>
      <c r="G134" s="426" t="s">
        <v>17</v>
      </c>
      <c r="H134" s="426" t="s">
        <v>45</v>
      </c>
      <c r="I134" s="500">
        <v>42619.0</v>
      </c>
      <c r="J134" s="428">
        <v>9.0</v>
      </c>
      <c r="K134" s="617" t="s">
        <v>228</v>
      </c>
      <c r="L134" s="426" t="s">
        <v>258</v>
      </c>
      <c r="M134" s="319">
        <f t="shared" si="1"/>
        <v>1575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13416.0</v>
      </c>
      <c r="B135" s="420" t="s">
        <v>8984</v>
      </c>
      <c r="C135" s="420">
        <v>2010.0</v>
      </c>
      <c r="D135" s="497">
        <v>40457.0</v>
      </c>
      <c r="E135" s="420" t="s">
        <v>8985</v>
      </c>
      <c r="F135" s="420" t="s">
        <v>8986</v>
      </c>
      <c r="G135" s="420" t="s">
        <v>17</v>
      </c>
      <c r="H135" s="420" t="s">
        <v>740</v>
      </c>
      <c r="I135" s="497">
        <v>42622.0</v>
      </c>
      <c r="J135" s="422">
        <v>9.0</v>
      </c>
      <c r="K135" s="620" t="s">
        <v>234</v>
      </c>
      <c r="L135" s="420" t="s">
        <v>256</v>
      </c>
      <c r="M135" s="316">
        <f t="shared" si="1"/>
        <v>2165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13516.0</v>
      </c>
      <c r="B136" s="426" t="s">
        <v>8987</v>
      </c>
      <c r="C136" s="426">
        <v>2010.0</v>
      </c>
      <c r="D136" s="500">
        <v>40259.0</v>
      </c>
      <c r="E136" s="426" t="s">
        <v>8988</v>
      </c>
      <c r="F136" s="426" t="s">
        <v>8989</v>
      </c>
      <c r="G136" s="426" t="s">
        <v>552</v>
      </c>
      <c r="H136" s="426" t="s">
        <v>66</v>
      </c>
      <c r="I136" s="500">
        <v>42622.0</v>
      </c>
      <c r="J136" s="428">
        <v>9.0</v>
      </c>
      <c r="K136" s="617" t="s">
        <v>228</v>
      </c>
      <c r="L136" s="426" t="s">
        <v>256</v>
      </c>
      <c r="M136" s="319">
        <f t="shared" si="1"/>
        <v>2363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13616.0</v>
      </c>
      <c r="B137" s="420" t="s">
        <v>8990</v>
      </c>
      <c r="C137" s="420">
        <v>2009.0</v>
      </c>
      <c r="D137" s="497">
        <v>39925.0</v>
      </c>
      <c r="E137" s="420" t="s">
        <v>8991</v>
      </c>
      <c r="F137" s="420" t="s">
        <v>8992</v>
      </c>
      <c r="G137" s="420" t="s">
        <v>547</v>
      </c>
      <c r="H137" s="420" t="s">
        <v>651</v>
      </c>
      <c r="I137" s="497">
        <v>42622.0</v>
      </c>
      <c r="J137" s="422">
        <v>9.0</v>
      </c>
      <c r="K137" s="618" t="s">
        <v>238</v>
      </c>
      <c r="L137" s="420" t="s">
        <v>256</v>
      </c>
      <c r="M137" s="316">
        <f t="shared" si="1"/>
        <v>2697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13716.0</v>
      </c>
      <c r="B138" s="426" t="s">
        <v>8993</v>
      </c>
      <c r="C138" s="426">
        <v>2011.0</v>
      </c>
      <c r="D138" s="500">
        <v>40578.0</v>
      </c>
      <c r="E138" s="426" t="s">
        <v>8994</v>
      </c>
      <c r="F138" s="426" t="s">
        <v>1150</v>
      </c>
      <c r="G138" s="426" t="s">
        <v>552</v>
      </c>
      <c r="H138" s="426" t="s">
        <v>2509</v>
      </c>
      <c r="I138" s="500">
        <v>42622.0</v>
      </c>
      <c r="J138" s="428">
        <v>9.0</v>
      </c>
      <c r="K138" s="617" t="s">
        <v>228</v>
      </c>
      <c r="L138" s="426" t="s">
        <v>256</v>
      </c>
      <c r="M138" s="319">
        <f t="shared" si="1"/>
        <v>2044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13816.0</v>
      </c>
      <c r="B139" s="420" t="s">
        <v>8995</v>
      </c>
      <c r="C139" s="420">
        <v>2012.0</v>
      </c>
      <c r="D139" s="497">
        <v>41271.0</v>
      </c>
      <c r="E139" s="420" t="s">
        <v>8996</v>
      </c>
      <c r="F139" s="420" t="s">
        <v>963</v>
      </c>
      <c r="G139" s="420" t="s">
        <v>17</v>
      </c>
      <c r="H139" s="420" t="s">
        <v>3788</v>
      </c>
      <c r="I139" s="497">
        <v>42622.0</v>
      </c>
      <c r="J139" s="422">
        <v>9.0</v>
      </c>
      <c r="K139" s="617" t="s">
        <v>228</v>
      </c>
      <c r="L139" s="420" t="s">
        <v>258</v>
      </c>
      <c r="M139" s="316">
        <f t="shared" si="1"/>
        <v>1351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425">
        <v>13916.0</v>
      </c>
      <c r="B140" s="426" t="s">
        <v>8997</v>
      </c>
      <c r="C140" s="426">
        <v>2013.0</v>
      </c>
      <c r="D140" s="500">
        <v>41361.0</v>
      </c>
      <c r="E140" s="426" t="s">
        <v>8998</v>
      </c>
      <c r="F140" s="426" t="s">
        <v>1544</v>
      </c>
      <c r="G140" s="426" t="s">
        <v>17</v>
      </c>
      <c r="H140" s="426" t="s">
        <v>596</v>
      </c>
      <c r="I140" s="500">
        <v>42622.0</v>
      </c>
      <c r="J140" s="428">
        <v>9.0</v>
      </c>
      <c r="K140" s="620" t="s">
        <v>234</v>
      </c>
      <c r="L140" s="426" t="s">
        <v>254</v>
      </c>
      <c r="M140" s="319">
        <f t="shared" si="1"/>
        <v>1261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419">
        <v>14016.0</v>
      </c>
      <c r="B141" s="420" t="s">
        <v>8999</v>
      </c>
      <c r="C141" s="420">
        <v>2013.0</v>
      </c>
      <c r="D141" s="497">
        <v>41361.0</v>
      </c>
      <c r="E141" s="420" t="s">
        <v>9000</v>
      </c>
      <c r="F141" s="420" t="s">
        <v>1544</v>
      </c>
      <c r="G141" s="420" t="s">
        <v>17</v>
      </c>
      <c r="H141" s="420" t="s">
        <v>1749</v>
      </c>
      <c r="I141" s="497">
        <v>42622.0</v>
      </c>
      <c r="J141" s="422">
        <v>9.0</v>
      </c>
      <c r="K141" s="620" t="s">
        <v>234</v>
      </c>
      <c r="L141" s="420" t="s">
        <v>254</v>
      </c>
      <c r="M141" s="316">
        <f t="shared" si="1"/>
        <v>1261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425">
        <v>14116.0</v>
      </c>
      <c r="B142" s="426" t="s">
        <v>9001</v>
      </c>
      <c r="C142" s="426">
        <v>2013.0</v>
      </c>
      <c r="D142" s="500">
        <v>41390.0</v>
      </c>
      <c r="E142" s="426" t="s">
        <v>9002</v>
      </c>
      <c r="F142" s="426" t="s">
        <v>1811</v>
      </c>
      <c r="G142" s="426" t="s">
        <v>17</v>
      </c>
      <c r="H142" s="426" t="s">
        <v>596</v>
      </c>
      <c r="I142" s="500">
        <v>42625.0</v>
      </c>
      <c r="J142" s="428">
        <v>9.0</v>
      </c>
      <c r="K142" s="621" t="s">
        <v>244</v>
      </c>
      <c r="L142" s="426" t="s">
        <v>258</v>
      </c>
      <c r="M142" s="319">
        <f t="shared" si="1"/>
        <v>1235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419">
        <v>14216.0</v>
      </c>
      <c r="B143" s="420" t="s">
        <v>9003</v>
      </c>
      <c r="C143" s="420">
        <v>2013.0</v>
      </c>
      <c r="D143" s="497">
        <v>41564.0</v>
      </c>
      <c r="E143" s="420" t="s">
        <v>9004</v>
      </c>
      <c r="F143" s="420" t="s">
        <v>1811</v>
      </c>
      <c r="G143" s="420" t="s">
        <v>17</v>
      </c>
      <c r="H143" s="420" t="s">
        <v>6789</v>
      </c>
      <c r="I143" s="497">
        <v>42625.0</v>
      </c>
      <c r="J143" s="422">
        <v>9.0</v>
      </c>
      <c r="K143" s="621" t="s">
        <v>244</v>
      </c>
      <c r="L143" s="420" t="s">
        <v>258</v>
      </c>
      <c r="M143" s="316">
        <f t="shared" si="1"/>
        <v>1061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425">
        <v>14316.0</v>
      </c>
      <c r="B144" s="426" t="s">
        <v>9005</v>
      </c>
      <c r="C144" s="426">
        <v>2013.0</v>
      </c>
      <c r="D144" s="500">
        <v>41320.0</v>
      </c>
      <c r="E144" s="426" t="s">
        <v>9006</v>
      </c>
      <c r="F144" s="426" t="s">
        <v>1811</v>
      </c>
      <c r="G144" s="426" t="s">
        <v>17</v>
      </c>
      <c r="H144" s="426" t="s">
        <v>8905</v>
      </c>
      <c r="I144" s="500">
        <v>42625.0</v>
      </c>
      <c r="J144" s="428">
        <v>9.0</v>
      </c>
      <c r="K144" s="621" t="s">
        <v>244</v>
      </c>
      <c r="L144" s="426" t="s">
        <v>258</v>
      </c>
      <c r="M144" s="319">
        <f t="shared" si="1"/>
        <v>1305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419">
        <v>14416.0</v>
      </c>
      <c r="B145" s="420" t="s">
        <v>9007</v>
      </c>
      <c r="C145" s="420">
        <v>2014.0</v>
      </c>
      <c r="D145" s="497">
        <v>41991.0</v>
      </c>
      <c r="E145" s="420" t="s">
        <v>9008</v>
      </c>
      <c r="F145" s="420" t="s">
        <v>3572</v>
      </c>
      <c r="G145" s="420" t="s">
        <v>17</v>
      </c>
      <c r="H145" s="420" t="s">
        <v>5016</v>
      </c>
      <c r="I145" s="497">
        <v>42626.0</v>
      </c>
      <c r="J145" s="422">
        <v>9.0</v>
      </c>
      <c r="K145" s="618" t="s">
        <v>238</v>
      </c>
      <c r="L145" s="420" t="s">
        <v>256</v>
      </c>
      <c r="M145" s="316">
        <f t="shared" si="1"/>
        <v>635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425">
        <v>14516.0</v>
      </c>
      <c r="B146" s="426" t="s">
        <v>9009</v>
      </c>
      <c r="C146" s="426">
        <v>2014.0</v>
      </c>
      <c r="D146" s="500">
        <v>41905.0</v>
      </c>
      <c r="E146" s="426" t="s">
        <v>9010</v>
      </c>
      <c r="F146" s="426" t="s">
        <v>963</v>
      </c>
      <c r="G146" s="426" t="s">
        <v>17</v>
      </c>
      <c r="H146" s="426" t="s">
        <v>901</v>
      </c>
      <c r="I146" s="500">
        <v>42626.0</v>
      </c>
      <c r="J146" s="428">
        <v>9.0</v>
      </c>
      <c r="K146" s="617" t="s">
        <v>228</v>
      </c>
      <c r="L146" s="426" t="s">
        <v>258</v>
      </c>
      <c r="M146" s="319">
        <f t="shared" si="1"/>
        <v>721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419">
        <v>14616.0</v>
      </c>
      <c r="B147" s="420" t="s">
        <v>9011</v>
      </c>
      <c r="C147" s="420">
        <v>2014.0</v>
      </c>
      <c r="D147" s="497">
        <v>41891.0</v>
      </c>
      <c r="E147" s="420" t="s">
        <v>9012</v>
      </c>
      <c r="F147" s="420" t="s">
        <v>963</v>
      </c>
      <c r="G147" s="420" t="s">
        <v>17</v>
      </c>
      <c r="H147" s="420" t="s">
        <v>153</v>
      </c>
      <c r="I147" s="497">
        <v>42633.0</v>
      </c>
      <c r="J147" s="422">
        <v>9.0</v>
      </c>
      <c r="K147" s="617" t="s">
        <v>228</v>
      </c>
      <c r="L147" s="420" t="s">
        <v>258</v>
      </c>
      <c r="M147" s="316">
        <f t="shared" si="1"/>
        <v>742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425">
        <v>14716.0</v>
      </c>
      <c r="B148" s="426" t="s">
        <v>9013</v>
      </c>
      <c r="C148" s="426">
        <v>2015.0</v>
      </c>
      <c r="D148" s="500">
        <v>42353.0</v>
      </c>
      <c r="E148" s="426" t="s">
        <v>9014</v>
      </c>
      <c r="F148" s="426" t="s">
        <v>1440</v>
      </c>
      <c r="G148" s="426" t="s">
        <v>17</v>
      </c>
      <c r="H148" s="426" t="s">
        <v>77</v>
      </c>
      <c r="I148" s="500">
        <v>42627.0</v>
      </c>
      <c r="J148" s="428">
        <v>9.0</v>
      </c>
      <c r="K148" s="618" t="s">
        <v>238</v>
      </c>
      <c r="L148" s="426" t="s">
        <v>256</v>
      </c>
      <c r="M148" s="319">
        <f t="shared" si="1"/>
        <v>274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419">
        <v>14816.0</v>
      </c>
      <c r="B149" s="420" t="s">
        <v>9015</v>
      </c>
      <c r="C149" s="420">
        <v>2014.0</v>
      </c>
      <c r="D149" s="497">
        <v>41977.0</v>
      </c>
      <c r="E149" s="420" t="s">
        <v>9016</v>
      </c>
      <c r="F149" s="420" t="s">
        <v>1150</v>
      </c>
      <c r="G149" s="420" t="s">
        <v>552</v>
      </c>
      <c r="H149" s="420" t="s">
        <v>2509</v>
      </c>
      <c r="I149" s="497">
        <v>42627.0</v>
      </c>
      <c r="J149" s="422">
        <v>9.0</v>
      </c>
      <c r="K149" s="617" t="s">
        <v>228</v>
      </c>
      <c r="L149" s="420" t="s">
        <v>256</v>
      </c>
      <c r="M149" s="316">
        <f t="shared" si="1"/>
        <v>650</v>
      </c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425">
        <v>14916.0</v>
      </c>
      <c r="B150" s="426" t="s">
        <v>9017</v>
      </c>
      <c r="C150" s="426">
        <v>2008.0</v>
      </c>
      <c r="D150" s="500">
        <v>39742.0</v>
      </c>
      <c r="E150" s="426" t="s">
        <v>9018</v>
      </c>
      <c r="F150" s="426" t="s">
        <v>92</v>
      </c>
      <c r="G150" s="426" t="s">
        <v>552</v>
      </c>
      <c r="H150" s="426" t="s">
        <v>573</v>
      </c>
      <c r="I150" s="500">
        <v>42632.0</v>
      </c>
      <c r="J150" s="428">
        <v>9.0</v>
      </c>
      <c r="K150" s="621" t="s">
        <v>244</v>
      </c>
      <c r="L150" s="426" t="s">
        <v>258</v>
      </c>
      <c r="M150" s="319">
        <f t="shared" si="1"/>
        <v>2890</v>
      </c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419">
        <v>15016.0</v>
      </c>
      <c r="B151" s="420" t="s">
        <v>9019</v>
      </c>
      <c r="C151" s="420">
        <v>2011.0</v>
      </c>
      <c r="D151" s="497">
        <v>40737.0</v>
      </c>
      <c r="E151" s="420" t="s">
        <v>9020</v>
      </c>
      <c r="F151" s="420" t="s">
        <v>134</v>
      </c>
      <c r="G151" s="420" t="s">
        <v>552</v>
      </c>
      <c r="H151" s="420" t="s">
        <v>1907</v>
      </c>
      <c r="I151" s="497">
        <v>42632.0</v>
      </c>
      <c r="J151" s="422">
        <v>9.0</v>
      </c>
      <c r="K151" s="621" t="s">
        <v>244</v>
      </c>
      <c r="L151" s="420" t="s">
        <v>256</v>
      </c>
      <c r="M151" s="316">
        <f t="shared" si="1"/>
        <v>1895</v>
      </c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425">
        <v>15116.0</v>
      </c>
      <c r="B152" s="426" t="s">
        <v>9021</v>
      </c>
      <c r="C152" s="426">
        <v>2015.0</v>
      </c>
      <c r="D152" s="500">
        <v>42368.0</v>
      </c>
      <c r="E152" s="426" t="s">
        <v>7076</v>
      </c>
      <c r="F152" s="622" t="s">
        <v>3725</v>
      </c>
      <c r="G152" s="426" t="s">
        <v>569</v>
      </c>
      <c r="H152" s="426" t="s">
        <v>8958</v>
      </c>
      <c r="I152" s="500">
        <v>42639.0</v>
      </c>
      <c r="J152" s="428">
        <v>9.0</v>
      </c>
      <c r="K152" s="621" t="s">
        <v>244</v>
      </c>
      <c r="L152" s="426" t="s">
        <v>260</v>
      </c>
      <c r="M152" s="319">
        <f t="shared" si="1"/>
        <v>271</v>
      </c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419">
        <v>15216.0</v>
      </c>
      <c r="B153" s="420" t="s">
        <v>9022</v>
      </c>
      <c r="C153" s="420">
        <v>2015.0</v>
      </c>
      <c r="D153" s="497">
        <v>42368.0</v>
      </c>
      <c r="E153" s="420" t="s">
        <v>7096</v>
      </c>
      <c r="F153" s="623" t="s">
        <v>7097</v>
      </c>
      <c r="G153" s="420" t="s">
        <v>569</v>
      </c>
      <c r="H153" s="420" t="s">
        <v>8958</v>
      </c>
      <c r="I153" s="497">
        <v>42632.0</v>
      </c>
      <c r="J153" s="422">
        <v>9.0</v>
      </c>
      <c r="K153" s="621" t="s">
        <v>244</v>
      </c>
      <c r="L153" s="420" t="s">
        <v>260</v>
      </c>
      <c r="M153" s="316">
        <f t="shared" si="1"/>
        <v>264</v>
      </c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425">
        <v>15316.0</v>
      </c>
      <c r="B154" s="426" t="s">
        <v>9023</v>
      </c>
      <c r="C154" s="426">
        <v>2011.0</v>
      </c>
      <c r="D154" s="500">
        <v>40574.0</v>
      </c>
      <c r="E154" s="426" t="s">
        <v>9024</v>
      </c>
      <c r="F154" s="426" t="s">
        <v>7186</v>
      </c>
      <c r="G154" s="426" t="s">
        <v>552</v>
      </c>
      <c r="H154" s="426" t="s">
        <v>775</v>
      </c>
      <c r="I154" s="500">
        <v>42639.0</v>
      </c>
      <c r="J154" s="428">
        <v>9.0</v>
      </c>
      <c r="K154" s="618" t="s">
        <v>238</v>
      </c>
      <c r="L154" s="426" t="s">
        <v>258</v>
      </c>
      <c r="M154" s="319">
        <f t="shared" si="1"/>
        <v>2065</v>
      </c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419">
        <v>15416.0</v>
      </c>
      <c r="B155" s="420" t="s">
        <v>9025</v>
      </c>
      <c r="C155" s="420">
        <v>2013.0</v>
      </c>
      <c r="D155" s="497">
        <v>41306.0</v>
      </c>
      <c r="E155" s="420" t="s">
        <v>9026</v>
      </c>
      <c r="F155" s="420" t="s">
        <v>963</v>
      </c>
      <c r="G155" s="420" t="s">
        <v>17</v>
      </c>
      <c r="H155" s="420" t="s">
        <v>1178</v>
      </c>
      <c r="I155" s="497">
        <v>42647.0</v>
      </c>
      <c r="J155" s="422">
        <v>10.0</v>
      </c>
      <c r="K155" s="617" t="s">
        <v>228</v>
      </c>
      <c r="L155" s="420" t="s">
        <v>258</v>
      </c>
      <c r="M155" s="316">
        <f t="shared" si="1"/>
        <v>1341</v>
      </c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425">
        <v>15516.0</v>
      </c>
      <c r="B156" s="426" t="s">
        <v>9027</v>
      </c>
      <c r="C156" s="426">
        <v>2010.0</v>
      </c>
      <c r="D156" s="500">
        <v>40410.0</v>
      </c>
      <c r="E156" s="426" t="s">
        <v>9028</v>
      </c>
      <c r="F156" s="426" t="s">
        <v>1544</v>
      </c>
      <c r="G156" s="426" t="s">
        <v>552</v>
      </c>
      <c r="H156" s="426" t="s">
        <v>163</v>
      </c>
      <c r="I156" s="500">
        <v>42649.0</v>
      </c>
      <c r="J156" s="428">
        <v>10.0</v>
      </c>
      <c r="K156" s="617" t="s">
        <v>228</v>
      </c>
      <c r="L156" s="426" t="s">
        <v>256</v>
      </c>
      <c r="M156" s="319">
        <f t="shared" si="1"/>
        <v>2239</v>
      </c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419">
        <v>15616.0</v>
      </c>
      <c r="B157" s="420" t="s">
        <v>9029</v>
      </c>
      <c r="C157" s="420">
        <v>2008.0</v>
      </c>
      <c r="D157" s="497">
        <v>39697.0</v>
      </c>
      <c r="E157" s="420" t="s">
        <v>9030</v>
      </c>
      <c r="F157" s="420" t="s">
        <v>711</v>
      </c>
      <c r="G157" s="420" t="s">
        <v>552</v>
      </c>
      <c r="H157" s="420" t="s">
        <v>573</v>
      </c>
      <c r="I157" s="497">
        <v>42649.0</v>
      </c>
      <c r="J157" s="422">
        <v>10.0</v>
      </c>
      <c r="K157" s="618" t="s">
        <v>238</v>
      </c>
      <c r="L157" s="420" t="s">
        <v>258</v>
      </c>
      <c r="M157" s="316">
        <f t="shared" si="1"/>
        <v>2952</v>
      </c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425">
        <v>15716.0</v>
      </c>
      <c r="B158" s="426" t="s">
        <v>9031</v>
      </c>
      <c r="C158" s="426">
        <v>2010.0</v>
      </c>
      <c r="D158" s="500">
        <v>40353.0</v>
      </c>
      <c r="E158" s="426" t="s">
        <v>9032</v>
      </c>
      <c r="F158" s="426" t="s">
        <v>1895</v>
      </c>
      <c r="G158" s="426" t="s">
        <v>552</v>
      </c>
      <c r="H158" s="426" t="s">
        <v>9033</v>
      </c>
      <c r="I158" s="500">
        <v>42649.0</v>
      </c>
      <c r="J158" s="428">
        <v>10.0</v>
      </c>
      <c r="K158" s="617" t="s">
        <v>228</v>
      </c>
      <c r="L158" s="426" t="s">
        <v>256</v>
      </c>
      <c r="M158" s="319">
        <f t="shared" si="1"/>
        <v>2296</v>
      </c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419">
        <v>15816.0</v>
      </c>
      <c r="B159" s="420" t="s">
        <v>9034</v>
      </c>
      <c r="C159" s="420">
        <v>2010.0</v>
      </c>
      <c r="D159" s="497">
        <v>40449.0</v>
      </c>
      <c r="E159" s="420" t="s">
        <v>9035</v>
      </c>
      <c r="F159" s="420" t="s">
        <v>7186</v>
      </c>
      <c r="G159" s="420" t="s">
        <v>552</v>
      </c>
      <c r="H159" s="420" t="s">
        <v>1907</v>
      </c>
      <c r="I159" s="497">
        <v>42649.0</v>
      </c>
      <c r="J159" s="422">
        <v>10.0</v>
      </c>
      <c r="K159" s="618" t="s">
        <v>238</v>
      </c>
      <c r="L159" s="420" t="s">
        <v>258</v>
      </c>
      <c r="M159" s="316">
        <f t="shared" si="1"/>
        <v>2200</v>
      </c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425">
        <v>15916.0</v>
      </c>
      <c r="B160" s="426" t="s">
        <v>9036</v>
      </c>
      <c r="C160" s="426">
        <v>2012.0</v>
      </c>
      <c r="D160" s="500">
        <v>41124.0</v>
      </c>
      <c r="E160" s="426" t="s">
        <v>9037</v>
      </c>
      <c r="F160" s="426" t="s">
        <v>65</v>
      </c>
      <c r="G160" s="426" t="s">
        <v>17</v>
      </c>
      <c r="H160" s="426" t="s">
        <v>158</v>
      </c>
      <c r="I160" s="500">
        <v>42649.0</v>
      </c>
      <c r="J160" s="428">
        <v>10.0</v>
      </c>
      <c r="K160" s="618" t="s">
        <v>238</v>
      </c>
      <c r="L160" s="426" t="s">
        <v>254</v>
      </c>
      <c r="M160" s="319">
        <f t="shared" si="1"/>
        <v>1525</v>
      </c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419">
        <v>16016.0</v>
      </c>
      <c r="B161" s="420" t="s">
        <v>9038</v>
      </c>
      <c r="C161" s="420">
        <v>2011.0</v>
      </c>
      <c r="D161" s="497">
        <v>40585.0</v>
      </c>
      <c r="E161" s="420" t="s">
        <v>9039</v>
      </c>
      <c r="F161" s="420" t="s">
        <v>711</v>
      </c>
      <c r="G161" s="420" t="s">
        <v>17</v>
      </c>
      <c r="H161" s="420" t="s">
        <v>929</v>
      </c>
      <c r="I161" s="497">
        <v>42649.0</v>
      </c>
      <c r="J161" s="422">
        <v>10.0</v>
      </c>
      <c r="K161" s="618" t="s">
        <v>238</v>
      </c>
      <c r="L161" s="420" t="s">
        <v>256</v>
      </c>
      <c r="M161" s="316">
        <f t="shared" si="1"/>
        <v>2064</v>
      </c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425">
        <v>16116.0</v>
      </c>
      <c r="B162" s="426" t="s">
        <v>9040</v>
      </c>
      <c r="C162" s="426">
        <v>2013.0</v>
      </c>
      <c r="D162" s="500">
        <v>41396.0</v>
      </c>
      <c r="E162" s="426" t="s">
        <v>9041</v>
      </c>
      <c r="F162" s="426" t="s">
        <v>3572</v>
      </c>
      <c r="G162" s="426" t="s">
        <v>17</v>
      </c>
      <c r="H162" s="426" t="s">
        <v>596</v>
      </c>
      <c r="I162" s="500">
        <v>42653.0</v>
      </c>
      <c r="J162" s="428">
        <v>10.0</v>
      </c>
      <c r="K162" s="618" t="s">
        <v>238</v>
      </c>
      <c r="L162" s="426" t="s">
        <v>256</v>
      </c>
      <c r="M162" s="319">
        <f t="shared" si="1"/>
        <v>1257</v>
      </c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419">
        <v>16216.0</v>
      </c>
      <c r="B163" s="420" t="s">
        <v>9042</v>
      </c>
      <c r="C163" s="420">
        <v>2013.0</v>
      </c>
      <c r="D163" s="497">
        <v>41506.0</v>
      </c>
      <c r="E163" s="420" t="s">
        <v>9043</v>
      </c>
      <c r="F163" s="420" t="s">
        <v>1108</v>
      </c>
      <c r="G163" s="420" t="s">
        <v>17</v>
      </c>
      <c r="H163" s="420" t="s">
        <v>583</v>
      </c>
      <c r="I163" s="497">
        <v>42653.0</v>
      </c>
      <c r="J163" s="422">
        <v>10.0</v>
      </c>
      <c r="K163" s="618" t="s">
        <v>238</v>
      </c>
      <c r="L163" s="420" t="s">
        <v>256</v>
      </c>
      <c r="M163" s="316">
        <f t="shared" si="1"/>
        <v>1147</v>
      </c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425">
        <v>16316.0</v>
      </c>
      <c r="B164" s="426" t="s">
        <v>9044</v>
      </c>
      <c r="C164" s="426">
        <v>2013.0</v>
      </c>
      <c r="D164" s="500">
        <v>41564.0</v>
      </c>
      <c r="E164" s="426" t="s">
        <v>9045</v>
      </c>
      <c r="F164" s="426" t="s">
        <v>1108</v>
      </c>
      <c r="G164" s="426" t="s">
        <v>17</v>
      </c>
      <c r="H164" s="426" t="s">
        <v>1588</v>
      </c>
      <c r="I164" s="500">
        <v>42653.0</v>
      </c>
      <c r="J164" s="428">
        <v>10.0</v>
      </c>
      <c r="K164" s="618" t="s">
        <v>238</v>
      </c>
      <c r="L164" s="426" t="s">
        <v>256</v>
      </c>
      <c r="M164" s="319">
        <f t="shared" si="1"/>
        <v>1089</v>
      </c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419">
        <v>16416.0</v>
      </c>
      <c r="B165" s="420" t="s">
        <v>9046</v>
      </c>
      <c r="C165" s="420">
        <v>2013.0</v>
      </c>
      <c r="D165" s="497">
        <v>41634.0</v>
      </c>
      <c r="E165" s="420" t="s">
        <v>9047</v>
      </c>
      <c r="F165" s="420" t="s">
        <v>8819</v>
      </c>
      <c r="G165" s="420" t="s">
        <v>650</v>
      </c>
      <c r="H165" s="420" t="s">
        <v>651</v>
      </c>
      <c r="I165" s="497">
        <v>42653.0</v>
      </c>
      <c r="J165" s="422">
        <v>10.0</v>
      </c>
      <c r="K165" s="617" t="s">
        <v>228</v>
      </c>
      <c r="L165" s="420" t="s">
        <v>256</v>
      </c>
      <c r="M165" s="316">
        <f t="shared" si="1"/>
        <v>1019</v>
      </c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425">
        <v>16516.0</v>
      </c>
      <c r="B166" s="426" t="s">
        <v>9048</v>
      </c>
      <c r="C166" s="426">
        <v>2010.0</v>
      </c>
      <c r="D166" s="500">
        <v>40331.0</v>
      </c>
      <c r="E166" s="426" t="s">
        <v>9049</v>
      </c>
      <c r="F166" s="426" t="s">
        <v>7186</v>
      </c>
      <c r="G166" s="426" t="s">
        <v>552</v>
      </c>
      <c r="H166" s="426" t="s">
        <v>1907</v>
      </c>
      <c r="I166" s="500">
        <v>42654.0</v>
      </c>
      <c r="J166" s="428">
        <v>10.0</v>
      </c>
      <c r="K166" s="618" t="s">
        <v>238</v>
      </c>
      <c r="L166" s="426" t="s">
        <v>258</v>
      </c>
      <c r="M166" s="319">
        <f t="shared" si="1"/>
        <v>2323</v>
      </c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419">
        <v>16616.0</v>
      </c>
      <c r="B167" s="420" t="s">
        <v>9050</v>
      </c>
      <c r="C167" s="420">
        <v>2012.0</v>
      </c>
      <c r="D167" s="497">
        <v>41141.0</v>
      </c>
      <c r="E167" s="420" t="s">
        <v>9051</v>
      </c>
      <c r="F167" s="420" t="s">
        <v>1554</v>
      </c>
      <c r="G167" s="420" t="s">
        <v>17</v>
      </c>
      <c r="H167" s="420" t="s">
        <v>50</v>
      </c>
      <c r="I167" s="497">
        <v>42654.0</v>
      </c>
      <c r="J167" s="422">
        <v>10.0</v>
      </c>
      <c r="K167" s="617" t="s">
        <v>228</v>
      </c>
      <c r="L167" s="420" t="s">
        <v>258</v>
      </c>
      <c r="M167" s="316">
        <f t="shared" si="1"/>
        <v>1513</v>
      </c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425">
        <v>16716.0</v>
      </c>
      <c r="B168" s="426" t="s">
        <v>9052</v>
      </c>
      <c r="C168" s="426">
        <v>2013.0</v>
      </c>
      <c r="D168" s="500">
        <v>41486.0</v>
      </c>
      <c r="E168" s="426" t="s">
        <v>9053</v>
      </c>
      <c r="F168" s="426" t="s">
        <v>65</v>
      </c>
      <c r="G168" s="426" t="s">
        <v>17</v>
      </c>
      <c r="H168" s="426" t="s">
        <v>9054</v>
      </c>
      <c r="I168" s="500">
        <v>42654.0</v>
      </c>
      <c r="J168" s="428">
        <v>10.0</v>
      </c>
      <c r="K168" s="618" t="s">
        <v>238</v>
      </c>
      <c r="L168" s="426" t="s">
        <v>254</v>
      </c>
      <c r="M168" s="319">
        <f t="shared" si="1"/>
        <v>1168</v>
      </c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419">
        <v>16816.0</v>
      </c>
      <c r="B169" s="420" t="s">
        <v>9055</v>
      </c>
      <c r="C169" s="420">
        <v>2013.0</v>
      </c>
      <c r="D169" s="497">
        <v>41618.0</v>
      </c>
      <c r="E169" s="420" t="s">
        <v>9056</v>
      </c>
      <c r="F169" s="420" t="s">
        <v>65</v>
      </c>
      <c r="G169" s="420" t="s">
        <v>17</v>
      </c>
      <c r="H169" s="420" t="s">
        <v>5016</v>
      </c>
      <c r="I169" s="497">
        <v>42654.0</v>
      </c>
      <c r="J169" s="422">
        <v>10.0</v>
      </c>
      <c r="K169" s="618" t="s">
        <v>238</v>
      </c>
      <c r="L169" s="420" t="s">
        <v>254</v>
      </c>
      <c r="M169" s="316">
        <f t="shared" si="1"/>
        <v>1036</v>
      </c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425">
        <v>16916.0</v>
      </c>
      <c r="B170" s="426" t="s">
        <v>9057</v>
      </c>
      <c r="C170" s="426">
        <v>2015.0</v>
      </c>
      <c r="D170" s="500">
        <v>42293.0</v>
      </c>
      <c r="E170" s="426" t="s">
        <v>9058</v>
      </c>
      <c r="F170" s="622" t="s">
        <v>2343</v>
      </c>
      <c r="G170" s="426" t="s">
        <v>569</v>
      </c>
      <c r="H170" s="426" t="s">
        <v>2600</v>
      </c>
      <c r="I170" s="500">
        <v>42656.0</v>
      </c>
      <c r="J170" s="428">
        <v>10.0</v>
      </c>
      <c r="K170" s="621" t="s">
        <v>244</v>
      </c>
      <c r="L170" s="426" t="s">
        <v>260</v>
      </c>
      <c r="M170" s="319">
        <f t="shared" si="1"/>
        <v>363</v>
      </c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419">
        <v>17016.0</v>
      </c>
      <c r="B171" s="420" t="s">
        <v>9059</v>
      </c>
      <c r="C171" s="420">
        <v>2015.0</v>
      </c>
      <c r="D171" s="497">
        <v>42320.0</v>
      </c>
      <c r="E171" s="420" t="s">
        <v>9060</v>
      </c>
      <c r="F171" s="623" t="s">
        <v>5332</v>
      </c>
      <c r="G171" s="420" t="s">
        <v>569</v>
      </c>
      <c r="H171" s="420" t="s">
        <v>9061</v>
      </c>
      <c r="I171" s="497">
        <v>42660.0</v>
      </c>
      <c r="J171" s="422">
        <v>10.0</v>
      </c>
      <c r="K171" s="621" t="s">
        <v>850</v>
      </c>
      <c r="L171" s="420" t="s">
        <v>260</v>
      </c>
      <c r="M171" s="316">
        <f t="shared" si="1"/>
        <v>340</v>
      </c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425">
        <v>17116.0</v>
      </c>
      <c r="B172" s="426" t="s">
        <v>9062</v>
      </c>
      <c r="C172" s="426">
        <v>2014.0</v>
      </c>
      <c r="D172" s="500">
        <v>41808.0</v>
      </c>
      <c r="E172" s="426" t="s">
        <v>9063</v>
      </c>
      <c r="F172" s="426" t="s">
        <v>1440</v>
      </c>
      <c r="G172" s="426" t="s">
        <v>17</v>
      </c>
      <c r="H172" s="426" t="s">
        <v>163</v>
      </c>
      <c r="I172" s="500">
        <v>42668.0</v>
      </c>
      <c r="J172" s="428">
        <v>10.0</v>
      </c>
      <c r="K172" s="618" t="s">
        <v>238</v>
      </c>
      <c r="L172" s="426" t="s">
        <v>256</v>
      </c>
      <c r="M172" s="319">
        <f t="shared" si="1"/>
        <v>860</v>
      </c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419">
        <v>17216.0</v>
      </c>
      <c r="B173" s="420" t="s">
        <v>9064</v>
      </c>
      <c r="C173" s="420">
        <v>2014.0</v>
      </c>
      <c r="D173" s="497">
        <v>41696.0</v>
      </c>
      <c r="E173" s="420" t="s">
        <v>9065</v>
      </c>
      <c r="F173" s="420" t="s">
        <v>65</v>
      </c>
      <c r="G173" s="420" t="s">
        <v>17</v>
      </c>
      <c r="H173" s="420" t="s">
        <v>573</v>
      </c>
      <c r="I173" s="497">
        <v>42656.0</v>
      </c>
      <c r="J173" s="422">
        <v>10.0</v>
      </c>
      <c r="K173" s="618" t="s">
        <v>238</v>
      </c>
      <c r="L173" s="420" t="s">
        <v>254</v>
      </c>
      <c r="M173" s="316">
        <f t="shared" si="1"/>
        <v>960</v>
      </c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425">
        <v>17316.0</v>
      </c>
      <c r="B174" s="426" t="s">
        <v>9066</v>
      </c>
      <c r="C174" s="426">
        <v>2014.0</v>
      </c>
      <c r="D174" s="500">
        <v>41684.0</v>
      </c>
      <c r="E174" s="426" t="s">
        <v>9067</v>
      </c>
      <c r="F174" s="426" t="s">
        <v>1108</v>
      </c>
      <c r="G174" s="426" t="s">
        <v>17</v>
      </c>
      <c r="H174" s="426" t="s">
        <v>901</v>
      </c>
      <c r="I174" s="500">
        <v>42656.0</v>
      </c>
      <c r="J174" s="428">
        <v>10.0</v>
      </c>
      <c r="K174" s="618" t="s">
        <v>238</v>
      </c>
      <c r="L174" s="426" t="s">
        <v>256</v>
      </c>
      <c r="M174" s="319">
        <f t="shared" si="1"/>
        <v>972</v>
      </c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419">
        <v>17416.0</v>
      </c>
      <c r="B175" s="420" t="s">
        <v>9068</v>
      </c>
      <c r="C175" s="420">
        <v>2013.0</v>
      </c>
      <c r="D175" s="497">
        <v>41508.0</v>
      </c>
      <c r="E175" s="420" t="s">
        <v>9069</v>
      </c>
      <c r="F175" s="420" t="s">
        <v>1554</v>
      </c>
      <c r="G175" s="420" t="s">
        <v>17</v>
      </c>
      <c r="H175" s="420" t="s">
        <v>163</v>
      </c>
      <c r="I175" s="497">
        <v>42663.0</v>
      </c>
      <c r="J175" s="422">
        <v>10.0</v>
      </c>
      <c r="K175" s="617" t="s">
        <v>228</v>
      </c>
      <c r="L175" s="420" t="s">
        <v>258</v>
      </c>
      <c r="M175" s="316">
        <f t="shared" si="1"/>
        <v>1155</v>
      </c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425">
        <v>17516.0</v>
      </c>
      <c r="B176" s="426" t="s">
        <v>9070</v>
      </c>
      <c r="C176" s="426">
        <v>2013.0</v>
      </c>
      <c r="D176" s="500">
        <v>41523.0</v>
      </c>
      <c r="E176" s="426" t="s">
        <v>9071</v>
      </c>
      <c r="F176" s="426" t="s">
        <v>1554</v>
      </c>
      <c r="G176" s="426" t="s">
        <v>17</v>
      </c>
      <c r="H176" s="426" t="s">
        <v>583</v>
      </c>
      <c r="I176" s="500">
        <v>42663.0</v>
      </c>
      <c r="J176" s="428">
        <v>10.0</v>
      </c>
      <c r="K176" s="617" t="s">
        <v>228</v>
      </c>
      <c r="L176" s="426" t="s">
        <v>258</v>
      </c>
      <c r="M176" s="319">
        <f t="shared" si="1"/>
        <v>1140</v>
      </c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419">
        <v>17616.0</v>
      </c>
      <c r="B177" s="420" t="s">
        <v>9072</v>
      </c>
      <c r="C177" s="420">
        <v>2012.0</v>
      </c>
      <c r="D177" s="497">
        <v>41241.0</v>
      </c>
      <c r="E177" s="420" t="s">
        <v>9073</v>
      </c>
      <c r="F177" s="420" t="s">
        <v>1554</v>
      </c>
      <c r="G177" s="420" t="s">
        <v>17</v>
      </c>
      <c r="H177" s="420" t="s">
        <v>596</v>
      </c>
      <c r="I177" s="497">
        <v>42663.0</v>
      </c>
      <c r="J177" s="422">
        <v>10.0</v>
      </c>
      <c r="K177" s="617" t="s">
        <v>228</v>
      </c>
      <c r="L177" s="420" t="s">
        <v>258</v>
      </c>
      <c r="M177" s="316">
        <f t="shared" si="1"/>
        <v>1422</v>
      </c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425">
        <v>17716.0</v>
      </c>
      <c r="B178" s="426" t="s">
        <v>9074</v>
      </c>
      <c r="C178" s="426">
        <v>2014.0</v>
      </c>
      <c r="D178" s="500">
        <v>41823.0</v>
      </c>
      <c r="E178" s="426" t="s">
        <v>9075</v>
      </c>
      <c r="F178" s="426" t="s">
        <v>1554</v>
      </c>
      <c r="G178" s="426" t="s">
        <v>17</v>
      </c>
      <c r="H178" s="426" t="s">
        <v>573</v>
      </c>
      <c r="I178" s="500">
        <v>42663.0</v>
      </c>
      <c r="J178" s="428">
        <v>10.0</v>
      </c>
      <c r="K178" s="617" t="s">
        <v>228</v>
      </c>
      <c r="L178" s="426" t="s">
        <v>258</v>
      </c>
      <c r="M178" s="319">
        <f t="shared" si="1"/>
        <v>840</v>
      </c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419">
        <v>17816.0</v>
      </c>
      <c r="B179" s="420" t="s">
        <v>9076</v>
      </c>
      <c r="C179" s="420">
        <v>2011.0</v>
      </c>
      <c r="D179" s="497">
        <v>40583.0</v>
      </c>
      <c r="E179" s="420" t="s">
        <v>9077</v>
      </c>
      <c r="F179" s="420" t="s">
        <v>186</v>
      </c>
      <c r="G179" s="420" t="s">
        <v>650</v>
      </c>
      <c r="H179" s="420" t="s">
        <v>651</v>
      </c>
      <c r="I179" s="497">
        <v>42668.0</v>
      </c>
      <c r="J179" s="422">
        <v>10.0</v>
      </c>
      <c r="K179" s="620" t="s">
        <v>234</v>
      </c>
      <c r="L179" s="420" t="s">
        <v>258</v>
      </c>
      <c r="M179" s="316">
        <f t="shared" si="1"/>
        <v>2085</v>
      </c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425">
        <v>17916.0</v>
      </c>
      <c r="B180" s="426" t="s">
        <v>9078</v>
      </c>
      <c r="C180" s="426">
        <v>2014.0</v>
      </c>
      <c r="D180" s="500">
        <v>41894.0</v>
      </c>
      <c r="E180" s="426" t="s">
        <v>9079</v>
      </c>
      <c r="F180" s="426" t="s">
        <v>3572</v>
      </c>
      <c r="G180" s="426" t="s">
        <v>17</v>
      </c>
      <c r="H180" s="426" t="s">
        <v>97</v>
      </c>
      <c r="I180" s="500">
        <v>42668.0</v>
      </c>
      <c r="J180" s="428">
        <v>10.0</v>
      </c>
      <c r="K180" s="620" t="s">
        <v>234</v>
      </c>
      <c r="L180" s="426" t="s">
        <v>256</v>
      </c>
      <c r="M180" s="319">
        <f t="shared" si="1"/>
        <v>774</v>
      </c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419">
        <v>18016.0</v>
      </c>
      <c r="B181" s="420" t="s">
        <v>9080</v>
      </c>
      <c r="C181" s="420">
        <v>2011.0</v>
      </c>
      <c r="D181" s="497">
        <v>40702.0</v>
      </c>
      <c r="E181" s="420" t="s">
        <v>9081</v>
      </c>
      <c r="F181" s="420" t="s">
        <v>25</v>
      </c>
      <c r="G181" s="420" t="s">
        <v>17</v>
      </c>
      <c r="H181" s="420" t="s">
        <v>775</v>
      </c>
      <c r="I181" s="497">
        <v>42668.0</v>
      </c>
      <c r="J181" s="422">
        <v>10.0</v>
      </c>
      <c r="K181" s="618" t="s">
        <v>238</v>
      </c>
      <c r="L181" s="420" t="s">
        <v>256</v>
      </c>
      <c r="M181" s="316">
        <f t="shared" si="1"/>
        <v>1966</v>
      </c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425">
        <v>18116.0</v>
      </c>
      <c r="B182" s="426" t="s">
        <v>9082</v>
      </c>
      <c r="C182" s="426">
        <v>2012.0</v>
      </c>
      <c r="D182" s="500">
        <v>41012.0</v>
      </c>
      <c r="E182" s="426" t="s">
        <v>9083</v>
      </c>
      <c r="F182" s="426" t="s">
        <v>711</v>
      </c>
      <c r="G182" s="426" t="s">
        <v>17</v>
      </c>
      <c r="H182" s="426" t="s">
        <v>775</v>
      </c>
      <c r="I182" s="500">
        <v>42668.0</v>
      </c>
      <c r="J182" s="428">
        <v>10.0</v>
      </c>
      <c r="K182" s="618" t="s">
        <v>238</v>
      </c>
      <c r="L182" s="426" t="s">
        <v>256</v>
      </c>
      <c r="M182" s="319">
        <f t="shared" si="1"/>
        <v>1656</v>
      </c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419">
        <v>18216.0</v>
      </c>
      <c r="B183" s="420" t="s">
        <v>9084</v>
      </c>
      <c r="C183" s="420">
        <v>2012.0</v>
      </c>
      <c r="D183" s="497">
        <v>41219.0</v>
      </c>
      <c r="E183" s="420" t="s">
        <v>9085</v>
      </c>
      <c r="F183" s="420" t="s">
        <v>1440</v>
      </c>
      <c r="G183" s="420" t="s">
        <v>17</v>
      </c>
      <c r="H183" s="420" t="s">
        <v>775</v>
      </c>
      <c r="I183" s="497">
        <v>42668.0</v>
      </c>
      <c r="J183" s="422">
        <v>10.0</v>
      </c>
      <c r="K183" s="618" t="s">
        <v>238</v>
      </c>
      <c r="L183" s="420" t="s">
        <v>256</v>
      </c>
      <c r="M183" s="316">
        <f t="shared" si="1"/>
        <v>1449</v>
      </c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425">
        <v>18316.0</v>
      </c>
      <c r="B184" s="426" t="s">
        <v>9086</v>
      </c>
      <c r="C184" s="426">
        <v>2015.0</v>
      </c>
      <c r="D184" s="500">
        <v>42293.0</v>
      </c>
      <c r="E184" s="426" t="s">
        <v>9087</v>
      </c>
      <c r="F184" s="622" t="s">
        <v>2614</v>
      </c>
      <c r="G184" s="426" t="s">
        <v>569</v>
      </c>
      <c r="H184" s="426" t="s">
        <v>2600</v>
      </c>
      <c r="I184" s="500">
        <v>42669.0</v>
      </c>
      <c r="J184" s="428">
        <v>10.0</v>
      </c>
      <c r="K184" s="621" t="s">
        <v>244</v>
      </c>
      <c r="L184" s="426" t="s">
        <v>260</v>
      </c>
      <c r="M184" s="319">
        <f t="shared" si="1"/>
        <v>376</v>
      </c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419">
        <v>18416.0</v>
      </c>
      <c r="B185" s="420" t="s">
        <v>9088</v>
      </c>
      <c r="C185" s="420">
        <v>2014.0</v>
      </c>
      <c r="D185" s="497">
        <v>41884.0</v>
      </c>
      <c r="E185" s="420" t="s">
        <v>9089</v>
      </c>
      <c r="F185" s="420" t="s">
        <v>9090</v>
      </c>
      <c r="G185" s="420" t="s">
        <v>552</v>
      </c>
      <c r="H185" s="420" t="s">
        <v>740</v>
      </c>
      <c r="I185" s="497">
        <v>42675.0</v>
      </c>
      <c r="J185" s="422">
        <v>11.0</v>
      </c>
      <c r="K185" s="618" t="s">
        <v>238</v>
      </c>
      <c r="L185" s="420" t="s">
        <v>258</v>
      </c>
      <c r="M185" s="316">
        <f t="shared" si="1"/>
        <v>791</v>
      </c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425">
        <v>18516.0</v>
      </c>
      <c r="B186" s="426" t="s">
        <v>9091</v>
      </c>
      <c r="C186" s="426">
        <v>2013.0</v>
      </c>
      <c r="D186" s="500">
        <v>41324.0</v>
      </c>
      <c r="E186" s="426" t="s">
        <v>9092</v>
      </c>
      <c r="F186" s="426" t="s">
        <v>5269</v>
      </c>
      <c r="G186" s="426" t="s">
        <v>17</v>
      </c>
      <c r="H186" s="426" t="s">
        <v>775</v>
      </c>
      <c r="I186" s="500">
        <v>42675.0</v>
      </c>
      <c r="J186" s="428">
        <v>11.0</v>
      </c>
      <c r="K186" s="621" t="s">
        <v>244</v>
      </c>
      <c r="L186" s="426" t="s">
        <v>258</v>
      </c>
      <c r="M186" s="319">
        <f t="shared" si="1"/>
        <v>1351</v>
      </c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419">
        <v>18616.0</v>
      </c>
      <c r="B187" s="420" t="s">
        <v>9093</v>
      </c>
      <c r="C187" s="420">
        <v>2014.0</v>
      </c>
      <c r="D187" s="497">
        <v>41978.0</v>
      </c>
      <c r="E187" s="420" t="s">
        <v>9094</v>
      </c>
      <c r="F187" s="420" t="s">
        <v>162</v>
      </c>
      <c r="G187" s="420" t="s">
        <v>17</v>
      </c>
      <c r="H187" s="420" t="s">
        <v>601</v>
      </c>
      <c r="I187" s="497">
        <v>42677.0</v>
      </c>
      <c r="J187" s="422">
        <v>11.0</v>
      </c>
      <c r="K187" s="618" t="s">
        <v>238</v>
      </c>
      <c r="L187" s="420" t="s">
        <v>256</v>
      </c>
      <c r="M187" s="316">
        <f t="shared" si="1"/>
        <v>699</v>
      </c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425">
        <v>18716.0</v>
      </c>
      <c r="B188" s="426" t="s">
        <v>9095</v>
      </c>
      <c r="C188" s="426">
        <v>2009.0</v>
      </c>
      <c r="D188" s="500">
        <v>39994.0</v>
      </c>
      <c r="E188" s="426" t="s">
        <v>9096</v>
      </c>
      <c r="F188" s="426" t="s">
        <v>1811</v>
      </c>
      <c r="G188" s="426" t="s">
        <v>17</v>
      </c>
      <c r="H188" s="426" t="s">
        <v>601</v>
      </c>
      <c r="I188" s="500">
        <v>42677.0</v>
      </c>
      <c r="J188" s="428">
        <v>11.0</v>
      </c>
      <c r="K188" s="621" t="s">
        <v>244</v>
      </c>
      <c r="L188" s="426" t="s">
        <v>258</v>
      </c>
      <c r="M188" s="319">
        <f t="shared" si="1"/>
        <v>2683</v>
      </c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419">
        <v>18816.0</v>
      </c>
      <c r="B189" s="420" t="s">
        <v>9097</v>
      </c>
      <c r="C189" s="420">
        <v>2013.0</v>
      </c>
      <c r="D189" s="497">
        <v>41320.0</v>
      </c>
      <c r="E189" s="420" t="s">
        <v>9098</v>
      </c>
      <c r="F189" s="420" t="s">
        <v>963</v>
      </c>
      <c r="G189" s="420" t="s">
        <v>17</v>
      </c>
      <c r="H189" s="420" t="s">
        <v>6700</v>
      </c>
      <c r="I189" s="497">
        <v>42685.0</v>
      </c>
      <c r="J189" s="422">
        <v>11.0</v>
      </c>
      <c r="K189" s="617" t="s">
        <v>228</v>
      </c>
      <c r="L189" s="420" t="s">
        <v>258</v>
      </c>
      <c r="M189" s="316">
        <f t="shared" si="1"/>
        <v>1365</v>
      </c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425">
        <v>18916.0</v>
      </c>
      <c r="B190" s="426" t="s">
        <v>9099</v>
      </c>
      <c r="C190" s="426">
        <v>2012.0</v>
      </c>
      <c r="D190" s="500">
        <v>40996.0</v>
      </c>
      <c r="E190" s="426" t="s">
        <v>9100</v>
      </c>
      <c r="F190" s="426" t="s">
        <v>44</v>
      </c>
      <c r="G190" s="426" t="s">
        <v>46</v>
      </c>
      <c r="H190" s="426" t="s">
        <v>3788</v>
      </c>
      <c r="I190" s="500">
        <v>42688.0</v>
      </c>
      <c r="J190" s="428">
        <v>11.0</v>
      </c>
      <c r="K190" s="617" t="s">
        <v>228</v>
      </c>
      <c r="L190" s="426" t="s">
        <v>258</v>
      </c>
      <c r="M190" s="319">
        <f t="shared" si="1"/>
        <v>1692</v>
      </c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419">
        <v>19016.0</v>
      </c>
      <c r="B191" s="420" t="s">
        <v>9101</v>
      </c>
      <c r="C191" s="420">
        <v>2015.0</v>
      </c>
      <c r="D191" s="497">
        <v>42244.0</v>
      </c>
      <c r="E191" s="420" t="s">
        <v>9102</v>
      </c>
      <c r="F191" s="420" t="s">
        <v>9103</v>
      </c>
      <c r="G191" s="420" t="s">
        <v>552</v>
      </c>
      <c r="H191" s="420" t="s">
        <v>573</v>
      </c>
      <c r="I191" s="497">
        <v>42692.0</v>
      </c>
      <c r="J191" s="422">
        <v>11.0</v>
      </c>
      <c r="K191" s="617" t="s">
        <v>228</v>
      </c>
      <c r="L191" s="420" t="s">
        <v>258</v>
      </c>
      <c r="M191" s="316">
        <f t="shared" si="1"/>
        <v>448</v>
      </c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425">
        <v>19116.0</v>
      </c>
      <c r="B192" s="426" t="s">
        <v>9104</v>
      </c>
      <c r="C192" s="426">
        <v>2008.0</v>
      </c>
      <c r="D192" s="500">
        <v>39584.0</v>
      </c>
      <c r="E192" s="426" t="s">
        <v>9105</v>
      </c>
      <c r="F192" s="426" t="s">
        <v>9106</v>
      </c>
      <c r="G192" s="426" t="s">
        <v>270</v>
      </c>
      <c r="H192" s="426" t="s">
        <v>3788</v>
      </c>
      <c r="I192" s="500">
        <v>42692.0</v>
      </c>
      <c r="J192" s="428">
        <v>11.0</v>
      </c>
      <c r="K192" s="618" t="s">
        <v>238</v>
      </c>
      <c r="L192" s="426" t="s">
        <v>256</v>
      </c>
      <c r="M192" s="319">
        <f t="shared" si="1"/>
        <v>3108</v>
      </c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419">
        <v>19216.0</v>
      </c>
      <c r="B193" s="420" t="s">
        <v>9107</v>
      </c>
      <c r="C193" s="420">
        <v>2013.0</v>
      </c>
      <c r="D193" s="497">
        <v>41635.0</v>
      </c>
      <c r="E193" s="420" t="s">
        <v>9108</v>
      </c>
      <c r="F193" s="420" t="s">
        <v>16</v>
      </c>
      <c r="G193" s="420" t="s">
        <v>17</v>
      </c>
      <c r="H193" s="420" t="s">
        <v>573</v>
      </c>
      <c r="I193" s="497">
        <v>42696.0</v>
      </c>
      <c r="J193" s="422">
        <v>11.0</v>
      </c>
      <c r="K193" s="617" t="s">
        <v>228</v>
      </c>
      <c r="L193" s="420" t="s">
        <v>256</v>
      </c>
      <c r="M193" s="316">
        <f t="shared" si="1"/>
        <v>1061</v>
      </c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425">
        <v>19316.0</v>
      </c>
      <c r="B194" s="426" t="s">
        <v>9109</v>
      </c>
      <c r="C194" s="426">
        <v>2009.0</v>
      </c>
      <c r="D194" s="500">
        <v>40093.0</v>
      </c>
      <c r="E194" s="426" t="s">
        <v>9110</v>
      </c>
      <c r="F194" s="426" t="s">
        <v>963</v>
      </c>
      <c r="G194" s="426" t="s">
        <v>17</v>
      </c>
      <c r="H194" s="426" t="s">
        <v>26</v>
      </c>
      <c r="I194" s="500">
        <v>42698.0</v>
      </c>
      <c r="J194" s="428">
        <v>11.0</v>
      </c>
      <c r="K194" s="617" t="s">
        <v>228</v>
      </c>
      <c r="L194" s="426" t="s">
        <v>258</v>
      </c>
      <c r="M194" s="319">
        <f t="shared" si="1"/>
        <v>2605</v>
      </c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419">
        <v>19416.0</v>
      </c>
      <c r="B195" s="420" t="s">
        <v>9111</v>
      </c>
      <c r="C195" s="420">
        <v>2010.0</v>
      </c>
      <c r="D195" s="497">
        <v>40238.0</v>
      </c>
      <c r="E195" s="420" t="s">
        <v>9112</v>
      </c>
      <c r="F195" s="420" t="s">
        <v>9113</v>
      </c>
      <c r="G195" s="420" t="s">
        <v>17</v>
      </c>
      <c r="H195" s="420" t="s">
        <v>1907</v>
      </c>
      <c r="I195" s="497">
        <v>42698.0</v>
      </c>
      <c r="J195" s="422">
        <v>11.0</v>
      </c>
      <c r="K195" s="618" t="s">
        <v>238</v>
      </c>
      <c r="L195" s="420" t="s">
        <v>256</v>
      </c>
      <c r="M195" s="316">
        <f t="shared" si="1"/>
        <v>2460</v>
      </c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425">
        <v>19516.0</v>
      </c>
      <c r="B196" s="426" t="s">
        <v>9114</v>
      </c>
      <c r="C196" s="426">
        <v>2009.0</v>
      </c>
      <c r="D196" s="500">
        <v>40029.0</v>
      </c>
      <c r="E196" s="426" t="s">
        <v>9115</v>
      </c>
      <c r="F196" s="426" t="s">
        <v>963</v>
      </c>
      <c r="G196" s="426" t="s">
        <v>17</v>
      </c>
      <c r="H196" s="426" t="s">
        <v>5826</v>
      </c>
      <c r="I196" s="500">
        <v>42699.0</v>
      </c>
      <c r="J196" s="428">
        <v>11.0</v>
      </c>
      <c r="K196" s="617" t="s">
        <v>228</v>
      </c>
      <c r="L196" s="426" t="s">
        <v>258</v>
      </c>
      <c r="M196" s="319">
        <f t="shared" si="1"/>
        <v>2670</v>
      </c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419">
        <v>19616.0</v>
      </c>
      <c r="B197" s="420" t="s">
        <v>9116</v>
      </c>
      <c r="C197" s="420">
        <v>2010.0</v>
      </c>
      <c r="D197" s="497">
        <v>40402.0</v>
      </c>
      <c r="E197" s="420" t="s">
        <v>9117</v>
      </c>
      <c r="F197" s="420" t="s">
        <v>963</v>
      </c>
      <c r="G197" s="420" t="s">
        <v>17</v>
      </c>
      <c r="H197" s="420" t="s">
        <v>5826</v>
      </c>
      <c r="I197" s="497">
        <v>42699.0</v>
      </c>
      <c r="J197" s="422">
        <v>11.0</v>
      </c>
      <c r="K197" s="617" t="s">
        <v>228</v>
      </c>
      <c r="L197" s="420" t="s">
        <v>258</v>
      </c>
      <c r="M197" s="316">
        <f t="shared" si="1"/>
        <v>2297</v>
      </c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425">
        <v>19716.0</v>
      </c>
      <c r="B198" s="426" t="s">
        <v>9118</v>
      </c>
      <c r="C198" s="426">
        <v>2014.0</v>
      </c>
      <c r="D198" s="500">
        <v>41918.0</v>
      </c>
      <c r="E198" s="426" t="s">
        <v>9119</v>
      </c>
      <c r="F198" s="426" t="s">
        <v>8700</v>
      </c>
      <c r="G198" s="426" t="s">
        <v>565</v>
      </c>
      <c r="H198" s="426" t="s">
        <v>2331</v>
      </c>
      <c r="I198" s="500">
        <v>42699.0</v>
      </c>
      <c r="J198" s="428">
        <v>11.0</v>
      </c>
      <c r="K198" s="621" t="s">
        <v>244</v>
      </c>
      <c r="L198" s="426" t="s">
        <v>260</v>
      </c>
      <c r="M198" s="319">
        <f t="shared" si="1"/>
        <v>781</v>
      </c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419">
        <v>19816.0</v>
      </c>
      <c r="B199" s="420" t="s">
        <v>7902</v>
      </c>
      <c r="C199" s="420">
        <v>2011.0</v>
      </c>
      <c r="D199" s="497">
        <v>40841.0</v>
      </c>
      <c r="E199" s="420" t="s">
        <v>9120</v>
      </c>
      <c r="F199" s="420" t="s">
        <v>1895</v>
      </c>
      <c r="G199" s="420" t="s">
        <v>17</v>
      </c>
      <c r="H199" s="420" t="s">
        <v>1907</v>
      </c>
      <c r="I199" s="497">
        <v>42702.0</v>
      </c>
      <c r="J199" s="422">
        <v>11.0</v>
      </c>
      <c r="K199" s="617" t="s">
        <v>228</v>
      </c>
      <c r="L199" s="420" t="s">
        <v>256</v>
      </c>
      <c r="M199" s="316">
        <f t="shared" si="1"/>
        <v>1861</v>
      </c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425">
        <v>19916.0</v>
      </c>
      <c r="B200" s="426" t="s">
        <v>9121</v>
      </c>
      <c r="C200" s="426">
        <v>2015.0</v>
      </c>
      <c r="D200" s="500">
        <v>42094.0</v>
      </c>
      <c r="E200" s="426" t="s">
        <v>9122</v>
      </c>
      <c r="F200" s="426" t="s">
        <v>9123</v>
      </c>
      <c r="G200" s="426" t="s">
        <v>547</v>
      </c>
      <c r="H200" s="426" t="s">
        <v>651</v>
      </c>
      <c r="I200" s="500">
        <v>42702.0</v>
      </c>
      <c r="J200" s="428">
        <v>11.0</v>
      </c>
      <c r="K200" s="618" t="s">
        <v>238</v>
      </c>
      <c r="L200" s="426" t="s">
        <v>256</v>
      </c>
      <c r="M200" s="319">
        <f t="shared" si="1"/>
        <v>608</v>
      </c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419">
        <v>20016.0</v>
      </c>
      <c r="B201" s="420" t="s">
        <v>9124</v>
      </c>
      <c r="C201" s="420">
        <v>2010.0</v>
      </c>
      <c r="D201" s="497">
        <v>40301.0</v>
      </c>
      <c r="E201" s="420" t="s">
        <v>9125</v>
      </c>
      <c r="F201" s="420" t="s">
        <v>1464</v>
      </c>
      <c r="G201" s="420" t="s">
        <v>17</v>
      </c>
      <c r="H201" s="420" t="s">
        <v>50</v>
      </c>
      <c r="I201" s="497">
        <v>42680.0</v>
      </c>
      <c r="J201" s="422">
        <v>11.0</v>
      </c>
      <c r="K201" s="618" t="s">
        <v>238</v>
      </c>
      <c r="L201" s="420" t="s">
        <v>256</v>
      </c>
      <c r="M201" s="316">
        <f t="shared" si="1"/>
        <v>2379</v>
      </c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425">
        <v>20116.0</v>
      </c>
      <c r="B202" s="426" t="s">
        <v>9126</v>
      </c>
      <c r="C202" s="426">
        <v>2010.0</v>
      </c>
      <c r="D202" s="500">
        <v>40350.0</v>
      </c>
      <c r="E202" s="426" t="s">
        <v>9127</v>
      </c>
      <c r="F202" s="426" t="s">
        <v>8119</v>
      </c>
      <c r="G202" s="426" t="s">
        <v>17</v>
      </c>
      <c r="H202" s="426" t="s">
        <v>6700</v>
      </c>
      <c r="I202" s="500">
        <v>42703.0</v>
      </c>
      <c r="J202" s="428">
        <v>11.0</v>
      </c>
      <c r="K202" s="617" t="s">
        <v>228</v>
      </c>
      <c r="L202" s="426" t="s">
        <v>256</v>
      </c>
      <c r="M202" s="319">
        <f t="shared" si="1"/>
        <v>2353</v>
      </c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419">
        <v>20216.0</v>
      </c>
      <c r="B203" s="420" t="s">
        <v>9128</v>
      </c>
      <c r="C203" s="420">
        <v>2010.0</v>
      </c>
      <c r="D203" s="497">
        <v>40520.0</v>
      </c>
      <c r="E203" s="420" t="s">
        <v>9129</v>
      </c>
      <c r="F203" s="420" t="s">
        <v>8119</v>
      </c>
      <c r="G203" s="420" t="s">
        <v>17</v>
      </c>
      <c r="H203" s="420" t="s">
        <v>56</v>
      </c>
      <c r="I203" s="497">
        <v>42703.0</v>
      </c>
      <c r="J203" s="422">
        <v>11.0</v>
      </c>
      <c r="K203" s="617" t="s">
        <v>228</v>
      </c>
      <c r="L203" s="420" t="s">
        <v>256</v>
      </c>
      <c r="M203" s="316">
        <f t="shared" si="1"/>
        <v>2183</v>
      </c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425">
        <v>20316.0</v>
      </c>
      <c r="B204" s="426" t="s">
        <v>9130</v>
      </c>
      <c r="C204" s="426">
        <v>2012.0</v>
      </c>
      <c r="D204" s="500">
        <v>41204.0</v>
      </c>
      <c r="E204" s="426" t="s">
        <v>9131</v>
      </c>
      <c r="F204" s="426" t="s">
        <v>8119</v>
      </c>
      <c r="G204" s="426" t="s">
        <v>17</v>
      </c>
      <c r="H204" s="426" t="s">
        <v>6529</v>
      </c>
      <c r="I204" s="500">
        <v>42703.0</v>
      </c>
      <c r="J204" s="428">
        <v>11.0</v>
      </c>
      <c r="K204" s="617" t="s">
        <v>228</v>
      </c>
      <c r="L204" s="426" t="s">
        <v>256</v>
      </c>
      <c r="M204" s="319">
        <f t="shared" si="1"/>
        <v>1499</v>
      </c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419">
        <v>20416.0</v>
      </c>
      <c r="B205" s="420" t="s">
        <v>9132</v>
      </c>
      <c r="C205" s="420">
        <v>2013.0</v>
      </c>
      <c r="D205" s="497">
        <v>41408.0</v>
      </c>
      <c r="E205" s="420" t="s">
        <v>9133</v>
      </c>
      <c r="F205" s="420" t="s">
        <v>7815</v>
      </c>
      <c r="G205" s="420" t="s">
        <v>17</v>
      </c>
      <c r="H205" s="420" t="s">
        <v>1178</v>
      </c>
      <c r="I205" s="497">
        <v>42703.0</v>
      </c>
      <c r="J205" s="422">
        <v>11.0</v>
      </c>
      <c r="K205" s="617" t="s">
        <v>228</v>
      </c>
      <c r="L205" s="420" t="s">
        <v>256</v>
      </c>
      <c r="M205" s="316">
        <f t="shared" si="1"/>
        <v>1295</v>
      </c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425">
        <v>20516.0</v>
      </c>
      <c r="B206" s="426" t="s">
        <v>9134</v>
      </c>
      <c r="C206" s="426">
        <v>2014.0</v>
      </c>
      <c r="D206" s="500">
        <v>41689.0</v>
      </c>
      <c r="E206" s="426" t="s">
        <v>9135</v>
      </c>
      <c r="F206" s="426" t="s">
        <v>1464</v>
      </c>
      <c r="G206" s="426" t="s">
        <v>17</v>
      </c>
      <c r="H206" s="426" t="s">
        <v>583</v>
      </c>
      <c r="I206" s="500">
        <v>42704.0</v>
      </c>
      <c r="J206" s="428">
        <v>11.0</v>
      </c>
      <c r="K206" s="618" t="s">
        <v>238</v>
      </c>
      <c r="L206" s="426" t="s">
        <v>256</v>
      </c>
      <c r="M206" s="319">
        <f t="shared" si="1"/>
        <v>1015</v>
      </c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419">
        <v>20616.0</v>
      </c>
      <c r="B207" s="420" t="s">
        <v>9136</v>
      </c>
      <c r="C207" s="420">
        <v>2013.0</v>
      </c>
      <c r="D207" s="497">
        <v>41283.0</v>
      </c>
      <c r="E207" s="420" t="s">
        <v>9137</v>
      </c>
      <c r="F207" s="420" t="s">
        <v>7815</v>
      </c>
      <c r="G207" s="420" t="s">
        <v>17</v>
      </c>
      <c r="H207" s="420" t="s">
        <v>901</v>
      </c>
      <c r="I207" s="497">
        <v>42704.0</v>
      </c>
      <c r="J207" s="422">
        <v>11.0</v>
      </c>
      <c r="K207" s="617" t="s">
        <v>228</v>
      </c>
      <c r="L207" s="420" t="s">
        <v>256</v>
      </c>
      <c r="M207" s="316">
        <f t="shared" si="1"/>
        <v>1421</v>
      </c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425">
        <v>20716.0</v>
      </c>
      <c r="B208" s="426" t="s">
        <v>9138</v>
      </c>
      <c r="C208" s="426">
        <v>2011.0</v>
      </c>
      <c r="D208" s="500">
        <v>40695.0</v>
      </c>
      <c r="E208" s="426" t="s">
        <v>9139</v>
      </c>
      <c r="F208" s="426" t="s">
        <v>1464</v>
      </c>
      <c r="G208" s="426" t="s">
        <v>552</v>
      </c>
      <c r="H208" s="426" t="s">
        <v>775</v>
      </c>
      <c r="I208" s="500">
        <v>42705.0</v>
      </c>
      <c r="J208" s="428">
        <v>12.0</v>
      </c>
      <c r="K208" s="617" t="s">
        <v>228</v>
      </c>
      <c r="L208" s="426" t="s">
        <v>256</v>
      </c>
      <c r="M208" s="319">
        <f t="shared" si="1"/>
        <v>2010</v>
      </c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419">
        <v>20816.0</v>
      </c>
      <c r="B209" s="420" t="s">
        <v>9140</v>
      </c>
      <c r="C209" s="420">
        <v>2010.0</v>
      </c>
      <c r="D209" s="497">
        <v>40500.0</v>
      </c>
      <c r="E209" s="420" t="s">
        <v>9141</v>
      </c>
      <c r="F209" s="420" t="s">
        <v>44</v>
      </c>
      <c r="G209" s="420" t="s">
        <v>552</v>
      </c>
      <c r="H209" s="420" t="s">
        <v>153</v>
      </c>
      <c r="I209" s="497">
        <v>42706.0</v>
      </c>
      <c r="J209" s="422">
        <v>12.0</v>
      </c>
      <c r="K209" s="617" t="s">
        <v>228</v>
      </c>
      <c r="L209" s="420" t="s">
        <v>258</v>
      </c>
      <c r="M209" s="316">
        <f t="shared" si="1"/>
        <v>2206</v>
      </c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425">
        <v>20916.0</v>
      </c>
      <c r="B210" s="426" t="s">
        <v>9142</v>
      </c>
      <c r="C210" s="426">
        <v>2014.0</v>
      </c>
      <c r="D210" s="500">
        <v>41995.0</v>
      </c>
      <c r="E210" s="426" t="s">
        <v>9143</v>
      </c>
      <c r="F210" s="426" t="s">
        <v>44</v>
      </c>
      <c r="G210" s="426" t="s">
        <v>552</v>
      </c>
      <c r="H210" s="426" t="s">
        <v>66</v>
      </c>
      <c r="I210" s="500">
        <v>42706.0</v>
      </c>
      <c r="J210" s="428">
        <v>12.0</v>
      </c>
      <c r="K210" s="617" t="s">
        <v>228</v>
      </c>
      <c r="L210" s="426" t="s">
        <v>258</v>
      </c>
      <c r="M210" s="319">
        <f t="shared" si="1"/>
        <v>711</v>
      </c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419">
        <v>21016.0</v>
      </c>
      <c r="B211" s="420" t="s">
        <v>9144</v>
      </c>
      <c r="C211" s="420">
        <v>2011.0</v>
      </c>
      <c r="D211" s="497">
        <v>40652.0</v>
      </c>
      <c r="E211" s="420" t="s">
        <v>9145</v>
      </c>
      <c r="F211" s="420" t="s">
        <v>9146</v>
      </c>
      <c r="G211" s="420" t="s">
        <v>547</v>
      </c>
      <c r="H211" s="420" t="s">
        <v>705</v>
      </c>
      <c r="I211" s="497">
        <v>42706.0</v>
      </c>
      <c r="J211" s="422">
        <v>12.0</v>
      </c>
      <c r="K211" s="618" t="s">
        <v>238</v>
      </c>
      <c r="L211" s="420" t="s">
        <v>256</v>
      </c>
      <c r="M211" s="316">
        <f t="shared" si="1"/>
        <v>2054</v>
      </c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425">
        <v>21116.0</v>
      </c>
      <c r="B212" s="426" t="s">
        <v>9147</v>
      </c>
      <c r="C212" s="426">
        <v>2013.0</v>
      </c>
      <c r="D212" s="500">
        <v>41534.0</v>
      </c>
      <c r="E212" s="426" t="s">
        <v>9148</v>
      </c>
      <c r="F212" s="426" t="s">
        <v>9149</v>
      </c>
      <c r="G212" s="426" t="s">
        <v>650</v>
      </c>
      <c r="H212" s="426" t="s">
        <v>601</v>
      </c>
      <c r="I212" s="500">
        <v>42710.0</v>
      </c>
      <c r="J212" s="428">
        <v>12.0</v>
      </c>
      <c r="K212" s="617" t="s">
        <v>228</v>
      </c>
      <c r="L212" s="426" t="s">
        <v>254</v>
      </c>
      <c r="M212" s="319">
        <f t="shared" si="1"/>
        <v>1176</v>
      </c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419">
        <v>21216.0</v>
      </c>
      <c r="B213" s="420" t="s">
        <v>9150</v>
      </c>
      <c r="C213" s="420">
        <v>2011.0</v>
      </c>
      <c r="D213" s="497">
        <v>40694.0</v>
      </c>
      <c r="E213" s="420" t="s">
        <v>9151</v>
      </c>
      <c r="F213" s="420" t="s">
        <v>44</v>
      </c>
      <c r="G213" s="420" t="s">
        <v>552</v>
      </c>
      <c r="H213" s="420" t="s">
        <v>153</v>
      </c>
      <c r="I213" s="497">
        <v>42710.0</v>
      </c>
      <c r="J213" s="422">
        <v>12.0</v>
      </c>
      <c r="K213" s="617" t="s">
        <v>228</v>
      </c>
      <c r="L213" s="420" t="s">
        <v>258</v>
      </c>
      <c r="M213" s="316">
        <f t="shared" si="1"/>
        <v>2016</v>
      </c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425">
        <v>21316.0</v>
      </c>
      <c r="B214" s="426" t="s">
        <v>9152</v>
      </c>
      <c r="C214" s="426">
        <v>2011.0</v>
      </c>
      <c r="D214" s="500">
        <v>40700.0</v>
      </c>
      <c r="E214" s="426" t="s">
        <v>9153</v>
      </c>
      <c r="F214" s="426" t="s">
        <v>44</v>
      </c>
      <c r="G214" s="426" t="s">
        <v>552</v>
      </c>
      <c r="H214" s="426" t="s">
        <v>153</v>
      </c>
      <c r="I214" s="500">
        <v>42710.0</v>
      </c>
      <c r="J214" s="428">
        <v>12.0</v>
      </c>
      <c r="K214" s="617" t="s">
        <v>228</v>
      </c>
      <c r="L214" s="426" t="s">
        <v>258</v>
      </c>
      <c r="M214" s="319">
        <f t="shared" si="1"/>
        <v>2010</v>
      </c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419">
        <v>21416.0</v>
      </c>
      <c r="B215" s="420" t="s">
        <v>9154</v>
      </c>
      <c r="C215" s="420">
        <v>2013.0</v>
      </c>
      <c r="D215" s="497">
        <v>41548.0</v>
      </c>
      <c r="E215" s="420" t="s">
        <v>9155</v>
      </c>
      <c r="F215" s="420" t="s">
        <v>2939</v>
      </c>
      <c r="G215" s="420" t="s">
        <v>650</v>
      </c>
      <c r="H215" s="420" t="s">
        <v>7777</v>
      </c>
      <c r="I215" s="497">
        <v>42710.0</v>
      </c>
      <c r="J215" s="422">
        <v>12.0</v>
      </c>
      <c r="K215" s="617" t="s">
        <v>228</v>
      </c>
      <c r="L215" s="420" t="s">
        <v>256</v>
      </c>
      <c r="M215" s="316">
        <f t="shared" si="1"/>
        <v>1162</v>
      </c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425">
        <v>21516.0</v>
      </c>
      <c r="B216" s="426" t="s">
        <v>9156</v>
      </c>
      <c r="C216" s="426">
        <v>2013.0</v>
      </c>
      <c r="D216" s="500">
        <v>41498.0</v>
      </c>
      <c r="E216" s="426" t="s">
        <v>9157</v>
      </c>
      <c r="F216" s="426" t="s">
        <v>8119</v>
      </c>
      <c r="G216" s="426" t="s">
        <v>552</v>
      </c>
      <c r="H216" s="426" t="s">
        <v>153</v>
      </c>
      <c r="I216" s="500">
        <v>42710.0</v>
      </c>
      <c r="J216" s="428">
        <v>12.0</v>
      </c>
      <c r="K216" s="617" t="s">
        <v>228</v>
      </c>
      <c r="L216" s="426" t="s">
        <v>256</v>
      </c>
      <c r="M216" s="319">
        <f t="shared" si="1"/>
        <v>1212</v>
      </c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419">
        <v>21616.0</v>
      </c>
      <c r="B217" s="420" t="s">
        <v>9158</v>
      </c>
      <c r="C217" s="420">
        <v>2010.0</v>
      </c>
      <c r="D217" s="497">
        <v>40470.0</v>
      </c>
      <c r="E217" s="420" t="s">
        <v>9159</v>
      </c>
      <c r="F217" s="420" t="s">
        <v>9160</v>
      </c>
      <c r="G217" s="420" t="s">
        <v>552</v>
      </c>
      <c r="H217" s="420" t="s">
        <v>1907</v>
      </c>
      <c r="I217" s="497">
        <v>42723.0</v>
      </c>
      <c r="J217" s="422">
        <v>12.0</v>
      </c>
      <c r="K217" s="617" t="s">
        <v>228</v>
      </c>
      <c r="L217" s="420" t="s">
        <v>258</v>
      </c>
      <c r="M217" s="316">
        <f t="shared" si="1"/>
        <v>2253</v>
      </c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425">
        <v>21716.0</v>
      </c>
      <c r="B218" s="426" t="s">
        <v>9161</v>
      </c>
      <c r="C218" s="426">
        <v>2010.0</v>
      </c>
      <c r="D218" s="500">
        <v>40358.0</v>
      </c>
      <c r="E218" s="426" t="s">
        <v>9162</v>
      </c>
      <c r="F218" s="426" t="s">
        <v>9160</v>
      </c>
      <c r="G218" s="426" t="s">
        <v>552</v>
      </c>
      <c r="H218" s="426" t="s">
        <v>1907</v>
      </c>
      <c r="I218" s="500">
        <v>42723.0</v>
      </c>
      <c r="J218" s="428">
        <v>12.0</v>
      </c>
      <c r="K218" s="618" t="s">
        <v>238</v>
      </c>
      <c r="L218" s="426" t="s">
        <v>258</v>
      </c>
      <c r="M218" s="319">
        <f t="shared" si="1"/>
        <v>2365</v>
      </c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419">
        <v>21816.0</v>
      </c>
      <c r="B219" s="420" t="s">
        <v>9163</v>
      </c>
      <c r="C219" s="420">
        <v>2011.0</v>
      </c>
      <c r="D219" s="497">
        <v>40568.0</v>
      </c>
      <c r="E219" s="420" t="s">
        <v>9164</v>
      </c>
      <c r="F219" s="420" t="s">
        <v>9165</v>
      </c>
      <c r="G219" s="420" t="s">
        <v>552</v>
      </c>
      <c r="H219" s="420" t="s">
        <v>1178</v>
      </c>
      <c r="I219" s="497">
        <v>42723.0</v>
      </c>
      <c r="J219" s="422">
        <v>12.0</v>
      </c>
      <c r="K219" s="617" t="s">
        <v>228</v>
      </c>
      <c r="L219" s="420" t="s">
        <v>258</v>
      </c>
      <c r="M219" s="316">
        <f t="shared" si="1"/>
        <v>2155</v>
      </c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425">
        <v>21916.0</v>
      </c>
      <c r="B220" s="426" t="s">
        <v>9166</v>
      </c>
      <c r="C220" s="426">
        <v>2011.0</v>
      </c>
      <c r="D220" s="500">
        <v>40616.0</v>
      </c>
      <c r="E220" s="426" t="s">
        <v>9167</v>
      </c>
      <c r="F220" s="426" t="s">
        <v>2071</v>
      </c>
      <c r="G220" s="426" t="s">
        <v>552</v>
      </c>
      <c r="H220" s="426" t="s">
        <v>934</v>
      </c>
      <c r="I220" s="500">
        <v>42723.0</v>
      </c>
      <c r="J220" s="428">
        <v>12.0</v>
      </c>
      <c r="K220" s="617" t="s">
        <v>228</v>
      </c>
      <c r="L220" s="426" t="s">
        <v>258</v>
      </c>
      <c r="M220" s="319">
        <f t="shared" si="1"/>
        <v>2107</v>
      </c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419">
        <v>22016.0</v>
      </c>
      <c r="B221" s="420" t="s">
        <v>9168</v>
      </c>
      <c r="C221" s="420">
        <v>2011.0</v>
      </c>
      <c r="D221" s="497">
        <v>40743.0</v>
      </c>
      <c r="E221" s="420" t="s">
        <v>9169</v>
      </c>
      <c r="F221" s="420" t="s">
        <v>2071</v>
      </c>
      <c r="G221" s="420" t="s">
        <v>552</v>
      </c>
      <c r="H221" s="420" t="s">
        <v>934</v>
      </c>
      <c r="I221" s="497">
        <v>42723.0</v>
      </c>
      <c r="J221" s="422">
        <v>12.0</v>
      </c>
      <c r="K221" s="617" t="s">
        <v>228</v>
      </c>
      <c r="L221" s="420" t="s">
        <v>258</v>
      </c>
      <c r="M221" s="316">
        <f t="shared" si="1"/>
        <v>1980</v>
      </c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425">
        <v>22116.0</v>
      </c>
      <c r="B222" s="426" t="s">
        <v>9170</v>
      </c>
      <c r="C222" s="426">
        <v>2012.0</v>
      </c>
      <c r="D222" s="500">
        <v>41068.0</v>
      </c>
      <c r="E222" s="426" t="s">
        <v>9171</v>
      </c>
      <c r="F222" s="426" t="s">
        <v>9172</v>
      </c>
      <c r="G222" s="426" t="s">
        <v>565</v>
      </c>
      <c r="H222" s="426" t="s">
        <v>881</v>
      </c>
      <c r="I222" s="500">
        <v>42723.0</v>
      </c>
      <c r="J222" s="428">
        <v>12.0</v>
      </c>
      <c r="K222" s="617" t="s">
        <v>228</v>
      </c>
      <c r="L222" s="426" t="s">
        <v>260</v>
      </c>
      <c r="M222" s="319">
        <f t="shared" si="1"/>
        <v>1655</v>
      </c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419">
        <v>22216.0</v>
      </c>
      <c r="B223" s="420" t="s">
        <v>9173</v>
      </c>
      <c r="C223" s="420">
        <v>2014.0</v>
      </c>
      <c r="D223" s="497">
        <v>41978.0</v>
      </c>
      <c r="E223" s="420" t="s">
        <v>9174</v>
      </c>
      <c r="F223" s="623" t="s">
        <v>3544</v>
      </c>
      <c r="G223" s="420" t="s">
        <v>565</v>
      </c>
      <c r="H223" s="420" t="s">
        <v>8958</v>
      </c>
      <c r="I223" s="497">
        <v>42724.0</v>
      </c>
      <c r="J223" s="422">
        <v>12.0</v>
      </c>
      <c r="K223" s="621" t="s">
        <v>244</v>
      </c>
      <c r="L223" s="420" t="s">
        <v>260</v>
      </c>
      <c r="M223" s="316">
        <f t="shared" si="1"/>
        <v>746</v>
      </c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425">
        <v>22316.0</v>
      </c>
      <c r="B224" s="426" t="s">
        <v>9175</v>
      </c>
      <c r="C224" s="426">
        <v>2014.0</v>
      </c>
      <c r="D224" s="500">
        <v>41978.0</v>
      </c>
      <c r="E224" s="426" t="s">
        <v>9176</v>
      </c>
      <c r="F224" s="622" t="s">
        <v>3544</v>
      </c>
      <c r="G224" s="426" t="s">
        <v>565</v>
      </c>
      <c r="H224" s="426" t="s">
        <v>1002</v>
      </c>
      <c r="I224" s="500">
        <v>42724.0</v>
      </c>
      <c r="J224" s="428">
        <v>12.0</v>
      </c>
      <c r="K224" s="617" t="s">
        <v>228</v>
      </c>
      <c r="L224" s="426" t="s">
        <v>260</v>
      </c>
      <c r="M224" s="319">
        <f t="shared" si="1"/>
        <v>746</v>
      </c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419">
        <v>22416.0</v>
      </c>
      <c r="B225" s="420" t="s">
        <v>9177</v>
      </c>
      <c r="C225" s="420">
        <v>2014.0</v>
      </c>
      <c r="D225" s="497">
        <v>41927.0</v>
      </c>
      <c r="E225" s="420" t="s">
        <v>9178</v>
      </c>
      <c r="F225" s="623" t="s">
        <v>2614</v>
      </c>
      <c r="G225" s="420" t="s">
        <v>569</v>
      </c>
      <c r="H225" s="420" t="s">
        <v>8963</v>
      </c>
      <c r="I225" s="497">
        <v>42724.0</v>
      </c>
      <c r="J225" s="422">
        <v>12.0</v>
      </c>
      <c r="K225" s="621" t="s">
        <v>244</v>
      </c>
      <c r="L225" s="420" t="s">
        <v>260</v>
      </c>
      <c r="M225" s="316">
        <f t="shared" si="1"/>
        <v>797</v>
      </c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425">
        <v>22516.0</v>
      </c>
      <c r="B226" s="426" t="s">
        <v>9179</v>
      </c>
      <c r="C226" s="426">
        <v>2014.0</v>
      </c>
      <c r="D226" s="500">
        <v>41991.0</v>
      </c>
      <c r="E226" s="426" t="s">
        <v>9180</v>
      </c>
      <c r="F226" s="622" t="s">
        <v>2606</v>
      </c>
      <c r="G226" s="426" t="s">
        <v>565</v>
      </c>
      <c r="H226" s="426" t="s">
        <v>2093</v>
      </c>
      <c r="I226" s="500">
        <v>42724.0</v>
      </c>
      <c r="J226" s="428">
        <v>12.0</v>
      </c>
      <c r="K226" s="618" t="s">
        <v>238</v>
      </c>
      <c r="L226" s="426" t="s">
        <v>260</v>
      </c>
      <c r="M226" s="319">
        <f t="shared" si="1"/>
        <v>733</v>
      </c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419">
        <v>22616.0</v>
      </c>
      <c r="B227" s="420" t="s">
        <v>9181</v>
      </c>
      <c r="C227" s="420">
        <v>2011.0</v>
      </c>
      <c r="D227" s="497">
        <v>40758.0</v>
      </c>
      <c r="E227" s="420" t="s">
        <v>9182</v>
      </c>
      <c r="F227" s="420" t="s">
        <v>134</v>
      </c>
      <c r="G227" s="420" t="s">
        <v>552</v>
      </c>
      <c r="H227" s="420" t="s">
        <v>1907</v>
      </c>
      <c r="I227" s="497">
        <v>42724.0</v>
      </c>
      <c r="J227" s="422">
        <v>12.0</v>
      </c>
      <c r="K227" s="617" t="s">
        <v>228</v>
      </c>
      <c r="L227" s="420" t="s">
        <v>256</v>
      </c>
      <c r="M227" s="316">
        <f t="shared" si="1"/>
        <v>1966</v>
      </c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425">
        <v>22716.0</v>
      </c>
      <c r="B228" s="426" t="s">
        <v>9183</v>
      </c>
      <c r="C228" s="426">
        <v>2014.0</v>
      </c>
      <c r="D228" s="500">
        <v>41992.0</v>
      </c>
      <c r="E228" s="426" t="s">
        <v>9184</v>
      </c>
      <c r="F228" s="426" t="s">
        <v>8119</v>
      </c>
      <c r="G228" s="426" t="s">
        <v>552</v>
      </c>
      <c r="H228" s="426" t="s">
        <v>881</v>
      </c>
      <c r="I228" s="500">
        <v>42724.0</v>
      </c>
      <c r="J228" s="428">
        <v>12.0</v>
      </c>
      <c r="K228" s="617" t="s">
        <v>228</v>
      </c>
      <c r="L228" s="426" t="s">
        <v>256</v>
      </c>
      <c r="M228" s="319">
        <f t="shared" si="1"/>
        <v>732</v>
      </c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419">
        <v>22816.0</v>
      </c>
      <c r="B229" s="420" t="s">
        <v>9185</v>
      </c>
      <c r="C229" s="420">
        <v>2014.0</v>
      </c>
      <c r="D229" s="497">
        <v>41971.0</v>
      </c>
      <c r="E229" s="420" t="s">
        <v>9186</v>
      </c>
      <c r="F229" s="623" t="s">
        <v>7857</v>
      </c>
      <c r="G229" s="420" t="s">
        <v>565</v>
      </c>
      <c r="H229" s="420" t="s">
        <v>705</v>
      </c>
      <c r="I229" s="497">
        <v>42724.0</v>
      </c>
      <c r="J229" s="422">
        <v>12.0</v>
      </c>
      <c r="K229" s="617" t="s">
        <v>228</v>
      </c>
      <c r="L229" s="420" t="s">
        <v>260</v>
      </c>
      <c r="M229" s="316">
        <f t="shared" si="1"/>
        <v>753</v>
      </c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425">
        <v>22916.0</v>
      </c>
      <c r="B230" s="426" t="s">
        <v>9187</v>
      </c>
      <c r="C230" s="426">
        <v>2013.0</v>
      </c>
      <c r="D230" s="500">
        <v>41521.0</v>
      </c>
      <c r="E230" s="426" t="s">
        <v>9188</v>
      </c>
      <c r="F230" s="426" t="s">
        <v>739</v>
      </c>
      <c r="G230" s="426" t="s">
        <v>17</v>
      </c>
      <c r="H230" s="426" t="s">
        <v>596</v>
      </c>
      <c r="I230" s="500">
        <v>42725.0</v>
      </c>
      <c r="J230" s="428">
        <v>12.0</v>
      </c>
      <c r="K230" s="620" t="s">
        <v>234</v>
      </c>
      <c r="L230" s="426" t="s">
        <v>258</v>
      </c>
      <c r="M230" s="319">
        <f t="shared" si="1"/>
        <v>1204</v>
      </c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419">
        <v>23016.0</v>
      </c>
      <c r="B231" s="420" t="s">
        <v>9189</v>
      </c>
      <c r="C231" s="420">
        <v>2014.0</v>
      </c>
      <c r="D231" s="497">
        <v>41730.0</v>
      </c>
      <c r="E231" s="420" t="s">
        <v>9190</v>
      </c>
      <c r="F231" s="420" t="s">
        <v>1108</v>
      </c>
      <c r="G231" s="420" t="s">
        <v>552</v>
      </c>
      <c r="H231" s="420" t="s">
        <v>153</v>
      </c>
      <c r="I231" s="497">
        <v>42725.0</v>
      </c>
      <c r="J231" s="422">
        <v>12.0</v>
      </c>
      <c r="K231" s="618" t="s">
        <v>238</v>
      </c>
      <c r="L231" s="420" t="s">
        <v>256</v>
      </c>
      <c r="M231" s="316">
        <f t="shared" si="1"/>
        <v>995</v>
      </c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425">
        <v>23116.0</v>
      </c>
      <c r="B232" s="426" t="s">
        <v>9191</v>
      </c>
      <c r="C232" s="426">
        <v>2013.0</v>
      </c>
      <c r="D232" s="500">
        <v>41521.0</v>
      </c>
      <c r="E232" s="426" t="s">
        <v>9192</v>
      </c>
      <c r="F232" s="426" t="s">
        <v>739</v>
      </c>
      <c r="G232" s="426" t="s">
        <v>17</v>
      </c>
      <c r="H232" s="426" t="s">
        <v>1749</v>
      </c>
      <c r="I232" s="500">
        <v>42725.0</v>
      </c>
      <c r="J232" s="428">
        <v>12.0</v>
      </c>
      <c r="K232" s="620" t="s">
        <v>234</v>
      </c>
      <c r="L232" s="426" t="s">
        <v>258</v>
      </c>
      <c r="M232" s="319">
        <f t="shared" si="1"/>
        <v>1204</v>
      </c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419">
        <v>23216.0</v>
      </c>
      <c r="B233" s="420" t="s">
        <v>9193</v>
      </c>
      <c r="C233" s="420">
        <v>2013.0</v>
      </c>
      <c r="D233" s="497">
        <v>41562.0</v>
      </c>
      <c r="E233" s="420" t="s">
        <v>9194</v>
      </c>
      <c r="F233" s="420" t="s">
        <v>739</v>
      </c>
      <c r="G233" s="420" t="s">
        <v>17</v>
      </c>
      <c r="H233" s="420" t="s">
        <v>740</v>
      </c>
      <c r="I233" s="497">
        <v>42725.0</v>
      </c>
      <c r="J233" s="422">
        <v>12.0</v>
      </c>
      <c r="K233" s="620" t="s">
        <v>234</v>
      </c>
      <c r="L233" s="420" t="s">
        <v>258</v>
      </c>
      <c r="M233" s="316">
        <f t="shared" si="1"/>
        <v>1163</v>
      </c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425">
        <v>23316.0</v>
      </c>
      <c r="B234" s="426" t="s">
        <v>9195</v>
      </c>
      <c r="C234" s="426">
        <v>2013.0</v>
      </c>
      <c r="D234" s="500">
        <v>41508.0</v>
      </c>
      <c r="E234" s="426" t="s">
        <v>9196</v>
      </c>
      <c r="F234" s="426" t="s">
        <v>2453</v>
      </c>
      <c r="G234" s="426" t="s">
        <v>17</v>
      </c>
      <c r="H234" s="426" t="s">
        <v>6789</v>
      </c>
      <c r="I234" s="500">
        <v>42725.0</v>
      </c>
      <c r="J234" s="428">
        <v>12.0</v>
      </c>
      <c r="K234" s="621" t="s">
        <v>244</v>
      </c>
      <c r="L234" s="426" t="s">
        <v>258</v>
      </c>
      <c r="M234" s="319">
        <f t="shared" si="1"/>
        <v>1217</v>
      </c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419">
        <v>23416.0</v>
      </c>
      <c r="B235" s="420" t="s">
        <v>9197</v>
      </c>
      <c r="C235" s="420">
        <v>2011.0</v>
      </c>
      <c r="D235" s="497">
        <v>40764.0</v>
      </c>
      <c r="E235" s="420" t="s">
        <v>9198</v>
      </c>
      <c r="F235" s="420" t="s">
        <v>711</v>
      </c>
      <c r="G235" s="420" t="s">
        <v>17</v>
      </c>
      <c r="H235" s="420" t="s">
        <v>8905</v>
      </c>
      <c r="I235" s="497">
        <v>42725.0</v>
      </c>
      <c r="J235" s="422">
        <v>12.0</v>
      </c>
      <c r="K235" s="618" t="s">
        <v>238</v>
      </c>
      <c r="L235" s="420" t="s">
        <v>256</v>
      </c>
      <c r="M235" s="316">
        <f t="shared" si="1"/>
        <v>1961</v>
      </c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425">
        <v>23516.0</v>
      </c>
      <c r="B236" s="426" t="s">
        <v>9199</v>
      </c>
      <c r="C236" s="426">
        <v>2009.0</v>
      </c>
      <c r="D236" s="500">
        <v>40175.0</v>
      </c>
      <c r="E236" s="426" t="s">
        <v>9200</v>
      </c>
      <c r="F236" s="426" t="s">
        <v>900</v>
      </c>
      <c r="G236" s="426" t="s">
        <v>17</v>
      </c>
      <c r="H236" s="426" t="s">
        <v>66</v>
      </c>
      <c r="I236" s="500">
        <v>42725.0</v>
      </c>
      <c r="J236" s="428">
        <v>12.0</v>
      </c>
      <c r="K236" s="617" t="s">
        <v>228</v>
      </c>
      <c r="L236" s="426" t="s">
        <v>256</v>
      </c>
      <c r="M236" s="319">
        <f t="shared" si="1"/>
        <v>2550</v>
      </c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419">
        <v>23616.0</v>
      </c>
      <c r="B237" s="420" t="s">
        <v>9201</v>
      </c>
      <c r="C237" s="420">
        <v>2012.0</v>
      </c>
      <c r="D237" s="497">
        <v>41236.0</v>
      </c>
      <c r="E237" s="420" t="s">
        <v>9202</v>
      </c>
      <c r="F237" s="420" t="s">
        <v>963</v>
      </c>
      <c r="G237" s="420" t="s">
        <v>17</v>
      </c>
      <c r="H237" s="420" t="s">
        <v>26</v>
      </c>
      <c r="I237" s="497">
        <v>42730.0</v>
      </c>
      <c r="J237" s="422">
        <v>12.0</v>
      </c>
      <c r="K237" s="617" t="s">
        <v>228</v>
      </c>
      <c r="L237" s="420" t="s">
        <v>258</v>
      </c>
      <c r="M237" s="316">
        <f t="shared" si="1"/>
        <v>1494</v>
      </c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425">
        <v>23716.0</v>
      </c>
      <c r="B238" s="426" t="s">
        <v>9203</v>
      </c>
      <c r="C238" s="426">
        <v>2013.0</v>
      </c>
      <c r="D238" s="500">
        <v>41386.0</v>
      </c>
      <c r="E238" s="426" t="s">
        <v>9204</v>
      </c>
      <c r="F238" s="426" t="s">
        <v>1823</v>
      </c>
      <c r="G238" s="426" t="s">
        <v>17</v>
      </c>
      <c r="H238" s="426" t="s">
        <v>66</v>
      </c>
      <c r="I238" s="500">
        <v>42726.0</v>
      </c>
      <c r="J238" s="428">
        <v>12.0</v>
      </c>
      <c r="K238" s="617" t="s">
        <v>228</v>
      </c>
      <c r="L238" s="426" t="s">
        <v>256</v>
      </c>
      <c r="M238" s="319">
        <f t="shared" si="1"/>
        <v>1340</v>
      </c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419">
        <v>23816.0</v>
      </c>
      <c r="B239" s="420" t="s">
        <v>9205</v>
      </c>
      <c r="C239" s="420">
        <v>2013.0</v>
      </c>
      <c r="D239" s="497">
        <v>41386.0</v>
      </c>
      <c r="E239" s="420" t="s">
        <v>9206</v>
      </c>
      <c r="F239" s="420" t="s">
        <v>739</v>
      </c>
      <c r="G239" s="420" t="s">
        <v>17</v>
      </c>
      <c r="H239" s="420" t="s">
        <v>50</v>
      </c>
      <c r="I239" s="497">
        <v>42726.0</v>
      </c>
      <c r="J239" s="422">
        <v>12.0</v>
      </c>
      <c r="K239" s="620" t="s">
        <v>234</v>
      </c>
      <c r="L239" s="420" t="s">
        <v>258</v>
      </c>
      <c r="M239" s="316">
        <f t="shared" si="1"/>
        <v>1340</v>
      </c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425">
        <v>23916.0</v>
      </c>
      <c r="B240" s="426" t="s">
        <v>9207</v>
      </c>
      <c r="C240" s="426">
        <v>2014.0</v>
      </c>
      <c r="D240" s="500">
        <v>41829.0</v>
      </c>
      <c r="E240" s="426" t="s">
        <v>9208</v>
      </c>
      <c r="F240" s="426" t="s">
        <v>1957</v>
      </c>
      <c r="G240" s="426" t="s">
        <v>17</v>
      </c>
      <c r="H240" s="426" t="s">
        <v>1421</v>
      </c>
      <c r="I240" s="500">
        <v>42726.0</v>
      </c>
      <c r="J240" s="428">
        <v>12.0</v>
      </c>
      <c r="K240" s="621" t="s">
        <v>244</v>
      </c>
      <c r="L240" s="426" t="s">
        <v>258</v>
      </c>
      <c r="M240" s="319">
        <f t="shared" si="1"/>
        <v>897</v>
      </c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419">
        <v>24016.0</v>
      </c>
      <c r="B241" s="420" t="s">
        <v>9209</v>
      </c>
      <c r="C241" s="420">
        <v>2014.0</v>
      </c>
      <c r="D241" s="497">
        <v>41985.0</v>
      </c>
      <c r="E241" s="420" t="s">
        <v>9210</v>
      </c>
      <c r="F241" s="420" t="s">
        <v>1823</v>
      </c>
      <c r="G241" s="420" t="s">
        <v>17</v>
      </c>
      <c r="H241" s="420" t="s">
        <v>66</v>
      </c>
      <c r="I241" s="497">
        <v>42726.0</v>
      </c>
      <c r="J241" s="422">
        <v>12.0</v>
      </c>
      <c r="K241" s="617" t="s">
        <v>228</v>
      </c>
      <c r="L241" s="420" t="s">
        <v>256</v>
      </c>
      <c r="M241" s="316">
        <f t="shared" si="1"/>
        <v>741</v>
      </c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425">
        <v>24116.0</v>
      </c>
      <c r="B242" s="426" t="s">
        <v>9211</v>
      </c>
      <c r="C242" s="426">
        <v>2014.0</v>
      </c>
      <c r="D242" s="500">
        <v>41948.0</v>
      </c>
      <c r="E242" s="426" t="s">
        <v>9212</v>
      </c>
      <c r="F242" s="426" t="s">
        <v>1823</v>
      </c>
      <c r="G242" s="426" t="s">
        <v>17</v>
      </c>
      <c r="H242" s="426" t="s">
        <v>153</v>
      </c>
      <c r="I242" s="500">
        <v>42726.0</v>
      </c>
      <c r="J242" s="428">
        <v>12.0</v>
      </c>
      <c r="K242" s="617" t="s">
        <v>228</v>
      </c>
      <c r="L242" s="426" t="s">
        <v>256</v>
      </c>
      <c r="M242" s="319">
        <f t="shared" si="1"/>
        <v>778</v>
      </c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419">
        <v>24216.0</v>
      </c>
      <c r="B243" s="420" t="s">
        <v>9213</v>
      </c>
      <c r="C243" s="420">
        <v>2009.0</v>
      </c>
      <c r="D243" s="497">
        <v>40168.0</v>
      </c>
      <c r="E243" s="420" t="s">
        <v>9214</v>
      </c>
      <c r="F243" s="420" t="s">
        <v>963</v>
      </c>
      <c r="G243" s="420" t="s">
        <v>17</v>
      </c>
      <c r="H243" s="420" t="s">
        <v>153</v>
      </c>
      <c r="I243" s="497">
        <v>42726.0</v>
      </c>
      <c r="J243" s="422">
        <v>12.0</v>
      </c>
      <c r="K243" s="617" t="s">
        <v>228</v>
      </c>
      <c r="L243" s="420" t="s">
        <v>258</v>
      </c>
      <c r="M243" s="316">
        <f t="shared" si="1"/>
        <v>2558</v>
      </c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425">
        <v>24316.0</v>
      </c>
      <c r="B244" s="426" t="s">
        <v>9215</v>
      </c>
      <c r="C244" s="426">
        <v>2015.0</v>
      </c>
      <c r="D244" s="500">
        <v>42123.0</v>
      </c>
      <c r="E244" s="426" t="s">
        <v>9216</v>
      </c>
      <c r="F244" s="426" t="s">
        <v>1823</v>
      </c>
      <c r="G244" s="426" t="s">
        <v>17</v>
      </c>
      <c r="H244" s="426" t="s">
        <v>77</v>
      </c>
      <c r="I244" s="500">
        <v>42727.0</v>
      </c>
      <c r="J244" s="428">
        <v>12.0</v>
      </c>
      <c r="K244" s="617" t="s">
        <v>228</v>
      </c>
      <c r="L244" s="426" t="s">
        <v>256</v>
      </c>
      <c r="M244" s="319">
        <f t="shared" si="1"/>
        <v>604</v>
      </c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419">
        <v>24416.0</v>
      </c>
      <c r="B245" s="420" t="s">
        <v>9217</v>
      </c>
      <c r="C245" s="420">
        <v>2015.0</v>
      </c>
      <c r="D245" s="497">
        <v>42215.0</v>
      </c>
      <c r="E245" s="420" t="s">
        <v>9218</v>
      </c>
      <c r="F245" s="420" t="s">
        <v>1823</v>
      </c>
      <c r="G245" s="420" t="s">
        <v>17</v>
      </c>
      <c r="H245" s="420" t="s">
        <v>125</v>
      </c>
      <c r="I245" s="497">
        <v>42727.0</v>
      </c>
      <c r="J245" s="422">
        <v>12.0</v>
      </c>
      <c r="K245" s="617" t="s">
        <v>228</v>
      </c>
      <c r="L245" s="420" t="s">
        <v>256</v>
      </c>
      <c r="M245" s="316">
        <f t="shared" si="1"/>
        <v>512</v>
      </c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425">
        <v>24516.0</v>
      </c>
      <c r="B246" s="426" t="s">
        <v>9219</v>
      </c>
      <c r="C246" s="426">
        <v>2015.0</v>
      </c>
      <c r="D246" s="500">
        <v>42347.0</v>
      </c>
      <c r="E246" s="426" t="s">
        <v>9220</v>
      </c>
      <c r="F246" s="426" t="s">
        <v>1823</v>
      </c>
      <c r="G246" s="426" t="s">
        <v>17</v>
      </c>
      <c r="H246" s="426" t="s">
        <v>573</v>
      </c>
      <c r="I246" s="500">
        <v>42727.0</v>
      </c>
      <c r="J246" s="428">
        <v>12.0</v>
      </c>
      <c r="K246" s="617" t="s">
        <v>228</v>
      </c>
      <c r="L246" s="426" t="s">
        <v>256</v>
      </c>
      <c r="M246" s="319">
        <f t="shared" si="1"/>
        <v>380</v>
      </c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419">
        <v>24616.0</v>
      </c>
      <c r="B247" s="420" t="s">
        <v>9221</v>
      </c>
      <c r="C247" s="420">
        <v>2015.0</v>
      </c>
      <c r="D247" s="497">
        <v>42356.0</v>
      </c>
      <c r="E247" s="420" t="s">
        <v>9222</v>
      </c>
      <c r="F247" s="420" t="s">
        <v>1823</v>
      </c>
      <c r="G247" s="420" t="s">
        <v>17</v>
      </c>
      <c r="H247" s="420" t="s">
        <v>163</v>
      </c>
      <c r="I247" s="497">
        <v>42727.0</v>
      </c>
      <c r="J247" s="422">
        <v>12.0</v>
      </c>
      <c r="K247" s="617" t="s">
        <v>228</v>
      </c>
      <c r="L247" s="420" t="s">
        <v>256</v>
      </c>
      <c r="M247" s="316">
        <f t="shared" si="1"/>
        <v>371</v>
      </c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425">
        <v>24716.0</v>
      </c>
      <c r="B248" s="426" t="s">
        <v>9223</v>
      </c>
      <c r="C248" s="426">
        <v>2016.0</v>
      </c>
      <c r="D248" s="500">
        <v>42506.0</v>
      </c>
      <c r="E248" s="426" t="s">
        <v>9224</v>
      </c>
      <c r="F248" s="426" t="s">
        <v>1823</v>
      </c>
      <c r="G248" s="426" t="s">
        <v>17</v>
      </c>
      <c r="H248" s="426" t="s">
        <v>5826</v>
      </c>
      <c r="I248" s="500">
        <v>42727.0</v>
      </c>
      <c r="J248" s="428">
        <v>12.0</v>
      </c>
      <c r="K248" s="617" t="s">
        <v>228</v>
      </c>
      <c r="L248" s="426" t="s">
        <v>256</v>
      </c>
      <c r="M248" s="319">
        <f t="shared" si="1"/>
        <v>221</v>
      </c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419">
        <v>24816.0</v>
      </c>
      <c r="B249" s="420" t="s">
        <v>9225</v>
      </c>
      <c r="C249" s="420">
        <v>2016.0</v>
      </c>
      <c r="D249" s="497">
        <v>42543.0</v>
      </c>
      <c r="E249" s="420" t="s">
        <v>9226</v>
      </c>
      <c r="F249" s="420" t="s">
        <v>8841</v>
      </c>
      <c r="G249" s="420" t="s">
        <v>17</v>
      </c>
      <c r="H249" s="420" t="s">
        <v>573</v>
      </c>
      <c r="I249" s="497">
        <v>42727.0</v>
      </c>
      <c r="J249" s="422">
        <v>12.0</v>
      </c>
      <c r="K249" s="617" t="s">
        <v>228</v>
      </c>
      <c r="L249" s="420" t="s">
        <v>256</v>
      </c>
      <c r="M249" s="316">
        <f t="shared" si="1"/>
        <v>184</v>
      </c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425">
        <v>24916.0</v>
      </c>
      <c r="B250" s="426" t="s">
        <v>9227</v>
      </c>
      <c r="C250" s="426">
        <v>2016.0</v>
      </c>
      <c r="D250" s="500">
        <v>42538.0</v>
      </c>
      <c r="E250" s="426" t="s">
        <v>9228</v>
      </c>
      <c r="F250" s="426" t="s">
        <v>963</v>
      </c>
      <c r="G250" s="426" t="s">
        <v>17</v>
      </c>
      <c r="H250" s="426" t="s">
        <v>573</v>
      </c>
      <c r="I250" s="500">
        <v>42727.0</v>
      </c>
      <c r="J250" s="428">
        <v>12.0</v>
      </c>
      <c r="K250" s="617" t="s">
        <v>228</v>
      </c>
      <c r="L250" s="426" t="s">
        <v>258</v>
      </c>
      <c r="M250" s="319">
        <f t="shared" si="1"/>
        <v>189</v>
      </c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419">
        <v>25016.0</v>
      </c>
      <c r="B251" s="420" t="s">
        <v>9229</v>
      </c>
      <c r="C251" s="420">
        <v>2015.0</v>
      </c>
      <c r="D251" s="497">
        <v>42094.0</v>
      </c>
      <c r="E251" s="420" t="s">
        <v>9230</v>
      </c>
      <c r="F251" s="420" t="s">
        <v>9231</v>
      </c>
      <c r="G251" s="420" t="s">
        <v>650</v>
      </c>
      <c r="H251" s="420" t="s">
        <v>1002</v>
      </c>
      <c r="I251" s="497">
        <v>42727.0</v>
      </c>
      <c r="J251" s="422">
        <v>12.0</v>
      </c>
      <c r="K251" s="618" t="s">
        <v>238</v>
      </c>
      <c r="L251" s="420" t="s">
        <v>254</v>
      </c>
      <c r="M251" s="316">
        <f t="shared" si="1"/>
        <v>633</v>
      </c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425">
        <v>25116.0</v>
      </c>
      <c r="B252" s="426" t="s">
        <v>9232</v>
      </c>
      <c r="C252" s="426">
        <v>2008.0</v>
      </c>
      <c r="D252" s="500">
        <v>39506.0</v>
      </c>
      <c r="E252" s="426" t="s">
        <v>9233</v>
      </c>
      <c r="F252" s="426" t="s">
        <v>3141</v>
      </c>
      <c r="G252" s="426" t="s">
        <v>17</v>
      </c>
      <c r="H252" s="426" t="s">
        <v>18</v>
      </c>
      <c r="I252" s="500">
        <v>42730.0</v>
      </c>
      <c r="J252" s="428">
        <v>12.0</v>
      </c>
      <c r="K252" s="621" t="s">
        <v>244</v>
      </c>
      <c r="L252" s="426" t="s">
        <v>258</v>
      </c>
      <c r="M252" s="319">
        <f t="shared" si="1"/>
        <v>3224</v>
      </c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419">
        <v>25216.0</v>
      </c>
      <c r="B253" s="420" t="s">
        <v>9234</v>
      </c>
      <c r="C253" s="420">
        <v>2010.0</v>
      </c>
      <c r="D253" s="497">
        <v>40543.0</v>
      </c>
      <c r="E253" s="420" t="s">
        <v>9235</v>
      </c>
      <c r="F253" s="420" t="s">
        <v>2905</v>
      </c>
      <c r="G253" s="420" t="s">
        <v>552</v>
      </c>
      <c r="H253" s="420" t="s">
        <v>153</v>
      </c>
      <c r="I253" s="497">
        <v>42731.0</v>
      </c>
      <c r="J253" s="422">
        <v>12.0</v>
      </c>
      <c r="K253" s="617" t="s">
        <v>228</v>
      </c>
      <c r="L253" s="420" t="s">
        <v>256</v>
      </c>
      <c r="M253" s="316">
        <f t="shared" si="1"/>
        <v>2188</v>
      </c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425">
        <v>25316.0</v>
      </c>
      <c r="B254" s="426" t="s">
        <v>9236</v>
      </c>
      <c r="C254" s="426">
        <v>2011.0</v>
      </c>
      <c r="D254" s="500">
        <v>40737.0</v>
      </c>
      <c r="E254" s="426" t="s">
        <v>9237</v>
      </c>
      <c r="F254" s="426" t="s">
        <v>711</v>
      </c>
      <c r="G254" s="426" t="s">
        <v>17</v>
      </c>
      <c r="H254" s="426" t="s">
        <v>596</v>
      </c>
      <c r="I254" s="500">
        <v>42731.0</v>
      </c>
      <c r="J254" s="428">
        <v>12.0</v>
      </c>
      <c r="K254" s="618" t="s">
        <v>238</v>
      </c>
      <c r="L254" s="426" t="s">
        <v>256</v>
      </c>
      <c r="M254" s="319">
        <f t="shared" si="1"/>
        <v>1994</v>
      </c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419">
        <v>25416.0</v>
      </c>
      <c r="B255" s="420" t="s">
        <v>9238</v>
      </c>
      <c r="C255" s="420">
        <v>2013.0</v>
      </c>
      <c r="D255" s="497">
        <v>41618.0</v>
      </c>
      <c r="E255" s="420" t="s">
        <v>9239</v>
      </c>
      <c r="F255" s="420" t="s">
        <v>711</v>
      </c>
      <c r="G255" s="420" t="s">
        <v>17</v>
      </c>
      <c r="H255" s="420" t="s">
        <v>7907</v>
      </c>
      <c r="I255" s="497">
        <v>42731.0</v>
      </c>
      <c r="J255" s="422">
        <v>12.0</v>
      </c>
      <c r="K255" s="618" t="s">
        <v>238</v>
      </c>
      <c r="L255" s="420" t="s">
        <v>256</v>
      </c>
      <c r="M255" s="316">
        <f t="shared" si="1"/>
        <v>1113</v>
      </c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425">
        <v>25516.0</v>
      </c>
      <c r="B256" s="426" t="s">
        <v>9240</v>
      </c>
      <c r="C256" s="426">
        <v>2011.0</v>
      </c>
      <c r="D256" s="500">
        <v>40896.0</v>
      </c>
      <c r="E256" s="426" t="s">
        <v>9241</v>
      </c>
      <c r="F256" s="426" t="s">
        <v>1823</v>
      </c>
      <c r="G256" s="426" t="s">
        <v>17</v>
      </c>
      <c r="H256" s="426" t="s">
        <v>153</v>
      </c>
      <c r="I256" s="500">
        <v>42731.0</v>
      </c>
      <c r="J256" s="428">
        <v>12.0</v>
      </c>
      <c r="K256" s="617" t="s">
        <v>228</v>
      </c>
      <c r="L256" s="426" t="s">
        <v>256</v>
      </c>
      <c r="M256" s="319">
        <f t="shared" si="1"/>
        <v>1835</v>
      </c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419">
        <v>25616.0</v>
      </c>
      <c r="B257" s="420" t="s">
        <v>9242</v>
      </c>
      <c r="C257" s="420">
        <v>2013.0</v>
      </c>
      <c r="D257" s="497">
        <v>41394.0</v>
      </c>
      <c r="E257" s="420" t="s">
        <v>9243</v>
      </c>
      <c r="F257" s="420" t="s">
        <v>2453</v>
      </c>
      <c r="G257" s="420" t="s">
        <v>17</v>
      </c>
      <c r="H257" s="420" t="s">
        <v>596</v>
      </c>
      <c r="I257" s="497">
        <v>42731.0</v>
      </c>
      <c r="J257" s="422">
        <v>12.0</v>
      </c>
      <c r="K257" s="621" t="s">
        <v>244</v>
      </c>
      <c r="L257" s="420" t="s">
        <v>258</v>
      </c>
      <c r="M257" s="316">
        <f t="shared" si="1"/>
        <v>1337</v>
      </c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425">
        <v>25716.0</v>
      </c>
      <c r="B258" s="426" t="s">
        <v>9244</v>
      </c>
      <c r="C258" s="426">
        <v>2012.0</v>
      </c>
      <c r="D258" s="500">
        <v>41002.0</v>
      </c>
      <c r="E258" s="426" t="s">
        <v>9245</v>
      </c>
      <c r="F258" s="426" t="s">
        <v>9246</v>
      </c>
      <c r="G258" s="426" t="s">
        <v>547</v>
      </c>
      <c r="H258" s="426" t="s">
        <v>158</v>
      </c>
      <c r="I258" s="500">
        <v>42732.0</v>
      </c>
      <c r="J258" s="428">
        <v>12.0</v>
      </c>
      <c r="K258" s="617" t="s">
        <v>228</v>
      </c>
      <c r="L258" s="426" t="s">
        <v>256</v>
      </c>
      <c r="M258" s="319">
        <f t="shared" si="1"/>
        <v>1730</v>
      </c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419">
        <v>25816.0</v>
      </c>
      <c r="B259" s="420" t="s">
        <v>9247</v>
      </c>
      <c r="C259" s="420">
        <v>2014.0</v>
      </c>
      <c r="D259" s="497">
        <v>41788.0</v>
      </c>
      <c r="E259" s="420" t="s">
        <v>9248</v>
      </c>
      <c r="F259" s="420" t="s">
        <v>563</v>
      </c>
      <c r="G259" s="420" t="s">
        <v>17</v>
      </c>
      <c r="H259" s="420" t="s">
        <v>1501</v>
      </c>
      <c r="I259" s="497">
        <v>42732.0</v>
      </c>
      <c r="J259" s="422">
        <v>12.0</v>
      </c>
      <c r="K259" s="620" t="s">
        <v>234</v>
      </c>
      <c r="L259" s="420" t="s">
        <v>256</v>
      </c>
      <c r="M259" s="316">
        <f t="shared" si="1"/>
        <v>944</v>
      </c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425">
        <v>25916.0</v>
      </c>
      <c r="B260" s="426" t="s">
        <v>9249</v>
      </c>
      <c r="C260" s="426">
        <v>2014.0</v>
      </c>
      <c r="D260" s="500">
        <v>41879.0</v>
      </c>
      <c r="E260" s="426" t="s">
        <v>9250</v>
      </c>
      <c r="F260" s="426" t="s">
        <v>563</v>
      </c>
      <c r="G260" s="426" t="s">
        <v>17</v>
      </c>
      <c r="H260" s="426" t="s">
        <v>573</v>
      </c>
      <c r="I260" s="500">
        <v>42732.0</v>
      </c>
      <c r="J260" s="428">
        <v>12.0</v>
      </c>
      <c r="K260" s="620" t="s">
        <v>234</v>
      </c>
      <c r="L260" s="426" t="s">
        <v>256</v>
      </c>
      <c r="M260" s="319">
        <f t="shared" si="1"/>
        <v>853</v>
      </c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419">
        <v>26016.0</v>
      </c>
      <c r="B261" s="420" t="s">
        <v>9251</v>
      </c>
      <c r="C261" s="420">
        <v>2014.0</v>
      </c>
      <c r="D261" s="497">
        <v>41767.0</v>
      </c>
      <c r="E261" s="420" t="s">
        <v>9252</v>
      </c>
      <c r="F261" s="420" t="s">
        <v>563</v>
      </c>
      <c r="G261" s="420" t="s">
        <v>17</v>
      </c>
      <c r="H261" s="420" t="s">
        <v>573</v>
      </c>
      <c r="I261" s="497">
        <v>42732.0</v>
      </c>
      <c r="J261" s="422">
        <v>12.0</v>
      </c>
      <c r="K261" s="620" t="s">
        <v>234</v>
      </c>
      <c r="L261" s="420" t="s">
        <v>256</v>
      </c>
      <c r="M261" s="316">
        <f t="shared" si="1"/>
        <v>965</v>
      </c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425">
        <v>26116.0</v>
      </c>
      <c r="B262" s="426" t="s">
        <v>9253</v>
      </c>
      <c r="C262" s="426">
        <v>2015.0</v>
      </c>
      <c r="D262" s="500">
        <v>42081.0</v>
      </c>
      <c r="E262" s="426" t="s">
        <v>9254</v>
      </c>
      <c r="F262" s="426" t="s">
        <v>8119</v>
      </c>
      <c r="G262" s="426" t="s">
        <v>17</v>
      </c>
      <c r="H262" s="426" t="s">
        <v>583</v>
      </c>
      <c r="I262" s="500">
        <v>42732.0</v>
      </c>
      <c r="J262" s="428">
        <v>12.0</v>
      </c>
      <c r="K262" s="617" t="s">
        <v>228</v>
      </c>
      <c r="L262" s="426" t="s">
        <v>256</v>
      </c>
      <c r="M262" s="319">
        <f t="shared" si="1"/>
        <v>651</v>
      </c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419">
        <v>26216.0</v>
      </c>
      <c r="B263" s="420" t="s">
        <v>9255</v>
      </c>
      <c r="C263" s="420">
        <v>2015.0</v>
      </c>
      <c r="D263" s="497">
        <v>42290.0</v>
      </c>
      <c r="E263" s="420" t="s">
        <v>9256</v>
      </c>
      <c r="F263" s="420" t="s">
        <v>739</v>
      </c>
      <c r="G263" s="420" t="s">
        <v>17</v>
      </c>
      <c r="H263" s="420" t="s">
        <v>125</v>
      </c>
      <c r="I263" s="497">
        <v>42732.0</v>
      </c>
      <c r="J263" s="422">
        <v>12.0</v>
      </c>
      <c r="K263" s="620" t="s">
        <v>234</v>
      </c>
      <c r="L263" s="420" t="s">
        <v>258</v>
      </c>
      <c r="M263" s="316">
        <f t="shared" si="1"/>
        <v>442</v>
      </c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425">
        <v>26316.0</v>
      </c>
      <c r="B264" s="426" t="s">
        <v>9257</v>
      </c>
      <c r="C264" s="426">
        <v>2012.0</v>
      </c>
      <c r="D264" s="500">
        <v>41212.0</v>
      </c>
      <c r="E264" s="426" t="s">
        <v>9258</v>
      </c>
      <c r="F264" s="426" t="s">
        <v>711</v>
      </c>
      <c r="G264" s="426" t="s">
        <v>17</v>
      </c>
      <c r="H264" s="426" t="s">
        <v>6789</v>
      </c>
      <c r="I264" s="500">
        <v>42732.0</v>
      </c>
      <c r="J264" s="428">
        <v>12.0</v>
      </c>
      <c r="K264" s="618" t="s">
        <v>238</v>
      </c>
      <c r="L264" s="426" t="s">
        <v>256</v>
      </c>
      <c r="M264" s="319">
        <f t="shared" si="1"/>
        <v>1520</v>
      </c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419">
        <v>26416.0</v>
      </c>
      <c r="B265" s="420" t="s">
        <v>9259</v>
      </c>
      <c r="C265" s="420">
        <v>2013.0</v>
      </c>
      <c r="D265" s="497">
        <v>41473.0</v>
      </c>
      <c r="E265" s="420" t="s">
        <v>9260</v>
      </c>
      <c r="F265" s="420" t="s">
        <v>563</v>
      </c>
      <c r="G265" s="420" t="s">
        <v>17</v>
      </c>
      <c r="H265" s="420" t="s">
        <v>26</v>
      </c>
      <c r="I265" s="497">
        <v>42732.0</v>
      </c>
      <c r="J265" s="422">
        <v>12.0</v>
      </c>
      <c r="K265" s="620" t="s">
        <v>234</v>
      </c>
      <c r="L265" s="420" t="s">
        <v>256</v>
      </c>
      <c r="M265" s="316">
        <f t="shared" si="1"/>
        <v>1259</v>
      </c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425">
        <v>26516.0</v>
      </c>
      <c r="B266" s="426" t="s">
        <v>9261</v>
      </c>
      <c r="C266" s="426">
        <v>2015.0</v>
      </c>
      <c r="D266" s="500">
        <v>42124.0</v>
      </c>
      <c r="E266" s="426" t="s">
        <v>9262</v>
      </c>
      <c r="F266" s="426" t="s">
        <v>1823</v>
      </c>
      <c r="G266" s="426" t="s">
        <v>17</v>
      </c>
      <c r="H266" s="426" t="s">
        <v>740</v>
      </c>
      <c r="I266" s="500">
        <v>42732.0</v>
      </c>
      <c r="J266" s="428">
        <v>12.0</v>
      </c>
      <c r="K266" s="617" t="s">
        <v>228</v>
      </c>
      <c r="L266" s="426" t="s">
        <v>256</v>
      </c>
      <c r="M266" s="319">
        <f t="shared" si="1"/>
        <v>608</v>
      </c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419">
        <v>26616.0</v>
      </c>
      <c r="B267" s="420" t="s">
        <v>9263</v>
      </c>
      <c r="C267" s="420">
        <v>2014.0</v>
      </c>
      <c r="D267" s="497">
        <v>42003.0</v>
      </c>
      <c r="E267" s="420" t="s">
        <v>9264</v>
      </c>
      <c r="F267" s="623" t="s">
        <v>3647</v>
      </c>
      <c r="G267" s="420" t="s">
        <v>565</v>
      </c>
      <c r="H267" s="420" t="s">
        <v>1002</v>
      </c>
      <c r="I267" s="497">
        <v>42732.0</v>
      </c>
      <c r="J267" s="422">
        <v>12.0</v>
      </c>
      <c r="K267" s="618" t="s">
        <v>238</v>
      </c>
      <c r="L267" s="420" t="s">
        <v>260</v>
      </c>
      <c r="M267" s="316">
        <f t="shared" si="1"/>
        <v>729</v>
      </c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425">
        <v>26716.0</v>
      </c>
      <c r="B268" s="426" t="s">
        <v>9265</v>
      </c>
      <c r="C268" s="426">
        <v>2014.0</v>
      </c>
      <c r="D268" s="500">
        <v>41905.0</v>
      </c>
      <c r="E268" s="426" t="s">
        <v>9266</v>
      </c>
      <c r="F268" s="426" t="s">
        <v>8119</v>
      </c>
      <c r="G268" s="426" t="s">
        <v>552</v>
      </c>
      <c r="H268" s="426" t="s">
        <v>66</v>
      </c>
      <c r="I268" s="500">
        <v>42732.0</v>
      </c>
      <c r="J268" s="428">
        <v>12.0</v>
      </c>
      <c r="K268" s="617" t="s">
        <v>228</v>
      </c>
      <c r="L268" s="426" t="s">
        <v>258</v>
      </c>
      <c r="M268" s="319">
        <f t="shared" si="1"/>
        <v>827</v>
      </c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419">
        <v>26816.0</v>
      </c>
      <c r="B269" s="420" t="s">
        <v>9267</v>
      </c>
      <c r="C269" s="420">
        <v>2015.0</v>
      </c>
      <c r="D269" s="497">
        <v>42334.0</v>
      </c>
      <c r="E269" s="420" t="s">
        <v>9268</v>
      </c>
      <c r="F269" s="623" t="s">
        <v>3725</v>
      </c>
      <c r="G269" s="420" t="s">
        <v>565</v>
      </c>
      <c r="H269" s="420" t="s">
        <v>5826</v>
      </c>
      <c r="I269" s="497">
        <v>42732.0</v>
      </c>
      <c r="J269" s="422">
        <v>12.0</v>
      </c>
      <c r="K269" s="621" t="s">
        <v>244</v>
      </c>
      <c r="L269" s="420" t="s">
        <v>260</v>
      </c>
      <c r="M269" s="316">
        <f t="shared" si="1"/>
        <v>398</v>
      </c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425">
        <v>26916.0</v>
      </c>
      <c r="B270" s="426" t="s">
        <v>9269</v>
      </c>
      <c r="C270" s="426">
        <v>2013.0</v>
      </c>
      <c r="D270" s="500">
        <v>41626.0</v>
      </c>
      <c r="E270" s="426" t="s">
        <v>9270</v>
      </c>
      <c r="F270" s="426" t="s">
        <v>2453</v>
      </c>
      <c r="G270" s="426" t="s">
        <v>17</v>
      </c>
      <c r="H270" s="426" t="s">
        <v>881</v>
      </c>
      <c r="I270" s="500">
        <v>42732.0</v>
      </c>
      <c r="J270" s="428">
        <v>12.0</v>
      </c>
      <c r="K270" s="621" t="s">
        <v>244</v>
      </c>
      <c r="L270" s="426" t="s">
        <v>258</v>
      </c>
      <c r="M270" s="319">
        <f t="shared" si="1"/>
        <v>1106</v>
      </c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419">
        <v>27016.0</v>
      </c>
      <c r="B271" s="420" t="s">
        <v>9271</v>
      </c>
      <c r="C271" s="420">
        <v>2010.0</v>
      </c>
      <c r="D271" s="497">
        <v>40371.0</v>
      </c>
      <c r="E271" s="420" t="s">
        <v>9272</v>
      </c>
      <c r="F271" s="420" t="s">
        <v>8119</v>
      </c>
      <c r="G271" s="420" t="s">
        <v>17</v>
      </c>
      <c r="H271" s="420" t="s">
        <v>3662</v>
      </c>
      <c r="I271" s="497">
        <v>42733.0</v>
      </c>
      <c r="J271" s="422">
        <v>12.0</v>
      </c>
      <c r="K271" s="617" t="s">
        <v>228</v>
      </c>
      <c r="L271" s="420" t="s">
        <v>256</v>
      </c>
      <c r="M271" s="316">
        <f t="shared" si="1"/>
        <v>2362</v>
      </c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425">
        <v>27116.0</v>
      </c>
      <c r="B272" s="426" t="s">
        <v>9273</v>
      </c>
      <c r="C272" s="426">
        <v>2014.0</v>
      </c>
      <c r="D272" s="500">
        <v>41810.0</v>
      </c>
      <c r="E272" s="426" t="s">
        <v>9274</v>
      </c>
      <c r="F272" s="426" t="s">
        <v>2453</v>
      </c>
      <c r="G272" s="426" t="s">
        <v>17</v>
      </c>
      <c r="H272" s="426" t="s">
        <v>26</v>
      </c>
      <c r="I272" s="500">
        <v>42733.0</v>
      </c>
      <c r="J272" s="428">
        <v>12.0</v>
      </c>
      <c r="K272" s="621" t="s">
        <v>244</v>
      </c>
      <c r="L272" s="426" t="s">
        <v>258</v>
      </c>
      <c r="M272" s="319">
        <f t="shared" si="1"/>
        <v>923</v>
      </c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419">
        <v>27216.0</v>
      </c>
      <c r="B273" s="420" t="s">
        <v>9275</v>
      </c>
      <c r="C273" s="420">
        <v>2013.0</v>
      </c>
      <c r="D273" s="497">
        <v>41325.0</v>
      </c>
      <c r="E273" s="420" t="s">
        <v>9276</v>
      </c>
      <c r="F273" s="420" t="s">
        <v>2453</v>
      </c>
      <c r="G273" s="420" t="s">
        <v>17</v>
      </c>
      <c r="H273" s="420" t="s">
        <v>583</v>
      </c>
      <c r="I273" s="497">
        <v>42733.0</v>
      </c>
      <c r="J273" s="422">
        <v>12.0</v>
      </c>
      <c r="K273" s="621" t="s">
        <v>244</v>
      </c>
      <c r="L273" s="420" t="s">
        <v>258</v>
      </c>
      <c r="M273" s="316">
        <f t="shared" si="1"/>
        <v>1408</v>
      </c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425">
        <v>27316.0</v>
      </c>
      <c r="B274" s="426" t="s">
        <v>9277</v>
      </c>
      <c r="C274" s="426">
        <v>2013.0</v>
      </c>
      <c r="D274" s="500">
        <v>41618.0</v>
      </c>
      <c r="E274" s="426" t="s">
        <v>9278</v>
      </c>
      <c r="F274" s="426" t="s">
        <v>2453</v>
      </c>
      <c r="G274" s="426" t="s">
        <v>17</v>
      </c>
      <c r="H274" s="426" t="s">
        <v>7907</v>
      </c>
      <c r="I274" s="500">
        <v>42733.0</v>
      </c>
      <c r="J274" s="428">
        <v>12.0</v>
      </c>
      <c r="K274" s="621" t="s">
        <v>244</v>
      </c>
      <c r="L274" s="426" t="s">
        <v>258</v>
      </c>
      <c r="M274" s="319">
        <f t="shared" si="1"/>
        <v>1115</v>
      </c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419">
        <v>27416.0</v>
      </c>
      <c r="B275" s="420" t="s">
        <v>9279</v>
      </c>
      <c r="C275" s="420">
        <v>2013.0</v>
      </c>
      <c r="D275" s="497">
        <v>41543.0</v>
      </c>
      <c r="E275" s="420" t="s">
        <v>9280</v>
      </c>
      <c r="F275" s="420" t="s">
        <v>9281</v>
      </c>
      <c r="G275" s="420" t="s">
        <v>17</v>
      </c>
      <c r="H275" s="420" t="s">
        <v>740</v>
      </c>
      <c r="I275" s="497">
        <v>42733.0</v>
      </c>
      <c r="J275" s="422">
        <v>12.0</v>
      </c>
      <c r="K275" s="618" t="s">
        <v>238</v>
      </c>
      <c r="L275" s="420" t="s">
        <v>256</v>
      </c>
      <c r="M275" s="316">
        <f t="shared" si="1"/>
        <v>1190</v>
      </c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425">
        <v>27516.0</v>
      </c>
      <c r="B276" s="426" t="s">
        <v>9282</v>
      </c>
      <c r="C276" s="426">
        <v>2015.0</v>
      </c>
      <c r="D276" s="500">
        <v>42132.0</v>
      </c>
      <c r="E276" s="426" t="s">
        <v>9283</v>
      </c>
      <c r="F276" s="426" t="s">
        <v>8119</v>
      </c>
      <c r="G276" s="426" t="s">
        <v>17</v>
      </c>
      <c r="H276" s="426" t="s">
        <v>45</v>
      </c>
      <c r="I276" s="500">
        <v>42733.0</v>
      </c>
      <c r="J276" s="428">
        <v>12.0</v>
      </c>
      <c r="K276" s="617" t="s">
        <v>228</v>
      </c>
      <c r="L276" s="426" t="s">
        <v>256</v>
      </c>
      <c r="M276" s="319">
        <f t="shared" si="1"/>
        <v>601</v>
      </c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419">
        <v>27616.0</v>
      </c>
      <c r="B277" s="420" t="s">
        <v>9284</v>
      </c>
      <c r="C277" s="420">
        <v>2016.0</v>
      </c>
      <c r="D277" s="497">
        <v>42529.0</v>
      </c>
      <c r="E277" s="420" t="s">
        <v>9285</v>
      </c>
      <c r="F277" s="420" t="s">
        <v>5269</v>
      </c>
      <c r="G277" s="420" t="s">
        <v>17</v>
      </c>
      <c r="H277" s="420" t="s">
        <v>50</v>
      </c>
      <c r="I277" s="497">
        <v>42733.0</v>
      </c>
      <c r="J277" s="422">
        <v>12.0</v>
      </c>
      <c r="K277" s="621" t="s">
        <v>244</v>
      </c>
      <c r="L277" s="420" t="s">
        <v>258</v>
      </c>
      <c r="M277" s="316">
        <f t="shared" si="1"/>
        <v>204</v>
      </c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425">
        <v>27716.0</v>
      </c>
      <c r="B278" s="426" t="s">
        <v>9286</v>
      </c>
      <c r="C278" s="426">
        <v>2016.0</v>
      </c>
      <c r="D278" s="500">
        <v>42433.0</v>
      </c>
      <c r="E278" s="426" t="s">
        <v>9287</v>
      </c>
      <c r="F278" s="622" t="s">
        <v>2614</v>
      </c>
      <c r="G278" s="426" t="s">
        <v>569</v>
      </c>
      <c r="H278" s="426" t="s">
        <v>2353</v>
      </c>
      <c r="I278" s="500">
        <v>42733.0</v>
      </c>
      <c r="J278" s="428">
        <v>12.0</v>
      </c>
      <c r="K278" s="621" t="s">
        <v>244</v>
      </c>
      <c r="L278" s="426" t="s">
        <v>260</v>
      </c>
      <c r="M278" s="319">
        <f t="shared" si="1"/>
        <v>300</v>
      </c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198"/>
      <c r="B279" s="198"/>
      <c r="C279" s="198"/>
      <c r="D279" s="615"/>
      <c r="E279" s="198"/>
      <c r="F279" s="198"/>
      <c r="G279" s="198"/>
      <c r="H279" s="198"/>
      <c r="I279" s="615"/>
      <c r="J279" s="198"/>
      <c r="K279" s="198"/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198"/>
      <c r="B280" s="198"/>
      <c r="C280" s="198"/>
      <c r="D280" s="615"/>
      <c r="E280" s="198"/>
      <c r="F280" s="198"/>
      <c r="G280" s="198"/>
      <c r="H280" s="198"/>
      <c r="I280" s="615"/>
      <c r="J280" s="198"/>
      <c r="K280" s="198"/>
      <c r="L280" s="198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198"/>
      <c r="D281" s="615"/>
      <c r="E281" s="198"/>
      <c r="F281" s="198"/>
      <c r="G281" s="198"/>
      <c r="H281" s="198"/>
      <c r="I281" s="615"/>
      <c r="J281" s="614"/>
      <c r="K281" s="614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198"/>
      <c r="D282" s="615"/>
      <c r="E282" s="198"/>
      <c r="F282" s="198"/>
      <c r="G282" s="198"/>
      <c r="H282" s="198"/>
      <c r="I282" s="615"/>
      <c r="J282" s="614"/>
      <c r="K282" s="614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198"/>
      <c r="D283" s="615"/>
      <c r="E283" s="198"/>
      <c r="F283" s="198"/>
      <c r="G283" s="198"/>
      <c r="H283" s="198"/>
      <c r="I283" s="615"/>
      <c r="J283" s="614"/>
      <c r="K283" s="614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198"/>
      <c r="D284" s="615"/>
      <c r="E284" s="198"/>
      <c r="F284" s="198"/>
      <c r="G284" s="198"/>
      <c r="H284" s="198"/>
      <c r="I284" s="615"/>
      <c r="J284" s="614"/>
      <c r="K284" s="614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198"/>
      <c r="D285" s="615"/>
      <c r="E285" s="198"/>
      <c r="F285" s="198"/>
      <c r="G285" s="198"/>
      <c r="H285" s="198"/>
      <c r="I285" s="615"/>
      <c r="J285" s="614"/>
      <c r="K285" s="614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198"/>
      <c r="D286" s="615"/>
      <c r="E286" s="198"/>
      <c r="F286" s="198"/>
      <c r="G286" s="198"/>
      <c r="H286" s="198"/>
      <c r="I286" s="615"/>
      <c r="J286" s="614"/>
      <c r="K286" s="614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198"/>
      <c r="D287" s="615"/>
      <c r="E287" s="198"/>
      <c r="F287" s="198"/>
      <c r="G287" s="198"/>
      <c r="H287" s="198"/>
      <c r="I287" s="615"/>
      <c r="J287" s="614"/>
      <c r="K287" s="614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198"/>
      <c r="D288" s="615"/>
      <c r="E288" s="198"/>
      <c r="F288" s="198"/>
      <c r="G288" s="198"/>
      <c r="H288" s="198"/>
      <c r="I288" s="615"/>
      <c r="J288" s="614"/>
      <c r="K288" s="614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198"/>
      <c r="D289" s="615"/>
      <c r="E289" s="198"/>
      <c r="F289" s="198"/>
      <c r="G289" s="198"/>
      <c r="H289" s="198"/>
      <c r="I289" s="615"/>
      <c r="J289" s="614"/>
      <c r="K289" s="614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198"/>
      <c r="D290" s="615"/>
      <c r="E290" s="198"/>
      <c r="F290" s="198"/>
      <c r="G290" s="198"/>
      <c r="H290" s="198"/>
      <c r="I290" s="615"/>
      <c r="J290" s="614"/>
      <c r="K290" s="614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198"/>
      <c r="D291" s="615"/>
      <c r="E291" s="198"/>
      <c r="F291" s="198"/>
      <c r="G291" s="198"/>
      <c r="H291" s="198"/>
      <c r="I291" s="615"/>
      <c r="J291" s="614"/>
      <c r="K291" s="614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198"/>
      <c r="D292" s="615"/>
      <c r="E292" s="198"/>
      <c r="F292" s="198"/>
      <c r="G292" s="198"/>
      <c r="H292" s="198"/>
      <c r="I292" s="615"/>
      <c r="J292" s="614"/>
      <c r="K292" s="614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198"/>
      <c r="D293" s="615"/>
      <c r="E293" s="198"/>
      <c r="F293" s="198"/>
      <c r="G293" s="198"/>
      <c r="H293" s="198"/>
      <c r="I293" s="615"/>
      <c r="J293" s="614"/>
      <c r="K293" s="614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198"/>
      <c r="D294" s="615"/>
      <c r="E294" s="198"/>
      <c r="F294" s="198"/>
      <c r="G294" s="198"/>
      <c r="H294" s="198"/>
      <c r="I294" s="615"/>
      <c r="J294" s="614"/>
      <c r="K294" s="614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198"/>
      <c r="D295" s="615"/>
      <c r="E295" s="198"/>
      <c r="F295" s="198"/>
      <c r="G295" s="198"/>
      <c r="H295" s="198"/>
      <c r="I295" s="615"/>
      <c r="J295" s="614"/>
      <c r="K295" s="614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198"/>
      <c r="D296" s="615"/>
      <c r="E296" s="198"/>
      <c r="F296" s="198"/>
      <c r="G296" s="198"/>
      <c r="H296" s="198"/>
      <c r="I296" s="615"/>
      <c r="J296" s="614"/>
      <c r="K296" s="614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198"/>
      <c r="D297" s="615"/>
      <c r="E297" s="198"/>
      <c r="F297" s="198"/>
      <c r="G297" s="198"/>
      <c r="H297" s="198"/>
      <c r="I297" s="615"/>
      <c r="J297" s="614"/>
      <c r="K297" s="614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198"/>
      <c r="D298" s="615"/>
      <c r="E298" s="198"/>
      <c r="F298" s="198"/>
      <c r="G298" s="198"/>
      <c r="H298" s="198"/>
      <c r="I298" s="615"/>
      <c r="J298" s="614"/>
      <c r="K298" s="614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198"/>
      <c r="D299" s="615"/>
      <c r="E299" s="198"/>
      <c r="F299" s="198"/>
      <c r="G299" s="198"/>
      <c r="H299" s="198"/>
      <c r="I299" s="615"/>
      <c r="J299" s="614"/>
      <c r="K299" s="614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198"/>
      <c r="D300" s="615"/>
      <c r="E300" s="198"/>
      <c r="F300" s="198"/>
      <c r="G300" s="198"/>
      <c r="H300" s="198"/>
      <c r="I300" s="615"/>
      <c r="J300" s="614"/>
      <c r="K300" s="614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198"/>
      <c r="D301" s="615"/>
      <c r="E301" s="198"/>
      <c r="F301" s="198"/>
      <c r="G301" s="198"/>
      <c r="H301" s="198"/>
      <c r="I301" s="615"/>
      <c r="J301" s="614"/>
      <c r="K301" s="614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198"/>
      <c r="D302" s="615"/>
      <c r="E302" s="198"/>
      <c r="F302" s="198"/>
      <c r="G302" s="198"/>
      <c r="H302" s="198"/>
      <c r="I302" s="615"/>
      <c r="J302" s="614"/>
      <c r="K302" s="614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198"/>
      <c r="D303" s="615"/>
      <c r="E303" s="198"/>
      <c r="F303" s="198"/>
      <c r="G303" s="198"/>
      <c r="H303" s="198"/>
      <c r="I303" s="615"/>
      <c r="J303" s="614"/>
      <c r="K303" s="614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198"/>
      <c r="D304" s="615"/>
      <c r="E304" s="198"/>
      <c r="F304" s="198"/>
      <c r="G304" s="198"/>
      <c r="H304" s="198"/>
      <c r="I304" s="615"/>
      <c r="J304" s="614"/>
      <c r="K304" s="614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198"/>
      <c r="D305" s="615"/>
      <c r="E305" s="198"/>
      <c r="F305" s="198"/>
      <c r="G305" s="198"/>
      <c r="H305" s="198"/>
      <c r="I305" s="615"/>
      <c r="J305" s="614"/>
      <c r="K305" s="614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198"/>
      <c r="D306" s="615"/>
      <c r="E306" s="198"/>
      <c r="F306" s="198"/>
      <c r="G306" s="198"/>
      <c r="H306" s="198"/>
      <c r="I306" s="615"/>
      <c r="J306" s="614"/>
      <c r="K306" s="614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198"/>
      <c r="D307" s="615"/>
      <c r="E307" s="198"/>
      <c r="F307" s="198"/>
      <c r="G307" s="198"/>
      <c r="H307" s="198"/>
      <c r="I307" s="615"/>
      <c r="J307" s="614"/>
      <c r="K307" s="614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198"/>
      <c r="D308" s="615"/>
      <c r="E308" s="198"/>
      <c r="F308" s="198"/>
      <c r="G308" s="198"/>
      <c r="H308" s="198"/>
      <c r="I308" s="615"/>
      <c r="J308" s="614"/>
      <c r="K308" s="614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198"/>
      <c r="D309" s="615"/>
      <c r="E309" s="198"/>
      <c r="F309" s="198"/>
      <c r="G309" s="198"/>
      <c r="H309" s="198"/>
      <c r="I309" s="615"/>
      <c r="J309" s="614"/>
      <c r="K309" s="614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198"/>
      <c r="D310" s="615"/>
      <c r="E310" s="198"/>
      <c r="F310" s="198"/>
      <c r="G310" s="198"/>
      <c r="H310" s="198"/>
      <c r="I310" s="615"/>
      <c r="J310" s="614"/>
      <c r="K310" s="614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198"/>
      <c r="D311" s="615"/>
      <c r="E311" s="198"/>
      <c r="F311" s="198"/>
      <c r="G311" s="198"/>
      <c r="H311" s="198"/>
      <c r="I311" s="615"/>
      <c r="J311" s="614"/>
      <c r="K311" s="614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198"/>
      <c r="D312" s="615"/>
      <c r="E312" s="198"/>
      <c r="F312" s="198"/>
      <c r="G312" s="198"/>
      <c r="H312" s="198"/>
      <c r="I312" s="615"/>
      <c r="J312" s="614"/>
      <c r="K312" s="614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198"/>
      <c r="D313" s="615"/>
      <c r="E313" s="198"/>
      <c r="F313" s="198"/>
      <c r="G313" s="198"/>
      <c r="H313" s="198"/>
      <c r="I313" s="615"/>
      <c r="J313" s="614"/>
      <c r="K313" s="614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198"/>
      <c r="D314" s="615"/>
      <c r="E314" s="198"/>
      <c r="F314" s="198"/>
      <c r="G314" s="198"/>
      <c r="H314" s="198"/>
      <c r="I314" s="615"/>
      <c r="J314" s="614"/>
      <c r="K314" s="614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198"/>
      <c r="D315" s="615"/>
      <c r="E315" s="198"/>
      <c r="F315" s="198"/>
      <c r="G315" s="198"/>
      <c r="H315" s="198"/>
      <c r="I315" s="615"/>
      <c r="J315" s="614"/>
      <c r="K315" s="614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198"/>
      <c r="D316" s="615"/>
      <c r="E316" s="198"/>
      <c r="F316" s="198"/>
      <c r="G316" s="198"/>
      <c r="H316" s="198"/>
      <c r="I316" s="615"/>
      <c r="J316" s="614"/>
      <c r="K316" s="614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198"/>
      <c r="D317" s="615"/>
      <c r="E317" s="198"/>
      <c r="F317" s="198"/>
      <c r="G317" s="198"/>
      <c r="H317" s="198"/>
      <c r="I317" s="615"/>
      <c r="J317" s="614"/>
      <c r="K317" s="614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198"/>
      <c r="D318" s="615"/>
      <c r="E318" s="198"/>
      <c r="F318" s="198"/>
      <c r="G318" s="198"/>
      <c r="H318" s="198"/>
      <c r="I318" s="615"/>
      <c r="J318" s="614"/>
      <c r="K318" s="614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198"/>
      <c r="D319" s="615"/>
      <c r="E319" s="198"/>
      <c r="F319" s="198"/>
      <c r="G319" s="198"/>
      <c r="H319" s="198"/>
      <c r="I319" s="615"/>
      <c r="J319" s="614"/>
      <c r="K319" s="614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198"/>
      <c r="D320" s="615"/>
      <c r="E320" s="198"/>
      <c r="F320" s="198"/>
      <c r="G320" s="198"/>
      <c r="H320" s="198"/>
      <c r="I320" s="615"/>
      <c r="J320" s="614"/>
      <c r="K320" s="614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198"/>
      <c r="D321" s="615"/>
      <c r="E321" s="198"/>
      <c r="F321" s="198"/>
      <c r="G321" s="198"/>
      <c r="H321" s="198"/>
      <c r="I321" s="615"/>
      <c r="J321" s="614"/>
      <c r="K321" s="614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198"/>
      <c r="D322" s="615"/>
      <c r="E322" s="198"/>
      <c r="F322" s="198"/>
      <c r="G322" s="198"/>
      <c r="H322" s="198"/>
      <c r="I322" s="615"/>
      <c r="J322" s="614"/>
      <c r="K322" s="614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198"/>
      <c r="D323" s="615"/>
      <c r="E323" s="198"/>
      <c r="F323" s="198"/>
      <c r="G323" s="198"/>
      <c r="H323" s="198"/>
      <c r="I323" s="615"/>
      <c r="J323" s="614"/>
      <c r="K323" s="614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198"/>
      <c r="D324" s="615"/>
      <c r="E324" s="198"/>
      <c r="F324" s="198"/>
      <c r="G324" s="198"/>
      <c r="H324" s="198"/>
      <c r="I324" s="615"/>
      <c r="J324" s="614"/>
      <c r="K324" s="614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198"/>
      <c r="D325" s="615"/>
      <c r="E325" s="198"/>
      <c r="F325" s="198"/>
      <c r="G325" s="198"/>
      <c r="H325" s="198"/>
      <c r="I325" s="615"/>
      <c r="J325" s="614"/>
      <c r="K325" s="614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198"/>
      <c r="D326" s="615"/>
      <c r="E326" s="198"/>
      <c r="F326" s="198"/>
      <c r="G326" s="198"/>
      <c r="H326" s="198"/>
      <c r="I326" s="615"/>
      <c r="J326" s="614"/>
      <c r="K326" s="614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198"/>
      <c r="D327" s="615"/>
      <c r="E327" s="198"/>
      <c r="F327" s="198"/>
      <c r="G327" s="198"/>
      <c r="H327" s="198"/>
      <c r="I327" s="615"/>
      <c r="J327" s="614"/>
      <c r="K327" s="614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198"/>
      <c r="D328" s="615"/>
      <c r="E328" s="198"/>
      <c r="F328" s="198"/>
      <c r="G328" s="198"/>
      <c r="H328" s="198"/>
      <c r="I328" s="615"/>
      <c r="J328" s="614"/>
      <c r="K328" s="614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198"/>
      <c r="D329" s="615"/>
      <c r="E329" s="198"/>
      <c r="F329" s="198"/>
      <c r="G329" s="198"/>
      <c r="H329" s="198"/>
      <c r="I329" s="615"/>
      <c r="J329" s="614"/>
      <c r="K329" s="614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198"/>
      <c r="D330" s="615"/>
      <c r="E330" s="198"/>
      <c r="F330" s="198"/>
      <c r="G330" s="198"/>
      <c r="H330" s="198"/>
      <c r="I330" s="615"/>
      <c r="J330" s="614"/>
      <c r="K330" s="614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198"/>
      <c r="D331" s="615"/>
      <c r="E331" s="198"/>
      <c r="F331" s="198"/>
      <c r="G331" s="198"/>
      <c r="H331" s="198"/>
      <c r="I331" s="615"/>
      <c r="J331" s="614"/>
      <c r="K331" s="614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198"/>
      <c r="D332" s="615"/>
      <c r="E332" s="198"/>
      <c r="F332" s="198"/>
      <c r="G332" s="198"/>
      <c r="H332" s="198"/>
      <c r="I332" s="615"/>
      <c r="J332" s="614"/>
      <c r="K332" s="614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198"/>
      <c r="D333" s="615"/>
      <c r="E333" s="198"/>
      <c r="F333" s="198"/>
      <c r="G333" s="198"/>
      <c r="H333" s="198"/>
      <c r="I333" s="615"/>
      <c r="J333" s="614"/>
      <c r="K333" s="614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198"/>
      <c r="D334" s="615"/>
      <c r="E334" s="198"/>
      <c r="F334" s="198"/>
      <c r="G334" s="198"/>
      <c r="H334" s="198"/>
      <c r="I334" s="615"/>
      <c r="J334" s="614"/>
      <c r="K334" s="614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198"/>
      <c r="D335" s="615"/>
      <c r="E335" s="198"/>
      <c r="F335" s="198"/>
      <c r="G335" s="198"/>
      <c r="H335" s="198"/>
      <c r="I335" s="615"/>
      <c r="J335" s="614"/>
      <c r="K335" s="614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198"/>
      <c r="D336" s="615"/>
      <c r="E336" s="198"/>
      <c r="F336" s="198"/>
      <c r="G336" s="198"/>
      <c r="H336" s="198"/>
      <c r="I336" s="615"/>
      <c r="J336" s="614"/>
      <c r="K336" s="614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198"/>
      <c r="D337" s="615"/>
      <c r="E337" s="198"/>
      <c r="F337" s="198"/>
      <c r="G337" s="198"/>
      <c r="H337" s="198"/>
      <c r="I337" s="615"/>
      <c r="J337" s="614"/>
      <c r="K337" s="614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198"/>
      <c r="D338" s="615"/>
      <c r="E338" s="198"/>
      <c r="F338" s="198"/>
      <c r="G338" s="198"/>
      <c r="H338" s="198"/>
      <c r="I338" s="615"/>
      <c r="J338" s="614"/>
      <c r="K338" s="614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198"/>
      <c r="D339" s="615"/>
      <c r="E339" s="198"/>
      <c r="F339" s="198"/>
      <c r="G339" s="198"/>
      <c r="H339" s="198"/>
      <c r="I339" s="615"/>
      <c r="J339" s="614"/>
      <c r="K339" s="614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198"/>
      <c r="D340" s="615"/>
      <c r="E340" s="198"/>
      <c r="F340" s="198"/>
      <c r="G340" s="198"/>
      <c r="H340" s="198"/>
      <c r="I340" s="615"/>
      <c r="J340" s="614"/>
      <c r="K340" s="614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198"/>
      <c r="D341" s="615"/>
      <c r="E341" s="198"/>
      <c r="F341" s="198"/>
      <c r="G341" s="198"/>
      <c r="H341" s="198"/>
      <c r="I341" s="615"/>
      <c r="J341" s="614"/>
      <c r="K341" s="614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198"/>
      <c r="D342" s="615"/>
      <c r="E342" s="198"/>
      <c r="F342" s="198"/>
      <c r="G342" s="198"/>
      <c r="H342" s="198"/>
      <c r="I342" s="615"/>
      <c r="J342" s="614"/>
      <c r="K342" s="614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198"/>
      <c r="D343" s="615"/>
      <c r="E343" s="198"/>
      <c r="F343" s="198"/>
      <c r="G343" s="198"/>
      <c r="H343" s="198"/>
      <c r="I343" s="615"/>
      <c r="J343" s="614"/>
      <c r="K343" s="614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198"/>
      <c r="D344" s="615"/>
      <c r="E344" s="198"/>
      <c r="F344" s="198"/>
      <c r="G344" s="198"/>
      <c r="H344" s="198"/>
      <c r="I344" s="615"/>
      <c r="J344" s="614"/>
      <c r="K344" s="614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198"/>
      <c r="D345" s="615"/>
      <c r="E345" s="198"/>
      <c r="F345" s="198"/>
      <c r="G345" s="198"/>
      <c r="H345" s="198"/>
      <c r="I345" s="615"/>
      <c r="J345" s="614"/>
      <c r="K345" s="614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198"/>
      <c r="D346" s="615"/>
      <c r="E346" s="198"/>
      <c r="F346" s="198"/>
      <c r="G346" s="198"/>
      <c r="H346" s="198"/>
      <c r="I346" s="615"/>
      <c r="J346" s="614"/>
      <c r="K346" s="614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198"/>
      <c r="D347" s="615"/>
      <c r="E347" s="198"/>
      <c r="F347" s="198"/>
      <c r="G347" s="198"/>
      <c r="H347" s="198"/>
      <c r="I347" s="615"/>
      <c r="J347" s="614"/>
      <c r="K347" s="614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198"/>
      <c r="D348" s="615"/>
      <c r="E348" s="198"/>
      <c r="F348" s="198"/>
      <c r="G348" s="198"/>
      <c r="H348" s="198"/>
      <c r="I348" s="615"/>
      <c r="J348" s="614"/>
      <c r="K348" s="614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198"/>
      <c r="D349" s="615"/>
      <c r="E349" s="198"/>
      <c r="F349" s="198"/>
      <c r="G349" s="198"/>
      <c r="H349" s="198"/>
      <c r="I349" s="615"/>
      <c r="J349" s="614"/>
      <c r="K349" s="614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198"/>
      <c r="D350" s="615"/>
      <c r="E350" s="198"/>
      <c r="F350" s="198"/>
      <c r="G350" s="198"/>
      <c r="H350" s="198"/>
      <c r="I350" s="615"/>
      <c r="J350" s="614"/>
      <c r="K350" s="614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198"/>
      <c r="D351" s="615"/>
      <c r="E351" s="198"/>
      <c r="F351" s="198"/>
      <c r="G351" s="198"/>
      <c r="H351" s="198"/>
      <c r="I351" s="615"/>
      <c r="J351" s="614"/>
      <c r="K351" s="614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198"/>
      <c r="D352" s="615"/>
      <c r="E352" s="198"/>
      <c r="F352" s="198"/>
      <c r="G352" s="198"/>
      <c r="H352" s="198"/>
      <c r="I352" s="615"/>
      <c r="J352" s="614"/>
      <c r="K352" s="614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198"/>
      <c r="D353" s="615"/>
      <c r="E353" s="198"/>
      <c r="F353" s="198"/>
      <c r="G353" s="198"/>
      <c r="H353" s="198"/>
      <c r="I353" s="615"/>
      <c r="J353" s="614"/>
      <c r="K353" s="614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198"/>
      <c r="D354" s="615"/>
      <c r="E354" s="198"/>
      <c r="F354" s="198"/>
      <c r="G354" s="198"/>
      <c r="H354" s="198"/>
      <c r="I354" s="615"/>
      <c r="J354" s="614"/>
      <c r="K354" s="614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198"/>
      <c r="D355" s="615"/>
      <c r="E355" s="198"/>
      <c r="F355" s="198"/>
      <c r="G355" s="198"/>
      <c r="H355" s="198"/>
      <c r="I355" s="615"/>
      <c r="J355" s="614"/>
      <c r="K355" s="614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198"/>
      <c r="D356" s="615"/>
      <c r="E356" s="198"/>
      <c r="F356" s="198"/>
      <c r="G356" s="198"/>
      <c r="H356" s="198"/>
      <c r="I356" s="615"/>
      <c r="J356" s="614"/>
      <c r="K356" s="614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198"/>
      <c r="D357" s="615"/>
      <c r="E357" s="198"/>
      <c r="F357" s="198"/>
      <c r="G357" s="198"/>
      <c r="H357" s="198"/>
      <c r="I357" s="615"/>
      <c r="J357" s="614"/>
      <c r="K357" s="614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198"/>
      <c r="D358" s="615"/>
      <c r="E358" s="198"/>
      <c r="F358" s="198"/>
      <c r="G358" s="198"/>
      <c r="H358" s="198"/>
      <c r="I358" s="615"/>
      <c r="J358" s="614"/>
      <c r="K358" s="614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198"/>
      <c r="D359" s="615"/>
      <c r="E359" s="198"/>
      <c r="F359" s="198"/>
      <c r="G359" s="198"/>
      <c r="H359" s="198"/>
      <c r="I359" s="615"/>
      <c r="J359" s="614"/>
      <c r="K359" s="614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198"/>
      <c r="D360" s="615"/>
      <c r="E360" s="198"/>
      <c r="F360" s="198"/>
      <c r="G360" s="198"/>
      <c r="H360" s="198"/>
      <c r="I360" s="615"/>
      <c r="J360" s="614"/>
      <c r="K360" s="614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198"/>
      <c r="D361" s="615"/>
      <c r="E361" s="198"/>
      <c r="F361" s="198"/>
      <c r="G361" s="198"/>
      <c r="H361" s="198"/>
      <c r="I361" s="615"/>
      <c r="J361" s="614"/>
      <c r="K361" s="614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198"/>
      <c r="D362" s="615"/>
      <c r="E362" s="198"/>
      <c r="F362" s="198"/>
      <c r="G362" s="198"/>
      <c r="H362" s="198"/>
      <c r="I362" s="615"/>
      <c r="J362" s="614"/>
      <c r="K362" s="614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198"/>
      <c r="D363" s="615"/>
      <c r="E363" s="198"/>
      <c r="F363" s="198"/>
      <c r="G363" s="198"/>
      <c r="H363" s="198"/>
      <c r="I363" s="615"/>
      <c r="J363" s="614"/>
      <c r="K363" s="614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198"/>
      <c r="D364" s="615"/>
      <c r="E364" s="198"/>
      <c r="F364" s="198"/>
      <c r="G364" s="198"/>
      <c r="H364" s="198"/>
      <c r="I364" s="615"/>
      <c r="J364" s="614"/>
      <c r="K364" s="614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198"/>
      <c r="D365" s="615"/>
      <c r="E365" s="198"/>
      <c r="F365" s="198"/>
      <c r="G365" s="198"/>
      <c r="H365" s="198"/>
      <c r="I365" s="615"/>
      <c r="J365" s="614"/>
      <c r="K365" s="614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198"/>
      <c r="D366" s="615"/>
      <c r="E366" s="198"/>
      <c r="F366" s="198"/>
      <c r="G366" s="198"/>
      <c r="H366" s="198"/>
      <c r="I366" s="615"/>
      <c r="J366" s="614"/>
      <c r="K366" s="614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198"/>
      <c r="D367" s="615"/>
      <c r="E367" s="198"/>
      <c r="F367" s="198"/>
      <c r="G367" s="198"/>
      <c r="H367" s="198"/>
      <c r="I367" s="615"/>
      <c r="J367" s="614"/>
      <c r="K367" s="614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198"/>
      <c r="D368" s="615"/>
      <c r="E368" s="198"/>
      <c r="F368" s="198"/>
      <c r="G368" s="198"/>
      <c r="H368" s="198"/>
      <c r="I368" s="615"/>
      <c r="J368" s="614"/>
      <c r="K368" s="614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198"/>
      <c r="D369" s="615"/>
      <c r="E369" s="198"/>
      <c r="F369" s="198"/>
      <c r="G369" s="198"/>
      <c r="H369" s="198"/>
      <c r="I369" s="615"/>
      <c r="J369" s="614"/>
      <c r="K369" s="614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198"/>
      <c r="D370" s="615"/>
      <c r="E370" s="198"/>
      <c r="F370" s="198"/>
      <c r="G370" s="198"/>
      <c r="H370" s="198"/>
      <c r="I370" s="615"/>
      <c r="J370" s="614"/>
      <c r="K370" s="614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198"/>
      <c r="D371" s="615"/>
      <c r="E371" s="198"/>
      <c r="F371" s="198"/>
      <c r="G371" s="198"/>
      <c r="H371" s="198"/>
      <c r="I371" s="615"/>
      <c r="J371" s="614"/>
      <c r="K371" s="614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198"/>
      <c r="D372" s="615"/>
      <c r="E372" s="198"/>
      <c r="F372" s="198"/>
      <c r="G372" s="198"/>
      <c r="H372" s="198"/>
      <c r="I372" s="615"/>
      <c r="J372" s="614"/>
      <c r="K372" s="614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198"/>
      <c r="D373" s="615"/>
      <c r="E373" s="198"/>
      <c r="F373" s="198"/>
      <c r="G373" s="198"/>
      <c r="H373" s="198"/>
      <c r="I373" s="615"/>
      <c r="J373" s="614"/>
      <c r="K373" s="614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198"/>
      <c r="D374" s="615"/>
      <c r="E374" s="198"/>
      <c r="F374" s="198"/>
      <c r="G374" s="198"/>
      <c r="H374" s="198"/>
      <c r="I374" s="615"/>
      <c r="J374" s="614"/>
      <c r="K374" s="614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198"/>
      <c r="D375" s="615"/>
      <c r="E375" s="198"/>
      <c r="F375" s="198"/>
      <c r="G375" s="198"/>
      <c r="H375" s="198"/>
      <c r="I375" s="615"/>
      <c r="J375" s="614"/>
      <c r="K375" s="614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198"/>
      <c r="D376" s="615"/>
      <c r="E376" s="198"/>
      <c r="F376" s="198"/>
      <c r="G376" s="198"/>
      <c r="H376" s="198"/>
      <c r="I376" s="615"/>
      <c r="J376" s="614"/>
      <c r="K376" s="614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198"/>
      <c r="D377" s="615"/>
      <c r="E377" s="198"/>
      <c r="F377" s="198"/>
      <c r="G377" s="198"/>
      <c r="H377" s="198"/>
      <c r="I377" s="615"/>
      <c r="J377" s="614"/>
      <c r="K377" s="614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198"/>
      <c r="D378" s="615"/>
      <c r="E378" s="198"/>
      <c r="F378" s="198"/>
      <c r="G378" s="198"/>
      <c r="H378" s="198"/>
      <c r="I378" s="615"/>
      <c r="J378" s="614"/>
      <c r="K378" s="614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198"/>
      <c r="D379" s="615"/>
      <c r="E379" s="198"/>
      <c r="F379" s="198"/>
      <c r="G379" s="198"/>
      <c r="H379" s="198"/>
      <c r="I379" s="615"/>
      <c r="J379" s="614"/>
      <c r="K379" s="614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198"/>
      <c r="D380" s="615"/>
      <c r="E380" s="198"/>
      <c r="F380" s="198"/>
      <c r="G380" s="198"/>
      <c r="H380" s="198"/>
      <c r="I380" s="615"/>
      <c r="J380" s="614"/>
      <c r="K380" s="614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198"/>
      <c r="D381" s="615"/>
      <c r="E381" s="198"/>
      <c r="F381" s="198"/>
      <c r="G381" s="198"/>
      <c r="H381" s="198"/>
      <c r="I381" s="615"/>
      <c r="J381" s="614"/>
      <c r="K381" s="614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198"/>
      <c r="D382" s="615"/>
      <c r="E382" s="198"/>
      <c r="F382" s="198"/>
      <c r="G382" s="198"/>
      <c r="H382" s="198"/>
      <c r="I382" s="615"/>
      <c r="J382" s="614"/>
      <c r="K382" s="614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198"/>
      <c r="D383" s="615"/>
      <c r="E383" s="198"/>
      <c r="F383" s="198"/>
      <c r="G383" s="198"/>
      <c r="H383" s="198"/>
      <c r="I383" s="615"/>
      <c r="J383" s="614"/>
      <c r="K383" s="614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198"/>
      <c r="D384" s="615"/>
      <c r="E384" s="198"/>
      <c r="F384" s="198"/>
      <c r="G384" s="198"/>
      <c r="H384" s="198"/>
      <c r="I384" s="615"/>
      <c r="J384" s="614"/>
      <c r="K384" s="614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198"/>
      <c r="D385" s="615"/>
      <c r="E385" s="198"/>
      <c r="F385" s="198"/>
      <c r="G385" s="198"/>
      <c r="H385" s="198"/>
      <c r="I385" s="615"/>
      <c r="J385" s="614"/>
      <c r="K385" s="614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198"/>
      <c r="D386" s="615"/>
      <c r="E386" s="198"/>
      <c r="F386" s="198"/>
      <c r="G386" s="198"/>
      <c r="H386" s="198"/>
      <c r="I386" s="615"/>
      <c r="J386" s="614"/>
      <c r="K386" s="614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198"/>
      <c r="D387" s="615"/>
      <c r="E387" s="198"/>
      <c r="F387" s="198"/>
      <c r="G387" s="198"/>
      <c r="H387" s="198"/>
      <c r="I387" s="615"/>
      <c r="J387" s="614"/>
      <c r="K387" s="614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198"/>
      <c r="D388" s="615"/>
      <c r="E388" s="198"/>
      <c r="F388" s="198"/>
      <c r="G388" s="198"/>
      <c r="H388" s="198"/>
      <c r="I388" s="615"/>
      <c r="J388" s="614"/>
      <c r="K388" s="614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198"/>
      <c r="D389" s="615"/>
      <c r="E389" s="198"/>
      <c r="F389" s="198"/>
      <c r="G389" s="198"/>
      <c r="H389" s="198"/>
      <c r="I389" s="615"/>
      <c r="J389" s="614"/>
      <c r="K389" s="614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198"/>
      <c r="D390" s="615"/>
      <c r="E390" s="198"/>
      <c r="F390" s="198"/>
      <c r="G390" s="198"/>
      <c r="H390" s="198"/>
      <c r="I390" s="615"/>
      <c r="J390" s="614"/>
      <c r="K390" s="614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198"/>
      <c r="D391" s="615"/>
      <c r="E391" s="198"/>
      <c r="F391" s="198"/>
      <c r="G391" s="198"/>
      <c r="H391" s="198"/>
      <c r="I391" s="615"/>
      <c r="J391" s="614"/>
      <c r="K391" s="614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198"/>
      <c r="D392" s="615"/>
      <c r="E392" s="198"/>
      <c r="F392" s="198"/>
      <c r="G392" s="198"/>
      <c r="H392" s="198"/>
      <c r="I392" s="615"/>
      <c r="J392" s="614"/>
      <c r="K392" s="614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198"/>
      <c r="D393" s="615"/>
      <c r="E393" s="198"/>
      <c r="F393" s="198"/>
      <c r="G393" s="198"/>
      <c r="H393" s="198"/>
      <c r="I393" s="615"/>
      <c r="J393" s="614"/>
      <c r="K393" s="614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198"/>
      <c r="D394" s="615"/>
      <c r="E394" s="198"/>
      <c r="F394" s="198"/>
      <c r="G394" s="198"/>
      <c r="H394" s="198"/>
      <c r="I394" s="615"/>
      <c r="J394" s="614"/>
      <c r="K394" s="614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198"/>
      <c r="D395" s="615"/>
      <c r="E395" s="198"/>
      <c r="F395" s="198"/>
      <c r="G395" s="198"/>
      <c r="H395" s="198"/>
      <c r="I395" s="615"/>
      <c r="J395" s="614"/>
      <c r="K395" s="614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198"/>
      <c r="D396" s="615"/>
      <c r="E396" s="198"/>
      <c r="F396" s="198"/>
      <c r="G396" s="198"/>
      <c r="H396" s="198"/>
      <c r="I396" s="615"/>
      <c r="J396" s="614"/>
      <c r="K396" s="614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198"/>
      <c r="D397" s="615"/>
      <c r="E397" s="198"/>
      <c r="F397" s="198"/>
      <c r="G397" s="198"/>
      <c r="H397" s="198"/>
      <c r="I397" s="615"/>
      <c r="J397" s="614"/>
      <c r="K397" s="614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198"/>
      <c r="D398" s="615"/>
      <c r="E398" s="198"/>
      <c r="F398" s="198"/>
      <c r="G398" s="198"/>
      <c r="H398" s="198"/>
      <c r="I398" s="615"/>
      <c r="J398" s="614"/>
      <c r="K398" s="614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198"/>
      <c r="D399" s="615"/>
      <c r="E399" s="198"/>
      <c r="F399" s="198"/>
      <c r="G399" s="198"/>
      <c r="H399" s="198"/>
      <c r="I399" s="615"/>
      <c r="J399" s="614"/>
      <c r="K399" s="614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198"/>
      <c r="D400" s="615"/>
      <c r="E400" s="198"/>
      <c r="F400" s="198"/>
      <c r="G400" s="198"/>
      <c r="H400" s="198"/>
      <c r="I400" s="615"/>
      <c r="J400" s="614"/>
      <c r="K400" s="614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198"/>
      <c r="D401" s="615"/>
      <c r="E401" s="198"/>
      <c r="F401" s="198"/>
      <c r="G401" s="198"/>
      <c r="H401" s="198"/>
      <c r="I401" s="615"/>
      <c r="J401" s="614"/>
      <c r="K401" s="614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198"/>
      <c r="D402" s="615"/>
      <c r="E402" s="198"/>
      <c r="F402" s="198"/>
      <c r="G402" s="198"/>
      <c r="H402" s="198"/>
      <c r="I402" s="615"/>
      <c r="J402" s="614"/>
      <c r="K402" s="614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198"/>
      <c r="D403" s="615"/>
      <c r="E403" s="198"/>
      <c r="F403" s="198"/>
      <c r="G403" s="198"/>
      <c r="H403" s="198"/>
      <c r="I403" s="615"/>
      <c r="J403" s="614"/>
      <c r="K403" s="614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198"/>
      <c r="D404" s="615"/>
      <c r="E404" s="198"/>
      <c r="F404" s="198"/>
      <c r="G404" s="198"/>
      <c r="H404" s="198"/>
      <c r="I404" s="615"/>
      <c r="J404" s="614"/>
      <c r="K404" s="614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198"/>
      <c r="D405" s="615"/>
      <c r="E405" s="198"/>
      <c r="F405" s="198"/>
      <c r="G405" s="198"/>
      <c r="H405" s="198"/>
      <c r="I405" s="615"/>
      <c r="J405" s="614"/>
      <c r="K405" s="614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198"/>
      <c r="D406" s="615"/>
      <c r="E406" s="198"/>
      <c r="F406" s="198"/>
      <c r="G406" s="198"/>
      <c r="H406" s="198"/>
      <c r="I406" s="615"/>
      <c r="J406" s="614"/>
      <c r="K406" s="614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198"/>
      <c r="D407" s="615"/>
      <c r="E407" s="198"/>
      <c r="F407" s="198"/>
      <c r="G407" s="198"/>
      <c r="H407" s="198"/>
      <c r="I407" s="615"/>
      <c r="J407" s="614"/>
      <c r="K407" s="614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198"/>
      <c r="D408" s="615"/>
      <c r="E408" s="198"/>
      <c r="F408" s="198"/>
      <c r="G408" s="198"/>
      <c r="H408" s="198"/>
      <c r="I408" s="615"/>
      <c r="J408" s="614"/>
      <c r="K408" s="614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198"/>
      <c r="D409" s="615"/>
      <c r="E409" s="198"/>
      <c r="F409" s="198"/>
      <c r="G409" s="198"/>
      <c r="H409" s="198"/>
      <c r="I409" s="615"/>
      <c r="J409" s="614"/>
      <c r="K409" s="614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198"/>
      <c r="D410" s="615"/>
      <c r="E410" s="198"/>
      <c r="F410" s="198"/>
      <c r="G410" s="198"/>
      <c r="H410" s="198"/>
      <c r="I410" s="615"/>
      <c r="J410" s="614"/>
      <c r="K410" s="614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198"/>
      <c r="D411" s="615"/>
      <c r="E411" s="198"/>
      <c r="F411" s="198"/>
      <c r="G411" s="198"/>
      <c r="H411" s="198"/>
      <c r="I411" s="615"/>
      <c r="J411" s="614"/>
      <c r="K411" s="614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198"/>
      <c r="D412" s="615"/>
      <c r="E412" s="198"/>
      <c r="F412" s="198"/>
      <c r="G412" s="198"/>
      <c r="H412" s="198"/>
      <c r="I412" s="615"/>
      <c r="J412" s="614"/>
      <c r="K412" s="614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198"/>
      <c r="D413" s="615"/>
      <c r="E413" s="198"/>
      <c r="F413" s="198"/>
      <c r="G413" s="198"/>
      <c r="H413" s="198"/>
      <c r="I413" s="615"/>
      <c r="J413" s="614"/>
      <c r="K413" s="614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198"/>
      <c r="D414" s="615"/>
      <c r="E414" s="198"/>
      <c r="F414" s="198"/>
      <c r="G414" s="198"/>
      <c r="H414" s="198"/>
      <c r="I414" s="615"/>
      <c r="J414" s="614"/>
      <c r="K414" s="614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198"/>
      <c r="D415" s="615"/>
      <c r="E415" s="198"/>
      <c r="F415" s="198"/>
      <c r="G415" s="198"/>
      <c r="H415" s="198"/>
      <c r="I415" s="615"/>
      <c r="J415" s="614"/>
      <c r="K415" s="614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198"/>
      <c r="D416" s="615"/>
      <c r="E416" s="198"/>
      <c r="F416" s="198"/>
      <c r="G416" s="198"/>
      <c r="H416" s="198"/>
      <c r="I416" s="615"/>
      <c r="J416" s="614"/>
      <c r="K416" s="614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198"/>
      <c r="D417" s="615"/>
      <c r="E417" s="198"/>
      <c r="F417" s="198"/>
      <c r="G417" s="198"/>
      <c r="H417" s="198"/>
      <c r="I417" s="615"/>
      <c r="J417" s="614"/>
      <c r="K417" s="614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198"/>
      <c r="D418" s="615"/>
      <c r="E418" s="198"/>
      <c r="F418" s="198"/>
      <c r="G418" s="198"/>
      <c r="H418" s="198"/>
      <c r="I418" s="615"/>
      <c r="J418" s="614"/>
      <c r="K418" s="614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198"/>
      <c r="D419" s="615"/>
      <c r="E419" s="198"/>
      <c r="F419" s="198"/>
      <c r="G419" s="198"/>
      <c r="H419" s="198"/>
      <c r="I419" s="615"/>
      <c r="J419" s="614"/>
      <c r="K419" s="614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198"/>
      <c r="D420" s="615"/>
      <c r="E420" s="198"/>
      <c r="F420" s="198"/>
      <c r="G420" s="198"/>
      <c r="H420" s="198"/>
      <c r="I420" s="615"/>
      <c r="J420" s="614"/>
      <c r="K420" s="614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198"/>
      <c r="D421" s="615"/>
      <c r="E421" s="198"/>
      <c r="F421" s="198"/>
      <c r="G421" s="198"/>
      <c r="H421" s="198"/>
      <c r="I421" s="615"/>
      <c r="J421" s="614"/>
      <c r="K421" s="614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198"/>
      <c r="D422" s="615"/>
      <c r="E422" s="198"/>
      <c r="F422" s="198"/>
      <c r="G422" s="198"/>
      <c r="H422" s="198"/>
      <c r="I422" s="615"/>
      <c r="J422" s="614"/>
      <c r="K422" s="614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198"/>
      <c r="D423" s="615"/>
      <c r="E423" s="198"/>
      <c r="F423" s="198"/>
      <c r="G423" s="198"/>
      <c r="H423" s="198"/>
      <c r="I423" s="615"/>
      <c r="J423" s="614"/>
      <c r="K423" s="614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198"/>
      <c r="D424" s="615"/>
      <c r="E424" s="198"/>
      <c r="F424" s="198"/>
      <c r="G424" s="198"/>
      <c r="H424" s="198"/>
      <c r="I424" s="615"/>
      <c r="J424" s="614"/>
      <c r="K424" s="614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198"/>
      <c r="D425" s="615"/>
      <c r="E425" s="198"/>
      <c r="F425" s="198"/>
      <c r="G425" s="198"/>
      <c r="H425" s="198"/>
      <c r="I425" s="615"/>
      <c r="J425" s="614"/>
      <c r="K425" s="614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198"/>
      <c r="D426" s="615"/>
      <c r="E426" s="198"/>
      <c r="F426" s="198"/>
      <c r="G426" s="198"/>
      <c r="H426" s="198"/>
      <c r="I426" s="615"/>
      <c r="J426" s="614"/>
      <c r="K426" s="614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198"/>
      <c r="D427" s="615"/>
      <c r="E427" s="198"/>
      <c r="F427" s="198"/>
      <c r="G427" s="198"/>
      <c r="H427" s="198"/>
      <c r="I427" s="615"/>
      <c r="J427" s="614"/>
      <c r="K427" s="614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198"/>
      <c r="D428" s="615"/>
      <c r="E428" s="198"/>
      <c r="F428" s="198"/>
      <c r="G428" s="198"/>
      <c r="H428" s="198"/>
      <c r="I428" s="615"/>
      <c r="J428" s="614"/>
      <c r="K428" s="614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198"/>
      <c r="D429" s="615"/>
      <c r="E429" s="198"/>
      <c r="F429" s="198"/>
      <c r="G429" s="198"/>
      <c r="H429" s="198"/>
      <c r="I429" s="615"/>
      <c r="J429" s="614"/>
      <c r="K429" s="614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198"/>
      <c r="D430" s="615"/>
      <c r="E430" s="198"/>
      <c r="F430" s="198"/>
      <c r="G430" s="198"/>
      <c r="H430" s="198"/>
      <c r="I430" s="615"/>
      <c r="J430" s="614"/>
      <c r="K430" s="614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198"/>
      <c r="D431" s="615"/>
      <c r="E431" s="198"/>
      <c r="F431" s="198"/>
      <c r="G431" s="198"/>
      <c r="H431" s="198"/>
      <c r="I431" s="615"/>
      <c r="J431" s="614"/>
      <c r="K431" s="614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198"/>
      <c r="D432" s="615"/>
      <c r="E432" s="198"/>
      <c r="F432" s="198"/>
      <c r="G432" s="198"/>
      <c r="H432" s="198"/>
      <c r="I432" s="615"/>
      <c r="J432" s="614"/>
      <c r="K432" s="614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198"/>
      <c r="D433" s="615"/>
      <c r="E433" s="198"/>
      <c r="F433" s="198"/>
      <c r="G433" s="198"/>
      <c r="H433" s="198"/>
      <c r="I433" s="615"/>
      <c r="J433" s="614"/>
      <c r="K433" s="614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198"/>
      <c r="D434" s="615"/>
      <c r="E434" s="198"/>
      <c r="F434" s="198"/>
      <c r="G434" s="198"/>
      <c r="H434" s="198"/>
      <c r="I434" s="615"/>
      <c r="J434" s="614"/>
      <c r="K434" s="614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198"/>
      <c r="D435" s="615"/>
      <c r="E435" s="198"/>
      <c r="F435" s="198"/>
      <c r="G435" s="198"/>
      <c r="H435" s="198"/>
      <c r="I435" s="615"/>
      <c r="J435" s="614"/>
      <c r="K435" s="614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198"/>
      <c r="D436" s="615"/>
      <c r="E436" s="198"/>
      <c r="F436" s="198"/>
      <c r="G436" s="198"/>
      <c r="H436" s="198"/>
      <c r="I436" s="615"/>
      <c r="J436" s="614"/>
      <c r="K436" s="614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198"/>
      <c r="D437" s="615"/>
      <c r="E437" s="198"/>
      <c r="F437" s="198"/>
      <c r="G437" s="198"/>
      <c r="H437" s="198"/>
      <c r="I437" s="615"/>
      <c r="J437" s="614"/>
      <c r="K437" s="614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198"/>
      <c r="D438" s="615"/>
      <c r="E438" s="198"/>
      <c r="F438" s="198"/>
      <c r="G438" s="198"/>
      <c r="H438" s="198"/>
      <c r="I438" s="615"/>
      <c r="J438" s="614"/>
      <c r="K438" s="614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198"/>
      <c r="D439" s="615"/>
      <c r="E439" s="198"/>
      <c r="F439" s="198"/>
      <c r="G439" s="198"/>
      <c r="H439" s="198"/>
      <c r="I439" s="615"/>
      <c r="J439" s="614"/>
      <c r="K439" s="614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198"/>
      <c r="D440" s="615"/>
      <c r="E440" s="198"/>
      <c r="F440" s="198"/>
      <c r="G440" s="198"/>
      <c r="H440" s="198"/>
      <c r="I440" s="615"/>
      <c r="J440" s="614"/>
      <c r="K440" s="614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198"/>
      <c r="D441" s="615"/>
      <c r="E441" s="198"/>
      <c r="F441" s="198"/>
      <c r="G441" s="198"/>
      <c r="H441" s="198"/>
      <c r="I441" s="615"/>
      <c r="J441" s="614"/>
      <c r="K441" s="614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198"/>
      <c r="D442" s="615"/>
      <c r="E442" s="198"/>
      <c r="F442" s="198"/>
      <c r="G442" s="198"/>
      <c r="H442" s="198"/>
      <c r="I442" s="615"/>
      <c r="J442" s="614"/>
      <c r="K442" s="614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198"/>
      <c r="D443" s="615"/>
      <c r="E443" s="198"/>
      <c r="F443" s="198"/>
      <c r="G443" s="198"/>
      <c r="H443" s="198"/>
      <c r="I443" s="615"/>
      <c r="J443" s="614"/>
      <c r="K443" s="614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198"/>
      <c r="D444" s="615"/>
      <c r="E444" s="198"/>
      <c r="F444" s="198"/>
      <c r="G444" s="198"/>
      <c r="H444" s="198"/>
      <c r="I444" s="615"/>
      <c r="J444" s="614"/>
      <c r="K444" s="614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198"/>
      <c r="D445" s="615"/>
      <c r="E445" s="198"/>
      <c r="F445" s="198"/>
      <c r="G445" s="198"/>
      <c r="H445" s="198"/>
      <c r="I445" s="615"/>
      <c r="J445" s="614"/>
      <c r="K445" s="614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198"/>
      <c r="D446" s="615"/>
      <c r="E446" s="198"/>
      <c r="F446" s="198"/>
      <c r="G446" s="198"/>
      <c r="H446" s="198"/>
      <c r="I446" s="615"/>
      <c r="J446" s="614"/>
      <c r="K446" s="614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198"/>
      <c r="D447" s="615"/>
      <c r="E447" s="198"/>
      <c r="F447" s="198"/>
      <c r="G447" s="198"/>
      <c r="H447" s="198"/>
      <c r="I447" s="615"/>
      <c r="J447" s="614"/>
      <c r="K447" s="614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198"/>
      <c r="D448" s="615"/>
      <c r="E448" s="198"/>
      <c r="F448" s="198"/>
      <c r="G448" s="198"/>
      <c r="H448" s="198"/>
      <c r="I448" s="615"/>
      <c r="J448" s="614"/>
      <c r="K448" s="614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198"/>
      <c r="D449" s="615"/>
      <c r="E449" s="198"/>
      <c r="F449" s="198"/>
      <c r="G449" s="198"/>
      <c r="H449" s="198"/>
      <c r="I449" s="615"/>
      <c r="J449" s="614"/>
      <c r="K449" s="614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198"/>
      <c r="D450" s="615"/>
      <c r="E450" s="198"/>
      <c r="F450" s="198"/>
      <c r="G450" s="198"/>
      <c r="H450" s="198"/>
      <c r="I450" s="615"/>
      <c r="J450" s="614"/>
      <c r="K450" s="614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198"/>
      <c r="D451" s="615"/>
      <c r="E451" s="198"/>
      <c r="F451" s="198"/>
      <c r="G451" s="198"/>
      <c r="H451" s="198"/>
      <c r="I451" s="615"/>
      <c r="J451" s="614"/>
      <c r="K451" s="614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198"/>
      <c r="D452" s="615"/>
      <c r="E452" s="198"/>
      <c r="F452" s="198"/>
      <c r="G452" s="198"/>
      <c r="H452" s="198"/>
      <c r="I452" s="615"/>
      <c r="J452" s="614"/>
      <c r="K452" s="614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198"/>
      <c r="D453" s="615"/>
      <c r="E453" s="198"/>
      <c r="F453" s="198"/>
      <c r="G453" s="198"/>
      <c r="H453" s="198"/>
      <c r="I453" s="615"/>
      <c r="J453" s="614"/>
      <c r="K453" s="614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198"/>
      <c r="D454" s="615"/>
      <c r="E454" s="198"/>
      <c r="F454" s="198"/>
      <c r="G454" s="198"/>
      <c r="H454" s="198"/>
      <c r="I454" s="615"/>
      <c r="J454" s="614"/>
      <c r="K454" s="614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198"/>
      <c r="D455" s="615"/>
      <c r="E455" s="198"/>
      <c r="F455" s="198"/>
      <c r="G455" s="198"/>
      <c r="H455" s="198"/>
      <c r="I455" s="615"/>
      <c r="J455" s="614"/>
      <c r="K455" s="614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198"/>
      <c r="D456" s="615"/>
      <c r="E456" s="198"/>
      <c r="F456" s="198"/>
      <c r="G456" s="198"/>
      <c r="H456" s="198"/>
      <c r="I456" s="615"/>
      <c r="J456" s="614"/>
      <c r="K456" s="614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198"/>
      <c r="D457" s="615"/>
      <c r="E457" s="198"/>
      <c r="F457" s="198"/>
      <c r="G457" s="198"/>
      <c r="H457" s="198"/>
      <c r="I457" s="615"/>
      <c r="J457" s="614"/>
      <c r="K457" s="614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198"/>
      <c r="D458" s="615"/>
      <c r="E458" s="198"/>
      <c r="F458" s="198"/>
      <c r="G458" s="198"/>
      <c r="H458" s="198"/>
      <c r="I458" s="615"/>
      <c r="J458" s="614"/>
      <c r="K458" s="614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198"/>
      <c r="D459" s="615"/>
      <c r="E459" s="198"/>
      <c r="F459" s="198"/>
      <c r="G459" s="198"/>
      <c r="H459" s="198"/>
      <c r="I459" s="615"/>
      <c r="J459" s="614"/>
      <c r="K459" s="614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198"/>
      <c r="D460" s="615"/>
      <c r="E460" s="198"/>
      <c r="F460" s="198"/>
      <c r="G460" s="198"/>
      <c r="H460" s="198"/>
      <c r="I460" s="615"/>
      <c r="J460" s="614"/>
      <c r="K460" s="614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198"/>
      <c r="D461" s="615"/>
      <c r="E461" s="198"/>
      <c r="F461" s="198"/>
      <c r="G461" s="198"/>
      <c r="H461" s="198"/>
      <c r="I461" s="615"/>
      <c r="J461" s="614"/>
      <c r="K461" s="614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198"/>
      <c r="D462" s="615"/>
      <c r="E462" s="198"/>
      <c r="F462" s="198"/>
      <c r="G462" s="198"/>
      <c r="H462" s="198"/>
      <c r="I462" s="615"/>
      <c r="J462" s="614"/>
      <c r="K462" s="614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198"/>
      <c r="D463" s="615"/>
      <c r="E463" s="198"/>
      <c r="F463" s="198"/>
      <c r="G463" s="198"/>
      <c r="H463" s="198"/>
      <c r="I463" s="615"/>
      <c r="J463" s="614"/>
      <c r="K463" s="614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198"/>
      <c r="D464" s="615"/>
      <c r="E464" s="198"/>
      <c r="F464" s="198"/>
      <c r="G464" s="198"/>
      <c r="H464" s="198"/>
      <c r="I464" s="615"/>
      <c r="J464" s="614"/>
      <c r="K464" s="614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198"/>
      <c r="D465" s="615"/>
      <c r="E465" s="198"/>
      <c r="F465" s="198"/>
      <c r="G465" s="198"/>
      <c r="H465" s="198"/>
      <c r="I465" s="615"/>
      <c r="J465" s="614"/>
      <c r="K465" s="614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198"/>
      <c r="D466" s="615"/>
      <c r="E466" s="198"/>
      <c r="F466" s="198"/>
      <c r="G466" s="198"/>
      <c r="H466" s="198"/>
      <c r="I466" s="615"/>
      <c r="J466" s="614"/>
      <c r="K466" s="614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198"/>
      <c r="D467" s="615"/>
      <c r="E467" s="198"/>
      <c r="F467" s="198"/>
      <c r="G467" s="198"/>
      <c r="H467" s="198"/>
      <c r="I467" s="615"/>
      <c r="J467" s="614"/>
      <c r="K467" s="614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198"/>
      <c r="D468" s="615"/>
      <c r="E468" s="198"/>
      <c r="F468" s="198"/>
      <c r="G468" s="198"/>
      <c r="H468" s="198"/>
      <c r="I468" s="615"/>
      <c r="J468" s="614"/>
      <c r="K468" s="614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198"/>
      <c r="D469" s="615"/>
      <c r="E469" s="198"/>
      <c r="F469" s="198"/>
      <c r="G469" s="198"/>
      <c r="H469" s="198"/>
      <c r="I469" s="615"/>
      <c r="J469" s="614"/>
      <c r="K469" s="614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198"/>
      <c r="D470" s="615"/>
      <c r="E470" s="198"/>
      <c r="F470" s="198"/>
      <c r="G470" s="198"/>
      <c r="H470" s="198"/>
      <c r="I470" s="615"/>
      <c r="J470" s="614"/>
      <c r="K470" s="614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198"/>
      <c r="D471" s="615"/>
      <c r="E471" s="198"/>
      <c r="F471" s="198"/>
      <c r="G471" s="198"/>
      <c r="H471" s="198"/>
      <c r="I471" s="615"/>
      <c r="J471" s="614"/>
      <c r="K471" s="614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198"/>
      <c r="D472" s="615"/>
      <c r="E472" s="198"/>
      <c r="F472" s="198"/>
      <c r="G472" s="198"/>
      <c r="H472" s="198"/>
      <c r="I472" s="615"/>
      <c r="J472" s="614"/>
      <c r="K472" s="614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198"/>
      <c r="D473" s="615"/>
      <c r="E473" s="198"/>
      <c r="F473" s="198"/>
      <c r="G473" s="198"/>
      <c r="H473" s="198"/>
      <c r="I473" s="615"/>
      <c r="J473" s="614"/>
      <c r="K473" s="614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198"/>
      <c r="D474" s="615"/>
      <c r="E474" s="198"/>
      <c r="F474" s="198"/>
      <c r="G474" s="198"/>
      <c r="H474" s="198"/>
      <c r="I474" s="615"/>
      <c r="J474" s="614"/>
      <c r="K474" s="614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198"/>
      <c r="D475" s="615"/>
      <c r="E475" s="198"/>
      <c r="F475" s="198"/>
      <c r="G475" s="198"/>
      <c r="H475" s="198"/>
      <c r="I475" s="615"/>
      <c r="J475" s="614"/>
      <c r="K475" s="614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198"/>
      <c r="D476" s="615"/>
      <c r="E476" s="198"/>
      <c r="F476" s="198"/>
      <c r="G476" s="198"/>
      <c r="H476" s="198"/>
      <c r="I476" s="615"/>
      <c r="J476" s="614"/>
      <c r="K476" s="614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198"/>
      <c r="D477" s="615"/>
      <c r="E477" s="198"/>
      <c r="F477" s="198"/>
      <c r="G477" s="198"/>
      <c r="H477" s="198"/>
      <c r="I477" s="615"/>
      <c r="J477" s="614"/>
      <c r="K477" s="614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198"/>
      <c r="D478" s="615"/>
      <c r="E478" s="198"/>
      <c r="F478" s="198"/>
      <c r="G478" s="198"/>
      <c r="H478" s="198"/>
      <c r="I478" s="615"/>
      <c r="J478" s="614"/>
      <c r="K478" s="614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198"/>
      <c r="D479" s="615"/>
      <c r="E479" s="198"/>
      <c r="F479" s="198"/>
      <c r="G479" s="198"/>
      <c r="H479" s="198"/>
      <c r="I479" s="615"/>
      <c r="J479" s="614"/>
      <c r="K479" s="614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198"/>
      <c r="D480" s="615"/>
      <c r="E480" s="198"/>
      <c r="F480" s="198"/>
      <c r="G480" s="198"/>
      <c r="H480" s="198"/>
      <c r="I480" s="615"/>
      <c r="J480" s="614"/>
      <c r="K480" s="614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198"/>
      <c r="D481" s="615"/>
      <c r="E481" s="198"/>
      <c r="F481" s="198"/>
      <c r="G481" s="198"/>
      <c r="H481" s="198"/>
      <c r="I481" s="615"/>
      <c r="J481" s="614"/>
      <c r="K481" s="614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198"/>
      <c r="D482" s="615"/>
      <c r="E482" s="198"/>
      <c r="F482" s="198"/>
      <c r="G482" s="198"/>
      <c r="H482" s="198"/>
      <c r="I482" s="615"/>
      <c r="J482" s="614"/>
      <c r="K482" s="614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198"/>
      <c r="D483" s="615"/>
      <c r="E483" s="198"/>
      <c r="F483" s="198"/>
      <c r="G483" s="198"/>
      <c r="H483" s="198"/>
      <c r="I483" s="615"/>
      <c r="J483" s="614"/>
      <c r="K483" s="614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198"/>
      <c r="D484" s="615"/>
      <c r="E484" s="198"/>
      <c r="F484" s="198"/>
      <c r="G484" s="198"/>
      <c r="H484" s="198"/>
      <c r="I484" s="615"/>
      <c r="J484" s="614"/>
      <c r="K484" s="614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198"/>
      <c r="D485" s="615"/>
      <c r="E485" s="198"/>
      <c r="F485" s="198"/>
      <c r="G485" s="198"/>
      <c r="H485" s="198"/>
      <c r="I485" s="615"/>
      <c r="J485" s="614"/>
      <c r="K485" s="614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198"/>
      <c r="D486" s="615"/>
      <c r="E486" s="198"/>
      <c r="F486" s="198"/>
      <c r="G486" s="198"/>
      <c r="H486" s="198"/>
      <c r="I486" s="615"/>
      <c r="J486" s="614"/>
      <c r="K486" s="614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198"/>
      <c r="D487" s="615"/>
      <c r="E487" s="198"/>
      <c r="F487" s="198"/>
      <c r="G487" s="198"/>
      <c r="H487" s="198"/>
      <c r="I487" s="615"/>
      <c r="J487" s="614"/>
      <c r="K487" s="614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198"/>
      <c r="D488" s="615"/>
      <c r="E488" s="198"/>
      <c r="F488" s="198"/>
      <c r="G488" s="198"/>
      <c r="H488" s="198"/>
      <c r="I488" s="615"/>
      <c r="J488" s="614"/>
      <c r="K488" s="614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198"/>
      <c r="D489" s="615"/>
      <c r="E489" s="198"/>
      <c r="F489" s="198"/>
      <c r="G489" s="198"/>
      <c r="H489" s="198"/>
      <c r="I489" s="615"/>
      <c r="J489" s="614"/>
      <c r="K489" s="614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198"/>
      <c r="D490" s="615"/>
      <c r="E490" s="198"/>
      <c r="F490" s="198"/>
      <c r="G490" s="198"/>
      <c r="H490" s="198"/>
      <c r="I490" s="615"/>
      <c r="J490" s="614"/>
      <c r="K490" s="614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198"/>
      <c r="D491" s="615"/>
      <c r="E491" s="198"/>
      <c r="F491" s="198"/>
      <c r="G491" s="198"/>
      <c r="H491" s="198"/>
      <c r="I491" s="615"/>
      <c r="J491" s="614"/>
      <c r="K491" s="614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198"/>
      <c r="D492" s="615"/>
      <c r="E492" s="198"/>
      <c r="F492" s="198"/>
      <c r="G492" s="198"/>
      <c r="H492" s="198"/>
      <c r="I492" s="615"/>
      <c r="J492" s="614"/>
      <c r="K492" s="614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198"/>
      <c r="D493" s="615"/>
      <c r="E493" s="198"/>
      <c r="F493" s="198"/>
      <c r="G493" s="198"/>
      <c r="H493" s="198"/>
      <c r="I493" s="615"/>
      <c r="J493" s="614"/>
      <c r="K493" s="614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198"/>
      <c r="D494" s="615"/>
      <c r="E494" s="198"/>
      <c r="F494" s="198"/>
      <c r="G494" s="198"/>
      <c r="H494" s="198"/>
      <c r="I494" s="615"/>
      <c r="J494" s="614"/>
      <c r="K494" s="614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198"/>
      <c r="D495" s="615"/>
      <c r="E495" s="198"/>
      <c r="F495" s="198"/>
      <c r="G495" s="198"/>
      <c r="H495" s="198"/>
      <c r="I495" s="615"/>
      <c r="J495" s="614"/>
      <c r="K495" s="614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198"/>
      <c r="D496" s="615"/>
      <c r="E496" s="198"/>
      <c r="F496" s="198"/>
      <c r="G496" s="198"/>
      <c r="H496" s="198"/>
      <c r="I496" s="615"/>
      <c r="J496" s="614"/>
      <c r="K496" s="614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198"/>
      <c r="D497" s="615"/>
      <c r="E497" s="198"/>
      <c r="F497" s="198"/>
      <c r="G497" s="198"/>
      <c r="H497" s="198"/>
      <c r="I497" s="615"/>
      <c r="J497" s="614"/>
      <c r="K497" s="614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198"/>
      <c r="D498" s="615"/>
      <c r="E498" s="198"/>
      <c r="F498" s="198"/>
      <c r="G498" s="198"/>
      <c r="H498" s="198"/>
      <c r="I498" s="615"/>
      <c r="J498" s="614"/>
      <c r="K498" s="614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198"/>
      <c r="D499" s="615"/>
      <c r="E499" s="198"/>
      <c r="F499" s="198"/>
      <c r="G499" s="198"/>
      <c r="H499" s="198"/>
      <c r="I499" s="615"/>
      <c r="J499" s="614"/>
      <c r="K499" s="614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198"/>
      <c r="D500" s="615"/>
      <c r="E500" s="198"/>
      <c r="F500" s="198"/>
      <c r="G500" s="198"/>
      <c r="H500" s="198"/>
      <c r="I500" s="615"/>
      <c r="J500" s="614"/>
      <c r="K500" s="614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198"/>
      <c r="D501" s="615"/>
      <c r="E501" s="198"/>
      <c r="F501" s="198"/>
      <c r="G501" s="198"/>
      <c r="H501" s="198"/>
      <c r="I501" s="615"/>
      <c r="J501" s="614"/>
      <c r="K501" s="614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198"/>
      <c r="D502" s="615"/>
      <c r="E502" s="198"/>
      <c r="F502" s="198"/>
      <c r="G502" s="198"/>
      <c r="H502" s="198"/>
      <c r="I502" s="615"/>
      <c r="J502" s="614"/>
      <c r="K502" s="614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198"/>
      <c r="D503" s="615"/>
      <c r="E503" s="198"/>
      <c r="F503" s="198"/>
      <c r="G503" s="198"/>
      <c r="H503" s="198"/>
      <c r="I503" s="615"/>
      <c r="J503" s="614"/>
      <c r="K503" s="614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198"/>
      <c r="D504" s="615"/>
      <c r="E504" s="198"/>
      <c r="F504" s="198"/>
      <c r="G504" s="198"/>
      <c r="H504" s="198"/>
      <c r="I504" s="615"/>
      <c r="J504" s="614"/>
      <c r="K504" s="614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198"/>
      <c r="D505" s="615"/>
      <c r="E505" s="198"/>
      <c r="F505" s="198"/>
      <c r="G505" s="198"/>
      <c r="H505" s="198"/>
      <c r="I505" s="615"/>
      <c r="J505" s="614"/>
      <c r="K505" s="614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198"/>
      <c r="D506" s="615"/>
      <c r="E506" s="198"/>
      <c r="F506" s="198"/>
      <c r="G506" s="198"/>
      <c r="H506" s="198"/>
      <c r="I506" s="615"/>
      <c r="J506" s="614"/>
      <c r="K506" s="614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198"/>
      <c r="D507" s="615"/>
      <c r="E507" s="198"/>
      <c r="F507" s="198"/>
      <c r="G507" s="198"/>
      <c r="H507" s="198"/>
      <c r="I507" s="615"/>
      <c r="J507" s="614"/>
      <c r="K507" s="614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198"/>
      <c r="D508" s="615"/>
      <c r="E508" s="198"/>
      <c r="F508" s="198"/>
      <c r="G508" s="198"/>
      <c r="H508" s="198"/>
      <c r="I508" s="615"/>
      <c r="J508" s="614"/>
      <c r="K508" s="614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198"/>
      <c r="D509" s="615"/>
      <c r="E509" s="198"/>
      <c r="F509" s="198"/>
      <c r="G509" s="198"/>
      <c r="H509" s="198"/>
      <c r="I509" s="615"/>
      <c r="J509" s="614"/>
      <c r="K509" s="614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198"/>
      <c r="D510" s="615"/>
      <c r="E510" s="198"/>
      <c r="F510" s="198"/>
      <c r="G510" s="198"/>
      <c r="H510" s="198"/>
      <c r="I510" s="615"/>
      <c r="J510" s="614"/>
      <c r="K510" s="614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198"/>
      <c r="D511" s="615"/>
      <c r="E511" s="198"/>
      <c r="F511" s="198"/>
      <c r="G511" s="198"/>
      <c r="H511" s="198"/>
      <c r="I511" s="615"/>
      <c r="J511" s="614"/>
      <c r="K511" s="614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198"/>
      <c r="D512" s="615"/>
      <c r="E512" s="198"/>
      <c r="F512" s="198"/>
      <c r="G512" s="198"/>
      <c r="H512" s="198"/>
      <c r="I512" s="615"/>
      <c r="J512" s="614"/>
      <c r="K512" s="614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198"/>
      <c r="D513" s="615"/>
      <c r="E513" s="198"/>
      <c r="F513" s="198"/>
      <c r="G513" s="198"/>
      <c r="H513" s="198"/>
      <c r="I513" s="615"/>
      <c r="J513" s="614"/>
      <c r="K513" s="614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198"/>
      <c r="D514" s="615"/>
      <c r="E514" s="198"/>
      <c r="F514" s="198"/>
      <c r="G514" s="198"/>
      <c r="H514" s="198"/>
      <c r="I514" s="615"/>
      <c r="J514" s="614"/>
      <c r="K514" s="614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198"/>
      <c r="D515" s="615"/>
      <c r="E515" s="198"/>
      <c r="F515" s="198"/>
      <c r="G515" s="198"/>
      <c r="H515" s="198"/>
      <c r="I515" s="615"/>
      <c r="J515" s="614"/>
      <c r="K515" s="614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198"/>
      <c r="D516" s="615"/>
      <c r="E516" s="198"/>
      <c r="F516" s="198"/>
      <c r="G516" s="198"/>
      <c r="H516" s="198"/>
      <c r="I516" s="615"/>
      <c r="J516" s="614"/>
      <c r="K516" s="614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198"/>
      <c r="D517" s="615"/>
      <c r="E517" s="198"/>
      <c r="F517" s="198"/>
      <c r="G517" s="198"/>
      <c r="H517" s="198"/>
      <c r="I517" s="615"/>
      <c r="J517" s="614"/>
      <c r="K517" s="614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198"/>
      <c r="D518" s="615"/>
      <c r="E518" s="198"/>
      <c r="F518" s="198"/>
      <c r="G518" s="198"/>
      <c r="H518" s="198"/>
      <c r="I518" s="615"/>
      <c r="J518" s="614"/>
      <c r="K518" s="614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198"/>
      <c r="D519" s="615"/>
      <c r="E519" s="198"/>
      <c r="F519" s="198"/>
      <c r="G519" s="198"/>
      <c r="H519" s="198"/>
      <c r="I519" s="615"/>
      <c r="J519" s="614"/>
      <c r="K519" s="614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198"/>
      <c r="D520" s="615"/>
      <c r="E520" s="198"/>
      <c r="F520" s="198"/>
      <c r="G520" s="198"/>
      <c r="H520" s="198"/>
      <c r="I520" s="615"/>
      <c r="J520" s="614"/>
      <c r="K520" s="614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198"/>
      <c r="D521" s="615"/>
      <c r="E521" s="198"/>
      <c r="F521" s="198"/>
      <c r="G521" s="198"/>
      <c r="H521" s="198"/>
      <c r="I521" s="615"/>
      <c r="J521" s="614"/>
      <c r="K521" s="614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198"/>
      <c r="D522" s="615"/>
      <c r="E522" s="198"/>
      <c r="F522" s="198"/>
      <c r="G522" s="198"/>
      <c r="H522" s="198"/>
      <c r="I522" s="615"/>
      <c r="J522" s="614"/>
      <c r="K522" s="614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198"/>
      <c r="D523" s="615"/>
      <c r="E523" s="198"/>
      <c r="F523" s="198"/>
      <c r="G523" s="198"/>
      <c r="H523" s="198"/>
      <c r="I523" s="615"/>
      <c r="J523" s="614"/>
      <c r="K523" s="614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198"/>
      <c r="D524" s="615"/>
      <c r="E524" s="198"/>
      <c r="F524" s="198"/>
      <c r="G524" s="198"/>
      <c r="H524" s="198"/>
      <c r="I524" s="615"/>
      <c r="J524" s="614"/>
      <c r="K524" s="614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198"/>
      <c r="D525" s="615"/>
      <c r="E525" s="198"/>
      <c r="F525" s="198"/>
      <c r="G525" s="198"/>
      <c r="H525" s="198"/>
      <c r="I525" s="615"/>
      <c r="J525" s="614"/>
      <c r="K525" s="614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198"/>
      <c r="D526" s="615"/>
      <c r="E526" s="198"/>
      <c r="F526" s="198"/>
      <c r="G526" s="198"/>
      <c r="H526" s="198"/>
      <c r="I526" s="615"/>
      <c r="J526" s="614"/>
      <c r="K526" s="614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198"/>
      <c r="D527" s="615"/>
      <c r="E527" s="198"/>
      <c r="F527" s="198"/>
      <c r="G527" s="198"/>
      <c r="H527" s="198"/>
      <c r="I527" s="615"/>
      <c r="J527" s="614"/>
      <c r="K527" s="614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198"/>
      <c r="D528" s="615"/>
      <c r="E528" s="198"/>
      <c r="F528" s="198"/>
      <c r="G528" s="198"/>
      <c r="H528" s="198"/>
      <c r="I528" s="615"/>
      <c r="J528" s="614"/>
      <c r="K528" s="614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198"/>
      <c r="D529" s="615"/>
      <c r="E529" s="198"/>
      <c r="F529" s="198"/>
      <c r="G529" s="198"/>
      <c r="H529" s="198"/>
      <c r="I529" s="615"/>
      <c r="J529" s="614"/>
      <c r="K529" s="614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198"/>
      <c r="D530" s="615"/>
      <c r="E530" s="198"/>
      <c r="F530" s="198"/>
      <c r="G530" s="198"/>
      <c r="H530" s="198"/>
      <c r="I530" s="615"/>
      <c r="J530" s="614"/>
      <c r="K530" s="614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198"/>
      <c r="D531" s="615"/>
      <c r="E531" s="198"/>
      <c r="F531" s="198"/>
      <c r="G531" s="198"/>
      <c r="H531" s="198"/>
      <c r="I531" s="615"/>
      <c r="J531" s="614"/>
      <c r="K531" s="614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198"/>
      <c r="D532" s="615"/>
      <c r="E532" s="198"/>
      <c r="F532" s="198"/>
      <c r="G532" s="198"/>
      <c r="H532" s="198"/>
      <c r="I532" s="615"/>
      <c r="J532" s="614"/>
      <c r="K532" s="614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198"/>
      <c r="D533" s="615"/>
      <c r="E533" s="198"/>
      <c r="F533" s="198"/>
      <c r="G533" s="198"/>
      <c r="H533" s="198"/>
      <c r="I533" s="615"/>
      <c r="J533" s="614"/>
      <c r="K533" s="614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198"/>
      <c r="D534" s="615"/>
      <c r="E534" s="198"/>
      <c r="F534" s="198"/>
      <c r="G534" s="198"/>
      <c r="H534" s="198"/>
      <c r="I534" s="615"/>
      <c r="J534" s="614"/>
      <c r="K534" s="614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198"/>
      <c r="D535" s="615"/>
      <c r="E535" s="198"/>
      <c r="F535" s="198"/>
      <c r="G535" s="198"/>
      <c r="H535" s="198"/>
      <c r="I535" s="615"/>
      <c r="J535" s="614"/>
      <c r="K535" s="614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198"/>
      <c r="D536" s="615"/>
      <c r="E536" s="198"/>
      <c r="F536" s="198"/>
      <c r="G536" s="198"/>
      <c r="H536" s="198"/>
      <c r="I536" s="615"/>
      <c r="J536" s="614"/>
      <c r="K536" s="614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198"/>
      <c r="D537" s="615"/>
      <c r="E537" s="198"/>
      <c r="F537" s="198"/>
      <c r="G537" s="198"/>
      <c r="H537" s="198"/>
      <c r="I537" s="615"/>
      <c r="J537" s="614"/>
      <c r="K537" s="614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198"/>
      <c r="D538" s="615"/>
      <c r="E538" s="198"/>
      <c r="F538" s="198"/>
      <c r="G538" s="198"/>
      <c r="H538" s="198"/>
      <c r="I538" s="615"/>
      <c r="J538" s="614"/>
      <c r="K538" s="614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198"/>
      <c r="D539" s="615"/>
      <c r="E539" s="198"/>
      <c r="F539" s="198"/>
      <c r="G539" s="198"/>
      <c r="H539" s="198"/>
      <c r="I539" s="615"/>
      <c r="J539" s="614"/>
      <c r="K539" s="614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198"/>
      <c r="D540" s="615"/>
      <c r="E540" s="198"/>
      <c r="F540" s="198"/>
      <c r="G540" s="198"/>
      <c r="H540" s="198"/>
      <c r="I540" s="615"/>
      <c r="J540" s="614"/>
      <c r="K540" s="614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198"/>
      <c r="D541" s="615"/>
      <c r="E541" s="198"/>
      <c r="F541" s="198"/>
      <c r="G541" s="198"/>
      <c r="H541" s="198"/>
      <c r="I541" s="615"/>
      <c r="J541" s="614"/>
      <c r="K541" s="614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198"/>
      <c r="D542" s="615"/>
      <c r="E542" s="198"/>
      <c r="F542" s="198"/>
      <c r="G542" s="198"/>
      <c r="H542" s="198"/>
      <c r="I542" s="615"/>
      <c r="J542" s="614"/>
      <c r="K542" s="614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198"/>
      <c r="D543" s="615"/>
      <c r="E543" s="198"/>
      <c r="F543" s="198"/>
      <c r="G543" s="198"/>
      <c r="H543" s="198"/>
      <c r="I543" s="615"/>
      <c r="J543" s="614"/>
      <c r="K543" s="614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198"/>
      <c r="D544" s="615"/>
      <c r="E544" s="198"/>
      <c r="F544" s="198"/>
      <c r="G544" s="198"/>
      <c r="H544" s="198"/>
      <c r="I544" s="615"/>
      <c r="J544" s="614"/>
      <c r="K544" s="614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198"/>
      <c r="D545" s="615"/>
      <c r="E545" s="198"/>
      <c r="F545" s="198"/>
      <c r="G545" s="198"/>
      <c r="H545" s="198"/>
      <c r="I545" s="615"/>
      <c r="J545" s="614"/>
      <c r="K545" s="614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198"/>
      <c r="D546" s="615"/>
      <c r="E546" s="198"/>
      <c r="F546" s="198"/>
      <c r="G546" s="198"/>
      <c r="H546" s="198"/>
      <c r="I546" s="615"/>
      <c r="J546" s="614"/>
      <c r="K546" s="614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198"/>
      <c r="D547" s="615"/>
      <c r="E547" s="198"/>
      <c r="F547" s="198"/>
      <c r="G547" s="198"/>
      <c r="H547" s="198"/>
      <c r="I547" s="615"/>
      <c r="J547" s="614"/>
      <c r="K547" s="614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198"/>
      <c r="D548" s="615"/>
      <c r="E548" s="198"/>
      <c r="F548" s="198"/>
      <c r="G548" s="198"/>
      <c r="H548" s="198"/>
      <c r="I548" s="615"/>
      <c r="J548" s="614"/>
      <c r="K548" s="614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198"/>
      <c r="D549" s="615"/>
      <c r="E549" s="198"/>
      <c r="F549" s="198"/>
      <c r="G549" s="198"/>
      <c r="H549" s="198"/>
      <c r="I549" s="615"/>
      <c r="J549" s="614"/>
      <c r="K549" s="614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198"/>
      <c r="D550" s="615"/>
      <c r="E550" s="198"/>
      <c r="F550" s="198"/>
      <c r="G550" s="198"/>
      <c r="H550" s="198"/>
      <c r="I550" s="615"/>
      <c r="J550" s="614"/>
      <c r="K550" s="614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198"/>
      <c r="D551" s="615"/>
      <c r="E551" s="198"/>
      <c r="F551" s="198"/>
      <c r="G551" s="198"/>
      <c r="H551" s="198"/>
      <c r="I551" s="615"/>
      <c r="J551" s="614"/>
      <c r="K551" s="614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198"/>
      <c r="D552" s="615"/>
      <c r="E552" s="198"/>
      <c r="F552" s="198"/>
      <c r="G552" s="198"/>
      <c r="H552" s="198"/>
      <c r="I552" s="615"/>
      <c r="J552" s="614"/>
      <c r="K552" s="614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198"/>
      <c r="D553" s="615"/>
      <c r="E553" s="198"/>
      <c r="F553" s="198"/>
      <c r="G553" s="198"/>
      <c r="H553" s="198"/>
      <c r="I553" s="615"/>
      <c r="J553" s="614"/>
      <c r="K553" s="614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198"/>
      <c r="D554" s="615"/>
      <c r="E554" s="198"/>
      <c r="F554" s="198"/>
      <c r="G554" s="198"/>
      <c r="H554" s="198"/>
      <c r="I554" s="615"/>
      <c r="J554" s="614"/>
      <c r="K554" s="614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198"/>
      <c r="D555" s="615"/>
      <c r="E555" s="198"/>
      <c r="F555" s="198"/>
      <c r="G555" s="198"/>
      <c r="H555" s="198"/>
      <c r="I555" s="615"/>
      <c r="J555" s="614"/>
      <c r="K555" s="614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198"/>
      <c r="D556" s="615"/>
      <c r="E556" s="198"/>
      <c r="F556" s="198"/>
      <c r="G556" s="198"/>
      <c r="H556" s="198"/>
      <c r="I556" s="615"/>
      <c r="J556" s="614"/>
      <c r="K556" s="614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198"/>
      <c r="D557" s="615"/>
      <c r="E557" s="198"/>
      <c r="F557" s="198"/>
      <c r="G557" s="198"/>
      <c r="H557" s="198"/>
      <c r="I557" s="615"/>
      <c r="J557" s="614"/>
      <c r="K557" s="614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198"/>
      <c r="D558" s="615"/>
      <c r="E558" s="198"/>
      <c r="F558" s="198"/>
      <c r="G558" s="198"/>
      <c r="H558" s="198"/>
      <c r="I558" s="615"/>
      <c r="J558" s="614"/>
      <c r="K558" s="614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198"/>
      <c r="D559" s="615"/>
      <c r="E559" s="198"/>
      <c r="F559" s="198"/>
      <c r="G559" s="198"/>
      <c r="H559" s="198"/>
      <c r="I559" s="615"/>
      <c r="J559" s="614"/>
      <c r="K559" s="614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198"/>
      <c r="D560" s="615"/>
      <c r="E560" s="198"/>
      <c r="F560" s="198"/>
      <c r="G560" s="198"/>
      <c r="H560" s="198"/>
      <c r="I560" s="615"/>
      <c r="J560" s="614"/>
      <c r="K560" s="614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198"/>
      <c r="D561" s="615"/>
      <c r="E561" s="198"/>
      <c r="F561" s="198"/>
      <c r="G561" s="198"/>
      <c r="H561" s="198"/>
      <c r="I561" s="615"/>
      <c r="J561" s="614"/>
      <c r="K561" s="614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198"/>
      <c r="D562" s="615"/>
      <c r="E562" s="198"/>
      <c r="F562" s="198"/>
      <c r="G562" s="198"/>
      <c r="H562" s="198"/>
      <c r="I562" s="615"/>
      <c r="J562" s="614"/>
      <c r="K562" s="614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198"/>
      <c r="D563" s="615"/>
      <c r="E563" s="198"/>
      <c r="F563" s="198"/>
      <c r="G563" s="198"/>
      <c r="H563" s="198"/>
      <c r="I563" s="615"/>
      <c r="J563" s="614"/>
      <c r="K563" s="614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198"/>
      <c r="D564" s="615"/>
      <c r="E564" s="198"/>
      <c r="F564" s="198"/>
      <c r="G564" s="198"/>
      <c r="H564" s="198"/>
      <c r="I564" s="615"/>
      <c r="J564" s="614"/>
      <c r="K564" s="614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198"/>
      <c r="D565" s="615"/>
      <c r="E565" s="198"/>
      <c r="F565" s="198"/>
      <c r="G565" s="198"/>
      <c r="H565" s="198"/>
      <c r="I565" s="615"/>
      <c r="J565" s="614"/>
      <c r="K565" s="614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198"/>
      <c r="D566" s="615"/>
      <c r="E566" s="198"/>
      <c r="F566" s="198"/>
      <c r="G566" s="198"/>
      <c r="H566" s="198"/>
      <c r="I566" s="615"/>
      <c r="J566" s="614"/>
      <c r="K566" s="614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198"/>
      <c r="D567" s="615"/>
      <c r="E567" s="198"/>
      <c r="F567" s="198"/>
      <c r="G567" s="198"/>
      <c r="H567" s="198"/>
      <c r="I567" s="615"/>
      <c r="J567" s="614"/>
      <c r="K567" s="614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198"/>
      <c r="D568" s="615"/>
      <c r="E568" s="198"/>
      <c r="F568" s="198"/>
      <c r="G568" s="198"/>
      <c r="H568" s="198"/>
      <c r="I568" s="615"/>
      <c r="J568" s="614"/>
      <c r="K568" s="614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198"/>
      <c r="D569" s="615"/>
      <c r="E569" s="198"/>
      <c r="F569" s="198"/>
      <c r="G569" s="198"/>
      <c r="H569" s="198"/>
      <c r="I569" s="615"/>
      <c r="J569" s="614"/>
      <c r="K569" s="614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198"/>
      <c r="D570" s="615"/>
      <c r="E570" s="198"/>
      <c r="F570" s="198"/>
      <c r="G570" s="198"/>
      <c r="H570" s="198"/>
      <c r="I570" s="615"/>
      <c r="J570" s="614"/>
      <c r="K570" s="614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198"/>
      <c r="D571" s="615"/>
      <c r="E571" s="198"/>
      <c r="F571" s="198"/>
      <c r="G571" s="198"/>
      <c r="H571" s="198"/>
      <c r="I571" s="615"/>
      <c r="J571" s="614"/>
      <c r="K571" s="614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198"/>
      <c r="D572" s="615"/>
      <c r="E572" s="198"/>
      <c r="F572" s="198"/>
      <c r="G572" s="198"/>
      <c r="H572" s="198"/>
      <c r="I572" s="615"/>
      <c r="J572" s="614"/>
      <c r="K572" s="614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198"/>
      <c r="D573" s="615"/>
      <c r="E573" s="198"/>
      <c r="F573" s="198"/>
      <c r="G573" s="198"/>
      <c r="H573" s="198"/>
      <c r="I573" s="615"/>
      <c r="J573" s="614"/>
      <c r="K573" s="614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198"/>
      <c r="D574" s="615"/>
      <c r="E574" s="198"/>
      <c r="F574" s="198"/>
      <c r="G574" s="198"/>
      <c r="H574" s="198"/>
      <c r="I574" s="615"/>
      <c r="J574" s="614"/>
      <c r="K574" s="614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198"/>
      <c r="D575" s="615"/>
      <c r="E575" s="198"/>
      <c r="F575" s="198"/>
      <c r="G575" s="198"/>
      <c r="H575" s="198"/>
      <c r="I575" s="615"/>
      <c r="J575" s="614"/>
      <c r="K575" s="614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198"/>
      <c r="D576" s="615"/>
      <c r="E576" s="198"/>
      <c r="F576" s="198"/>
      <c r="G576" s="198"/>
      <c r="H576" s="198"/>
      <c r="I576" s="615"/>
      <c r="J576" s="614"/>
      <c r="K576" s="614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198"/>
      <c r="D577" s="615"/>
      <c r="E577" s="198"/>
      <c r="F577" s="198"/>
      <c r="G577" s="198"/>
      <c r="H577" s="198"/>
      <c r="I577" s="615"/>
      <c r="J577" s="614"/>
      <c r="K577" s="614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198"/>
      <c r="D578" s="615"/>
      <c r="E578" s="198"/>
      <c r="F578" s="198"/>
      <c r="G578" s="198"/>
      <c r="H578" s="198"/>
      <c r="I578" s="615"/>
      <c r="J578" s="614"/>
      <c r="K578" s="614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198"/>
      <c r="D579" s="615"/>
      <c r="E579" s="198"/>
      <c r="F579" s="198"/>
      <c r="G579" s="198"/>
      <c r="H579" s="198"/>
      <c r="I579" s="615"/>
      <c r="J579" s="614"/>
      <c r="K579" s="614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198"/>
      <c r="D580" s="615"/>
      <c r="E580" s="198"/>
      <c r="F580" s="198"/>
      <c r="G580" s="198"/>
      <c r="H580" s="198"/>
      <c r="I580" s="615"/>
      <c r="J580" s="614"/>
      <c r="K580" s="614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198"/>
      <c r="D581" s="615"/>
      <c r="E581" s="198"/>
      <c r="F581" s="198"/>
      <c r="G581" s="198"/>
      <c r="H581" s="198"/>
      <c r="I581" s="615"/>
      <c r="J581" s="614"/>
      <c r="K581" s="614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198"/>
      <c r="D582" s="615"/>
      <c r="E582" s="198"/>
      <c r="F582" s="198"/>
      <c r="G582" s="198"/>
      <c r="H582" s="198"/>
      <c r="I582" s="615"/>
      <c r="J582" s="614"/>
      <c r="K582" s="614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198"/>
      <c r="D583" s="615"/>
      <c r="E583" s="198"/>
      <c r="F583" s="198"/>
      <c r="G583" s="198"/>
      <c r="H583" s="198"/>
      <c r="I583" s="615"/>
      <c r="J583" s="614"/>
      <c r="K583" s="614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198"/>
      <c r="D584" s="615"/>
      <c r="E584" s="198"/>
      <c r="F584" s="198"/>
      <c r="G584" s="198"/>
      <c r="H584" s="198"/>
      <c r="I584" s="615"/>
      <c r="J584" s="614"/>
      <c r="K584" s="614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198"/>
      <c r="D585" s="615"/>
      <c r="E585" s="198"/>
      <c r="F585" s="198"/>
      <c r="G585" s="198"/>
      <c r="H585" s="198"/>
      <c r="I585" s="615"/>
      <c r="J585" s="614"/>
      <c r="K585" s="614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198"/>
      <c r="D586" s="615"/>
      <c r="E586" s="198"/>
      <c r="F586" s="198"/>
      <c r="G586" s="198"/>
      <c r="H586" s="198"/>
      <c r="I586" s="615"/>
      <c r="J586" s="614"/>
      <c r="K586" s="614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198"/>
      <c r="D587" s="615"/>
      <c r="E587" s="198"/>
      <c r="F587" s="198"/>
      <c r="G587" s="198"/>
      <c r="H587" s="198"/>
      <c r="I587" s="615"/>
      <c r="J587" s="614"/>
      <c r="K587" s="614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198"/>
      <c r="D588" s="615"/>
      <c r="E588" s="198"/>
      <c r="F588" s="198"/>
      <c r="G588" s="198"/>
      <c r="H588" s="198"/>
      <c r="I588" s="615"/>
      <c r="J588" s="614"/>
      <c r="K588" s="614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198"/>
      <c r="D589" s="615"/>
      <c r="E589" s="198"/>
      <c r="F589" s="198"/>
      <c r="G589" s="198"/>
      <c r="H589" s="198"/>
      <c r="I589" s="615"/>
      <c r="J589" s="614"/>
      <c r="K589" s="614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198"/>
      <c r="D590" s="615"/>
      <c r="E590" s="198"/>
      <c r="F590" s="198"/>
      <c r="G590" s="198"/>
      <c r="H590" s="198"/>
      <c r="I590" s="615"/>
      <c r="J590" s="614"/>
      <c r="K590" s="614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198"/>
      <c r="D591" s="615"/>
      <c r="E591" s="198"/>
      <c r="F591" s="198"/>
      <c r="G591" s="198"/>
      <c r="H591" s="198"/>
      <c r="I591" s="615"/>
      <c r="J591" s="614"/>
      <c r="K591" s="614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198"/>
      <c r="D592" s="615"/>
      <c r="E592" s="198"/>
      <c r="F592" s="198"/>
      <c r="G592" s="198"/>
      <c r="H592" s="198"/>
      <c r="I592" s="615"/>
      <c r="J592" s="614"/>
      <c r="K592" s="614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198"/>
      <c r="D593" s="615"/>
      <c r="E593" s="198"/>
      <c r="F593" s="198"/>
      <c r="G593" s="198"/>
      <c r="H593" s="198"/>
      <c r="I593" s="615"/>
      <c r="J593" s="614"/>
      <c r="K593" s="614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198"/>
      <c r="D594" s="615"/>
      <c r="E594" s="198"/>
      <c r="F594" s="198"/>
      <c r="G594" s="198"/>
      <c r="H594" s="198"/>
      <c r="I594" s="615"/>
      <c r="J594" s="614"/>
      <c r="K594" s="614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198"/>
      <c r="D595" s="615"/>
      <c r="E595" s="198"/>
      <c r="F595" s="198"/>
      <c r="G595" s="198"/>
      <c r="H595" s="198"/>
      <c r="I595" s="615"/>
      <c r="J595" s="614"/>
      <c r="K595" s="614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198"/>
      <c r="D596" s="615"/>
      <c r="E596" s="198"/>
      <c r="F596" s="198"/>
      <c r="G596" s="198"/>
      <c r="H596" s="198"/>
      <c r="I596" s="615"/>
      <c r="J596" s="614"/>
      <c r="K596" s="614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198"/>
      <c r="D597" s="615"/>
      <c r="E597" s="198"/>
      <c r="F597" s="198"/>
      <c r="G597" s="198"/>
      <c r="H597" s="198"/>
      <c r="I597" s="615"/>
      <c r="J597" s="614"/>
      <c r="K597" s="614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198"/>
      <c r="D598" s="615"/>
      <c r="E598" s="198"/>
      <c r="F598" s="198"/>
      <c r="G598" s="198"/>
      <c r="H598" s="198"/>
      <c r="I598" s="615"/>
      <c r="J598" s="614"/>
      <c r="K598" s="614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198"/>
      <c r="D599" s="615"/>
      <c r="E599" s="198"/>
      <c r="F599" s="198"/>
      <c r="G599" s="198"/>
      <c r="H599" s="198"/>
      <c r="I599" s="615"/>
      <c r="J599" s="614"/>
      <c r="K599" s="614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198"/>
      <c r="D600" s="615"/>
      <c r="E600" s="198"/>
      <c r="F600" s="198"/>
      <c r="G600" s="198"/>
      <c r="H600" s="198"/>
      <c r="I600" s="615"/>
      <c r="J600" s="614"/>
      <c r="K600" s="614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198"/>
      <c r="D601" s="615"/>
      <c r="E601" s="198"/>
      <c r="F601" s="198"/>
      <c r="G601" s="198"/>
      <c r="H601" s="198"/>
      <c r="I601" s="615"/>
      <c r="J601" s="614"/>
      <c r="K601" s="614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198"/>
      <c r="D602" s="615"/>
      <c r="E602" s="198"/>
      <c r="F602" s="198"/>
      <c r="G602" s="198"/>
      <c r="H602" s="198"/>
      <c r="I602" s="615"/>
      <c r="J602" s="614"/>
      <c r="K602" s="614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198"/>
      <c r="D603" s="615"/>
      <c r="E603" s="198"/>
      <c r="F603" s="198"/>
      <c r="G603" s="198"/>
      <c r="H603" s="198"/>
      <c r="I603" s="615"/>
      <c r="J603" s="614"/>
      <c r="K603" s="614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198"/>
      <c r="D604" s="615"/>
      <c r="E604" s="198"/>
      <c r="F604" s="198"/>
      <c r="G604" s="198"/>
      <c r="H604" s="198"/>
      <c r="I604" s="615"/>
      <c r="J604" s="614"/>
      <c r="K604" s="614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198"/>
      <c r="D605" s="615"/>
      <c r="E605" s="198"/>
      <c r="F605" s="198"/>
      <c r="G605" s="198"/>
      <c r="H605" s="198"/>
      <c r="I605" s="615"/>
      <c r="J605" s="614"/>
      <c r="K605" s="614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198"/>
      <c r="D606" s="615"/>
      <c r="E606" s="198"/>
      <c r="F606" s="198"/>
      <c r="G606" s="198"/>
      <c r="H606" s="198"/>
      <c r="I606" s="615"/>
      <c r="J606" s="614"/>
      <c r="K606" s="614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198"/>
      <c r="D607" s="615"/>
      <c r="E607" s="198"/>
      <c r="F607" s="198"/>
      <c r="G607" s="198"/>
      <c r="H607" s="198"/>
      <c r="I607" s="615"/>
      <c r="J607" s="614"/>
      <c r="K607" s="614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198"/>
      <c r="D608" s="615"/>
      <c r="E608" s="198"/>
      <c r="F608" s="198"/>
      <c r="G608" s="198"/>
      <c r="H608" s="198"/>
      <c r="I608" s="615"/>
      <c r="J608" s="614"/>
      <c r="K608" s="614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198"/>
      <c r="D609" s="615"/>
      <c r="E609" s="198"/>
      <c r="F609" s="198"/>
      <c r="G609" s="198"/>
      <c r="H609" s="198"/>
      <c r="I609" s="615"/>
      <c r="J609" s="614"/>
      <c r="K609" s="614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198"/>
      <c r="D610" s="615"/>
      <c r="E610" s="198"/>
      <c r="F610" s="198"/>
      <c r="G610" s="198"/>
      <c r="H610" s="198"/>
      <c r="I610" s="615"/>
      <c r="J610" s="614"/>
      <c r="K610" s="614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198"/>
      <c r="D611" s="615"/>
      <c r="E611" s="198"/>
      <c r="F611" s="198"/>
      <c r="G611" s="198"/>
      <c r="H611" s="198"/>
      <c r="I611" s="615"/>
      <c r="J611" s="614"/>
      <c r="K611" s="614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198"/>
      <c r="D612" s="615"/>
      <c r="E612" s="198"/>
      <c r="F612" s="198"/>
      <c r="G612" s="198"/>
      <c r="H612" s="198"/>
      <c r="I612" s="615"/>
      <c r="J612" s="614"/>
      <c r="K612" s="614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198"/>
      <c r="D613" s="615"/>
      <c r="E613" s="198"/>
      <c r="F613" s="198"/>
      <c r="G613" s="198"/>
      <c r="H613" s="198"/>
      <c r="I613" s="615"/>
      <c r="J613" s="614"/>
      <c r="K613" s="614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198"/>
      <c r="D614" s="615"/>
      <c r="E614" s="198"/>
      <c r="F614" s="198"/>
      <c r="G614" s="198"/>
      <c r="H614" s="198"/>
      <c r="I614" s="615"/>
      <c r="J614" s="614"/>
      <c r="K614" s="614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198"/>
      <c r="D615" s="615"/>
      <c r="E615" s="198"/>
      <c r="F615" s="198"/>
      <c r="G615" s="198"/>
      <c r="H615" s="198"/>
      <c r="I615" s="615"/>
      <c r="J615" s="614"/>
      <c r="K615" s="614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198"/>
      <c r="D616" s="615"/>
      <c r="E616" s="198"/>
      <c r="F616" s="198"/>
      <c r="G616" s="198"/>
      <c r="H616" s="198"/>
      <c r="I616" s="615"/>
      <c r="J616" s="614"/>
      <c r="K616" s="614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198"/>
      <c r="D617" s="615"/>
      <c r="E617" s="198"/>
      <c r="F617" s="198"/>
      <c r="G617" s="198"/>
      <c r="H617" s="198"/>
      <c r="I617" s="615"/>
      <c r="J617" s="614"/>
      <c r="K617" s="614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198"/>
      <c r="D618" s="615"/>
      <c r="E618" s="198"/>
      <c r="F618" s="198"/>
      <c r="G618" s="198"/>
      <c r="H618" s="198"/>
      <c r="I618" s="615"/>
      <c r="J618" s="614"/>
      <c r="K618" s="614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198"/>
      <c r="D619" s="615"/>
      <c r="E619" s="198"/>
      <c r="F619" s="198"/>
      <c r="G619" s="198"/>
      <c r="H619" s="198"/>
      <c r="I619" s="615"/>
      <c r="J619" s="614"/>
      <c r="K619" s="614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198"/>
      <c r="D620" s="615"/>
      <c r="E620" s="198"/>
      <c r="F620" s="198"/>
      <c r="G620" s="198"/>
      <c r="H620" s="198"/>
      <c r="I620" s="615"/>
      <c r="J620" s="614"/>
      <c r="K620" s="614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198"/>
      <c r="D621" s="615"/>
      <c r="E621" s="198"/>
      <c r="F621" s="198"/>
      <c r="G621" s="198"/>
      <c r="H621" s="198"/>
      <c r="I621" s="615"/>
      <c r="J621" s="614"/>
      <c r="K621" s="614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198"/>
      <c r="D622" s="615"/>
      <c r="E622" s="198"/>
      <c r="F622" s="198"/>
      <c r="G622" s="198"/>
      <c r="H622" s="198"/>
      <c r="I622" s="615"/>
      <c r="J622" s="614"/>
      <c r="K622" s="614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198"/>
      <c r="D623" s="615"/>
      <c r="E623" s="198"/>
      <c r="F623" s="198"/>
      <c r="G623" s="198"/>
      <c r="H623" s="198"/>
      <c r="I623" s="615"/>
      <c r="J623" s="614"/>
      <c r="K623" s="614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198"/>
      <c r="D624" s="615"/>
      <c r="E624" s="198"/>
      <c r="F624" s="198"/>
      <c r="G624" s="198"/>
      <c r="H624" s="198"/>
      <c r="I624" s="615"/>
      <c r="J624" s="614"/>
      <c r="K624" s="614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198"/>
      <c r="D625" s="615"/>
      <c r="E625" s="198"/>
      <c r="F625" s="198"/>
      <c r="G625" s="198"/>
      <c r="H625" s="198"/>
      <c r="I625" s="615"/>
      <c r="J625" s="614"/>
      <c r="K625" s="614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198"/>
      <c r="D626" s="615"/>
      <c r="E626" s="198"/>
      <c r="F626" s="198"/>
      <c r="G626" s="198"/>
      <c r="H626" s="198"/>
      <c r="I626" s="615"/>
      <c r="J626" s="614"/>
      <c r="K626" s="614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198"/>
      <c r="D627" s="615"/>
      <c r="E627" s="198"/>
      <c r="F627" s="198"/>
      <c r="G627" s="198"/>
      <c r="H627" s="198"/>
      <c r="I627" s="615"/>
      <c r="J627" s="614"/>
      <c r="K627" s="614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198"/>
      <c r="D628" s="615"/>
      <c r="E628" s="198"/>
      <c r="F628" s="198"/>
      <c r="G628" s="198"/>
      <c r="H628" s="198"/>
      <c r="I628" s="615"/>
      <c r="J628" s="614"/>
      <c r="K628" s="614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198"/>
      <c r="D629" s="615"/>
      <c r="E629" s="198"/>
      <c r="F629" s="198"/>
      <c r="G629" s="198"/>
      <c r="H629" s="198"/>
      <c r="I629" s="615"/>
      <c r="J629" s="614"/>
      <c r="K629" s="614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198"/>
      <c r="D630" s="615"/>
      <c r="E630" s="198"/>
      <c r="F630" s="198"/>
      <c r="G630" s="198"/>
      <c r="H630" s="198"/>
      <c r="I630" s="615"/>
      <c r="J630" s="614"/>
      <c r="K630" s="614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198"/>
      <c r="D631" s="615"/>
      <c r="E631" s="198"/>
      <c r="F631" s="198"/>
      <c r="G631" s="198"/>
      <c r="H631" s="198"/>
      <c r="I631" s="615"/>
      <c r="J631" s="614"/>
      <c r="K631" s="614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198"/>
      <c r="D632" s="615"/>
      <c r="E632" s="198"/>
      <c r="F632" s="198"/>
      <c r="G632" s="198"/>
      <c r="H632" s="198"/>
      <c r="I632" s="615"/>
      <c r="J632" s="614"/>
      <c r="K632" s="614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198"/>
      <c r="D633" s="615"/>
      <c r="E633" s="198"/>
      <c r="F633" s="198"/>
      <c r="G633" s="198"/>
      <c r="H633" s="198"/>
      <c r="I633" s="615"/>
      <c r="J633" s="614"/>
      <c r="K633" s="614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198"/>
      <c r="D634" s="615"/>
      <c r="E634" s="198"/>
      <c r="F634" s="198"/>
      <c r="G634" s="198"/>
      <c r="H634" s="198"/>
      <c r="I634" s="615"/>
      <c r="J634" s="614"/>
      <c r="K634" s="614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198"/>
      <c r="D635" s="615"/>
      <c r="E635" s="198"/>
      <c r="F635" s="198"/>
      <c r="G635" s="198"/>
      <c r="H635" s="198"/>
      <c r="I635" s="615"/>
      <c r="J635" s="614"/>
      <c r="K635" s="614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198"/>
      <c r="D636" s="615"/>
      <c r="E636" s="198"/>
      <c r="F636" s="198"/>
      <c r="G636" s="198"/>
      <c r="H636" s="198"/>
      <c r="I636" s="615"/>
      <c r="J636" s="614"/>
      <c r="K636" s="614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198"/>
      <c r="D637" s="615"/>
      <c r="E637" s="198"/>
      <c r="F637" s="198"/>
      <c r="G637" s="198"/>
      <c r="H637" s="198"/>
      <c r="I637" s="615"/>
      <c r="J637" s="614"/>
      <c r="K637" s="614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198"/>
      <c r="D638" s="615"/>
      <c r="E638" s="198"/>
      <c r="F638" s="198"/>
      <c r="G638" s="198"/>
      <c r="H638" s="198"/>
      <c r="I638" s="615"/>
      <c r="J638" s="614"/>
      <c r="K638" s="614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198"/>
      <c r="D639" s="615"/>
      <c r="E639" s="198"/>
      <c r="F639" s="198"/>
      <c r="G639" s="198"/>
      <c r="H639" s="198"/>
      <c r="I639" s="615"/>
      <c r="J639" s="614"/>
      <c r="K639" s="614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198"/>
      <c r="D640" s="615"/>
      <c r="E640" s="198"/>
      <c r="F640" s="198"/>
      <c r="G640" s="198"/>
      <c r="H640" s="198"/>
      <c r="I640" s="615"/>
      <c r="J640" s="614"/>
      <c r="K640" s="614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198"/>
      <c r="D641" s="615"/>
      <c r="E641" s="198"/>
      <c r="F641" s="198"/>
      <c r="G641" s="198"/>
      <c r="H641" s="198"/>
      <c r="I641" s="615"/>
      <c r="J641" s="614"/>
      <c r="K641" s="614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198"/>
      <c r="D642" s="615"/>
      <c r="E642" s="198"/>
      <c r="F642" s="198"/>
      <c r="G642" s="198"/>
      <c r="H642" s="198"/>
      <c r="I642" s="615"/>
      <c r="J642" s="614"/>
      <c r="K642" s="614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198"/>
      <c r="D643" s="615"/>
      <c r="E643" s="198"/>
      <c r="F643" s="198"/>
      <c r="G643" s="198"/>
      <c r="H643" s="198"/>
      <c r="I643" s="615"/>
      <c r="J643" s="614"/>
      <c r="K643" s="614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198"/>
      <c r="D644" s="615"/>
      <c r="E644" s="198"/>
      <c r="F644" s="198"/>
      <c r="G644" s="198"/>
      <c r="H644" s="198"/>
      <c r="I644" s="615"/>
      <c r="J644" s="614"/>
      <c r="K644" s="614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198"/>
      <c r="D645" s="615"/>
      <c r="E645" s="198"/>
      <c r="F645" s="198"/>
      <c r="G645" s="198"/>
      <c r="H645" s="198"/>
      <c r="I645" s="615"/>
      <c r="J645" s="614"/>
      <c r="K645" s="614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198"/>
      <c r="D646" s="615"/>
      <c r="E646" s="198"/>
      <c r="F646" s="198"/>
      <c r="G646" s="198"/>
      <c r="H646" s="198"/>
      <c r="I646" s="615"/>
      <c r="J646" s="614"/>
      <c r="K646" s="614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198"/>
      <c r="D647" s="615"/>
      <c r="E647" s="198"/>
      <c r="F647" s="198"/>
      <c r="G647" s="198"/>
      <c r="H647" s="198"/>
      <c r="I647" s="615"/>
      <c r="J647" s="614"/>
      <c r="K647" s="614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198"/>
      <c r="D648" s="615"/>
      <c r="E648" s="198"/>
      <c r="F648" s="198"/>
      <c r="G648" s="198"/>
      <c r="H648" s="198"/>
      <c r="I648" s="615"/>
      <c r="J648" s="614"/>
      <c r="K648" s="614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198"/>
      <c r="D649" s="615"/>
      <c r="E649" s="198"/>
      <c r="F649" s="198"/>
      <c r="G649" s="198"/>
      <c r="H649" s="198"/>
      <c r="I649" s="615"/>
      <c r="J649" s="614"/>
      <c r="K649" s="614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198"/>
      <c r="D650" s="615"/>
      <c r="E650" s="198"/>
      <c r="F650" s="198"/>
      <c r="G650" s="198"/>
      <c r="H650" s="198"/>
      <c r="I650" s="615"/>
      <c r="J650" s="614"/>
      <c r="K650" s="614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198"/>
      <c r="D651" s="615"/>
      <c r="E651" s="198"/>
      <c r="F651" s="198"/>
      <c r="G651" s="198"/>
      <c r="H651" s="198"/>
      <c r="I651" s="615"/>
      <c r="J651" s="614"/>
      <c r="K651" s="614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198"/>
      <c r="D652" s="615"/>
      <c r="E652" s="198"/>
      <c r="F652" s="198"/>
      <c r="G652" s="198"/>
      <c r="H652" s="198"/>
      <c r="I652" s="615"/>
      <c r="J652" s="614"/>
      <c r="K652" s="614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198"/>
      <c r="D653" s="615"/>
      <c r="E653" s="198"/>
      <c r="F653" s="198"/>
      <c r="G653" s="198"/>
      <c r="H653" s="198"/>
      <c r="I653" s="615"/>
      <c r="J653" s="614"/>
      <c r="K653" s="614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198"/>
      <c r="D654" s="615"/>
      <c r="E654" s="198"/>
      <c r="F654" s="198"/>
      <c r="G654" s="198"/>
      <c r="H654" s="198"/>
      <c r="I654" s="615"/>
      <c r="J654" s="614"/>
      <c r="K654" s="614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198"/>
      <c r="D655" s="615"/>
      <c r="E655" s="198"/>
      <c r="F655" s="198"/>
      <c r="G655" s="198"/>
      <c r="H655" s="198"/>
      <c r="I655" s="615"/>
      <c r="J655" s="614"/>
      <c r="K655" s="614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198"/>
      <c r="D656" s="615"/>
      <c r="E656" s="198"/>
      <c r="F656" s="198"/>
      <c r="G656" s="198"/>
      <c r="H656" s="198"/>
      <c r="I656" s="615"/>
      <c r="J656" s="614"/>
      <c r="K656" s="614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198"/>
      <c r="D657" s="615"/>
      <c r="E657" s="198"/>
      <c r="F657" s="198"/>
      <c r="G657" s="198"/>
      <c r="H657" s="198"/>
      <c r="I657" s="615"/>
      <c r="J657" s="614"/>
      <c r="K657" s="614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198"/>
      <c r="D658" s="615"/>
      <c r="E658" s="198"/>
      <c r="F658" s="198"/>
      <c r="G658" s="198"/>
      <c r="H658" s="198"/>
      <c r="I658" s="615"/>
      <c r="J658" s="614"/>
      <c r="K658" s="614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198"/>
      <c r="D659" s="615"/>
      <c r="E659" s="198"/>
      <c r="F659" s="198"/>
      <c r="G659" s="198"/>
      <c r="H659" s="198"/>
      <c r="I659" s="615"/>
      <c r="J659" s="614"/>
      <c r="K659" s="614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198"/>
      <c r="D660" s="615"/>
      <c r="E660" s="198"/>
      <c r="F660" s="198"/>
      <c r="G660" s="198"/>
      <c r="H660" s="198"/>
      <c r="I660" s="615"/>
      <c r="J660" s="614"/>
      <c r="K660" s="614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198"/>
      <c r="D661" s="615"/>
      <c r="E661" s="198"/>
      <c r="F661" s="198"/>
      <c r="G661" s="198"/>
      <c r="H661" s="198"/>
      <c r="I661" s="615"/>
      <c r="J661" s="614"/>
      <c r="K661" s="614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198"/>
      <c r="D662" s="615"/>
      <c r="E662" s="198"/>
      <c r="F662" s="198"/>
      <c r="G662" s="198"/>
      <c r="H662" s="198"/>
      <c r="I662" s="615"/>
      <c r="J662" s="614"/>
      <c r="K662" s="614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198"/>
      <c r="D663" s="615"/>
      <c r="E663" s="198"/>
      <c r="F663" s="198"/>
      <c r="G663" s="198"/>
      <c r="H663" s="198"/>
      <c r="I663" s="615"/>
      <c r="J663" s="614"/>
      <c r="K663" s="614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198"/>
      <c r="D664" s="615"/>
      <c r="E664" s="198"/>
      <c r="F664" s="198"/>
      <c r="G664" s="198"/>
      <c r="H664" s="198"/>
      <c r="I664" s="615"/>
      <c r="J664" s="614"/>
      <c r="K664" s="614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198"/>
      <c r="D665" s="615"/>
      <c r="E665" s="198"/>
      <c r="F665" s="198"/>
      <c r="G665" s="198"/>
      <c r="H665" s="198"/>
      <c r="I665" s="615"/>
      <c r="J665" s="614"/>
      <c r="K665" s="614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198"/>
      <c r="D666" s="615"/>
      <c r="E666" s="198"/>
      <c r="F666" s="198"/>
      <c r="G666" s="198"/>
      <c r="H666" s="198"/>
      <c r="I666" s="615"/>
      <c r="J666" s="614"/>
      <c r="K666" s="614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198"/>
      <c r="D667" s="615"/>
      <c r="E667" s="198"/>
      <c r="F667" s="198"/>
      <c r="G667" s="198"/>
      <c r="H667" s="198"/>
      <c r="I667" s="615"/>
      <c r="J667" s="614"/>
      <c r="K667" s="614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198"/>
      <c r="D668" s="615"/>
      <c r="E668" s="198"/>
      <c r="F668" s="198"/>
      <c r="G668" s="198"/>
      <c r="H668" s="198"/>
      <c r="I668" s="615"/>
      <c r="J668" s="614"/>
      <c r="K668" s="614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198"/>
      <c r="D669" s="615"/>
      <c r="E669" s="198"/>
      <c r="F669" s="198"/>
      <c r="G669" s="198"/>
      <c r="H669" s="198"/>
      <c r="I669" s="615"/>
      <c r="J669" s="614"/>
      <c r="K669" s="614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198"/>
      <c r="D670" s="615"/>
      <c r="E670" s="198"/>
      <c r="F670" s="198"/>
      <c r="G670" s="198"/>
      <c r="H670" s="198"/>
      <c r="I670" s="615"/>
      <c r="J670" s="614"/>
      <c r="K670" s="614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198"/>
      <c r="D671" s="615"/>
      <c r="E671" s="198"/>
      <c r="F671" s="198"/>
      <c r="G671" s="198"/>
      <c r="H671" s="198"/>
      <c r="I671" s="615"/>
      <c r="J671" s="614"/>
      <c r="K671" s="614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198"/>
      <c r="D672" s="615"/>
      <c r="E672" s="198"/>
      <c r="F672" s="198"/>
      <c r="G672" s="198"/>
      <c r="H672" s="198"/>
      <c r="I672" s="615"/>
      <c r="J672" s="614"/>
      <c r="K672" s="614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198"/>
      <c r="D673" s="615"/>
      <c r="E673" s="198"/>
      <c r="F673" s="198"/>
      <c r="G673" s="198"/>
      <c r="H673" s="198"/>
      <c r="I673" s="615"/>
      <c r="J673" s="614"/>
      <c r="K673" s="614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198"/>
      <c r="D674" s="615"/>
      <c r="E674" s="198"/>
      <c r="F674" s="198"/>
      <c r="G674" s="198"/>
      <c r="H674" s="198"/>
      <c r="I674" s="615"/>
      <c r="J674" s="614"/>
      <c r="K674" s="614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198"/>
      <c r="D675" s="615"/>
      <c r="E675" s="198"/>
      <c r="F675" s="198"/>
      <c r="G675" s="198"/>
      <c r="H675" s="198"/>
      <c r="I675" s="615"/>
      <c r="J675" s="614"/>
      <c r="K675" s="614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198"/>
      <c r="D676" s="615"/>
      <c r="E676" s="198"/>
      <c r="F676" s="198"/>
      <c r="G676" s="198"/>
      <c r="H676" s="198"/>
      <c r="I676" s="615"/>
      <c r="J676" s="614"/>
      <c r="K676" s="614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198"/>
      <c r="D677" s="615"/>
      <c r="E677" s="198"/>
      <c r="F677" s="198"/>
      <c r="G677" s="198"/>
      <c r="H677" s="198"/>
      <c r="I677" s="615"/>
      <c r="J677" s="614"/>
      <c r="K677" s="614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198"/>
      <c r="D678" s="615"/>
      <c r="E678" s="198"/>
      <c r="F678" s="198"/>
      <c r="G678" s="198"/>
      <c r="H678" s="198"/>
      <c r="I678" s="615"/>
      <c r="J678" s="614"/>
      <c r="K678" s="614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198"/>
      <c r="D679" s="615"/>
      <c r="E679" s="198"/>
      <c r="F679" s="198"/>
      <c r="G679" s="198"/>
      <c r="H679" s="198"/>
      <c r="I679" s="615"/>
      <c r="J679" s="614"/>
      <c r="K679" s="614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198"/>
      <c r="D680" s="615"/>
      <c r="E680" s="198"/>
      <c r="F680" s="198"/>
      <c r="G680" s="198"/>
      <c r="H680" s="198"/>
      <c r="I680" s="615"/>
      <c r="J680" s="614"/>
      <c r="K680" s="614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198"/>
      <c r="D681" s="615"/>
      <c r="E681" s="198"/>
      <c r="F681" s="198"/>
      <c r="G681" s="198"/>
      <c r="H681" s="198"/>
      <c r="I681" s="615"/>
      <c r="J681" s="614"/>
      <c r="K681" s="614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198"/>
      <c r="D682" s="615"/>
      <c r="E682" s="198"/>
      <c r="F682" s="198"/>
      <c r="G682" s="198"/>
      <c r="H682" s="198"/>
      <c r="I682" s="615"/>
      <c r="J682" s="614"/>
      <c r="K682" s="614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198"/>
      <c r="D683" s="615"/>
      <c r="E683" s="198"/>
      <c r="F683" s="198"/>
      <c r="G683" s="198"/>
      <c r="H683" s="198"/>
      <c r="I683" s="615"/>
      <c r="J683" s="614"/>
      <c r="K683" s="614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198"/>
      <c r="D684" s="615"/>
      <c r="E684" s="198"/>
      <c r="F684" s="198"/>
      <c r="G684" s="198"/>
      <c r="H684" s="198"/>
      <c r="I684" s="615"/>
      <c r="J684" s="614"/>
      <c r="K684" s="614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198"/>
      <c r="D685" s="615"/>
      <c r="E685" s="198"/>
      <c r="F685" s="198"/>
      <c r="G685" s="198"/>
      <c r="H685" s="198"/>
      <c r="I685" s="615"/>
      <c r="J685" s="614"/>
      <c r="K685" s="614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198"/>
      <c r="D686" s="615"/>
      <c r="E686" s="198"/>
      <c r="F686" s="198"/>
      <c r="G686" s="198"/>
      <c r="H686" s="198"/>
      <c r="I686" s="615"/>
      <c r="J686" s="614"/>
      <c r="K686" s="614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198"/>
      <c r="D687" s="615"/>
      <c r="E687" s="198"/>
      <c r="F687" s="198"/>
      <c r="G687" s="198"/>
      <c r="H687" s="198"/>
      <c r="I687" s="615"/>
      <c r="J687" s="614"/>
      <c r="K687" s="614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198"/>
      <c r="D688" s="615"/>
      <c r="E688" s="198"/>
      <c r="F688" s="198"/>
      <c r="G688" s="198"/>
      <c r="H688" s="198"/>
      <c r="I688" s="615"/>
      <c r="J688" s="614"/>
      <c r="K688" s="614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198"/>
      <c r="D689" s="615"/>
      <c r="E689" s="198"/>
      <c r="F689" s="198"/>
      <c r="G689" s="198"/>
      <c r="H689" s="198"/>
      <c r="I689" s="615"/>
      <c r="J689" s="614"/>
      <c r="K689" s="614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198"/>
      <c r="D690" s="615"/>
      <c r="E690" s="198"/>
      <c r="F690" s="198"/>
      <c r="G690" s="198"/>
      <c r="H690" s="198"/>
      <c r="I690" s="615"/>
      <c r="J690" s="614"/>
      <c r="K690" s="614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198"/>
      <c r="D691" s="615"/>
      <c r="E691" s="198"/>
      <c r="F691" s="198"/>
      <c r="G691" s="198"/>
      <c r="H691" s="198"/>
      <c r="I691" s="615"/>
      <c r="J691" s="614"/>
      <c r="K691" s="614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198"/>
      <c r="D692" s="615"/>
      <c r="E692" s="198"/>
      <c r="F692" s="198"/>
      <c r="G692" s="198"/>
      <c r="H692" s="198"/>
      <c r="I692" s="615"/>
      <c r="J692" s="614"/>
      <c r="K692" s="614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198"/>
      <c r="D693" s="615"/>
      <c r="E693" s="198"/>
      <c r="F693" s="198"/>
      <c r="G693" s="198"/>
      <c r="H693" s="198"/>
      <c r="I693" s="615"/>
      <c r="J693" s="614"/>
      <c r="K693" s="614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198"/>
      <c r="D694" s="615"/>
      <c r="E694" s="198"/>
      <c r="F694" s="198"/>
      <c r="G694" s="198"/>
      <c r="H694" s="198"/>
      <c r="I694" s="615"/>
      <c r="J694" s="614"/>
      <c r="K694" s="614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198"/>
      <c r="D695" s="615"/>
      <c r="E695" s="198"/>
      <c r="F695" s="198"/>
      <c r="G695" s="198"/>
      <c r="H695" s="198"/>
      <c r="I695" s="615"/>
      <c r="J695" s="614"/>
      <c r="K695" s="614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198"/>
      <c r="D696" s="615"/>
      <c r="E696" s="198"/>
      <c r="F696" s="198"/>
      <c r="G696" s="198"/>
      <c r="H696" s="198"/>
      <c r="I696" s="615"/>
      <c r="J696" s="614"/>
      <c r="K696" s="614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198"/>
      <c r="D697" s="615"/>
      <c r="E697" s="198"/>
      <c r="F697" s="198"/>
      <c r="G697" s="198"/>
      <c r="H697" s="198"/>
      <c r="I697" s="615"/>
      <c r="J697" s="614"/>
      <c r="K697" s="614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198"/>
      <c r="D698" s="615"/>
      <c r="E698" s="198"/>
      <c r="F698" s="198"/>
      <c r="G698" s="198"/>
      <c r="H698" s="198"/>
      <c r="I698" s="615"/>
      <c r="J698" s="614"/>
      <c r="K698" s="614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198"/>
      <c r="D699" s="615"/>
      <c r="E699" s="198"/>
      <c r="F699" s="198"/>
      <c r="G699" s="198"/>
      <c r="H699" s="198"/>
      <c r="I699" s="615"/>
      <c r="J699" s="614"/>
      <c r="K699" s="614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198"/>
      <c r="D700" s="615"/>
      <c r="E700" s="198"/>
      <c r="F700" s="198"/>
      <c r="G700" s="198"/>
      <c r="H700" s="198"/>
      <c r="I700" s="615"/>
      <c r="J700" s="614"/>
      <c r="K700" s="614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198"/>
      <c r="D701" s="615"/>
      <c r="E701" s="198"/>
      <c r="F701" s="198"/>
      <c r="G701" s="198"/>
      <c r="H701" s="198"/>
      <c r="I701" s="615"/>
      <c r="J701" s="614"/>
      <c r="K701" s="614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198"/>
      <c r="D702" s="615"/>
      <c r="E702" s="198"/>
      <c r="F702" s="198"/>
      <c r="G702" s="198"/>
      <c r="H702" s="198"/>
      <c r="I702" s="615"/>
      <c r="J702" s="614"/>
      <c r="K702" s="614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198"/>
      <c r="D703" s="615"/>
      <c r="E703" s="198"/>
      <c r="F703" s="198"/>
      <c r="G703" s="198"/>
      <c r="H703" s="198"/>
      <c r="I703" s="615"/>
      <c r="J703" s="614"/>
      <c r="K703" s="614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198"/>
      <c r="D704" s="615"/>
      <c r="E704" s="198"/>
      <c r="F704" s="198"/>
      <c r="G704" s="198"/>
      <c r="H704" s="198"/>
      <c r="I704" s="615"/>
      <c r="J704" s="614"/>
      <c r="K704" s="614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198"/>
      <c r="D705" s="615"/>
      <c r="E705" s="198"/>
      <c r="F705" s="198"/>
      <c r="G705" s="198"/>
      <c r="H705" s="198"/>
      <c r="I705" s="615"/>
      <c r="J705" s="614"/>
      <c r="K705" s="614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198"/>
      <c r="D706" s="615"/>
      <c r="E706" s="198"/>
      <c r="F706" s="198"/>
      <c r="G706" s="198"/>
      <c r="H706" s="198"/>
      <c r="I706" s="615"/>
      <c r="J706" s="614"/>
      <c r="K706" s="614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198"/>
      <c r="D707" s="615"/>
      <c r="E707" s="198"/>
      <c r="F707" s="198"/>
      <c r="G707" s="198"/>
      <c r="H707" s="198"/>
      <c r="I707" s="615"/>
      <c r="J707" s="614"/>
      <c r="K707" s="614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198"/>
      <c r="D708" s="615"/>
      <c r="E708" s="198"/>
      <c r="F708" s="198"/>
      <c r="G708" s="198"/>
      <c r="H708" s="198"/>
      <c r="I708" s="615"/>
      <c r="J708" s="614"/>
      <c r="K708" s="614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198"/>
      <c r="D709" s="615"/>
      <c r="E709" s="198"/>
      <c r="F709" s="198"/>
      <c r="G709" s="198"/>
      <c r="H709" s="198"/>
      <c r="I709" s="615"/>
      <c r="J709" s="614"/>
      <c r="K709" s="614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198"/>
      <c r="D710" s="615"/>
      <c r="E710" s="198"/>
      <c r="F710" s="198"/>
      <c r="G710" s="198"/>
      <c r="H710" s="198"/>
      <c r="I710" s="615"/>
      <c r="J710" s="614"/>
      <c r="K710" s="614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198"/>
      <c r="D711" s="615"/>
      <c r="E711" s="198"/>
      <c r="F711" s="198"/>
      <c r="G711" s="198"/>
      <c r="H711" s="198"/>
      <c r="I711" s="615"/>
      <c r="J711" s="614"/>
      <c r="K711" s="614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198"/>
      <c r="D712" s="615"/>
      <c r="E712" s="198"/>
      <c r="F712" s="198"/>
      <c r="G712" s="198"/>
      <c r="H712" s="198"/>
      <c r="I712" s="615"/>
      <c r="J712" s="614"/>
      <c r="K712" s="614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198"/>
      <c r="D713" s="615"/>
      <c r="E713" s="198"/>
      <c r="F713" s="198"/>
      <c r="G713" s="198"/>
      <c r="H713" s="198"/>
      <c r="I713" s="615"/>
      <c r="J713" s="614"/>
      <c r="K713" s="614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198"/>
      <c r="D714" s="615"/>
      <c r="E714" s="198"/>
      <c r="F714" s="198"/>
      <c r="G714" s="198"/>
      <c r="H714" s="198"/>
      <c r="I714" s="615"/>
      <c r="J714" s="614"/>
      <c r="K714" s="614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198"/>
      <c r="D715" s="615"/>
      <c r="E715" s="198"/>
      <c r="F715" s="198"/>
      <c r="G715" s="198"/>
      <c r="H715" s="198"/>
      <c r="I715" s="615"/>
      <c r="J715" s="614"/>
      <c r="K715" s="614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198"/>
      <c r="D716" s="615"/>
      <c r="E716" s="198"/>
      <c r="F716" s="198"/>
      <c r="G716" s="198"/>
      <c r="H716" s="198"/>
      <c r="I716" s="615"/>
      <c r="J716" s="614"/>
      <c r="K716" s="614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198"/>
      <c r="D717" s="615"/>
      <c r="E717" s="198"/>
      <c r="F717" s="198"/>
      <c r="G717" s="198"/>
      <c r="H717" s="198"/>
      <c r="I717" s="615"/>
      <c r="J717" s="614"/>
      <c r="K717" s="614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198"/>
      <c r="D718" s="615"/>
      <c r="E718" s="198"/>
      <c r="F718" s="198"/>
      <c r="G718" s="198"/>
      <c r="H718" s="198"/>
      <c r="I718" s="615"/>
      <c r="J718" s="614"/>
      <c r="K718" s="614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198"/>
      <c r="D719" s="615"/>
      <c r="E719" s="198"/>
      <c r="F719" s="198"/>
      <c r="G719" s="198"/>
      <c r="H719" s="198"/>
      <c r="I719" s="615"/>
      <c r="J719" s="614"/>
      <c r="K719" s="614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198"/>
      <c r="D720" s="615"/>
      <c r="E720" s="198"/>
      <c r="F720" s="198"/>
      <c r="G720" s="198"/>
      <c r="H720" s="198"/>
      <c r="I720" s="615"/>
      <c r="J720" s="614"/>
      <c r="K720" s="614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198"/>
      <c r="D721" s="615"/>
      <c r="E721" s="198"/>
      <c r="F721" s="198"/>
      <c r="G721" s="198"/>
      <c r="H721" s="198"/>
      <c r="I721" s="615"/>
      <c r="J721" s="614"/>
      <c r="K721" s="614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198"/>
      <c r="D722" s="615"/>
      <c r="E722" s="198"/>
      <c r="F722" s="198"/>
      <c r="G722" s="198"/>
      <c r="H722" s="198"/>
      <c r="I722" s="615"/>
      <c r="J722" s="614"/>
      <c r="K722" s="614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198"/>
      <c r="D723" s="615"/>
      <c r="E723" s="198"/>
      <c r="F723" s="198"/>
      <c r="G723" s="198"/>
      <c r="H723" s="198"/>
      <c r="I723" s="615"/>
      <c r="J723" s="614"/>
      <c r="K723" s="614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198"/>
      <c r="D724" s="615"/>
      <c r="E724" s="198"/>
      <c r="F724" s="198"/>
      <c r="G724" s="198"/>
      <c r="H724" s="198"/>
      <c r="I724" s="615"/>
      <c r="J724" s="614"/>
      <c r="K724" s="614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198"/>
      <c r="D725" s="615"/>
      <c r="E725" s="198"/>
      <c r="F725" s="198"/>
      <c r="G725" s="198"/>
      <c r="H725" s="198"/>
      <c r="I725" s="615"/>
      <c r="J725" s="614"/>
      <c r="K725" s="614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198"/>
      <c r="D726" s="615"/>
      <c r="E726" s="198"/>
      <c r="F726" s="198"/>
      <c r="G726" s="198"/>
      <c r="H726" s="198"/>
      <c r="I726" s="615"/>
      <c r="J726" s="614"/>
      <c r="K726" s="614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198"/>
      <c r="D727" s="615"/>
      <c r="E727" s="198"/>
      <c r="F727" s="198"/>
      <c r="G727" s="198"/>
      <c r="H727" s="198"/>
      <c r="I727" s="615"/>
      <c r="J727" s="614"/>
      <c r="K727" s="614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198"/>
      <c r="D728" s="615"/>
      <c r="E728" s="198"/>
      <c r="F728" s="198"/>
      <c r="G728" s="198"/>
      <c r="H728" s="198"/>
      <c r="I728" s="615"/>
      <c r="J728" s="614"/>
      <c r="K728" s="614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198"/>
      <c r="D729" s="615"/>
      <c r="E729" s="198"/>
      <c r="F729" s="198"/>
      <c r="G729" s="198"/>
      <c r="H729" s="198"/>
      <c r="I729" s="615"/>
      <c r="J729" s="614"/>
      <c r="K729" s="614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198"/>
      <c r="D730" s="615"/>
      <c r="E730" s="198"/>
      <c r="F730" s="198"/>
      <c r="G730" s="198"/>
      <c r="H730" s="198"/>
      <c r="I730" s="615"/>
      <c r="J730" s="614"/>
      <c r="K730" s="614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198"/>
      <c r="D731" s="615"/>
      <c r="E731" s="198"/>
      <c r="F731" s="198"/>
      <c r="G731" s="198"/>
      <c r="H731" s="198"/>
      <c r="I731" s="615"/>
      <c r="J731" s="614"/>
      <c r="K731" s="614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198"/>
      <c r="D732" s="615"/>
      <c r="E732" s="198"/>
      <c r="F732" s="198"/>
      <c r="G732" s="198"/>
      <c r="H732" s="198"/>
      <c r="I732" s="615"/>
      <c r="J732" s="614"/>
      <c r="K732" s="614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198"/>
      <c r="D733" s="615"/>
      <c r="E733" s="198"/>
      <c r="F733" s="198"/>
      <c r="G733" s="198"/>
      <c r="H733" s="198"/>
      <c r="I733" s="615"/>
      <c r="J733" s="614"/>
      <c r="K733" s="614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198"/>
      <c r="D734" s="615"/>
      <c r="E734" s="198"/>
      <c r="F734" s="198"/>
      <c r="G734" s="198"/>
      <c r="H734" s="198"/>
      <c r="I734" s="615"/>
      <c r="J734" s="614"/>
      <c r="K734" s="614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198"/>
      <c r="D735" s="615"/>
      <c r="E735" s="198"/>
      <c r="F735" s="198"/>
      <c r="G735" s="198"/>
      <c r="H735" s="198"/>
      <c r="I735" s="615"/>
      <c r="J735" s="614"/>
      <c r="K735" s="614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198"/>
      <c r="D736" s="615"/>
      <c r="E736" s="198"/>
      <c r="F736" s="198"/>
      <c r="G736" s="198"/>
      <c r="H736" s="198"/>
      <c r="I736" s="615"/>
      <c r="J736" s="614"/>
      <c r="K736" s="614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198"/>
      <c r="D737" s="615"/>
      <c r="E737" s="198"/>
      <c r="F737" s="198"/>
      <c r="G737" s="198"/>
      <c r="H737" s="198"/>
      <c r="I737" s="615"/>
      <c r="J737" s="614"/>
      <c r="K737" s="614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198"/>
      <c r="D738" s="615"/>
      <c r="E738" s="198"/>
      <c r="F738" s="198"/>
      <c r="G738" s="198"/>
      <c r="H738" s="198"/>
      <c r="I738" s="615"/>
      <c r="J738" s="614"/>
      <c r="K738" s="614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198"/>
      <c r="D739" s="615"/>
      <c r="E739" s="198"/>
      <c r="F739" s="198"/>
      <c r="G739" s="198"/>
      <c r="H739" s="198"/>
      <c r="I739" s="615"/>
      <c r="J739" s="614"/>
      <c r="K739" s="614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198"/>
      <c r="D740" s="615"/>
      <c r="E740" s="198"/>
      <c r="F740" s="198"/>
      <c r="G740" s="198"/>
      <c r="H740" s="198"/>
      <c r="I740" s="615"/>
      <c r="J740" s="614"/>
      <c r="K740" s="614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198"/>
      <c r="D741" s="615"/>
      <c r="E741" s="198"/>
      <c r="F741" s="198"/>
      <c r="G741" s="198"/>
      <c r="H741" s="198"/>
      <c r="I741" s="615"/>
      <c r="J741" s="614"/>
      <c r="K741" s="614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198"/>
      <c r="D742" s="615"/>
      <c r="E742" s="198"/>
      <c r="F742" s="198"/>
      <c r="G742" s="198"/>
      <c r="H742" s="198"/>
      <c r="I742" s="615"/>
      <c r="J742" s="614"/>
      <c r="K742" s="614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198"/>
      <c r="D743" s="615"/>
      <c r="E743" s="198"/>
      <c r="F743" s="198"/>
      <c r="G743" s="198"/>
      <c r="H743" s="198"/>
      <c r="I743" s="615"/>
      <c r="J743" s="614"/>
      <c r="K743" s="614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198"/>
      <c r="D744" s="615"/>
      <c r="E744" s="198"/>
      <c r="F744" s="198"/>
      <c r="G744" s="198"/>
      <c r="H744" s="198"/>
      <c r="I744" s="615"/>
      <c r="J744" s="614"/>
      <c r="K744" s="614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198"/>
      <c r="D745" s="615"/>
      <c r="E745" s="198"/>
      <c r="F745" s="198"/>
      <c r="G745" s="198"/>
      <c r="H745" s="198"/>
      <c r="I745" s="615"/>
      <c r="J745" s="614"/>
      <c r="K745" s="614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198"/>
      <c r="D746" s="615"/>
      <c r="E746" s="198"/>
      <c r="F746" s="198"/>
      <c r="G746" s="198"/>
      <c r="H746" s="198"/>
      <c r="I746" s="615"/>
      <c r="J746" s="614"/>
      <c r="K746" s="614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198"/>
      <c r="D747" s="615"/>
      <c r="E747" s="198"/>
      <c r="F747" s="198"/>
      <c r="G747" s="198"/>
      <c r="H747" s="198"/>
      <c r="I747" s="615"/>
      <c r="J747" s="614"/>
      <c r="K747" s="614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198"/>
      <c r="D748" s="615"/>
      <c r="E748" s="198"/>
      <c r="F748" s="198"/>
      <c r="G748" s="198"/>
      <c r="H748" s="198"/>
      <c r="I748" s="615"/>
      <c r="J748" s="614"/>
      <c r="K748" s="614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198"/>
      <c r="D749" s="615"/>
      <c r="E749" s="198"/>
      <c r="F749" s="198"/>
      <c r="G749" s="198"/>
      <c r="H749" s="198"/>
      <c r="I749" s="615"/>
      <c r="J749" s="614"/>
      <c r="K749" s="614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198"/>
      <c r="D750" s="615"/>
      <c r="E750" s="198"/>
      <c r="F750" s="198"/>
      <c r="G750" s="198"/>
      <c r="H750" s="198"/>
      <c r="I750" s="615"/>
      <c r="J750" s="614"/>
      <c r="K750" s="614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198"/>
      <c r="D751" s="615"/>
      <c r="E751" s="198"/>
      <c r="F751" s="198"/>
      <c r="G751" s="198"/>
      <c r="H751" s="198"/>
      <c r="I751" s="615"/>
      <c r="J751" s="614"/>
      <c r="K751" s="614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198"/>
      <c r="D752" s="615"/>
      <c r="E752" s="198"/>
      <c r="F752" s="198"/>
      <c r="G752" s="198"/>
      <c r="H752" s="198"/>
      <c r="I752" s="615"/>
      <c r="J752" s="614"/>
      <c r="K752" s="614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198"/>
      <c r="D753" s="615"/>
      <c r="E753" s="198"/>
      <c r="F753" s="198"/>
      <c r="G753" s="198"/>
      <c r="H753" s="198"/>
      <c r="I753" s="615"/>
      <c r="J753" s="614"/>
      <c r="K753" s="614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198"/>
      <c r="D754" s="615"/>
      <c r="E754" s="198"/>
      <c r="F754" s="198"/>
      <c r="G754" s="198"/>
      <c r="H754" s="198"/>
      <c r="I754" s="615"/>
      <c r="J754" s="614"/>
      <c r="K754" s="614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198"/>
      <c r="D755" s="615"/>
      <c r="E755" s="198"/>
      <c r="F755" s="198"/>
      <c r="G755" s="198"/>
      <c r="H755" s="198"/>
      <c r="I755" s="615"/>
      <c r="J755" s="614"/>
      <c r="K755" s="614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198"/>
      <c r="D756" s="615"/>
      <c r="E756" s="198"/>
      <c r="F756" s="198"/>
      <c r="G756" s="198"/>
      <c r="H756" s="198"/>
      <c r="I756" s="615"/>
      <c r="J756" s="614"/>
      <c r="K756" s="614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198"/>
      <c r="D757" s="615"/>
      <c r="E757" s="198"/>
      <c r="F757" s="198"/>
      <c r="G757" s="198"/>
      <c r="H757" s="198"/>
      <c r="I757" s="615"/>
      <c r="J757" s="614"/>
      <c r="K757" s="614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198"/>
      <c r="D758" s="615"/>
      <c r="E758" s="198"/>
      <c r="F758" s="198"/>
      <c r="G758" s="198"/>
      <c r="H758" s="198"/>
      <c r="I758" s="615"/>
      <c r="J758" s="614"/>
      <c r="K758" s="614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198"/>
      <c r="D759" s="615"/>
      <c r="E759" s="198"/>
      <c r="F759" s="198"/>
      <c r="G759" s="198"/>
      <c r="H759" s="198"/>
      <c r="I759" s="615"/>
      <c r="J759" s="614"/>
      <c r="K759" s="614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198"/>
      <c r="D760" s="615"/>
      <c r="E760" s="198"/>
      <c r="F760" s="198"/>
      <c r="G760" s="198"/>
      <c r="H760" s="198"/>
      <c r="I760" s="615"/>
      <c r="J760" s="614"/>
      <c r="K760" s="614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198"/>
      <c r="D761" s="615"/>
      <c r="E761" s="198"/>
      <c r="F761" s="198"/>
      <c r="G761" s="198"/>
      <c r="H761" s="198"/>
      <c r="I761" s="615"/>
      <c r="J761" s="614"/>
      <c r="K761" s="614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198"/>
      <c r="D762" s="615"/>
      <c r="E762" s="198"/>
      <c r="F762" s="198"/>
      <c r="G762" s="198"/>
      <c r="H762" s="198"/>
      <c r="I762" s="615"/>
      <c r="J762" s="614"/>
      <c r="K762" s="614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198"/>
      <c r="D763" s="615"/>
      <c r="E763" s="198"/>
      <c r="F763" s="198"/>
      <c r="G763" s="198"/>
      <c r="H763" s="198"/>
      <c r="I763" s="615"/>
      <c r="J763" s="614"/>
      <c r="K763" s="614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198"/>
      <c r="D764" s="615"/>
      <c r="E764" s="198"/>
      <c r="F764" s="198"/>
      <c r="G764" s="198"/>
      <c r="H764" s="198"/>
      <c r="I764" s="615"/>
      <c r="J764" s="614"/>
      <c r="K764" s="614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198"/>
      <c r="D765" s="615"/>
      <c r="E765" s="198"/>
      <c r="F765" s="198"/>
      <c r="G765" s="198"/>
      <c r="H765" s="198"/>
      <c r="I765" s="615"/>
      <c r="J765" s="614"/>
      <c r="K765" s="614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198"/>
      <c r="D766" s="615"/>
      <c r="E766" s="198"/>
      <c r="F766" s="198"/>
      <c r="G766" s="198"/>
      <c r="H766" s="198"/>
      <c r="I766" s="615"/>
      <c r="J766" s="614"/>
      <c r="K766" s="614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198"/>
      <c r="D767" s="615"/>
      <c r="E767" s="198"/>
      <c r="F767" s="198"/>
      <c r="G767" s="198"/>
      <c r="H767" s="198"/>
      <c r="I767" s="615"/>
      <c r="J767" s="614"/>
      <c r="K767" s="614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198"/>
      <c r="D768" s="615"/>
      <c r="E768" s="198"/>
      <c r="F768" s="198"/>
      <c r="G768" s="198"/>
      <c r="H768" s="198"/>
      <c r="I768" s="615"/>
      <c r="J768" s="614"/>
      <c r="K768" s="614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198"/>
      <c r="D769" s="615"/>
      <c r="E769" s="198"/>
      <c r="F769" s="198"/>
      <c r="G769" s="198"/>
      <c r="H769" s="198"/>
      <c r="I769" s="615"/>
      <c r="J769" s="614"/>
      <c r="K769" s="614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198"/>
      <c r="D770" s="615"/>
      <c r="E770" s="198"/>
      <c r="F770" s="198"/>
      <c r="G770" s="198"/>
      <c r="H770" s="198"/>
      <c r="I770" s="615"/>
      <c r="J770" s="614"/>
      <c r="K770" s="614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198"/>
      <c r="D771" s="615"/>
      <c r="E771" s="198"/>
      <c r="F771" s="198"/>
      <c r="G771" s="198"/>
      <c r="H771" s="198"/>
      <c r="I771" s="615"/>
      <c r="J771" s="614"/>
      <c r="K771" s="614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198"/>
      <c r="D772" s="615"/>
      <c r="E772" s="198"/>
      <c r="F772" s="198"/>
      <c r="G772" s="198"/>
      <c r="H772" s="198"/>
      <c r="I772" s="615"/>
      <c r="J772" s="614"/>
      <c r="K772" s="614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198"/>
      <c r="D773" s="615"/>
      <c r="E773" s="198"/>
      <c r="F773" s="198"/>
      <c r="G773" s="198"/>
      <c r="H773" s="198"/>
      <c r="I773" s="615"/>
      <c r="J773" s="614"/>
      <c r="K773" s="614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198"/>
      <c r="D774" s="615"/>
      <c r="E774" s="198"/>
      <c r="F774" s="198"/>
      <c r="G774" s="198"/>
      <c r="H774" s="198"/>
      <c r="I774" s="615"/>
      <c r="J774" s="614"/>
      <c r="K774" s="614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198"/>
      <c r="D775" s="615"/>
      <c r="E775" s="198"/>
      <c r="F775" s="198"/>
      <c r="G775" s="198"/>
      <c r="H775" s="198"/>
      <c r="I775" s="615"/>
      <c r="J775" s="614"/>
      <c r="K775" s="614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198"/>
      <c r="D776" s="615"/>
      <c r="E776" s="198"/>
      <c r="F776" s="198"/>
      <c r="G776" s="198"/>
      <c r="H776" s="198"/>
      <c r="I776" s="615"/>
      <c r="J776" s="614"/>
      <c r="K776" s="614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198"/>
      <c r="D777" s="615"/>
      <c r="E777" s="198"/>
      <c r="F777" s="198"/>
      <c r="G777" s="198"/>
      <c r="H777" s="198"/>
      <c r="I777" s="615"/>
      <c r="J777" s="614"/>
      <c r="K777" s="614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198"/>
      <c r="D778" s="615"/>
      <c r="E778" s="198"/>
      <c r="F778" s="198"/>
      <c r="G778" s="198"/>
      <c r="H778" s="198"/>
      <c r="I778" s="615"/>
      <c r="J778" s="614"/>
      <c r="K778" s="614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198"/>
      <c r="D779" s="615"/>
      <c r="E779" s="198"/>
      <c r="F779" s="198"/>
      <c r="G779" s="198"/>
      <c r="H779" s="198"/>
      <c r="I779" s="615"/>
      <c r="J779" s="614"/>
      <c r="K779" s="614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198"/>
      <c r="D780" s="615"/>
      <c r="E780" s="198"/>
      <c r="F780" s="198"/>
      <c r="G780" s="198"/>
      <c r="H780" s="198"/>
      <c r="I780" s="615"/>
      <c r="J780" s="614"/>
      <c r="K780" s="614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198"/>
      <c r="D781" s="615"/>
      <c r="E781" s="198"/>
      <c r="F781" s="198"/>
      <c r="G781" s="198"/>
      <c r="H781" s="198"/>
      <c r="I781" s="615"/>
      <c r="J781" s="614"/>
      <c r="K781" s="614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198"/>
      <c r="D782" s="615"/>
      <c r="E782" s="198"/>
      <c r="F782" s="198"/>
      <c r="G782" s="198"/>
      <c r="H782" s="198"/>
      <c r="I782" s="615"/>
      <c r="J782" s="614"/>
      <c r="K782" s="614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198"/>
      <c r="D783" s="615"/>
      <c r="E783" s="198"/>
      <c r="F783" s="198"/>
      <c r="G783" s="198"/>
      <c r="H783" s="198"/>
      <c r="I783" s="615"/>
      <c r="J783" s="614"/>
      <c r="K783" s="614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198"/>
      <c r="D784" s="615"/>
      <c r="E784" s="198"/>
      <c r="F784" s="198"/>
      <c r="G784" s="198"/>
      <c r="H784" s="198"/>
      <c r="I784" s="615"/>
      <c r="J784" s="614"/>
      <c r="K784" s="614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198"/>
      <c r="D785" s="615"/>
      <c r="E785" s="198"/>
      <c r="F785" s="198"/>
      <c r="G785" s="198"/>
      <c r="H785" s="198"/>
      <c r="I785" s="615"/>
      <c r="J785" s="614"/>
      <c r="K785" s="614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198"/>
      <c r="D786" s="615"/>
      <c r="E786" s="198"/>
      <c r="F786" s="198"/>
      <c r="G786" s="198"/>
      <c r="H786" s="198"/>
      <c r="I786" s="615"/>
      <c r="J786" s="614"/>
      <c r="K786" s="614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198"/>
      <c r="D787" s="615"/>
      <c r="E787" s="198"/>
      <c r="F787" s="198"/>
      <c r="G787" s="198"/>
      <c r="H787" s="198"/>
      <c r="I787" s="615"/>
      <c r="J787" s="614"/>
      <c r="K787" s="614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198"/>
      <c r="D788" s="615"/>
      <c r="E788" s="198"/>
      <c r="F788" s="198"/>
      <c r="G788" s="198"/>
      <c r="H788" s="198"/>
      <c r="I788" s="615"/>
      <c r="J788" s="614"/>
      <c r="K788" s="614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198"/>
      <c r="D789" s="615"/>
      <c r="E789" s="198"/>
      <c r="F789" s="198"/>
      <c r="G789" s="198"/>
      <c r="H789" s="198"/>
      <c r="I789" s="615"/>
      <c r="J789" s="614"/>
      <c r="K789" s="614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198"/>
      <c r="D790" s="615"/>
      <c r="E790" s="198"/>
      <c r="F790" s="198"/>
      <c r="G790" s="198"/>
      <c r="H790" s="198"/>
      <c r="I790" s="615"/>
      <c r="J790" s="614"/>
      <c r="K790" s="614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198"/>
      <c r="D791" s="615"/>
      <c r="E791" s="198"/>
      <c r="F791" s="198"/>
      <c r="G791" s="198"/>
      <c r="H791" s="198"/>
      <c r="I791" s="615"/>
      <c r="J791" s="614"/>
      <c r="K791" s="614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198"/>
      <c r="D792" s="615"/>
      <c r="E792" s="198"/>
      <c r="F792" s="198"/>
      <c r="G792" s="198"/>
      <c r="H792" s="198"/>
      <c r="I792" s="615"/>
      <c r="J792" s="614"/>
      <c r="K792" s="614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198"/>
      <c r="D793" s="615"/>
      <c r="E793" s="198"/>
      <c r="F793" s="198"/>
      <c r="G793" s="198"/>
      <c r="H793" s="198"/>
      <c r="I793" s="615"/>
      <c r="J793" s="614"/>
      <c r="K793" s="614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198"/>
      <c r="D794" s="615"/>
      <c r="E794" s="198"/>
      <c r="F794" s="198"/>
      <c r="G794" s="198"/>
      <c r="H794" s="198"/>
      <c r="I794" s="615"/>
      <c r="J794" s="614"/>
      <c r="K794" s="614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198"/>
      <c r="D795" s="615"/>
      <c r="E795" s="198"/>
      <c r="F795" s="198"/>
      <c r="G795" s="198"/>
      <c r="H795" s="198"/>
      <c r="I795" s="615"/>
      <c r="J795" s="614"/>
      <c r="K795" s="614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198"/>
      <c r="D796" s="615"/>
      <c r="E796" s="198"/>
      <c r="F796" s="198"/>
      <c r="G796" s="198"/>
      <c r="H796" s="198"/>
      <c r="I796" s="615"/>
      <c r="J796" s="614"/>
      <c r="K796" s="614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198"/>
      <c r="D797" s="615"/>
      <c r="E797" s="198"/>
      <c r="F797" s="198"/>
      <c r="G797" s="198"/>
      <c r="H797" s="198"/>
      <c r="I797" s="615"/>
      <c r="J797" s="614"/>
      <c r="K797" s="614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198"/>
      <c r="D798" s="615"/>
      <c r="E798" s="198"/>
      <c r="F798" s="198"/>
      <c r="G798" s="198"/>
      <c r="H798" s="198"/>
      <c r="I798" s="615"/>
      <c r="J798" s="614"/>
      <c r="K798" s="614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198"/>
      <c r="D799" s="615"/>
      <c r="E799" s="198"/>
      <c r="F799" s="198"/>
      <c r="G799" s="198"/>
      <c r="H799" s="198"/>
      <c r="I799" s="615"/>
      <c r="J799" s="614"/>
      <c r="K799" s="614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198"/>
      <c r="D800" s="615"/>
      <c r="E800" s="198"/>
      <c r="F800" s="198"/>
      <c r="G800" s="198"/>
      <c r="H800" s="198"/>
      <c r="I800" s="615"/>
      <c r="J800" s="614"/>
      <c r="K800" s="614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198"/>
      <c r="D801" s="615"/>
      <c r="E801" s="198"/>
      <c r="F801" s="198"/>
      <c r="G801" s="198"/>
      <c r="H801" s="198"/>
      <c r="I801" s="615"/>
      <c r="J801" s="614"/>
      <c r="K801" s="614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198"/>
      <c r="D802" s="615"/>
      <c r="E802" s="198"/>
      <c r="F802" s="198"/>
      <c r="G802" s="198"/>
      <c r="H802" s="198"/>
      <c r="I802" s="615"/>
      <c r="J802" s="614"/>
      <c r="K802" s="614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198"/>
      <c r="D803" s="615"/>
      <c r="E803" s="198"/>
      <c r="F803" s="198"/>
      <c r="G803" s="198"/>
      <c r="H803" s="198"/>
      <c r="I803" s="615"/>
      <c r="J803" s="614"/>
      <c r="K803" s="614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198"/>
      <c r="D804" s="615"/>
      <c r="E804" s="198"/>
      <c r="F804" s="198"/>
      <c r="G804" s="198"/>
      <c r="H804" s="198"/>
      <c r="I804" s="615"/>
      <c r="J804" s="614"/>
      <c r="K804" s="614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198"/>
      <c r="D805" s="615"/>
      <c r="E805" s="198"/>
      <c r="F805" s="198"/>
      <c r="G805" s="198"/>
      <c r="H805" s="198"/>
      <c r="I805" s="615"/>
      <c r="J805" s="614"/>
      <c r="K805" s="614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198"/>
      <c r="D806" s="615"/>
      <c r="E806" s="198"/>
      <c r="F806" s="198"/>
      <c r="G806" s="198"/>
      <c r="H806" s="198"/>
      <c r="I806" s="615"/>
      <c r="J806" s="614"/>
      <c r="K806" s="614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198"/>
      <c r="D807" s="615"/>
      <c r="E807" s="198"/>
      <c r="F807" s="198"/>
      <c r="G807" s="198"/>
      <c r="H807" s="198"/>
      <c r="I807" s="615"/>
      <c r="J807" s="614"/>
      <c r="K807" s="614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198"/>
      <c r="D808" s="615"/>
      <c r="E808" s="198"/>
      <c r="F808" s="198"/>
      <c r="G808" s="198"/>
      <c r="H808" s="198"/>
      <c r="I808" s="615"/>
      <c r="J808" s="614"/>
      <c r="K808" s="614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198"/>
      <c r="D809" s="615"/>
      <c r="E809" s="198"/>
      <c r="F809" s="198"/>
      <c r="G809" s="198"/>
      <c r="H809" s="198"/>
      <c r="I809" s="615"/>
      <c r="J809" s="614"/>
      <c r="K809" s="614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198"/>
      <c r="D810" s="615"/>
      <c r="E810" s="198"/>
      <c r="F810" s="198"/>
      <c r="G810" s="198"/>
      <c r="H810" s="198"/>
      <c r="I810" s="615"/>
      <c r="J810" s="614"/>
      <c r="K810" s="614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198"/>
      <c r="D811" s="615"/>
      <c r="E811" s="198"/>
      <c r="F811" s="198"/>
      <c r="G811" s="198"/>
      <c r="H811" s="198"/>
      <c r="I811" s="615"/>
      <c r="J811" s="614"/>
      <c r="K811" s="614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198"/>
      <c r="D812" s="615"/>
      <c r="E812" s="198"/>
      <c r="F812" s="198"/>
      <c r="G812" s="198"/>
      <c r="H812" s="198"/>
      <c r="I812" s="615"/>
      <c r="J812" s="614"/>
      <c r="K812" s="614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198"/>
      <c r="D813" s="615"/>
      <c r="E813" s="198"/>
      <c r="F813" s="198"/>
      <c r="G813" s="198"/>
      <c r="H813" s="198"/>
      <c r="I813" s="615"/>
      <c r="J813" s="614"/>
      <c r="K813" s="614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198"/>
      <c r="D814" s="615"/>
      <c r="E814" s="198"/>
      <c r="F814" s="198"/>
      <c r="G814" s="198"/>
      <c r="H814" s="198"/>
      <c r="I814" s="615"/>
      <c r="J814" s="614"/>
      <c r="K814" s="614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198"/>
      <c r="D815" s="615"/>
      <c r="E815" s="198"/>
      <c r="F815" s="198"/>
      <c r="G815" s="198"/>
      <c r="H815" s="198"/>
      <c r="I815" s="615"/>
      <c r="J815" s="614"/>
      <c r="K815" s="614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198"/>
      <c r="D816" s="615"/>
      <c r="E816" s="198"/>
      <c r="F816" s="198"/>
      <c r="G816" s="198"/>
      <c r="H816" s="198"/>
      <c r="I816" s="615"/>
      <c r="J816" s="614"/>
      <c r="K816" s="614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198"/>
      <c r="D817" s="615"/>
      <c r="E817" s="198"/>
      <c r="F817" s="198"/>
      <c r="G817" s="198"/>
      <c r="H817" s="198"/>
      <c r="I817" s="615"/>
      <c r="J817" s="614"/>
      <c r="K817" s="614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198"/>
      <c r="D818" s="615"/>
      <c r="E818" s="198"/>
      <c r="F818" s="198"/>
      <c r="G818" s="198"/>
      <c r="H818" s="198"/>
      <c r="I818" s="615"/>
      <c r="J818" s="614"/>
      <c r="K818" s="614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198"/>
      <c r="D819" s="615"/>
      <c r="E819" s="198"/>
      <c r="F819" s="198"/>
      <c r="G819" s="198"/>
      <c r="H819" s="198"/>
      <c r="I819" s="615"/>
      <c r="J819" s="614"/>
      <c r="K819" s="614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198"/>
      <c r="D820" s="615"/>
      <c r="E820" s="198"/>
      <c r="F820" s="198"/>
      <c r="G820" s="198"/>
      <c r="H820" s="198"/>
      <c r="I820" s="615"/>
      <c r="J820" s="614"/>
      <c r="K820" s="614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198"/>
      <c r="D821" s="615"/>
      <c r="E821" s="198"/>
      <c r="F821" s="198"/>
      <c r="G821" s="198"/>
      <c r="H821" s="198"/>
      <c r="I821" s="615"/>
      <c r="J821" s="614"/>
      <c r="K821" s="614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198"/>
      <c r="D822" s="615"/>
      <c r="E822" s="198"/>
      <c r="F822" s="198"/>
      <c r="G822" s="198"/>
      <c r="H822" s="198"/>
      <c r="I822" s="615"/>
      <c r="J822" s="614"/>
      <c r="K822" s="614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198"/>
      <c r="D823" s="615"/>
      <c r="E823" s="198"/>
      <c r="F823" s="198"/>
      <c r="G823" s="198"/>
      <c r="H823" s="198"/>
      <c r="I823" s="615"/>
      <c r="J823" s="614"/>
      <c r="K823" s="614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198"/>
      <c r="D824" s="615"/>
      <c r="E824" s="198"/>
      <c r="F824" s="198"/>
      <c r="G824" s="198"/>
      <c r="H824" s="198"/>
      <c r="I824" s="615"/>
      <c r="J824" s="614"/>
      <c r="K824" s="614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198"/>
      <c r="D825" s="615"/>
      <c r="E825" s="198"/>
      <c r="F825" s="198"/>
      <c r="G825" s="198"/>
      <c r="H825" s="198"/>
      <c r="I825" s="615"/>
      <c r="J825" s="614"/>
      <c r="K825" s="614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198"/>
      <c r="D826" s="615"/>
      <c r="E826" s="198"/>
      <c r="F826" s="198"/>
      <c r="G826" s="198"/>
      <c r="H826" s="198"/>
      <c r="I826" s="615"/>
      <c r="J826" s="614"/>
      <c r="K826" s="614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198"/>
      <c r="D827" s="615"/>
      <c r="E827" s="198"/>
      <c r="F827" s="198"/>
      <c r="G827" s="198"/>
      <c r="H827" s="198"/>
      <c r="I827" s="615"/>
      <c r="J827" s="614"/>
      <c r="K827" s="614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198"/>
      <c r="D828" s="615"/>
      <c r="E828" s="198"/>
      <c r="F828" s="198"/>
      <c r="G828" s="198"/>
      <c r="H828" s="198"/>
      <c r="I828" s="615"/>
      <c r="J828" s="614"/>
      <c r="K828" s="614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198"/>
      <c r="D829" s="615"/>
      <c r="E829" s="198"/>
      <c r="F829" s="198"/>
      <c r="G829" s="198"/>
      <c r="H829" s="198"/>
      <c r="I829" s="615"/>
      <c r="J829" s="614"/>
      <c r="K829" s="614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198"/>
      <c r="D830" s="615"/>
      <c r="E830" s="198"/>
      <c r="F830" s="198"/>
      <c r="G830" s="198"/>
      <c r="H830" s="198"/>
      <c r="I830" s="615"/>
      <c r="J830" s="614"/>
      <c r="K830" s="614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198"/>
      <c r="D831" s="615"/>
      <c r="E831" s="198"/>
      <c r="F831" s="198"/>
      <c r="G831" s="198"/>
      <c r="H831" s="198"/>
      <c r="I831" s="615"/>
      <c r="J831" s="614"/>
      <c r="K831" s="614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198"/>
      <c r="D832" s="615"/>
      <c r="E832" s="198"/>
      <c r="F832" s="198"/>
      <c r="G832" s="198"/>
      <c r="H832" s="198"/>
      <c r="I832" s="615"/>
      <c r="J832" s="614"/>
      <c r="K832" s="614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198"/>
      <c r="D833" s="615"/>
      <c r="E833" s="198"/>
      <c r="F833" s="198"/>
      <c r="G833" s="198"/>
      <c r="H833" s="198"/>
      <c r="I833" s="615"/>
      <c r="J833" s="614"/>
      <c r="K833" s="614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198"/>
      <c r="D834" s="615"/>
      <c r="E834" s="198"/>
      <c r="F834" s="198"/>
      <c r="G834" s="198"/>
      <c r="H834" s="198"/>
      <c r="I834" s="615"/>
      <c r="J834" s="614"/>
      <c r="K834" s="614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198"/>
      <c r="D835" s="615"/>
      <c r="E835" s="198"/>
      <c r="F835" s="198"/>
      <c r="G835" s="198"/>
      <c r="H835" s="198"/>
      <c r="I835" s="615"/>
      <c r="J835" s="614"/>
      <c r="K835" s="614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198"/>
      <c r="D836" s="615"/>
      <c r="E836" s="198"/>
      <c r="F836" s="198"/>
      <c r="G836" s="198"/>
      <c r="H836" s="198"/>
      <c r="I836" s="615"/>
      <c r="J836" s="614"/>
      <c r="K836" s="614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198"/>
      <c r="D837" s="615"/>
      <c r="E837" s="198"/>
      <c r="F837" s="198"/>
      <c r="G837" s="198"/>
      <c r="H837" s="198"/>
      <c r="I837" s="615"/>
      <c r="J837" s="614"/>
      <c r="K837" s="614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198"/>
      <c r="D838" s="615"/>
      <c r="E838" s="198"/>
      <c r="F838" s="198"/>
      <c r="G838" s="198"/>
      <c r="H838" s="198"/>
      <c r="I838" s="615"/>
      <c r="J838" s="614"/>
      <c r="K838" s="614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198"/>
      <c r="D839" s="615"/>
      <c r="E839" s="198"/>
      <c r="F839" s="198"/>
      <c r="G839" s="198"/>
      <c r="H839" s="198"/>
      <c r="I839" s="615"/>
      <c r="J839" s="614"/>
      <c r="K839" s="614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198"/>
      <c r="D840" s="615"/>
      <c r="E840" s="198"/>
      <c r="F840" s="198"/>
      <c r="G840" s="198"/>
      <c r="H840" s="198"/>
      <c r="I840" s="615"/>
      <c r="J840" s="614"/>
      <c r="K840" s="614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198"/>
      <c r="D841" s="615"/>
      <c r="E841" s="198"/>
      <c r="F841" s="198"/>
      <c r="G841" s="198"/>
      <c r="H841" s="198"/>
      <c r="I841" s="615"/>
      <c r="J841" s="614"/>
      <c r="K841" s="614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198"/>
      <c r="D842" s="615"/>
      <c r="E842" s="198"/>
      <c r="F842" s="198"/>
      <c r="G842" s="198"/>
      <c r="H842" s="198"/>
      <c r="I842" s="615"/>
      <c r="J842" s="614"/>
      <c r="K842" s="614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198"/>
      <c r="D843" s="615"/>
      <c r="E843" s="198"/>
      <c r="F843" s="198"/>
      <c r="G843" s="198"/>
      <c r="H843" s="198"/>
      <c r="I843" s="615"/>
      <c r="J843" s="614"/>
      <c r="K843" s="614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198"/>
      <c r="D844" s="615"/>
      <c r="E844" s="198"/>
      <c r="F844" s="198"/>
      <c r="G844" s="198"/>
      <c r="H844" s="198"/>
      <c r="I844" s="615"/>
      <c r="J844" s="614"/>
      <c r="K844" s="614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198"/>
      <c r="D845" s="615"/>
      <c r="E845" s="198"/>
      <c r="F845" s="198"/>
      <c r="G845" s="198"/>
      <c r="H845" s="198"/>
      <c r="I845" s="615"/>
      <c r="J845" s="614"/>
      <c r="K845" s="614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198"/>
      <c r="D846" s="615"/>
      <c r="E846" s="198"/>
      <c r="F846" s="198"/>
      <c r="G846" s="198"/>
      <c r="H846" s="198"/>
      <c r="I846" s="615"/>
      <c r="J846" s="614"/>
      <c r="K846" s="614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198"/>
      <c r="D847" s="615"/>
      <c r="E847" s="198"/>
      <c r="F847" s="198"/>
      <c r="G847" s="198"/>
      <c r="H847" s="198"/>
      <c r="I847" s="615"/>
      <c r="J847" s="614"/>
      <c r="K847" s="614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198"/>
      <c r="D848" s="615"/>
      <c r="E848" s="198"/>
      <c r="F848" s="198"/>
      <c r="G848" s="198"/>
      <c r="H848" s="198"/>
      <c r="I848" s="615"/>
      <c r="J848" s="614"/>
      <c r="K848" s="614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198"/>
      <c r="D849" s="615"/>
      <c r="E849" s="198"/>
      <c r="F849" s="198"/>
      <c r="G849" s="198"/>
      <c r="H849" s="198"/>
      <c r="I849" s="615"/>
      <c r="J849" s="614"/>
      <c r="K849" s="614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198"/>
      <c r="D850" s="615"/>
      <c r="E850" s="198"/>
      <c r="F850" s="198"/>
      <c r="G850" s="198"/>
      <c r="H850" s="198"/>
      <c r="I850" s="615"/>
      <c r="J850" s="614"/>
      <c r="K850" s="614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198"/>
      <c r="D851" s="615"/>
      <c r="E851" s="198"/>
      <c r="F851" s="198"/>
      <c r="G851" s="198"/>
      <c r="H851" s="198"/>
      <c r="I851" s="615"/>
      <c r="J851" s="614"/>
      <c r="K851" s="614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198"/>
      <c r="D852" s="615"/>
      <c r="E852" s="198"/>
      <c r="F852" s="198"/>
      <c r="G852" s="198"/>
      <c r="H852" s="198"/>
      <c r="I852" s="615"/>
      <c r="J852" s="614"/>
      <c r="K852" s="614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198"/>
      <c r="D853" s="615"/>
      <c r="E853" s="198"/>
      <c r="F853" s="198"/>
      <c r="G853" s="198"/>
      <c r="H853" s="198"/>
      <c r="I853" s="615"/>
      <c r="J853" s="614"/>
      <c r="K853" s="614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198"/>
      <c r="D854" s="615"/>
      <c r="E854" s="198"/>
      <c r="F854" s="198"/>
      <c r="G854" s="198"/>
      <c r="H854" s="198"/>
      <c r="I854" s="615"/>
      <c r="J854" s="614"/>
      <c r="K854" s="614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198"/>
      <c r="D855" s="615"/>
      <c r="E855" s="198"/>
      <c r="F855" s="198"/>
      <c r="G855" s="198"/>
      <c r="H855" s="198"/>
      <c r="I855" s="615"/>
      <c r="J855" s="614"/>
      <c r="K855" s="614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198"/>
      <c r="D856" s="615"/>
      <c r="E856" s="198"/>
      <c r="F856" s="198"/>
      <c r="G856" s="198"/>
      <c r="H856" s="198"/>
      <c r="I856" s="615"/>
      <c r="J856" s="614"/>
      <c r="K856" s="614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198"/>
      <c r="D857" s="615"/>
      <c r="E857" s="198"/>
      <c r="F857" s="198"/>
      <c r="G857" s="198"/>
      <c r="H857" s="198"/>
      <c r="I857" s="615"/>
      <c r="J857" s="614"/>
      <c r="K857" s="614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198"/>
      <c r="D858" s="615"/>
      <c r="E858" s="198"/>
      <c r="F858" s="198"/>
      <c r="G858" s="198"/>
      <c r="H858" s="198"/>
      <c r="I858" s="615"/>
      <c r="J858" s="614"/>
      <c r="K858" s="614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198"/>
      <c r="D859" s="615"/>
      <c r="E859" s="198"/>
      <c r="F859" s="198"/>
      <c r="G859" s="198"/>
      <c r="H859" s="198"/>
      <c r="I859" s="615"/>
      <c r="J859" s="614"/>
      <c r="K859" s="614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198"/>
      <c r="D860" s="615"/>
      <c r="E860" s="198"/>
      <c r="F860" s="198"/>
      <c r="G860" s="198"/>
      <c r="H860" s="198"/>
      <c r="I860" s="615"/>
      <c r="J860" s="614"/>
      <c r="K860" s="614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198"/>
      <c r="D861" s="615"/>
      <c r="E861" s="198"/>
      <c r="F861" s="198"/>
      <c r="G861" s="198"/>
      <c r="H861" s="198"/>
      <c r="I861" s="615"/>
      <c r="J861" s="614"/>
      <c r="K861" s="614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198"/>
      <c r="D862" s="615"/>
      <c r="E862" s="198"/>
      <c r="F862" s="198"/>
      <c r="G862" s="198"/>
      <c r="H862" s="198"/>
      <c r="I862" s="615"/>
      <c r="J862" s="614"/>
      <c r="K862" s="614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198"/>
      <c r="D863" s="615"/>
      <c r="E863" s="198"/>
      <c r="F863" s="198"/>
      <c r="G863" s="198"/>
      <c r="H863" s="198"/>
      <c r="I863" s="615"/>
      <c r="J863" s="614"/>
      <c r="K863" s="614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198"/>
      <c r="D864" s="615"/>
      <c r="E864" s="198"/>
      <c r="F864" s="198"/>
      <c r="G864" s="198"/>
      <c r="H864" s="198"/>
      <c r="I864" s="615"/>
      <c r="J864" s="614"/>
      <c r="K864" s="614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198"/>
      <c r="D865" s="615"/>
      <c r="E865" s="198"/>
      <c r="F865" s="198"/>
      <c r="G865" s="198"/>
      <c r="H865" s="198"/>
      <c r="I865" s="615"/>
      <c r="J865" s="614"/>
      <c r="K865" s="614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198"/>
      <c r="D866" s="615"/>
      <c r="E866" s="198"/>
      <c r="F866" s="198"/>
      <c r="G866" s="198"/>
      <c r="H866" s="198"/>
      <c r="I866" s="615"/>
      <c r="J866" s="614"/>
      <c r="K866" s="614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198"/>
      <c r="D867" s="615"/>
      <c r="E867" s="198"/>
      <c r="F867" s="198"/>
      <c r="G867" s="198"/>
      <c r="H867" s="198"/>
      <c r="I867" s="615"/>
      <c r="J867" s="614"/>
      <c r="K867" s="614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198"/>
      <c r="D868" s="615"/>
      <c r="E868" s="198"/>
      <c r="F868" s="198"/>
      <c r="G868" s="198"/>
      <c r="H868" s="198"/>
      <c r="I868" s="615"/>
      <c r="J868" s="614"/>
      <c r="K868" s="614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198"/>
      <c r="D869" s="615"/>
      <c r="E869" s="198"/>
      <c r="F869" s="198"/>
      <c r="G869" s="198"/>
      <c r="H869" s="198"/>
      <c r="I869" s="615"/>
      <c r="J869" s="614"/>
      <c r="K869" s="614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198"/>
      <c r="D870" s="615"/>
      <c r="E870" s="198"/>
      <c r="F870" s="198"/>
      <c r="G870" s="198"/>
      <c r="H870" s="198"/>
      <c r="I870" s="615"/>
      <c r="J870" s="614"/>
      <c r="K870" s="614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198"/>
      <c r="D871" s="615"/>
      <c r="E871" s="198"/>
      <c r="F871" s="198"/>
      <c r="G871" s="198"/>
      <c r="H871" s="198"/>
      <c r="I871" s="615"/>
      <c r="J871" s="614"/>
      <c r="K871" s="614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198"/>
      <c r="D872" s="615"/>
      <c r="E872" s="198"/>
      <c r="F872" s="198"/>
      <c r="G872" s="198"/>
      <c r="H872" s="198"/>
      <c r="I872" s="615"/>
      <c r="J872" s="614"/>
      <c r="K872" s="614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198"/>
      <c r="D873" s="615"/>
      <c r="E873" s="198"/>
      <c r="F873" s="198"/>
      <c r="G873" s="198"/>
      <c r="H873" s="198"/>
      <c r="I873" s="615"/>
      <c r="J873" s="614"/>
      <c r="K873" s="614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198"/>
      <c r="D874" s="615"/>
      <c r="E874" s="198"/>
      <c r="F874" s="198"/>
      <c r="G874" s="198"/>
      <c r="H874" s="198"/>
      <c r="I874" s="615"/>
      <c r="J874" s="614"/>
      <c r="K874" s="614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198"/>
      <c r="D875" s="615"/>
      <c r="E875" s="198"/>
      <c r="F875" s="198"/>
      <c r="G875" s="198"/>
      <c r="H875" s="198"/>
      <c r="I875" s="615"/>
      <c r="J875" s="614"/>
      <c r="K875" s="614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198"/>
      <c r="D876" s="615"/>
      <c r="E876" s="198"/>
      <c r="F876" s="198"/>
      <c r="G876" s="198"/>
      <c r="H876" s="198"/>
      <c r="I876" s="615"/>
      <c r="J876" s="614"/>
      <c r="K876" s="614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198"/>
      <c r="D877" s="615"/>
      <c r="E877" s="198"/>
      <c r="F877" s="198"/>
      <c r="G877" s="198"/>
      <c r="H877" s="198"/>
      <c r="I877" s="615"/>
      <c r="J877" s="614"/>
      <c r="K877" s="614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198"/>
      <c r="D878" s="615"/>
      <c r="E878" s="198"/>
      <c r="F878" s="198"/>
      <c r="G878" s="198"/>
      <c r="H878" s="198"/>
      <c r="I878" s="615"/>
      <c r="J878" s="614"/>
      <c r="K878" s="614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198"/>
      <c r="D879" s="615"/>
      <c r="E879" s="198"/>
      <c r="F879" s="198"/>
      <c r="G879" s="198"/>
      <c r="H879" s="198"/>
      <c r="I879" s="615"/>
      <c r="J879" s="614"/>
      <c r="K879" s="614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198"/>
      <c r="D880" s="615"/>
      <c r="E880" s="198"/>
      <c r="F880" s="198"/>
      <c r="G880" s="198"/>
      <c r="H880" s="198"/>
      <c r="I880" s="615"/>
      <c r="J880" s="614"/>
      <c r="K880" s="614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198"/>
      <c r="D881" s="615"/>
      <c r="E881" s="198"/>
      <c r="F881" s="198"/>
      <c r="G881" s="198"/>
      <c r="H881" s="198"/>
      <c r="I881" s="615"/>
      <c r="J881" s="614"/>
      <c r="K881" s="614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198"/>
      <c r="D882" s="615"/>
      <c r="E882" s="198"/>
      <c r="F882" s="198"/>
      <c r="G882" s="198"/>
      <c r="H882" s="198"/>
      <c r="I882" s="615"/>
      <c r="J882" s="614"/>
      <c r="K882" s="614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198"/>
      <c r="D883" s="615"/>
      <c r="E883" s="198"/>
      <c r="F883" s="198"/>
      <c r="G883" s="198"/>
      <c r="H883" s="198"/>
      <c r="I883" s="615"/>
      <c r="J883" s="614"/>
      <c r="K883" s="614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198"/>
      <c r="D884" s="615"/>
      <c r="E884" s="198"/>
      <c r="F884" s="198"/>
      <c r="G884" s="198"/>
      <c r="H884" s="198"/>
      <c r="I884" s="615"/>
      <c r="J884" s="614"/>
      <c r="K884" s="614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198"/>
      <c r="D885" s="615"/>
      <c r="E885" s="198"/>
      <c r="F885" s="198"/>
      <c r="G885" s="198"/>
      <c r="H885" s="198"/>
      <c r="I885" s="615"/>
      <c r="J885" s="614"/>
      <c r="K885" s="614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198"/>
      <c r="D886" s="615"/>
      <c r="E886" s="198"/>
      <c r="F886" s="198"/>
      <c r="G886" s="198"/>
      <c r="H886" s="198"/>
      <c r="I886" s="615"/>
      <c r="J886" s="614"/>
      <c r="K886" s="614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198"/>
      <c r="D887" s="615"/>
      <c r="E887" s="198"/>
      <c r="F887" s="198"/>
      <c r="G887" s="198"/>
      <c r="H887" s="198"/>
      <c r="I887" s="615"/>
      <c r="J887" s="614"/>
      <c r="K887" s="614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198"/>
      <c r="D888" s="615"/>
      <c r="E888" s="198"/>
      <c r="F888" s="198"/>
      <c r="G888" s="198"/>
      <c r="H888" s="198"/>
      <c r="I888" s="615"/>
      <c r="J888" s="614"/>
      <c r="K888" s="614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198"/>
      <c r="D889" s="615"/>
      <c r="E889" s="198"/>
      <c r="F889" s="198"/>
      <c r="G889" s="198"/>
      <c r="H889" s="198"/>
      <c r="I889" s="615"/>
      <c r="J889" s="614"/>
      <c r="K889" s="614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198"/>
      <c r="D890" s="615"/>
      <c r="E890" s="198"/>
      <c r="F890" s="198"/>
      <c r="G890" s="198"/>
      <c r="H890" s="198"/>
      <c r="I890" s="615"/>
      <c r="J890" s="614"/>
      <c r="K890" s="614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198"/>
      <c r="D891" s="615"/>
      <c r="E891" s="198"/>
      <c r="F891" s="198"/>
      <c r="G891" s="198"/>
      <c r="H891" s="198"/>
      <c r="I891" s="615"/>
      <c r="J891" s="614"/>
      <c r="K891" s="614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198"/>
      <c r="D892" s="615"/>
      <c r="E892" s="198"/>
      <c r="F892" s="198"/>
      <c r="G892" s="198"/>
      <c r="H892" s="198"/>
      <c r="I892" s="615"/>
      <c r="J892" s="614"/>
      <c r="K892" s="614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198"/>
      <c r="D893" s="615"/>
      <c r="E893" s="198"/>
      <c r="F893" s="198"/>
      <c r="G893" s="198"/>
      <c r="H893" s="198"/>
      <c r="I893" s="615"/>
      <c r="J893" s="614"/>
      <c r="K893" s="614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198"/>
      <c r="D894" s="615"/>
      <c r="E894" s="198"/>
      <c r="F894" s="198"/>
      <c r="G894" s="198"/>
      <c r="H894" s="198"/>
      <c r="I894" s="615"/>
      <c r="J894" s="614"/>
      <c r="K894" s="614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198"/>
      <c r="D895" s="615"/>
      <c r="E895" s="198"/>
      <c r="F895" s="198"/>
      <c r="G895" s="198"/>
      <c r="H895" s="198"/>
      <c r="I895" s="615"/>
      <c r="J895" s="614"/>
      <c r="K895" s="614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198"/>
      <c r="D896" s="615"/>
      <c r="E896" s="198"/>
      <c r="F896" s="198"/>
      <c r="G896" s="198"/>
      <c r="H896" s="198"/>
      <c r="I896" s="615"/>
      <c r="J896" s="614"/>
      <c r="K896" s="614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198"/>
      <c r="D897" s="615"/>
      <c r="E897" s="198"/>
      <c r="F897" s="198"/>
      <c r="G897" s="198"/>
      <c r="H897" s="198"/>
      <c r="I897" s="615"/>
      <c r="J897" s="614"/>
      <c r="K897" s="614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198"/>
      <c r="D898" s="615"/>
      <c r="E898" s="198"/>
      <c r="F898" s="198"/>
      <c r="G898" s="198"/>
      <c r="H898" s="198"/>
      <c r="I898" s="615"/>
      <c r="J898" s="614"/>
      <c r="K898" s="614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198"/>
      <c r="D899" s="615"/>
      <c r="E899" s="198"/>
      <c r="F899" s="198"/>
      <c r="G899" s="198"/>
      <c r="H899" s="198"/>
      <c r="I899" s="615"/>
      <c r="J899" s="614"/>
      <c r="K899" s="614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198"/>
      <c r="D900" s="615"/>
      <c r="E900" s="198"/>
      <c r="F900" s="198"/>
      <c r="G900" s="198"/>
      <c r="H900" s="198"/>
      <c r="I900" s="615"/>
      <c r="J900" s="614"/>
      <c r="K900" s="614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198"/>
      <c r="D901" s="615"/>
      <c r="E901" s="198"/>
      <c r="F901" s="198"/>
      <c r="G901" s="198"/>
      <c r="H901" s="198"/>
      <c r="I901" s="615"/>
      <c r="J901" s="614"/>
      <c r="K901" s="614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198"/>
      <c r="D902" s="615"/>
      <c r="E902" s="198"/>
      <c r="F902" s="198"/>
      <c r="G902" s="198"/>
      <c r="H902" s="198"/>
      <c r="I902" s="615"/>
      <c r="J902" s="614"/>
      <c r="K902" s="614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198"/>
      <c r="D903" s="615"/>
      <c r="E903" s="198"/>
      <c r="F903" s="198"/>
      <c r="G903" s="198"/>
      <c r="H903" s="198"/>
      <c r="I903" s="615"/>
      <c r="J903" s="614"/>
      <c r="K903" s="614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198"/>
      <c r="D904" s="615"/>
      <c r="E904" s="198"/>
      <c r="F904" s="198"/>
      <c r="G904" s="198"/>
      <c r="H904" s="198"/>
      <c r="I904" s="615"/>
      <c r="J904" s="614"/>
      <c r="K904" s="614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198"/>
      <c r="D905" s="615"/>
      <c r="E905" s="198"/>
      <c r="F905" s="198"/>
      <c r="G905" s="198"/>
      <c r="H905" s="198"/>
      <c r="I905" s="615"/>
      <c r="J905" s="614"/>
      <c r="K905" s="614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198"/>
      <c r="D906" s="615"/>
      <c r="E906" s="198"/>
      <c r="F906" s="198"/>
      <c r="G906" s="198"/>
      <c r="H906" s="198"/>
      <c r="I906" s="615"/>
      <c r="J906" s="614"/>
      <c r="K906" s="614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198"/>
      <c r="D907" s="615"/>
      <c r="E907" s="198"/>
      <c r="F907" s="198"/>
      <c r="G907" s="198"/>
      <c r="H907" s="198"/>
      <c r="I907" s="615"/>
      <c r="J907" s="614"/>
      <c r="K907" s="614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198"/>
      <c r="D908" s="615"/>
      <c r="E908" s="198"/>
      <c r="F908" s="198"/>
      <c r="G908" s="198"/>
      <c r="H908" s="198"/>
      <c r="I908" s="615"/>
      <c r="J908" s="614"/>
      <c r="K908" s="614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198"/>
      <c r="D909" s="615"/>
      <c r="E909" s="198"/>
      <c r="F909" s="198"/>
      <c r="G909" s="198"/>
      <c r="H909" s="198"/>
      <c r="I909" s="615"/>
      <c r="J909" s="614"/>
      <c r="K909" s="614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198"/>
      <c r="D910" s="615"/>
      <c r="E910" s="198"/>
      <c r="F910" s="198"/>
      <c r="G910" s="198"/>
      <c r="H910" s="198"/>
      <c r="I910" s="615"/>
      <c r="J910" s="614"/>
      <c r="K910" s="614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198"/>
      <c r="D911" s="615"/>
      <c r="E911" s="198"/>
      <c r="F911" s="198"/>
      <c r="G911" s="198"/>
      <c r="H911" s="198"/>
      <c r="I911" s="615"/>
      <c r="J911" s="614"/>
      <c r="K911" s="614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198"/>
      <c r="D912" s="615"/>
      <c r="E912" s="198"/>
      <c r="F912" s="198"/>
      <c r="G912" s="198"/>
      <c r="H912" s="198"/>
      <c r="I912" s="615"/>
      <c r="J912" s="614"/>
      <c r="K912" s="614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198"/>
      <c r="D913" s="615"/>
      <c r="E913" s="198"/>
      <c r="F913" s="198"/>
      <c r="G913" s="198"/>
      <c r="H913" s="198"/>
      <c r="I913" s="615"/>
      <c r="J913" s="614"/>
      <c r="K913" s="614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198"/>
      <c r="D914" s="615"/>
      <c r="E914" s="198"/>
      <c r="F914" s="198"/>
      <c r="G914" s="198"/>
      <c r="H914" s="198"/>
      <c r="I914" s="615"/>
      <c r="J914" s="614"/>
      <c r="K914" s="614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198"/>
      <c r="D915" s="615"/>
      <c r="E915" s="198"/>
      <c r="F915" s="198"/>
      <c r="G915" s="198"/>
      <c r="H915" s="198"/>
      <c r="I915" s="615"/>
      <c r="J915" s="614"/>
      <c r="K915" s="614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198"/>
      <c r="D916" s="615"/>
      <c r="E916" s="198"/>
      <c r="F916" s="198"/>
      <c r="G916" s="198"/>
      <c r="H916" s="198"/>
      <c r="I916" s="615"/>
      <c r="J916" s="614"/>
      <c r="K916" s="614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198"/>
      <c r="D917" s="615"/>
      <c r="E917" s="198"/>
      <c r="F917" s="198"/>
      <c r="G917" s="198"/>
      <c r="H917" s="198"/>
      <c r="I917" s="615"/>
      <c r="J917" s="614"/>
      <c r="K917" s="614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198"/>
      <c r="D918" s="615"/>
      <c r="E918" s="198"/>
      <c r="F918" s="198"/>
      <c r="G918" s="198"/>
      <c r="H918" s="198"/>
      <c r="I918" s="615"/>
      <c r="J918" s="614"/>
      <c r="K918" s="614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198"/>
      <c r="D919" s="615"/>
      <c r="E919" s="198"/>
      <c r="F919" s="198"/>
      <c r="G919" s="198"/>
      <c r="H919" s="198"/>
      <c r="I919" s="615"/>
      <c r="J919" s="614"/>
      <c r="K919" s="614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198"/>
      <c r="D920" s="615"/>
      <c r="E920" s="198"/>
      <c r="F920" s="198"/>
      <c r="G920" s="198"/>
      <c r="H920" s="198"/>
      <c r="I920" s="615"/>
      <c r="J920" s="614"/>
      <c r="K920" s="614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198"/>
      <c r="D921" s="615"/>
      <c r="E921" s="198"/>
      <c r="F921" s="198"/>
      <c r="G921" s="198"/>
      <c r="H921" s="198"/>
      <c r="I921" s="615"/>
      <c r="J921" s="614"/>
      <c r="K921" s="614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198"/>
      <c r="D922" s="615"/>
      <c r="E922" s="198"/>
      <c r="F922" s="198"/>
      <c r="G922" s="198"/>
      <c r="H922" s="198"/>
      <c r="I922" s="615"/>
      <c r="J922" s="614"/>
      <c r="K922" s="614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198"/>
      <c r="D923" s="615"/>
      <c r="E923" s="198"/>
      <c r="F923" s="198"/>
      <c r="G923" s="198"/>
      <c r="H923" s="198"/>
      <c r="I923" s="615"/>
      <c r="J923" s="614"/>
      <c r="K923" s="614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198"/>
      <c r="D924" s="615"/>
      <c r="E924" s="198"/>
      <c r="F924" s="198"/>
      <c r="G924" s="198"/>
      <c r="H924" s="198"/>
      <c r="I924" s="615"/>
      <c r="J924" s="614"/>
      <c r="K924" s="614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198"/>
      <c r="D925" s="615"/>
      <c r="E925" s="198"/>
      <c r="F925" s="198"/>
      <c r="G925" s="198"/>
      <c r="H925" s="198"/>
      <c r="I925" s="615"/>
      <c r="J925" s="614"/>
      <c r="K925" s="614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198"/>
      <c r="D926" s="615"/>
      <c r="E926" s="198"/>
      <c r="F926" s="198"/>
      <c r="G926" s="198"/>
      <c r="H926" s="198"/>
      <c r="I926" s="615"/>
      <c r="J926" s="614"/>
      <c r="K926" s="614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198"/>
      <c r="D927" s="615"/>
      <c r="E927" s="198"/>
      <c r="F927" s="198"/>
      <c r="G927" s="198"/>
      <c r="H927" s="198"/>
      <c r="I927" s="615"/>
      <c r="J927" s="614"/>
      <c r="K927" s="614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198"/>
      <c r="D928" s="615"/>
      <c r="E928" s="198"/>
      <c r="F928" s="198"/>
      <c r="G928" s="198"/>
      <c r="H928" s="198"/>
      <c r="I928" s="615"/>
      <c r="J928" s="614"/>
      <c r="K928" s="614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198"/>
      <c r="D929" s="615"/>
      <c r="E929" s="198"/>
      <c r="F929" s="198"/>
      <c r="G929" s="198"/>
      <c r="H929" s="198"/>
      <c r="I929" s="615"/>
      <c r="J929" s="614"/>
      <c r="K929" s="614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198"/>
      <c r="D930" s="615"/>
      <c r="E930" s="198"/>
      <c r="F930" s="198"/>
      <c r="G930" s="198"/>
      <c r="H930" s="198"/>
      <c r="I930" s="615"/>
      <c r="J930" s="614"/>
      <c r="K930" s="614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198"/>
      <c r="D931" s="615"/>
      <c r="E931" s="198"/>
      <c r="F931" s="198"/>
      <c r="G931" s="198"/>
      <c r="H931" s="198"/>
      <c r="I931" s="615"/>
      <c r="J931" s="614"/>
      <c r="K931" s="614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198"/>
      <c r="D932" s="615"/>
      <c r="E932" s="198"/>
      <c r="F932" s="198"/>
      <c r="G932" s="198"/>
      <c r="H932" s="198"/>
      <c r="I932" s="615"/>
      <c r="J932" s="614"/>
      <c r="K932" s="614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198"/>
      <c r="D933" s="615"/>
      <c r="E933" s="198"/>
      <c r="F933" s="198"/>
      <c r="G933" s="198"/>
      <c r="H933" s="198"/>
      <c r="I933" s="615"/>
      <c r="J933" s="614"/>
      <c r="K933" s="614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198"/>
      <c r="D934" s="615"/>
      <c r="E934" s="198"/>
      <c r="F934" s="198"/>
      <c r="G934" s="198"/>
      <c r="H934" s="198"/>
      <c r="I934" s="615"/>
      <c r="J934" s="614"/>
      <c r="K934" s="614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198"/>
      <c r="D935" s="615"/>
      <c r="E935" s="198"/>
      <c r="F935" s="198"/>
      <c r="G935" s="198"/>
      <c r="H935" s="198"/>
      <c r="I935" s="615"/>
      <c r="J935" s="614"/>
      <c r="K935" s="614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198"/>
      <c r="D936" s="615"/>
      <c r="E936" s="198"/>
      <c r="F936" s="198"/>
      <c r="G936" s="198"/>
      <c r="H936" s="198"/>
      <c r="I936" s="615"/>
      <c r="J936" s="614"/>
      <c r="K936" s="614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198"/>
      <c r="D937" s="615"/>
      <c r="E937" s="198"/>
      <c r="F937" s="198"/>
      <c r="G937" s="198"/>
      <c r="H937" s="198"/>
      <c r="I937" s="615"/>
      <c r="J937" s="614"/>
      <c r="K937" s="614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198"/>
      <c r="D938" s="615"/>
      <c r="E938" s="198"/>
      <c r="F938" s="198"/>
      <c r="G938" s="198"/>
      <c r="H938" s="198"/>
      <c r="I938" s="615"/>
      <c r="J938" s="614"/>
      <c r="K938" s="614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198"/>
      <c r="D939" s="615"/>
      <c r="E939" s="198"/>
      <c r="F939" s="198"/>
      <c r="G939" s="198"/>
      <c r="H939" s="198"/>
      <c r="I939" s="615"/>
      <c r="J939" s="614"/>
      <c r="K939" s="614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198"/>
      <c r="D940" s="615"/>
      <c r="E940" s="198"/>
      <c r="F940" s="198"/>
      <c r="G940" s="198"/>
      <c r="H940" s="198"/>
      <c r="I940" s="615"/>
      <c r="J940" s="614"/>
      <c r="K940" s="614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198"/>
      <c r="D941" s="615"/>
      <c r="E941" s="198"/>
      <c r="F941" s="198"/>
      <c r="G941" s="198"/>
      <c r="H941" s="198"/>
      <c r="I941" s="615"/>
      <c r="J941" s="614"/>
      <c r="K941" s="614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198"/>
      <c r="D942" s="615"/>
      <c r="E942" s="198"/>
      <c r="F942" s="198"/>
      <c r="G942" s="198"/>
      <c r="H942" s="198"/>
      <c r="I942" s="615"/>
      <c r="J942" s="614"/>
      <c r="K942" s="614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198"/>
      <c r="D943" s="615"/>
      <c r="E943" s="198"/>
      <c r="F943" s="198"/>
      <c r="G943" s="198"/>
      <c r="H943" s="198"/>
      <c r="I943" s="615"/>
      <c r="J943" s="614"/>
      <c r="K943" s="614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198"/>
      <c r="D944" s="615"/>
      <c r="E944" s="198"/>
      <c r="F944" s="198"/>
      <c r="G944" s="198"/>
      <c r="H944" s="198"/>
      <c r="I944" s="615"/>
      <c r="J944" s="614"/>
      <c r="K944" s="614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198"/>
      <c r="D945" s="615"/>
      <c r="E945" s="198"/>
      <c r="F945" s="198"/>
      <c r="G945" s="198"/>
      <c r="H945" s="198"/>
      <c r="I945" s="615"/>
      <c r="J945" s="614"/>
      <c r="K945" s="614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198"/>
      <c r="D946" s="615"/>
      <c r="E946" s="198"/>
      <c r="F946" s="198"/>
      <c r="G946" s="198"/>
      <c r="H946" s="198"/>
      <c r="I946" s="615"/>
      <c r="J946" s="614"/>
      <c r="K946" s="614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198"/>
      <c r="D947" s="615"/>
      <c r="E947" s="198"/>
      <c r="F947" s="198"/>
      <c r="G947" s="198"/>
      <c r="H947" s="198"/>
      <c r="I947" s="615"/>
      <c r="J947" s="614"/>
      <c r="K947" s="614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198"/>
      <c r="D948" s="615"/>
      <c r="E948" s="198"/>
      <c r="F948" s="198"/>
      <c r="G948" s="198"/>
      <c r="H948" s="198"/>
      <c r="I948" s="615"/>
      <c r="J948" s="614"/>
      <c r="K948" s="614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198"/>
      <c r="D949" s="615"/>
      <c r="E949" s="198"/>
      <c r="F949" s="198"/>
      <c r="G949" s="198"/>
      <c r="H949" s="198"/>
      <c r="I949" s="615"/>
      <c r="J949" s="614"/>
      <c r="K949" s="614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198"/>
      <c r="D950" s="615"/>
      <c r="E950" s="198"/>
      <c r="F950" s="198"/>
      <c r="G950" s="198"/>
      <c r="H950" s="198"/>
      <c r="I950" s="615"/>
      <c r="J950" s="614"/>
      <c r="K950" s="614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198"/>
      <c r="D951" s="615"/>
      <c r="E951" s="198"/>
      <c r="F951" s="198"/>
      <c r="G951" s="198"/>
      <c r="H951" s="198"/>
      <c r="I951" s="615"/>
      <c r="J951" s="614"/>
      <c r="K951" s="614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198"/>
      <c r="D952" s="615"/>
      <c r="E952" s="198"/>
      <c r="F952" s="198"/>
      <c r="G952" s="198"/>
      <c r="H952" s="198"/>
      <c r="I952" s="615"/>
      <c r="J952" s="614"/>
      <c r="K952" s="614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198"/>
      <c r="D953" s="615"/>
      <c r="E953" s="198"/>
      <c r="F953" s="198"/>
      <c r="G953" s="198"/>
      <c r="H953" s="198"/>
      <c r="I953" s="615"/>
      <c r="J953" s="614"/>
      <c r="K953" s="614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198"/>
      <c r="D954" s="615"/>
      <c r="E954" s="198"/>
      <c r="F954" s="198"/>
      <c r="G954" s="198"/>
      <c r="H954" s="198"/>
      <c r="I954" s="615"/>
      <c r="J954" s="614"/>
      <c r="K954" s="614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198"/>
      <c r="D955" s="615"/>
      <c r="E955" s="198"/>
      <c r="F955" s="198"/>
      <c r="G955" s="198"/>
      <c r="H955" s="198"/>
      <c r="I955" s="615"/>
      <c r="J955" s="614"/>
      <c r="K955" s="614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198"/>
      <c r="D956" s="615"/>
      <c r="E956" s="198"/>
      <c r="F956" s="198"/>
      <c r="G956" s="198"/>
      <c r="H956" s="198"/>
      <c r="I956" s="615"/>
      <c r="J956" s="614"/>
      <c r="K956" s="614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198"/>
      <c r="D957" s="615"/>
      <c r="E957" s="198"/>
      <c r="F957" s="198"/>
      <c r="G957" s="198"/>
      <c r="H957" s="198"/>
      <c r="I957" s="615"/>
      <c r="J957" s="614"/>
      <c r="K957" s="614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198"/>
      <c r="D958" s="615"/>
      <c r="E958" s="198"/>
      <c r="F958" s="198"/>
      <c r="G958" s="198"/>
      <c r="H958" s="198"/>
      <c r="I958" s="615"/>
      <c r="J958" s="614"/>
      <c r="K958" s="614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198"/>
      <c r="D959" s="615"/>
      <c r="E959" s="198"/>
      <c r="F959" s="198"/>
      <c r="G959" s="198"/>
      <c r="H959" s="198"/>
      <c r="I959" s="615"/>
      <c r="J959" s="614"/>
      <c r="K959" s="614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198"/>
      <c r="D960" s="615"/>
      <c r="E960" s="198"/>
      <c r="F960" s="198"/>
      <c r="G960" s="198"/>
      <c r="H960" s="198"/>
      <c r="I960" s="615"/>
      <c r="J960" s="614"/>
      <c r="K960" s="614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198"/>
      <c r="D961" s="615"/>
      <c r="E961" s="198"/>
      <c r="F961" s="198"/>
      <c r="G961" s="198"/>
      <c r="H961" s="198"/>
      <c r="I961" s="615"/>
      <c r="J961" s="614"/>
      <c r="K961" s="614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198"/>
      <c r="D962" s="615"/>
      <c r="E962" s="198"/>
      <c r="F962" s="198"/>
      <c r="G962" s="198"/>
      <c r="H962" s="198"/>
      <c r="I962" s="615"/>
      <c r="J962" s="614"/>
      <c r="K962" s="614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198"/>
      <c r="D963" s="615"/>
      <c r="E963" s="198"/>
      <c r="F963" s="198"/>
      <c r="G963" s="198"/>
      <c r="H963" s="198"/>
      <c r="I963" s="615"/>
      <c r="J963" s="614"/>
      <c r="K963" s="614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198"/>
      <c r="D964" s="615"/>
      <c r="E964" s="198"/>
      <c r="F964" s="198"/>
      <c r="G964" s="198"/>
      <c r="H964" s="198"/>
      <c r="I964" s="615"/>
      <c r="J964" s="614"/>
      <c r="K964" s="614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198"/>
      <c r="D965" s="615"/>
      <c r="E965" s="198"/>
      <c r="F965" s="198"/>
      <c r="G965" s="198"/>
      <c r="H965" s="198"/>
      <c r="I965" s="615"/>
      <c r="J965" s="614"/>
      <c r="K965" s="614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198"/>
      <c r="D966" s="615"/>
      <c r="E966" s="198"/>
      <c r="F966" s="198"/>
      <c r="G966" s="198"/>
      <c r="H966" s="198"/>
      <c r="I966" s="615"/>
      <c r="J966" s="614"/>
      <c r="K966" s="614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198"/>
      <c r="D967" s="615"/>
      <c r="E967" s="198"/>
      <c r="F967" s="198"/>
      <c r="G967" s="198"/>
      <c r="H967" s="198"/>
      <c r="I967" s="615"/>
      <c r="J967" s="614"/>
      <c r="K967" s="614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198"/>
      <c r="D968" s="615"/>
      <c r="E968" s="198"/>
      <c r="F968" s="198"/>
      <c r="G968" s="198"/>
      <c r="H968" s="198"/>
      <c r="I968" s="615"/>
      <c r="J968" s="614"/>
      <c r="K968" s="614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198"/>
      <c r="D969" s="615"/>
      <c r="E969" s="198"/>
      <c r="F969" s="198"/>
      <c r="G969" s="198"/>
      <c r="H969" s="198"/>
      <c r="I969" s="615"/>
      <c r="J969" s="614"/>
      <c r="K969" s="614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198"/>
      <c r="D970" s="615"/>
      <c r="E970" s="198"/>
      <c r="F970" s="198"/>
      <c r="G970" s="198"/>
      <c r="H970" s="198"/>
      <c r="I970" s="615"/>
      <c r="J970" s="614"/>
      <c r="K970" s="614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198"/>
      <c r="D971" s="615"/>
      <c r="E971" s="198"/>
      <c r="F971" s="198"/>
      <c r="G971" s="198"/>
      <c r="H971" s="198"/>
      <c r="I971" s="615"/>
      <c r="J971" s="614"/>
      <c r="K971" s="614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198"/>
      <c r="D972" s="615"/>
      <c r="E972" s="198"/>
      <c r="F972" s="198"/>
      <c r="G972" s="198"/>
      <c r="H972" s="198"/>
      <c r="I972" s="615"/>
      <c r="J972" s="614"/>
      <c r="K972" s="614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198"/>
      <c r="D973" s="615"/>
      <c r="E973" s="198"/>
      <c r="F973" s="198"/>
      <c r="G973" s="198"/>
      <c r="H973" s="198"/>
      <c r="I973" s="615"/>
      <c r="J973" s="614"/>
      <c r="K973" s="614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198"/>
      <c r="D974" s="615"/>
      <c r="E974" s="198"/>
      <c r="F974" s="198"/>
      <c r="G974" s="198"/>
      <c r="H974" s="198"/>
      <c r="I974" s="615"/>
      <c r="J974" s="614"/>
      <c r="K974" s="614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198"/>
      <c r="D975" s="615"/>
      <c r="E975" s="198"/>
      <c r="F975" s="198"/>
      <c r="G975" s="198"/>
      <c r="H975" s="198"/>
      <c r="I975" s="615"/>
      <c r="J975" s="614"/>
      <c r="K975" s="614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198"/>
      <c r="D976" s="615"/>
      <c r="E976" s="198"/>
      <c r="F976" s="198"/>
      <c r="G976" s="198"/>
      <c r="H976" s="198"/>
      <c r="I976" s="615"/>
      <c r="J976" s="614"/>
      <c r="K976" s="614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198"/>
      <c r="D977" s="615"/>
      <c r="E977" s="198"/>
      <c r="F977" s="198"/>
      <c r="G977" s="198"/>
      <c r="H977" s="198"/>
      <c r="I977" s="615"/>
      <c r="J977" s="614"/>
      <c r="K977" s="614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198"/>
      <c r="D978" s="615"/>
      <c r="E978" s="198"/>
      <c r="F978" s="198"/>
      <c r="G978" s="198"/>
      <c r="H978" s="198"/>
      <c r="I978" s="615"/>
      <c r="J978" s="614"/>
      <c r="K978" s="614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198"/>
      <c r="D979" s="615"/>
      <c r="E979" s="198"/>
      <c r="F979" s="198"/>
      <c r="G979" s="198"/>
      <c r="H979" s="198"/>
      <c r="I979" s="615"/>
      <c r="J979" s="614"/>
      <c r="K979" s="614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198"/>
      <c r="D980" s="615"/>
      <c r="E980" s="198"/>
      <c r="F980" s="198"/>
      <c r="G980" s="198"/>
      <c r="H980" s="198"/>
      <c r="I980" s="615"/>
      <c r="J980" s="614"/>
      <c r="K980" s="614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198"/>
      <c r="D981" s="615"/>
      <c r="E981" s="198"/>
      <c r="F981" s="198"/>
      <c r="G981" s="198"/>
      <c r="H981" s="198"/>
      <c r="I981" s="615"/>
      <c r="J981" s="614"/>
      <c r="K981" s="614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198"/>
      <c r="D982" s="615"/>
      <c r="E982" s="198"/>
      <c r="F982" s="198"/>
      <c r="G982" s="198"/>
      <c r="H982" s="198"/>
      <c r="I982" s="615"/>
      <c r="J982" s="614"/>
      <c r="K982" s="614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198"/>
      <c r="D983" s="615"/>
      <c r="E983" s="198"/>
      <c r="F983" s="198"/>
      <c r="G983" s="198"/>
      <c r="H983" s="198"/>
      <c r="I983" s="615"/>
      <c r="J983" s="614"/>
      <c r="K983" s="614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198"/>
      <c r="D984" s="615"/>
      <c r="E984" s="198"/>
      <c r="F984" s="198"/>
      <c r="G984" s="198"/>
      <c r="H984" s="198"/>
      <c r="I984" s="615"/>
      <c r="J984" s="614"/>
      <c r="K984" s="614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198"/>
      <c r="D985" s="615"/>
      <c r="E985" s="198"/>
      <c r="F985" s="198"/>
      <c r="G985" s="198"/>
      <c r="H985" s="198"/>
      <c r="I985" s="615"/>
      <c r="J985" s="614"/>
      <c r="K985" s="614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198"/>
      <c r="D986" s="615"/>
      <c r="E986" s="198"/>
      <c r="F986" s="198"/>
      <c r="G986" s="198"/>
      <c r="H986" s="198"/>
      <c r="I986" s="615"/>
      <c r="J986" s="614"/>
      <c r="K986" s="614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198"/>
      <c r="D987" s="615"/>
      <c r="E987" s="198"/>
      <c r="F987" s="198"/>
      <c r="G987" s="198"/>
      <c r="H987" s="198"/>
      <c r="I987" s="615"/>
      <c r="J987" s="614"/>
      <c r="K987" s="614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198"/>
      <c r="D988" s="615"/>
      <c r="E988" s="198"/>
      <c r="F988" s="198"/>
      <c r="G988" s="198"/>
      <c r="H988" s="198"/>
      <c r="I988" s="615"/>
      <c r="J988" s="614"/>
      <c r="K988" s="614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198"/>
      <c r="D989" s="615"/>
      <c r="E989" s="198"/>
      <c r="F989" s="198"/>
      <c r="G989" s="198"/>
      <c r="H989" s="198"/>
      <c r="I989" s="615"/>
      <c r="J989" s="614"/>
      <c r="K989" s="614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198"/>
      <c r="D990" s="615"/>
      <c r="E990" s="198"/>
      <c r="F990" s="198"/>
      <c r="G990" s="198"/>
      <c r="H990" s="198"/>
      <c r="I990" s="615"/>
      <c r="J990" s="614"/>
      <c r="K990" s="614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198"/>
      <c r="D991" s="615"/>
      <c r="E991" s="198"/>
      <c r="F991" s="198"/>
      <c r="G991" s="198"/>
      <c r="H991" s="198"/>
      <c r="I991" s="615"/>
      <c r="J991" s="614"/>
      <c r="K991" s="614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198"/>
      <c r="D992" s="615"/>
      <c r="E992" s="198"/>
      <c r="F992" s="198"/>
      <c r="G992" s="198"/>
      <c r="H992" s="198"/>
      <c r="I992" s="615"/>
      <c r="J992" s="614"/>
      <c r="K992" s="614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198"/>
      <c r="D993" s="615"/>
      <c r="E993" s="198"/>
      <c r="F993" s="198"/>
      <c r="G993" s="198"/>
      <c r="H993" s="198"/>
      <c r="I993" s="615"/>
      <c r="J993" s="614"/>
      <c r="K993" s="614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198"/>
      <c r="D994" s="615"/>
      <c r="E994" s="198"/>
      <c r="F994" s="198"/>
      <c r="G994" s="198"/>
      <c r="H994" s="198"/>
      <c r="I994" s="615"/>
      <c r="J994" s="614"/>
      <c r="K994" s="614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198"/>
      <c r="D995" s="615"/>
      <c r="E995" s="198"/>
      <c r="F995" s="198"/>
      <c r="G995" s="198"/>
      <c r="H995" s="198"/>
      <c r="I995" s="615"/>
      <c r="J995" s="614"/>
      <c r="K995" s="614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198"/>
      <c r="D996" s="615"/>
      <c r="E996" s="198"/>
      <c r="F996" s="198"/>
      <c r="G996" s="198"/>
      <c r="H996" s="198"/>
      <c r="I996" s="615"/>
      <c r="J996" s="614"/>
      <c r="K996" s="614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198"/>
      <c r="D997" s="615"/>
      <c r="E997" s="198"/>
      <c r="F997" s="198"/>
      <c r="G997" s="198"/>
      <c r="H997" s="198"/>
      <c r="I997" s="615"/>
      <c r="J997" s="614"/>
      <c r="K997" s="614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198"/>
      <c r="D998" s="615"/>
      <c r="E998" s="198"/>
      <c r="F998" s="198"/>
      <c r="G998" s="198"/>
      <c r="H998" s="198"/>
      <c r="I998" s="615"/>
      <c r="J998" s="614"/>
      <c r="K998" s="614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198"/>
      <c r="D999" s="615"/>
      <c r="E999" s="198"/>
      <c r="F999" s="198"/>
      <c r="G999" s="198"/>
      <c r="H999" s="198"/>
      <c r="I999" s="615"/>
      <c r="J999" s="614"/>
      <c r="K999" s="614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198"/>
      <c r="D1000" s="615"/>
      <c r="E1000" s="198"/>
      <c r="F1000" s="198"/>
      <c r="G1000" s="198"/>
      <c r="H1000" s="198"/>
      <c r="I1000" s="615"/>
      <c r="J1000" s="614"/>
      <c r="K1000" s="614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L$28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29"/>
    <col customWidth="1" min="2" max="2" width="24.29"/>
    <col customWidth="1" min="3" max="3" width="23.29"/>
    <col customWidth="1" min="4" max="4" width="24.0"/>
    <col customWidth="1" min="5" max="5" width="38.71"/>
    <col customWidth="1" min="6" max="6" width="42.57"/>
    <col customWidth="1" min="7" max="7" width="16.29"/>
    <col customWidth="1" min="8" max="8" width="24.14"/>
    <col customWidth="1" min="9" max="9" width="27.57"/>
    <col customWidth="1" min="10" max="10" width="27.0"/>
    <col customWidth="1" min="11" max="11" width="58.29"/>
    <col customWidth="1" min="12" max="12" width="68.43"/>
    <col customWidth="1" min="13" max="13" width="53.43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7" t="s">
        <v>1</v>
      </c>
      <c r="C1" s="567" t="s">
        <v>2</v>
      </c>
      <c r="D1" s="568" t="s">
        <v>3</v>
      </c>
      <c r="E1" s="569" t="s">
        <v>4</v>
      </c>
      <c r="F1" s="312" t="s">
        <v>5</v>
      </c>
      <c r="G1" s="569" t="s">
        <v>6</v>
      </c>
      <c r="H1" s="312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634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115.0</v>
      </c>
      <c r="B2" s="426" t="s">
        <v>9288</v>
      </c>
      <c r="C2" s="426">
        <v>2010.0</v>
      </c>
      <c r="D2" s="500">
        <v>40266.0</v>
      </c>
      <c r="E2" s="426" t="s">
        <v>9289</v>
      </c>
      <c r="F2" s="426" t="s">
        <v>44</v>
      </c>
      <c r="G2" s="426" t="s">
        <v>552</v>
      </c>
      <c r="H2" s="426" t="s">
        <v>130</v>
      </c>
      <c r="I2" s="500">
        <v>42013.0</v>
      </c>
      <c r="J2" s="428">
        <v>1.0</v>
      </c>
      <c r="K2" s="635" t="s">
        <v>228</v>
      </c>
      <c r="L2" s="428" t="s">
        <v>258</v>
      </c>
      <c r="M2" s="319">
        <f t="shared" ref="M2:M140" si="1">I2-D2</f>
        <v>1747</v>
      </c>
      <c r="N2" s="198"/>
      <c r="O2" s="545" t="s">
        <v>9290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5.0" customHeight="1">
      <c r="A3" s="419">
        <v>215.0</v>
      </c>
      <c r="B3" s="420" t="s">
        <v>9291</v>
      </c>
      <c r="C3" s="420">
        <v>2012.0</v>
      </c>
      <c r="D3" s="497">
        <v>41107.0</v>
      </c>
      <c r="E3" s="420" t="s">
        <v>9292</v>
      </c>
      <c r="F3" s="420" t="s">
        <v>44</v>
      </c>
      <c r="G3" s="420" t="s">
        <v>552</v>
      </c>
      <c r="H3" s="420" t="s">
        <v>130</v>
      </c>
      <c r="I3" s="497">
        <v>42013.0</v>
      </c>
      <c r="J3" s="422">
        <v>1.0</v>
      </c>
      <c r="K3" s="635" t="s">
        <v>228</v>
      </c>
      <c r="L3" s="422" t="s">
        <v>258</v>
      </c>
      <c r="M3" s="316">
        <f t="shared" si="1"/>
        <v>906</v>
      </c>
      <c r="N3" s="198"/>
      <c r="O3" s="320" t="s">
        <v>27</v>
      </c>
      <c r="P3" s="320">
        <f>COUNTIF($G$2:$G$476,"PT")</f>
        <v>0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315.0</v>
      </c>
      <c r="B4" s="426" t="s">
        <v>9293</v>
      </c>
      <c r="C4" s="426">
        <v>2012.0</v>
      </c>
      <c r="D4" s="500">
        <v>41107.0</v>
      </c>
      <c r="E4" s="426" t="s">
        <v>9294</v>
      </c>
      <c r="F4" s="426" t="s">
        <v>44</v>
      </c>
      <c r="G4" s="426" t="s">
        <v>552</v>
      </c>
      <c r="H4" s="426" t="s">
        <v>130</v>
      </c>
      <c r="I4" s="500">
        <v>42013.0</v>
      </c>
      <c r="J4" s="428">
        <v>1.0</v>
      </c>
      <c r="K4" s="635" t="s">
        <v>228</v>
      </c>
      <c r="L4" s="428" t="s">
        <v>258</v>
      </c>
      <c r="M4" s="319">
        <f t="shared" si="1"/>
        <v>906</v>
      </c>
      <c r="N4" s="198"/>
      <c r="O4" s="321" t="s">
        <v>34</v>
      </c>
      <c r="P4" s="321">
        <f>COUNTIF($G$2:$G$476,"PTN")</f>
        <v>2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415.0</v>
      </c>
      <c r="B5" s="420" t="s">
        <v>9295</v>
      </c>
      <c r="C5" s="420">
        <v>2008.0</v>
      </c>
      <c r="D5" s="497">
        <v>39813.0</v>
      </c>
      <c r="E5" s="420" t="s">
        <v>9296</v>
      </c>
      <c r="F5" s="420" t="s">
        <v>9297</v>
      </c>
      <c r="G5" s="420" t="s">
        <v>552</v>
      </c>
      <c r="H5" s="420" t="s">
        <v>929</v>
      </c>
      <c r="I5" s="497">
        <v>42013.0</v>
      </c>
      <c r="J5" s="422">
        <v>1.0</v>
      </c>
      <c r="K5" s="636" t="s">
        <v>244</v>
      </c>
      <c r="L5" s="422" t="s">
        <v>256</v>
      </c>
      <c r="M5" s="316">
        <f t="shared" si="1"/>
        <v>2200</v>
      </c>
      <c r="N5" s="198"/>
      <c r="O5" s="322" t="s">
        <v>40</v>
      </c>
      <c r="P5" s="322">
        <f>COUNTIF($G$2:$G$476,"PTE")</f>
        <v>46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515.0</v>
      </c>
      <c r="B6" s="426" t="s">
        <v>9298</v>
      </c>
      <c r="C6" s="426">
        <v>2007.0</v>
      </c>
      <c r="D6" s="500">
        <v>39350.0</v>
      </c>
      <c r="E6" s="426" t="s">
        <v>9299</v>
      </c>
      <c r="F6" s="426" t="s">
        <v>9300</v>
      </c>
      <c r="G6" s="426" t="s">
        <v>650</v>
      </c>
      <c r="H6" s="426" t="s">
        <v>158</v>
      </c>
      <c r="I6" s="500">
        <v>42026.0</v>
      </c>
      <c r="J6" s="428">
        <v>1.0</v>
      </c>
      <c r="K6" s="637" t="s">
        <v>238</v>
      </c>
      <c r="L6" s="428" t="s">
        <v>256</v>
      </c>
      <c r="M6" s="319">
        <f t="shared" si="1"/>
        <v>2676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615.0</v>
      </c>
      <c r="B7" s="420" t="s">
        <v>9301</v>
      </c>
      <c r="C7" s="420">
        <v>2012.0</v>
      </c>
      <c r="D7" s="497">
        <v>40956.0</v>
      </c>
      <c r="E7" s="420" t="s">
        <v>9302</v>
      </c>
      <c r="F7" s="420" t="s">
        <v>1823</v>
      </c>
      <c r="G7" s="420" t="s">
        <v>552</v>
      </c>
      <c r="H7" s="420" t="s">
        <v>163</v>
      </c>
      <c r="I7" s="497">
        <v>42026.0</v>
      </c>
      <c r="J7" s="422">
        <v>1.0</v>
      </c>
      <c r="K7" s="635" t="s">
        <v>228</v>
      </c>
      <c r="L7" s="422" t="s">
        <v>258</v>
      </c>
      <c r="M7" s="316">
        <f t="shared" si="1"/>
        <v>1070</v>
      </c>
      <c r="N7" s="198"/>
      <c r="O7" s="322" t="s">
        <v>553</v>
      </c>
      <c r="P7" s="322">
        <f>COUNTIF($G$2:$G$476,"PF")</f>
        <v>12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715.0</v>
      </c>
      <c r="B8" s="426" t="s">
        <v>9303</v>
      </c>
      <c r="C8" s="426">
        <v>2009.0</v>
      </c>
      <c r="D8" s="500">
        <v>39954.0</v>
      </c>
      <c r="E8" s="426" t="s">
        <v>9304</v>
      </c>
      <c r="F8" s="426" t="s">
        <v>3810</v>
      </c>
      <c r="G8" s="426" t="s">
        <v>552</v>
      </c>
      <c r="H8" s="426" t="s">
        <v>3811</v>
      </c>
      <c r="I8" s="500">
        <v>42027.0</v>
      </c>
      <c r="J8" s="428">
        <v>1.0</v>
      </c>
      <c r="K8" s="636" t="s">
        <v>244</v>
      </c>
      <c r="L8" s="428" t="s">
        <v>258</v>
      </c>
      <c r="M8" s="319">
        <f t="shared" si="1"/>
        <v>2073</v>
      </c>
      <c r="N8" s="198"/>
      <c r="O8" s="321" t="s">
        <v>547</v>
      </c>
      <c r="P8" s="321">
        <f>COUNTIF($G$2:$G$476,"PFN")</f>
        <v>1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815.0</v>
      </c>
      <c r="B9" s="420" t="s">
        <v>9305</v>
      </c>
      <c r="C9" s="420">
        <v>2013.0</v>
      </c>
      <c r="D9" s="497">
        <v>41509.0</v>
      </c>
      <c r="E9" s="420" t="s">
        <v>9306</v>
      </c>
      <c r="F9" s="623" t="s">
        <v>2343</v>
      </c>
      <c r="G9" s="420" t="s">
        <v>569</v>
      </c>
      <c r="H9" s="420" t="s">
        <v>9307</v>
      </c>
      <c r="I9" s="497">
        <v>42030.0</v>
      </c>
      <c r="J9" s="422">
        <v>1.0</v>
      </c>
      <c r="K9" s="636" t="s">
        <v>244</v>
      </c>
      <c r="L9" s="422" t="s">
        <v>260</v>
      </c>
      <c r="M9" s="316">
        <f t="shared" si="1"/>
        <v>521</v>
      </c>
      <c r="N9" s="198"/>
      <c r="O9" s="322" t="s">
        <v>560</v>
      </c>
      <c r="P9" s="322">
        <f>COUNTIF($G$2:$G$476,"PF/PTE")</f>
        <v>47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915.0</v>
      </c>
      <c r="B10" s="426" t="s">
        <v>9308</v>
      </c>
      <c r="C10" s="426">
        <v>2014.0</v>
      </c>
      <c r="D10" s="500">
        <v>41758.0</v>
      </c>
      <c r="E10" s="426" t="s">
        <v>9309</v>
      </c>
      <c r="F10" s="622" t="s">
        <v>2343</v>
      </c>
      <c r="G10" s="426" t="s">
        <v>569</v>
      </c>
      <c r="H10" s="426" t="s">
        <v>9310</v>
      </c>
      <c r="I10" s="500">
        <v>42030.0</v>
      </c>
      <c r="J10" s="428">
        <v>1.0</v>
      </c>
      <c r="K10" s="636" t="s">
        <v>244</v>
      </c>
      <c r="L10" s="428" t="s">
        <v>260</v>
      </c>
      <c r="M10" s="319">
        <f t="shared" si="1"/>
        <v>272</v>
      </c>
      <c r="N10" s="198"/>
      <c r="O10" s="321" t="s">
        <v>565</v>
      </c>
      <c r="P10" s="321">
        <f>COUNTIF($G$2:$G$476,"Bio")</f>
        <v>7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1015.0</v>
      </c>
      <c r="B11" s="420" t="s">
        <v>9311</v>
      </c>
      <c r="C11" s="420">
        <v>2014.0</v>
      </c>
      <c r="D11" s="497">
        <v>41758.0</v>
      </c>
      <c r="E11" s="420" t="s">
        <v>9312</v>
      </c>
      <c r="F11" s="623" t="s">
        <v>5332</v>
      </c>
      <c r="G11" s="420" t="s">
        <v>569</v>
      </c>
      <c r="H11" s="420" t="s">
        <v>9310</v>
      </c>
      <c r="I11" s="497">
        <v>42030.0</v>
      </c>
      <c r="J11" s="422">
        <v>1.0</v>
      </c>
      <c r="K11" s="636" t="s">
        <v>850</v>
      </c>
      <c r="L11" s="422" t="s">
        <v>260</v>
      </c>
      <c r="M11" s="316">
        <f t="shared" si="1"/>
        <v>272</v>
      </c>
      <c r="N11" s="198"/>
      <c r="O11" s="323" t="s">
        <v>569</v>
      </c>
      <c r="P11" s="323">
        <f>COUNTIF($G$2:$G$476,"Bio/Org")</f>
        <v>24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1115.0</v>
      </c>
      <c r="B12" s="426" t="s">
        <v>9313</v>
      </c>
      <c r="C12" s="426">
        <v>2012.0</v>
      </c>
      <c r="D12" s="500">
        <v>41157.0</v>
      </c>
      <c r="E12" s="426" t="s">
        <v>9314</v>
      </c>
      <c r="F12" s="426" t="s">
        <v>9315</v>
      </c>
      <c r="G12" s="426" t="s">
        <v>17</v>
      </c>
      <c r="H12" s="426" t="s">
        <v>5989</v>
      </c>
      <c r="I12" s="500">
        <v>42031.0</v>
      </c>
      <c r="J12" s="428">
        <v>1.0</v>
      </c>
      <c r="K12" s="637" t="s">
        <v>238</v>
      </c>
      <c r="L12" s="428" t="s">
        <v>258</v>
      </c>
      <c r="M12" s="319">
        <f t="shared" si="1"/>
        <v>874</v>
      </c>
      <c r="N12" s="198"/>
      <c r="O12" s="324" t="s">
        <v>51</v>
      </c>
      <c r="P12" s="325">
        <f>SUM(P3:P11)</f>
        <v>139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3.5" customHeight="1">
      <c r="A13" s="419">
        <v>1215.0</v>
      </c>
      <c r="B13" s="420" t="s">
        <v>9316</v>
      </c>
      <c r="C13" s="420">
        <v>2010.0</v>
      </c>
      <c r="D13" s="497">
        <v>40290.0</v>
      </c>
      <c r="E13" s="420" t="s">
        <v>9317</v>
      </c>
      <c r="F13" s="420" t="s">
        <v>44</v>
      </c>
      <c r="G13" s="420" t="s">
        <v>552</v>
      </c>
      <c r="H13" s="420" t="s">
        <v>130</v>
      </c>
      <c r="I13" s="497">
        <v>42033.0</v>
      </c>
      <c r="J13" s="422">
        <v>1.0</v>
      </c>
      <c r="K13" s="635" t="s">
        <v>228</v>
      </c>
      <c r="L13" s="422" t="s">
        <v>258</v>
      </c>
      <c r="M13" s="316">
        <f t="shared" si="1"/>
        <v>1743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425">
        <v>1315.0</v>
      </c>
      <c r="B14" s="426" t="s">
        <v>9318</v>
      </c>
      <c r="C14" s="426">
        <v>2011.0</v>
      </c>
      <c r="D14" s="500">
        <v>40749.0</v>
      </c>
      <c r="E14" s="426" t="s">
        <v>9319</v>
      </c>
      <c r="F14" s="426" t="s">
        <v>947</v>
      </c>
      <c r="G14" s="426" t="s">
        <v>17</v>
      </c>
      <c r="H14" s="426" t="s">
        <v>5732</v>
      </c>
      <c r="I14" s="500">
        <v>42039.0</v>
      </c>
      <c r="J14" s="428">
        <v>2.0</v>
      </c>
      <c r="K14" s="637" t="s">
        <v>238</v>
      </c>
      <c r="L14" s="428" t="s">
        <v>258</v>
      </c>
      <c r="M14" s="319">
        <f t="shared" si="1"/>
        <v>1290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419">
        <v>1415.0</v>
      </c>
      <c r="B15" s="420" t="s">
        <v>9320</v>
      </c>
      <c r="C15" s="420">
        <v>2006.0</v>
      </c>
      <c r="D15" s="497">
        <v>39080.0</v>
      </c>
      <c r="E15" s="420" t="s">
        <v>9321</v>
      </c>
      <c r="F15" s="420" t="s">
        <v>2667</v>
      </c>
      <c r="G15" s="420" t="s">
        <v>650</v>
      </c>
      <c r="H15" s="420" t="s">
        <v>5180</v>
      </c>
      <c r="I15" s="497">
        <v>42045.0</v>
      </c>
      <c r="J15" s="422">
        <v>2.0</v>
      </c>
      <c r="K15" s="637" t="s">
        <v>238</v>
      </c>
      <c r="L15" s="422" t="s">
        <v>258</v>
      </c>
      <c r="M15" s="316">
        <f t="shared" si="1"/>
        <v>2965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3.5" customHeight="1">
      <c r="A16" s="425">
        <v>1515.0</v>
      </c>
      <c r="B16" s="426" t="s">
        <v>9322</v>
      </c>
      <c r="C16" s="426">
        <v>2010.0</v>
      </c>
      <c r="D16" s="500">
        <v>40254.0</v>
      </c>
      <c r="E16" s="426" t="s">
        <v>9323</v>
      </c>
      <c r="F16" s="426" t="s">
        <v>1170</v>
      </c>
      <c r="G16" s="426" t="s">
        <v>17</v>
      </c>
      <c r="H16" s="426" t="s">
        <v>596</v>
      </c>
      <c r="I16" s="500">
        <v>42048.0</v>
      </c>
      <c r="J16" s="428">
        <v>2.0</v>
      </c>
      <c r="K16" s="638" t="s">
        <v>234</v>
      </c>
      <c r="L16" s="428" t="s">
        <v>256</v>
      </c>
      <c r="M16" s="319">
        <f t="shared" si="1"/>
        <v>1794</v>
      </c>
      <c r="N16" s="198"/>
      <c r="O16" s="331" t="s">
        <v>9324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3.5" customHeight="1">
      <c r="A17" s="419">
        <v>1615.0</v>
      </c>
      <c r="B17" s="420" t="s">
        <v>9325</v>
      </c>
      <c r="C17" s="420">
        <v>2010.0</v>
      </c>
      <c r="D17" s="497">
        <v>40476.0</v>
      </c>
      <c r="E17" s="420" t="s">
        <v>9326</v>
      </c>
      <c r="F17" s="420" t="s">
        <v>1170</v>
      </c>
      <c r="G17" s="420" t="s">
        <v>17</v>
      </c>
      <c r="H17" s="420" t="s">
        <v>5016</v>
      </c>
      <c r="I17" s="497">
        <v>42048.0</v>
      </c>
      <c r="J17" s="422">
        <v>2.0</v>
      </c>
      <c r="K17" s="638" t="s">
        <v>234</v>
      </c>
      <c r="L17" s="422" t="s">
        <v>256</v>
      </c>
      <c r="M17" s="316">
        <f t="shared" si="1"/>
        <v>1572</v>
      </c>
      <c r="N17" s="198"/>
      <c r="O17" s="334" t="s">
        <v>9327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3.5" customHeight="1">
      <c r="A18" s="425">
        <v>1715.0</v>
      </c>
      <c r="B18" s="426" t="s">
        <v>9328</v>
      </c>
      <c r="C18" s="426">
        <v>2012.0</v>
      </c>
      <c r="D18" s="500">
        <v>40983.0</v>
      </c>
      <c r="E18" s="426" t="s">
        <v>9329</v>
      </c>
      <c r="F18" s="426" t="s">
        <v>1170</v>
      </c>
      <c r="G18" s="426" t="s">
        <v>17</v>
      </c>
      <c r="H18" s="426" t="s">
        <v>5016</v>
      </c>
      <c r="I18" s="500">
        <v>42048.0</v>
      </c>
      <c r="J18" s="428">
        <v>2.0</v>
      </c>
      <c r="K18" s="638" t="s">
        <v>234</v>
      </c>
      <c r="L18" s="428" t="s">
        <v>256</v>
      </c>
      <c r="M18" s="319">
        <f t="shared" si="1"/>
        <v>1065</v>
      </c>
      <c r="N18" s="198"/>
      <c r="O18" s="335" t="s">
        <v>9330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3.5" customHeight="1">
      <c r="A19" s="419">
        <v>1815.0</v>
      </c>
      <c r="B19" s="420" t="s">
        <v>9331</v>
      </c>
      <c r="C19" s="420">
        <v>2010.0</v>
      </c>
      <c r="D19" s="497">
        <v>40254.0</v>
      </c>
      <c r="E19" s="420" t="s">
        <v>9332</v>
      </c>
      <c r="F19" s="420" t="s">
        <v>1170</v>
      </c>
      <c r="G19" s="420" t="s">
        <v>17</v>
      </c>
      <c r="H19" s="420" t="s">
        <v>1749</v>
      </c>
      <c r="I19" s="497">
        <v>42048.0</v>
      </c>
      <c r="J19" s="422">
        <v>2.0</v>
      </c>
      <c r="K19" s="638" t="s">
        <v>234</v>
      </c>
      <c r="L19" s="422" t="s">
        <v>256</v>
      </c>
      <c r="M19" s="316">
        <f t="shared" si="1"/>
        <v>1794</v>
      </c>
      <c r="N19" s="198"/>
      <c r="O19" s="334" t="s">
        <v>9333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3.5" customHeight="1">
      <c r="A20" s="425">
        <v>1915.0</v>
      </c>
      <c r="B20" s="426" t="s">
        <v>9334</v>
      </c>
      <c r="C20" s="426">
        <v>2009.0</v>
      </c>
      <c r="D20" s="500">
        <v>39979.0</v>
      </c>
      <c r="E20" s="426" t="s">
        <v>9335</v>
      </c>
      <c r="F20" s="426" t="s">
        <v>963</v>
      </c>
      <c r="G20" s="426" t="s">
        <v>17</v>
      </c>
      <c r="H20" s="426" t="s">
        <v>596</v>
      </c>
      <c r="I20" s="500">
        <v>42066.0</v>
      </c>
      <c r="J20" s="428">
        <v>3.0</v>
      </c>
      <c r="K20" s="635" t="s">
        <v>228</v>
      </c>
      <c r="L20" s="428" t="s">
        <v>258</v>
      </c>
      <c r="M20" s="319">
        <f t="shared" si="1"/>
        <v>2087</v>
      </c>
      <c r="N20" s="198"/>
      <c r="O20" s="335" t="s">
        <v>9336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3.5" customHeight="1">
      <c r="A21" s="419">
        <v>2015.0</v>
      </c>
      <c r="B21" s="420" t="s">
        <v>9337</v>
      </c>
      <c r="C21" s="420">
        <v>2009.0</v>
      </c>
      <c r="D21" s="497">
        <v>39904.0</v>
      </c>
      <c r="E21" s="420" t="s">
        <v>9338</v>
      </c>
      <c r="F21" s="420" t="s">
        <v>4077</v>
      </c>
      <c r="G21" s="420" t="s">
        <v>650</v>
      </c>
      <c r="H21" s="420" t="s">
        <v>2964</v>
      </c>
      <c r="I21" s="497">
        <v>42067.0</v>
      </c>
      <c r="J21" s="422">
        <v>3.0</v>
      </c>
      <c r="K21" s="635" t="s">
        <v>228</v>
      </c>
      <c r="L21" s="422" t="s">
        <v>258</v>
      </c>
      <c r="M21" s="316">
        <f t="shared" si="1"/>
        <v>2163</v>
      </c>
      <c r="N21" s="198"/>
      <c r="O21" s="334" t="s">
        <v>9339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2115.0</v>
      </c>
      <c r="B22" s="426" t="s">
        <v>9340</v>
      </c>
      <c r="C22" s="426">
        <v>2010.0</v>
      </c>
      <c r="D22" s="500">
        <v>40389.0</v>
      </c>
      <c r="E22" s="426" t="s">
        <v>9341</v>
      </c>
      <c r="F22" s="426" t="s">
        <v>666</v>
      </c>
      <c r="G22" s="426" t="s">
        <v>17</v>
      </c>
      <c r="H22" s="426" t="s">
        <v>1178</v>
      </c>
      <c r="I22" s="500">
        <v>42067.0</v>
      </c>
      <c r="J22" s="428">
        <v>3.0</v>
      </c>
      <c r="K22" s="638" t="s">
        <v>234</v>
      </c>
      <c r="L22" s="428" t="s">
        <v>258</v>
      </c>
      <c r="M22" s="319">
        <f t="shared" si="1"/>
        <v>1678</v>
      </c>
      <c r="N22" s="198"/>
      <c r="O22" s="335" t="s">
        <v>9342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2215.0</v>
      </c>
      <c r="B23" s="420" t="s">
        <v>9343</v>
      </c>
      <c r="C23" s="420">
        <v>2013.0</v>
      </c>
      <c r="D23" s="497">
        <v>41535.0</v>
      </c>
      <c r="E23" s="420" t="s">
        <v>9344</v>
      </c>
      <c r="F23" s="623" t="s">
        <v>5738</v>
      </c>
      <c r="G23" s="420" t="s">
        <v>569</v>
      </c>
      <c r="H23" s="420" t="s">
        <v>4337</v>
      </c>
      <c r="I23" s="497">
        <v>42076.0</v>
      </c>
      <c r="J23" s="422">
        <v>3.0</v>
      </c>
      <c r="K23" s="636" t="s">
        <v>850</v>
      </c>
      <c r="L23" s="422" t="s">
        <v>260</v>
      </c>
      <c r="M23" s="316">
        <f t="shared" si="1"/>
        <v>541</v>
      </c>
      <c r="N23" s="198"/>
      <c r="O23" s="334" t="s">
        <v>9345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5.0" customHeight="1">
      <c r="A24" s="425">
        <v>2315.0</v>
      </c>
      <c r="B24" s="426" t="s">
        <v>9346</v>
      </c>
      <c r="C24" s="426">
        <v>2013.0</v>
      </c>
      <c r="D24" s="500">
        <v>41535.0</v>
      </c>
      <c r="E24" s="426" t="s">
        <v>9347</v>
      </c>
      <c r="F24" s="622" t="s">
        <v>2383</v>
      </c>
      <c r="G24" s="426" t="s">
        <v>569</v>
      </c>
      <c r="H24" s="426" t="s">
        <v>4337</v>
      </c>
      <c r="I24" s="500">
        <v>42076.0</v>
      </c>
      <c r="J24" s="428">
        <v>3.0</v>
      </c>
      <c r="K24" s="636" t="s">
        <v>850</v>
      </c>
      <c r="L24" s="428" t="s">
        <v>260</v>
      </c>
      <c r="M24" s="319">
        <f t="shared" si="1"/>
        <v>541</v>
      </c>
      <c r="N24" s="198"/>
      <c r="O24" s="336" t="s">
        <v>9348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3.5" customHeight="1">
      <c r="A25" s="419">
        <v>2415.0</v>
      </c>
      <c r="B25" s="420" t="s">
        <v>9349</v>
      </c>
      <c r="C25" s="420">
        <v>2010.0</v>
      </c>
      <c r="D25" s="497">
        <v>40449.0</v>
      </c>
      <c r="E25" s="420" t="s">
        <v>9350</v>
      </c>
      <c r="F25" s="420" t="s">
        <v>9351</v>
      </c>
      <c r="G25" s="420" t="s">
        <v>552</v>
      </c>
      <c r="H25" s="420" t="s">
        <v>8274</v>
      </c>
      <c r="I25" s="497">
        <v>42080.0</v>
      </c>
      <c r="J25" s="422">
        <v>3.0</v>
      </c>
      <c r="K25" s="637" t="s">
        <v>238</v>
      </c>
      <c r="L25" s="422" t="s">
        <v>256</v>
      </c>
      <c r="M25" s="316">
        <f t="shared" si="1"/>
        <v>1631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2515.0</v>
      </c>
      <c r="B26" s="426" t="s">
        <v>9352</v>
      </c>
      <c r="C26" s="426">
        <v>2009.0</v>
      </c>
      <c r="D26" s="500">
        <v>40175.0</v>
      </c>
      <c r="E26" s="426" t="s">
        <v>9353</v>
      </c>
      <c r="F26" s="426" t="s">
        <v>7706</v>
      </c>
      <c r="G26" s="426" t="s">
        <v>650</v>
      </c>
      <c r="H26" s="426" t="s">
        <v>651</v>
      </c>
      <c r="I26" s="500">
        <v>42080.0</v>
      </c>
      <c r="J26" s="428">
        <v>3.0</v>
      </c>
      <c r="K26" s="637" t="s">
        <v>238</v>
      </c>
      <c r="L26" s="428" t="s">
        <v>258</v>
      </c>
      <c r="M26" s="319">
        <f t="shared" si="1"/>
        <v>1905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2615.0</v>
      </c>
      <c r="B27" s="420" t="s">
        <v>9354</v>
      </c>
      <c r="C27" s="420">
        <v>2013.0</v>
      </c>
      <c r="D27" s="497">
        <v>41351.0</v>
      </c>
      <c r="E27" s="420" t="s">
        <v>9355</v>
      </c>
      <c r="F27" s="420" t="s">
        <v>9356</v>
      </c>
      <c r="G27" s="420" t="s">
        <v>565</v>
      </c>
      <c r="H27" s="420" t="s">
        <v>9357</v>
      </c>
      <c r="I27" s="497">
        <v>42080.0</v>
      </c>
      <c r="J27" s="422">
        <v>3.0</v>
      </c>
      <c r="K27" s="636" t="s">
        <v>244</v>
      </c>
      <c r="L27" s="422" t="s">
        <v>260</v>
      </c>
      <c r="M27" s="316">
        <f t="shared" si="1"/>
        <v>729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5.75" customHeight="1">
      <c r="A28" s="425">
        <v>2715.0</v>
      </c>
      <c r="B28" s="426" t="s">
        <v>9358</v>
      </c>
      <c r="C28" s="426">
        <v>2007.0</v>
      </c>
      <c r="D28" s="500">
        <v>39286.0</v>
      </c>
      <c r="E28" s="426" t="s">
        <v>9359</v>
      </c>
      <c r="F28" s="426" t="s">
        <v>9360</v>
      </c>
      <c r="G28" s="426" t="s">
        <v>552</v>
      </c>
      <c r="H28" s="426" t="s">
        <v>8274</v>
      </c>
      <c r="I28" s="500">
        <v>42082.0</v>
      </c>
      <c r="J28" s="428">
        <v>3.0</v>
      </c>
      <c r="K28" s="637" t="s">
        <v>238</v>
      </c>
      <c r="L28" s="428" t="s">
        <v>256</v>
      </c>
      <c r="M28" s="319">
        <f t="shared" si="1"/>
        <v>2796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3.5" customHeight="1">
      <c r="A29" s="419">
        <v>2815.0</v>
      </c>
      <c r="B29" s="420" t="s">
        <v>9361</v>
      </c>
      <c r="C29" s="420">
        <v>2010.0</v>
      </c>
      <c r="D29" s="497">
        <v>40231.0</v>
      </c>
      <c r="E29" s="420" t="s">
        <v>9362</v>
      </c>
      <c r="F29" s="420" t="s">
        <v>1136</v>
      </c>
      <c r="G29" s="420" t="s">
        <v>650</v>
      </c>
      <c r="H29" s="420" t="s">
        <v>158</v>
      </c>
      <c r="I29" s="497">
        <v>42082.0</v>
      </c>
      <c r="J29" s="422">
        <v>3.0</v>
      </c>
      <c r="K29" s="637" t="s">
        <v>238</v>
      </c>
      <c r="L29" s="422" t="s">
        <v>260</v>
      </c>
      <c r="M29" s="316">
        <f t="shared" si="1"/>
        <v>1851</v>
      </c>
      <c r="N29" s="198"/>
      <c r="O29" s="322">
        <v>2003.0</v>
      </c>
      <c r="P29" s="342">
        <f>COUNTIF($C$2:$C$503,"2003")</f>
        <v>0</v>
      </c>
      <c r="Q29" s="332"/>
      <c r="R29" s="333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3.5" customHeight="1">
      <c r="A30" s="425">
        <v>2915.0</v>
      </c>
      <c r="B30" s="426" t="s">
        <v>9363</v>
      </c>
      <c r="C30" s="426">
        <v>2012.0</v>
      </c>
      <c r="D30" s="500">
        <v>41242.0</v>
      </c>
      <c r="E30" s="426" t="s">
        <v>9364</v>
      </c>
      <c r="F30" s="426" t="s">
        <v>1544</v>
      </c>
      <c r="G30" s="426" t="s">
        <v>552</v>
      </c>
      <c r="H30" s="426" t="s">
        <v>740</v>
      </c>
      <c r="I30" s="500">
        <v>42083.0</v>
      </c>
      <c r="J30" s="428">
        <v>3.0</v>
      </c>
      <c r="K30" s="635" t="s">
        <v>228</v>
      </c>
      <c r="L30" s="428" t="s">
        <v>256</v>
      </c>
      <c r="M30" s="319">
        <f t="shared" si="1"/>
        <v>841</v>
      </c>
      <c r="N30" s="198"/>
      <c r="O30" s="321">
        <v>2004.0</v>
      </c>
      <c r="P30" s="344">
        <f>COUNTIF($C$2:$C$503,"2004")</f>
        <v>0</v>
      </c>
      <c r="Q30" s="113"/>
      <c r="R30" s="114"/>
      <c r="S30" s="345">
        <f>(P30/P42)</f>
        <v>0</v>
      </c>
      <c r="T30" s="25"/>
      <c r="U30" s="198"/>
      <c r="V30" s="198"/>
      <c r="W30" s="198"/>
      <c r="X30" s="198"/>
      <c r="Y30" s="198"/>
      <c r="Z30" s="198"/>
    </row>
    <row r="31" ht="13.5" customHeight="1">
      <c r="A31" s="419">
        <v>3015.0</v>
      </c>
      <c r="B31" s="420" t="s">
        <v>9365</v>
      </c>
      <c r="C31" s="420">
        <v>2009.0</v>
      </c>
      <c r="D31" s="497">
        <v>40142.0</v>
      </c>
      <c r="E31" s="420" t="s">
        <v>9366</v>
      </c>
      <c r="F31" s="420" t="s">
        <v>4263</v>
      </c>
      <c r="G31" s="420" t="s">
        <v>17</v>
      </c>
      <c r="H31" s="420" t="s">
        <v>5171</v>
      </c>
      <c r="I31" s="497">
        <v>42089.0</v>
      </c>
      <c r="J31" s="422">
        <v>3.0</v>
      </c>
      <c r="K31" s="635" t="s">
        <v>228</v>
      </c>
      <c r="L31" s="422" t="s">
        <v>256</v>
      </c>
      <c r="M31" s="316">
        <f t="shared" si="1"/>
        <v>1947</v>
      </c>
      <c r="N31" s="198"/>
      <c r="O31" s="322">
        <v>2005.0</v>
      </c>
      <c r="P31" s="346">
        <f>COUNTIF($C$2:$C$503,"2005")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3115.0</v>
      </c>
      <c r="B32" s="426" t="s">
        <v>9367</v>
      </c>
      <c r="C32" s="426">
        <v>2010.0</v>
      </c>
      <c r="D32" s="500">
        <v>40430.0</v>
      </c>
      <c r="E32" s="426" t="s">
        <v>9368</v>
      </c>
      <c r="F32" s="426" t="s">
        <v>6584</v>
      </c>
      <c r="G32" s="426" t="s">
        <v>17</v>
      </c>
      <c r="H32" s="426" t="s">
        <v>740</v>
      </c>
      <c r="I32" s="500">
        <v>42090.0</v>
      </c>
      <c r="J32" s="428">
        <v>3.0</v>
      </c>
      <c r="K32" s="637" t="s">
        <v>238</v>
      </c>
      <c r="L32" s="428" t="s">
        <v>256</v>
      </c>
      <c r="M32" s="319">
        <f t="shared" si="1"/>
        <v>1660</v>
      </c>
      <c r="N32" s="198"/>
      <c r="O32" s="321">
        <v>2006.0</v>
      </c>
      <c r="P32" s="344">
        <f>COUNTIF($C$2:$C$503,"2006")</f>
        <v>1</v>
      </c>
      <c r="Q32" s="113"/>
      <c r="R32" s="114"/>
      <c r="S32" s="345">
        <f>(P32/P42)</f>
        <v>0.007194244604</v>
      </c>
      <c r="T32" s="25"/>
      <c r="U32" s="198"/>
      <c r="V32" s="198"/>
      <c r="W32" s="198"/>
      <c r="X32" s="198"/>
      <c r="Y32" s="198"/>
      <c r="Z32" s="198"/>
    </row>
    <row r="33" ht="13.5" customHeight="1">
      <c r="A33" s="419">
        <v>3215.0</v>
      </c>
      <c r="B33" s="420" t="s">
        <v>9369</v>
      </c>
      <c r="C33" s="420">
        <v>2009.0</v>
      </c>
      <c r="D33" s="497">
        <v>40148.0</v>
      </c>
      <c r="E33" s="420" t="s">
        <v>9370</v>
      </c>
      <c r="F33" s="420" t="s">
        <v>666</v>
      </c>
      <c r="G33" s="420" t="s">
        <v>17</v>
      </c>
      <c r="H33" s="420" t="s">
        <v>1907</v>
      </c>
      <c r="I33" s="497">
        <v>42096.0</v>
      </c>
      <c r="J33" s="422">
        <v>4.0</v>
      </c>
      <c r="K33" s="638" t="s">
        <v>234</v>
      </c>
      <c r="L33" s="422" t="s">
        <v>258</v>
      </c>
      <c r="M33" s="316">
        <f t="shared" si="1"/>
        <v>1948</v>
      </c>
      <c r="N33" s="198"/>
      <c r="O33" s="322">
        <v>2007.0</v>
      </c>
      <c r="P33" s="346">
        <f>COUNTIF($C$2:$C$503,"2007")</f>
        <v>3</v>
      </c>
      <c r="Q33" s="113"/>
      <c r="R33" s="114"/>
      <c r="S33" s="343">
        <f>P33/P42</f>
        <v>0.02158273381</v>
      </c>
      <c r="T33" s="25"/>
      <c r="U33" s="198"/>
      <c r="V33" s="198"/>
      <c r="W33" s="198"/>
      <c r="X33" s="198"/>
      <c r="Y33" s="198"/>
      <c r="Z33" s="198"/>
    </row>
    <row r="34" ht="13.5" customHeight="1">
      <c r="A34" s="425">
        <v>3315.0</v>
      </c>
      <c r="B34" s="426" t="s">
        <v>9371</v>
      </c>
      <c r="C34" s="426">
        <v>2014.0</v>
      </c>
      <c r="D34" s="500">
        <v>41866.0</v>
      </c>
      <c r="E34" s="426" t="s">
        <v>9372</v>
      </c>
      <c r="F34" s="426" t="s">
        <v>9090</v>
      </c>
      <c r="G34" s="426" t="s">
        <v>552</v>
      </c>
      <c r="H34" s="426" t="s">
        <v>740</v>
      </c>
      <c r="I34" s="500">
        <v>42096.0</v>
      </c>
      <c r="J34" s="428">
        <v>4.0</v>
      </c>
      <c r="K34" s="637" t="s">
        <v>238</v>
      </c>
      <c r="L34" s="428" t="s">
        <v>258</v>
      </c>
      <c r="M34" s="319">
        <f t="shared" si="1"/>
        <v>230</v>
      </c>
      <c r="N34" s="198"/>
      <c r="O34" s="321">
        <v>2008.0</v>
      </c>
      <c r="P34" s="344">
        <f>COUNTIF($C$2:$C$503,"2008")</f>
        <v>6</v>
      </c>
      <c r="Q34" s="113"/>
      <c r="R34" s="114"/>
      <c r="S34" s="345">
        <f>(P34/P42)</f>
        <v>0.04316546763</v>
      </c>
      <c r="T34" s="25"/>
      <c r="U34" s="198"/>
      <c r="V34" s="198"/>
      <c r="W34" s="198"/>
      <c r="X34" s="198"/>
      <c r="Y34" s="198"/>
      <c r="Z34" s="198"/>
    </row>
    <row r="35" ht="13.5" customHeight="1">
      <c r="A35" s="419">
        <v>3415.0</v>
      </c>
      <c r="B35" s="420" t="s">
        <v>9373</v>
      </c>
      <c r="C35" s="420">
        <v>2008.0</v>
      </c>
      <c r="D35" s="497">
        <v>39771.0</v>
      </c>
      <c r="E35" s="420" t="s">
        <v>9374</v>
      </c>
      <c r="F35" s="420" t="s">
        <v>2307</v>
      </c>
      <c r="G35" s="420" t="s">
        <v>17</v>
      </c>
      <c r="H35" s="420" t="s">
        <v>573</v>
      </c>
      <c r="I35" s="497">
        <v>42101.0</v>
      </c>
      <c r="J35" s="422">
        <v>4.0</v>
      </c>
      <c r="K35" s="637" t="s">
        <v>238</v>
      </c>
      <c r="L35" s="422" t="s">
        <v>256</v>
      </c>
      <c r="M35" s="316">
        <f t="shared" si="1"/>
        <v>2330</v>
      </c>
      <c r="N35" s="198"/>
      <c r="O35" s="322">
        <v>2009.0</v>
      </c>
      <c r="P35" s="346">
        <f>COUNTIF($C$2:$C$503,"2009")</f>
        <v>23</v>
      </c>
      <c r="Q35" s="113"/>
      <c r="R35" s="114"/>
      <c r="S35" s="343">
        <f>P35/P42</f>
        <v>0.1654676259</v>
      </c>
      <c r="T35" s="25"/>
      <c r="U35" s="198"/>
      <c r="V35" s="198"/>
      <c r="W35" s="198"/>
      <c r="X35" s="198"/>
      <c r="Y35" s="198"/>
      <c r="Z35" s="198"/>
    </row>
    <row r="36" ht="13.5" customHeight="1">
      <c r="A36" s="425">
        <v>3515.0</v>
      </c>
      <c r="B36" s="426" t="s">
        <v>9375</v>
      </c>
      <c r="C36" s="426">
        <v>2011.0</v>
      </c>
      <c r="D36" s="500">
        <v>40665.0</v>
      </c>
      <c r="E36" s="426" t="s">
        <v>9376</v>
      </c>
      <c r="F36" s="426" t="s">
        <v>8731</v>
      </c>
      <c r="G36" s="426" t="s">
        <v>552</v>
      </c>
      <c r="H36" s="426" t="s">
        <v>5732</v>
      </c>
      <c r="I36" s="500">
        <v>42102.0</v>
      </c>
      <c r="J36" s="428">
        <v>4.0</v>
      </c>
      <c r="K36" s="635" t="s">
        <v>228</v>
      </c>
      <c r="L36" s="428" t="s">
        <v>256</v>
      </c>
      <c r="M36" s="319">
        <f t="shared" si="1"/>
        <v>1437</v>
      </c>
      <c r="N36" s="198"/>
      <c r="O36" s="321">
        <v>2010.0</v>
      </c>
      <c r="P36" s="344">
        <f>COUNTIF($C$2:$C$503,"2010")</f>
        <v>31</v>
      </c>
      <c r="Q36" s="113"/>
      <c r="R36" s="114"/>
      <c r="S36" s="345">
        <f>(P36/P42)</f>
        <v>0.2230215827</v>
      </c>
      <c r="T36" s="25"/>
      <c r="U36" s="198"/>
      <c r="V36" s="198"/>
      <c r="W36" s="198"/>
      <c r="X36" s="198"/>
      <c r="Y36" s="198"/>
      <c r="Z36" s="198"/>
    </row>
    <row r="37" ht="13.5" customHeight="1">
      <c r="A37" s="419">
        <v>3615.0</v>
      </c>
      <c r="B37" s="420" t="s">
        <v>9377</v>
      </c>
      <c r="C37" s="420">
        <v>2010.0</v>
      </c>
      <c r="D37" s="497">
        <v>40420.0</v>
      </c>
      <c r="E37" s="420" t="s">
        <v>9378</v>
      </c>
      <c r="F37" s="420" t="s">
        <v>4077</v>
      </c>
      <c r="G37" s="420" t="s">
        <v>17</v>
      </c>
      <c r="H37" s="420" t="s">
        <v>5016</v>
      </c>
      <c r="I37" s="497">
        <v>42103.0</v>
      </c>
      <c r="J37" s="422">
        <v>4.0</v>
      </c>
      <c r="K37" s="637" t="s">
        <v>238</v>
      </c>
      <c r="L37" s="422" t="s">
        <v>258</v>
      </c>
      <c r="M37" s="316">
        <f t="shared" si="1"/>
        <v>1683</v>
      </c>
      <c r="N37" s="198"/>
      <c r="O37" s="322">
        <v>2011.0</v>
      </c>
      <c r="P37" s="346">
        <f>COUNTIF($C$2:$C$503,"2011")</f>
        <v>16</v>
      </c>
      <c r="Q37" s="113"/>
      <c r="R37" s="114"/>
      <c r="S37" s="343">
        <f>P37/P42</f>
        <v>0.1151079137</v>
      </c>
      <c r="T37" s="25"/>
      <c r="U37" s="198"/>
      <c r="V37" s="198"/>
      <c r="W37" s="198"/>
      <c r="X37" s="198"/>
      <c r="Y37" s="198"/>
      <c r="Z37" s="198"/>
    </row>
    <row r="38" ht="13.5" customHeight="1">
      <c r="A38" s="425">
        <v>3715.0</v>
      </c>
      <c r="B38" s="426" t="s">
        <v>9379</v>
      </c>
      <c r="C38" s="426">
        <v>2009.0</v>
      </c>
      <c r="D38" s="500">
        <v>40056.0</v>
      </c>
      <c r="E38" s="426" t="s">
        <v>9380</v>
      </c>
      <c r="F38" s="426" t="s">
        <v>2311</v>
      </c>
      <c r="G38" s="426" t="s">
        <v>552</v>
      </c>
      <c r="H38" s="426" t="s">
        <v>1896</v>
      </c>
      <c r="I38" s="500">
        <v>42109.0</v>
      </c>
      <c r="J38" s="428">
        <v>4.0</v>
      </c>
      <c r="K38" s="637" t="s">
        <v>238</v>
      </c>
      <c r="L38" s="428" t="s">
        <v>256</v>
      </c>
      <c r="M38" s="319">
        <f t="shared" si="1"/>
        <v>2053</v>
      </c>
      <c r="N38" s="198"/>
      <c r="O38" s="321">
        <v>2012.0</v>
      </c>
      <c r="P38" s="344">
        <f>COUNTIF($C$2:$C$503,"2012")</f>
        <v>20</v>
      </c>
      <c r="Q38" s="113"/>
      <c r="R38" s="114"/>
      <c r="S38" s="345">
        <f>(P38/P42)</f>
        <v>0.1438848921</v>
      </c>
      <c r="T38" s="25"/>
      <c r="U38" s="198"/>
      <c r="V38" s="198"/>
      <c r="W38" s="198"/>
      <c r="X38" s="198"/>
      <c r="Y38" s="198"/>
      <c r="Z38" s="198"/>
    </row>
    <row r="39" ht="13.5" customHeight="1">
      <c r="A39" s="419">
        <v>3815.0</v>
      </c>
      <c r="B39" s="420" t="s">
        <v>9381</v>
      </c>
      <c r="C39" s="420">
        <v>2010.0</v>
      </c>
      <c r="D39" s="497">
        <v>40513.0</v>
      </c>
      <c r="E39" s="420" t="s">
        <v>9382</v>
      </c>
      <c r="F39" s="420" t="s">
        <v>6261</v>
      </c>
      <c r="G39" s="420" t="s">
        <v>552</v>
      </c>
      <c r="H39" s="420" t="s">
        <v>573</v>
      </c>
      <c r="I39" s="497">
        <v>42111.0</v>
      </c>
      <c r="J39" s="422">
        <v>4.0</v>
      </c>
      <c r="K39" s="635" t="s">
        <v>228</v>
      </c>
      <c r="L39" s="422" t="s">
        <v>256</v>
      </c>
      <c r="M39" s="316">
        <f t="shared" si="1"/>
        <v>1598</v>
      </c>
      <c r="N39" s="198"/>
      <c r="O39" s="322">
        <v>2013.0</v>
      </c>
      <c r="P39" s="346">
        <f>COUNTIF($C$2:$C$503,"2013")</f>
        <v>17</v>
      </c>
      <c r="Q39" s="113"/>
      <c r="R39" s="114"/>
      <c r="S39" s="343">
        <f>P39/P42</f>
        <v>0.1223021583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3915.0</v>
      </c>
      <c r="B40" s="426" t="s">
        <v>9383</v>
      </c>
      <c r="C40" s="426">
        <v>2010.0</v>
      </c>
      <c r="D40" s="500">
        <v>40422.0</v>
      </c>
      <c r="E40" s="426" t="s">
        <v>9384</v>
      </c>
      <c r="F40" s="426" t="s">
        <v>2311</v>
      </c>
      <c r="G40" s="426" t="s">
        <v>552</v>
      </c>
      <c r="H40" s="426" t="s">
        <v>7525</v>
      </c>
      <c r="I40" s="500">
        <v>42111.0</v>
      </c>
      <c r="J40" s="428">
        <v>4.0</v>
      </c>
      <c r="K40" s="637" t="s">
        <v>238</v>
      </c>
      <c r="L40" s="428" t="s">
        <v>256</v>
      </c>
      <c r="M40" s="319">
        <f t="shared" si="1"/>
        <v>1689</v>
      </c>
      <c r="N40" s="198"/>
      <c r="O40" s="321">
        <v>2014.0</v>
      </c>
      <c r="P40" s="344">
        <f>COUNTIF($C$2:$C$503,"2014")</f>
        <v>15</v>
      </c>
      <c r="Q40" s="113"/>
      <c r="R40" s="114"/>
      <c r="S40" s="345">
        <f>(P40/P42)</f>
        <v>0.1079136691</v>
      </c>
      <c r="T40" s="25"/>
      <c r="U40" s="198"/>
      <c r="V40" s="198"/>
      <c r="W40" s="198"/>
      <c r="X40" s="198"/>
      <c r="Y40" s="198"/>
      <c r="Z40" s="198"/>
    </row>
    <row r="41" ht="14.25" customHeight="1">
      <c r="A41" s="419">
        <v>4015.0</v>
      </c>
      <c r="B41" s="420" t="s">
        <v>9385</v>
      </c>
      <c r="C41" s="420">
        <v>2011.0</v>
      </c>
      <c r="D41" s="497">
        <v>40863.0</v>
      </c>
      <c r="E41" s="420" t="s">
        <v>9386</v>
      </c>
      <c r="F41" s="420" t="s">
        <v>2311</v>
      </c>
      <c r="G41" s="420" t="s">
        <v>552</v>
      </c>
      <c r="H41" s="420" t="s">
        <v>740</v>
      </c>
      <c r="I41" s="497">
        <v>42123.0</v>
      </c>
      <c r="J41" s="422">
        <v>4.0</v>
      </c>
      <c r="K41" s="637" t="s">
        <v>238</v>
      </c>
      <c r="L41" s="422" t="s">
        <v>258</v>
      </c>
      <c r="M41" s="316">
        <f t="shared" si="1"/>
        <v>1260</v>
      </c>
      <c r="N41" s="198"/>
      <c r="O41" s="322">
        <v>2015.0</v>
      </c>
      <c r="P41" s="346">
        <f>COUNTIF($C$2:$C$503,"2015")</f>
        <v>7</v>
      </c>
      <c r="Q41" s="113"/>
      <c r="R41" s="114"/>
      <c r="S41" s="343">
        <f>P41/P42</f>
        <v>0.05035971223</v>
      </c>
      <c r="T41" s="25"/>
      <c r="U41" s="198"/>
      <c r="V41" s="198"/>
      <c r="W41" s="198"/>
      <c r="X41" s="198"/>
      <c r="Y41" s="198"/>
      <c r="Z41" s="198"/>
    </row>
    <row r="42" ht="14.25" customHeight="1">
      <c r="A42" s="425">
        <v>4115.0</v>
      </c>
      <c r="B42" s="426" t="s">
        <v>9387</v>
      </c>
      <c r="C42" s="426">
        <v>2009.0</v>
      </c>
      <c r="D42" s="500">
        <v>39843.0</v>
      </c>
      <c r="E42" s="426" t="s">
        <v>9388</v>
      </c>
      <c r="F42" s="426" t="s">
        <v>666</v>
      </c>
      <c r="G42" s="426" t="s">
        <v>552</v>
      </c>
      <c r="H42" s="426" t="s">
        <v>573</v>
      </c>
      <c r="I42" s="500">
        <v>42124.0</v>
      </c>
      <c r="J42" s="428">
        <v>4.0</v>
      </c>
      <c r="K42" s="637" t="s">
        <v>238</v>
      </c>
      <c r="L42" s="428" t="s">
        <v>258</v>
      </c>
      <c r="M42" s="319">
        <f t="shared" si="1"/>
        <v>2281</v>
      </c>
      <c r="N42" s="198"/>
      <c r="O42" s="348" t="s">
        <v>179</v>
      </c>
      <c r="P42" s="349">
        <f>SUM(P29:R41)</f>
        <v>139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4.25" customHeight="1">
      <c r="A43" s="419">
        <v>4215.0</v>
      </c>
      <c r="B43" s="420" t="s">
        <v>9389</v>
      </c>
      <c r="C43" s="420">
        <v>2010.0</v>
      </c>
      <c r="D43" s="497">
        <v>40533.0</v>
      </c>
      <c r="E43" s="420" t="s">
        <v>9390</v>
      </c>
      <c r="F43" s="420" t="s">
        <v>44</v>
      </c>
      <c r="G43" s="420" t="s">
        <v>17</v>
      </c>
      <c r="H43" s="420" t="s">
        <v>26</v>
      </c>
      <c r="I43" s="497">
        <v>42129.0</v>
      </c>
      <c r="J43" s="422">
        <v>5.0</v>
      </c>
      <c r="K43" s="635" t="s">
        <v>228</v>
      </c>
      <c r="L43" s="422" t="s">
        <v>258</v>
      </c>
      <c r="M43" s="316">
        <f t="shared" si="1"/>
        <v>1596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2.75" customHeight="1">
      <c r="A44" s="425">
        <v>4315.0</v>
      </c>
      <c r="B44" s="426" t="s">
        <v>9391</v>
      </c>
      <c r="C44" s="426">
        <v>2012.0</v>
      </c>
      <c r="D44" s="500">
        <v>41039.0</v>
      </c>
      <c r="E44" s="426" t="s">
        <v>9392</v>
      </c>
      <c r="F44" s="426" t="s">
        <v>44</v>
      </c>
      <c r="G44" s="426" t="s">
        <v>17</v>
      </c>
      <c r="H44" s="426" t="s">
        <v>56</v>
      </c>
      <c r="I44" s="500">
        <v>42129.0</v>
      </c>
      <c r="J44" s="428">
        <v>5.0</v>
      </c>
      <c r="K44" s="635" t="s">
        <v>228</v>
      </c>
      <c r="L44" s="428" t="s">
        <v>258</v>
      </c>
      <c r="M44" s="319">
        <f t="shared" si="1"/>
        <v>1090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4415.0</v>
      </c>
      <c r="B45" s="420" t="s">
        <v>9393</v>
      </c>
      <c r="C45" s="420">
        <v>2009.0</v>
      </c>
      <c r="D45" s="497">
        <v>39839.0</v>
      </c>
      <c r="E45" s="420" t="s">
        <v>9394</v>
      </c>
      <c r="F45" s="420" t="s">
        <v>6584</v>
      </c>
      <c r="G45" s="420" t="s">
        <v>552</v>
      </c>
      <c r="H45" s="420" t="s">
        <v>66</v>
      </c>
      <c r="I45" s="497">
        <v>42136.0</v>
      </c>
      <c r="J45" s="422">
        <v>5.0</v>
      </c>
      <c r="K45" s="637" t="s">
        <v>238</v>
      </c>
      <c r="L45" s="422" t="s">
        <v>256</v>
      </c>
      <c r="M45" s="316">
        <f t="shared" si="1"/>
        <v>2297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5.75" customHeight="1">
      <c r="A46" s="425">
        <v>4515.0</v>
      </c>
      <c r="B46" s="426" t="s">
        <v>9395</v>
      </c>
      <c r="C46" s="426">
        <v>2010.0</v>
      </c>
      <c r="D46" s="500">
        <v>40420.0</v>
      </c>
      <c r="E46" s="426" t="s">
        <v>9396</v>
      </c>
      <c r="F46" s="426" t="s">
        <v>9397</v>
      </c>
      <c r="G46" s="426" t="s">
        <v>552</v>
      </c>
      <c r="H46" s="426" t="s">
        <v>5826</v>
      </c>
      <c r="I46" s="500">
        <v>42139.0</v>
      </c>
      <c r="J46" s="428">
        <v>5.0</v>
      </c>
      <c r="K46" s="635" t="s">
        <v>228</v>
      </c>
      <c r="L46" s="428" t="s">
        <v>254</v>
      </c>
      <c r="M46" s="319">
        <f t="shared" si="1"/>
        <v>1719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3.5" customHeight="1">
      <c r="A47" s="419">
        <v>4615.0</v>
      </c>
      <c r="B47" s="420" t="s">
        <v>9398</v>
      </c>
      <c r="C47" s="420">
        <v>2010.0</v>
      </c>
      <c r="D47" s="497">
        <v>40422.0</v>
      </c>
      <c r="E47" s="420" t="s">
        <v>9399</v>
      </c>
      <c r="F47" s="420" t="s">
        <v>9397</v>
      </c>
      <c r="G47" s="420" t="s">
        <v>552</v>
      </c>
      <c r="H47" s="420" t="s">
        <v>5826</v>
      </c>
      <c r="I47" s="497">
        <v>42139.0</v>
      </c>
      <c r="J47" s="422">
        <v>5.0</v>
      </c>
      <c r="K47" s="635" t="s">
        <v>228</v>
      </c>
      <c r="L47" s="422" t="s">
        <v>254</v>
      </c>
      <c r="M47" s="316">
        <f t="shared" si="1"/>
        <v>1717</v>
      </c>
      <c r="N47" s="198"/>
      <c r="O47" s="353" t="s">
        <v>195</v>
      </c>
      <c r="P47" s="342">
        <f>COUNTIF($J$2:$J$476,"1")</f>
        <v>12</v>
      </c>
      <c r="Q47" s="332"/>
      <c r="R47" s="333"/>
      <c r="S47" s="354">
        <f>(P47/P59)</f>
        <v>0.08633093525</v>
      </c>
      <c r="T47" s="25"/>
      <c r="U47" s="198"/>
      <c r="V47" s="198"/>
      <c r="W47" s="198"/>
      <c r="X47" s="198"/>
      <c r="Y47" s="198"/>
      <c r="Z47" s="198"/>
    </row>
    <row r="48" ht="13.5" customHeight="1">
      <c r="A48" s="425">
        <v>4715.0</v>
      </c>
      <c r="B48" s="426" t="s">
        <v>9400</v>
      </c>
      <c r="C48" s="426">
        <v>2009.0</v>
      </c>
      <c r="D48" s="500">
        <v>40086.0</v>
      </c>
      <c r="E48" s="426" t="s">
        <v>9401</v>
      </c>
      <c r="F48" s="426" t="s">
        <v>2311</v>
      </c>
      <c r="G48" s="426" t="s">
        <v>552</v>
      </c>
      <c r="H48" s="426" t="s">
        <v>596</v>
      </c>
      <c r="I48" s="500">
        <v>42149.0</v>
      </c>
      <c r="J48" s="428">
        <v>5.0</v>
      </c>
      <c r="K48" s="637" t="s">
        <v>238</v>
      </c>
      <c r="L48" s="428" t="s">
        <v>256</v>
      </c>
      <c r="M48" s="319">
        <f t="shared" si="1"/>
        <v>2063</v>
      </c>
      <c r="N48" s="198"/>
      <c r="O48" s="321" t="s">
        <v>197</v>
      </c>
      <c r="P48" s="344">
        <f>COUNTIF($J$2:$J$476,"2")</f>
        <v>6</v>
      </c>
      <c r="Q48" s="113"/>
      <c r="R48" s="114"/>
      <c r="S48" s="345">
        <f>(P48/P59)</f>
        <v>0.04316546763</v>
      </c>
      <c r="T48" s="25"/>
      <c r="U48" s="198"/>
      <c r="V48" s="198"/>
      <c r="W48" s="198"/>
      <c r="X48" s="198"/>
      <c r="Y48" s="198"/>
      <c r="Z48" s="198"/>
    </row>
    <row r="49" ht="13.5" customHeight="1">
      <c r="A49" s="419">
        <v>4815.0</v>
      </c>
      <c r="B49" s="420" t="s">
        <v>9402</v>
      </c>
      <c r="C49" s="420">
        <v>2008.0</v>
      </c>
      <c r="D49" s="497">
        <v>39485.0</v>
      </c>
      <c r="E49" s="420" t="s">
        <v>9403</v>
      </c>
      <c r="F49" s="420" t="s">
        <v>947</v>
      </c>
      <c r="G49" s="420" t="s">
        <v>552</v>
      </c>
      <c r="H49" s="420" t="s">
        <v>1501</v>
      </c>
      <c r="I49" s="497">
        <v>42158.0</v>
      </c>
      <c r="J49" s="422">
        <v>6.0</v>
      </c>
      <c r="K49" s="636" t="s">
        <v>244</v>
      </c>
      <c r="L49" s="422" t="s">
        <v>258</v>
      </c>
      <c r="M49" s="316">
        <f t="shared" si="1"/>
        <v>2673</v>
      </c>
      <c r="N49" s="198"/>
      <c r="O49" s="322" t="s">
        <v>199</v>
      </c>
      <c r="P49" s="346">
        <f>COUNTIF($J$2:$J$476,"3")</f>
        <v>13</v>
      </c>
      <c r="Q49" s="113"/>
      <c r="R49" s="114"/>
      <c r="S49" s="343">
        <f>(P49/P59)</f>
        <v>0.09352517986</v>
      </c>
      <c r="T49" s="25"/>
      <c r="U49" s="198"/>
      <c r="V49" s="198"/>
      <c r="W49" s="198"/>
      <c r="X49" s="198"/>
      <c r="Y49" s="198"/>
      <c r="Z49" s="198"/>
    </row>
    <row r="50" ht="14.25" customHeight="1">
      <c r="A50" s="425">
        <v>4915.0</v>
      </c>
      <c r="B50" s="426" t="s">
        <v>9404</v>
      </c>
      <c r="C50" s="426">
        <v>2015.0</v>
      </c>
      <c r="D50" s="500">
        <v>42023.0</v>
      </c>
      <c r="E50" s="426" t="s">
        <v>9405</v>
      </c>
      <c r="F50" s="622" t="s">
        <v>5332</v>
      </c>
      <c r="G50" s="426" t="s">
        <v>569</v>
      </c>
      <c r="H50" s="426" t="s">
        <v>9406</v>
      </c>
      <c r="I50" s="500">
        <v>42160.0</v>
      </c>
      <c r="J50" s="428">
        <v>6.0</v>
      </c>
      <c r="K50" s="636" t="s">
        <v>850</v>
      </c>
      <c r="L50" s="428" t="s">
        <v>260</v>
      </c>
      <c r="M50" s="319">
        <f t="shared" si="1"/>
        <v>137</v>
      </c>
      <c r="N50" s="198"/>
      <c r="O50" s="321" t="s">
        <v>201</v>
      </c>
      <c r="P50" s="344">
        <f>COUNTIF($J$2:$J$476,"4")</f>
        <v>10</v>
      </c>
      <c r="Q50" s="113"/>
      <c r="R50" s="114"/>
      <c r="S50" s="345">
        <f>(P50/P59)</f>
        <v>0.07194244604</v>
      </c>
      <c r="T50" s="25"/>
      <c r="U50" s="198"/>
      <c r="V50" s="198"/>
      <c r="W50" s="198"/>
      <c r="X50" s="198"/>
      <c r="Y50" s="198"/>
      <c r="Z50" s="198"/>
    </row>
    <row r="51" ht="14.25" customHeight="1">
      <c r="A51" s="419">
        <v>5015.0</v>
      </c>
      <c r="B51" s="420" t="s">
        <v>9407</v>
      </c>
      <c r="C51" s="420">
        <v>2012.0</v>
      </c>
      <c r="D51" s="497">
        <v>41061.0</v>
      </c>
      <c r="E51" s="420" t="s">
        <v>9408</v>
      </c>
      <c r="F51" s="623" t="s">
        <v>2606</v>
      </c>
      <c r="G51" s="420" t="s">
        <v>565</v>
      </c>
      <c r="H51" s="420" t="s">
        <v>2550</v>
      </c>
      <c r="I51" s="497">
        <v>42164.0</v>
      </c>
      <c r="J51" s="422">
        <v>6.0</v>
      </c>
      <c r="K51" s="637" t="s">
        <v>238</v>
      </c>
      <c r="L51" s="422" t="s">
        <v>260</v>
      </c>
      <c r="M51" s="316">
        <f t="shared" si="1"/>
        <v>1103</v>
      </c>
      <c r="N51" s="198"/>
      <c r="O51" s="322" t="s">
        <v>203</v>
      </c>
      <c r="P51" s="346">
        <f>COUNTIF($J$2:$J$476,"5")</f>
        <v>6</v>
      </c>
      <c r="Q51" s="113"/>
      <c r="R51" s="114"/>
      <c r="S51" s="343">
        <f>(P51/P59)</f>
        <v>0.04316546763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5115.0</v>
      </c>
      <c r="B52" s="426" t="s">
        <v>9409</v>
      </c>
      <c r="C52" s="426">
        <v>2012.0</v>
      </c>
      <c r="D52" s="500">
        <v>41226.0</v>
      </c>
      <c r="E52" s="426" t="s">
        <v>9410</v>
      </c>
      <c r="F52" s="622" t="s">
        <v>2343</v>
      </c>
      <c r="G52" s="426" t="s">
        <v>569</v>
      </c>
      <c r="H52" s="426" t="s">
        <v>3892</v>
      </c>
      <c r="I52" s="500">
        <v>42170.0</v>
      </c>
      <c r="J52" s="428">
        <v>6.0</v>
      </c>
      <c r="K52" s="636" t="s">
        <v>244</v>
      </c>
      <c r="L52" s="428" t="s">
        <v>260</v>
      </c>
      <c r="M52" s="319">
        <f t="shared" si="1"/>
        <v>944</v>
      </c>
      <c r="N52" s="198"/>
      <c r="O52" s="321" t="s">
        <v>205</v>
      </c>
      <c r="P52" s="344">
        <f>COUNTIF($J$2:$J$476,"6")</f>
        <v>16</v>
      </c>
      <c r="Q52" s="113"/>
      <c r="R52" s="114"/>
      <c r="S52" s="345">
        <f>(P52/P59)</f>
        <v>0.1151079137</v>
      </c>
      <c r="T52" s="25"/>
      <c r="U52" s="198"/>
      <c r="V52" s="198"/>
      <c r="W52" s="198"/>
      <c r="X52" s="198"/>
      <c r="Y52" s="198"/>
      <c r="Z52" s="198"/>
    </row>
    <row r="53" ht="14.25" customHeight="1">
      <c r="A53" s="419">
        <v>5215.0</v>
      </c>
      <c r="B53" s="420" t="s">
        <v>9411</v>
      </c>
      <c r="C53" s="420">
        <v>2010.0</v>
      </c>
      <c r="D53" s="497">
        <v>40476.0</v>
      </c>
      <c r="E53" s="420" t="s">
        <v>9412</v>
      </c>
      <c r="F53" s="420" t="s">
        <v>1408</v>
      </c>
      <c r="G53" s="420" t="s">
        <v>552</v>
      </c>
      <c r="H53" s="420" t="s">
        <v>9054</v>
      </c>
      <c r="I53" s="497">
        <v>42170.0</v>
      </c>
      <c r="J53" s="422">
        <v>6.0</v>
      </c>
      <c r="K53" s="637" t="s">
        <v>238</v>
      </c>
      <c r="L53" s="422" t="s">
        <v>258</v>
      </c>
      <c r="M53" s="316">
        <f t="shared" si="1"/>
        <v>1694</v>
      </c>
      <c r="N53" s="198"/>
      <c r="O53" s="322" t="s">
        <v>207</v>
      </c>
      <c r="P53" s="346">
        <f>COUNTIF($J$2:$J$476,"7")</f>
        <v>19</v>
      </c>
      <c r="Q53" s="113"/>
      <c r="R53" s="114"/>
      <c r="S53" s="343">
        <f>(P53/P59)</f>
        <v>0.1366906475</v>
      </c>
      <c r="T53" s="25"/>
      <c r="U53" s="198"/>
      <c r="V53" s="198"/>
      <c r="W53" s="198"/>
      <c r="X53" s="198"/>
      <c r="Y53" s="198"/>
      <c r="Z53" s="198"/>
    </row>
    <row r="54" ht="14.25" customHeight="1">
      <c r="A54" s="425">
        <v>5315.0</v>
      </c>
      <c r="B54" s="426" t="s">
        <v>9413</v>
      </c>
      <c r="C54" s="426">
        <v>2010.0</v>
      </c>
      <c r="D54" s="500">
        <v>40480.0</v>
      </c>
      <c r="E54" s="426" t="s">
        <v>9414</v>
      </c>
      <c r="F54" s="426" t="s">
        <v>1408</v>
      </c>
      <c r="G54" s="426" t="s">
        <v>552</v>
      </c>
      <c r="H54" s="426" t="s">
        <v>9054</v>
      </c>
      <c r="I54" s="500">
        <v>42170.0</v>
      </c>
      <c r="J54" s="428">
        <v>6.0</v>
      </c>
      <c r="K54" s="637" t="s">
        <v>238</v>
      </c>
      <c r="L54" s="428" t="s">
        <v>258</v>
      </c>
      <c r="M54" s="319">
        <f t="shared" si="1"/>
        <v>1690</v>
      </c>
      <c r="N54" s="198"/>
      <c r="O54" s="321" t="s">
        <v>209</v>
      </c>
      <c r="P54" s="344">
        <f>COUNTIF($J$2:$J$476,"8")</f>
        <v>9</v>
      </c>
      <c r="Q54" s="113"/>
      <c r="R54" s="114"/>
      <c r="S54" s="345">
        <f>(P54/P59)</f>
        <v>0.06474820144</v>
      </c>
      <c r="T54" s="25"/>
      <c r="U54" s="198"/>
      <c r="V54" s="198"/>
      <c r="W54" s="198"/>
      <c r="X54" s="198"/>
      <c r="Y54" s="198"/>
      <c r="Z54" s="198"/>
    </row>
    <row r="55" ht="15.0" customHeight="1">
      <c r="A55" s="419">
        <v>5415.0</v>
      </c>
      <c r="B55" s="420" t="s">
        <v>9415</v>
      </c>
      <c r="C55" s="420">
        <v>2014.0</v>
      </c>
      <c r="D55" s="497">
        <v>41709.0</v>
      </c>
      <c r="E55" s="420" t="s">
        <v>9416</v>
      </c>
      <c r="F55" s="623" t="s">
        <v>5332</v>
      </c>
      <c r="G55" s="420" t="s">
        <v>569</v>
      </c>
      <c r="H55" s="420" t="s">
        <v>9417</v>
      </c>
      <c r="I55" s="497">
        <v>42170.0</v>
      </c>
      <c r="J55" s="422">
        <v>6.0</v>
      </c>
      <c r="K55" s="636" t="s">
        <v>850</v>
      </c>
      <c r="L55" s="422" t="s">
        <v>260</v>
      </c>
      <c r="M55" s="316">
        <f t="shared" si="1"/>
        <v>461</v>
      </c>
      <c r="N55" s="198"/>
      <c r="O55" s="322" t="s">
        <v>211</v>
      </c>
      <c r="P55" s="346">
        <f>COUNTIF($J$2:$J$476,"9")</f>
        <v>5</v>
      </c>
      <c r="Q55" s="113"/>
      <c r="R55" s="114"/>
      <c r="S55" s="343">
        <f>(P55/P59)</f>
        <v>0.03597122302</v>
      </c>
      <c r="T55" s="25"/>
      <c r="U55" s="198"/>
      <c r="V55" s="198"/>
      <c r="W55" s="198"/>
      <c r="X55" s="198"/>
      <c r="Y55" s="198"/>
      <c r="Z55" s="198"/>
    </row>
    <row r="56" ht="14.25" customHeight="1">
      <c r="A56" s="425">
        <v>5515.0</v>
      </c>
      <c r="B56" s="426" t="s">
        <v>9418</v>
      </c>
      <c r="C56" s="426">
        <v>2010.0</v>
      </c>
      <c r="D56" s="500">
        <v>40480.0</v>
      </c>
      <c r="E56" s="426" t="s">
        <v>9419</v>
      </c>
      <c r="F56" s="426" t="s">
        <v>6261</v>
      </c>
      <c r="G56" s="426" t="s">
        <v>552</v>
      </c>
      <c r="H56" s="426" t="s">
        <v>573</v>
      </c>
      <c r="I56" s="500">
        <v>42171.0</v>
      </c>
      <c r="J56" s="428">
        <v>6.0</v>
      </c>
      <c r="K56" s="635" t="s">
        <v>228</v>
      </c>
      <c r="L56" s="428" t="s">
        <v>256</v>
      </c>
      <c r="M56" s="319">
        <f t="shared" si="1"/>
        <v>1691</v>
      </c>
      <c r="N56" s="198"/>
      <c r="O56" s="321" t="s">
        <v>213</v>
      </c>
      <c r="P56" s="344">
        <f>COUNTIF($J$2:$J$476,"10")</f>
        <v>9</v>
      </c>
      <c r="Q56" s="113"/>
      <c r="R56" s="114"/>
      <c r="S56" s="345">
        <f>(P56/P59)</f>
        <v>0.06474820144</v>
      </c>
      <c r="T56" s="25"/>
      <c r="U56" s="198"/>
      <c r="V56" s="198"/>
      <c r="W56" s="198"/>
      <c r="X56" s="198"/>
      <c r="Y56" s="198"/>
      <c r="Z56" s="198"/>
    </row>
    <row r="57" ht="14.25" customHeight="1">
      <c r="A57" s="419">
        <v>5615.0</v>
      </c>
      <c r="B57" s="420" t="s">
        <v>9420</v>
      </c>
      <c r="C57" s="420">
        <v>2010.0</v>
      </c>
      <c r="D57" s="497">
        <v>40430.0</v>
      </c>
      <c r="E57" s="420" t="s">
        <v>9421</v>
      </c>
      <c r="F57" s="420" t="s">
        <v>1823</v>
      </c>
      <c r="G57" s="420" t="s">
        <v>552</v>
      </c>
      <c r="H57" s="420" t="s">
        <v>56</v>
      </c>
      <c r="I57" s="497">
        <v>42171.0</v>
      </c>
      <c r="J57" s="422">
        <v>6.0</v>
      </c>
      <c r="K57" s="635" t="s">
        <v>228</v>
      </c>
      <c r="L57" s="422" t="s">
        <v>256</v>
      </c>
      <c r="M57" s="316">
        <f t="shared" si="1"/>
        <v>1741</v>
      </c>
      <c r="N57" s="198"/>
      <c r="O57" s="322" t="s">
        <v>215</v>
      </c>
      <c r="P57" s="346">
        <f>COUNTIF($J$2:$J$476,"11")</f>
        <v>18</v>
      </c>
      <c r="Q57" s="113"/>
      <c r="R57" s="114"/>
      <c r="S57" s="343">
        <f>(P57/P59)</f>
        <v>0.1294964029</v>
      </c>
      <c r="T57" s="25"/>
      <c r="U57" s="198"/>
      <c r="V57" s="198"/>
      <c r="W57" s="198"/>
      <c r="X57" s="198"/>
      <c r="Y57" s="198"/>
      <c r="Z57" s="198"/>
    </row>
    <row r="58" ht="14.25" customHeight="1">
      <c r="A58" s="425">
        <v>5715.0</v>
      </c>
      <c r="B58" s="426" t="s">
        <v>9422</v>
      </c>
      <c r="C58" s="426">
        <v>2011.0</v>
      </c>
      <c r="D58" s="500">
        <v>40731.0</v>
      </c>
      <c r="E58" s="426" t="s">
        <v>9423</v>
      </c>
      <c r="F58" s="426" t="s">
        <v>4077</v>
      </c>
      <c r="G58" s="426" t="s">
        <v>650</v>
      </c>
      <c r="H58" s="426" t="s">
        <v>2964</v>
      </c>
      <c r="I58" s="500">
        <v>42177.0</v>
      </c>
      <c r="J58" s="428">
        <v>6.0</v>
      </c>
      <c r="K58" s="635" t="s">
        <v>228</v>
      </c>
      <c r="L58" s="428" t="s">
        <v>258</v>
      </c>
      <c r="M58" s="319">
        <f t="shared" si="1"/>
        <v>1446</v>
      </c>
      <c r="N58" s="198"/>
      <c r="O58" s="355" t="s">
        <v>217</v>
      </c>
      <c r="P58" s="344">
        <f>COUNTIF($J$2:$J$476,"12")</f>
        <v>16</v>
      </c>
      <c r="Q58" s="113"/>
      <c r="R58" s="114"/>
      <c r="S58" s="356">
        <f>(P58/P59)</f>
        <v>0.1151079137</v>
      </c>
      <c r="T58" s="25"/>
      <c r="U58" s="198"/>
      <c r="V58" s="198"/>
      <c r="W58" s="198"/>
      <c r="X58" s="198"/>
      <c r="Y58" s="198"/>
      <c r="Z58" s="198"/>
    </row>
    <row r="59" ht="14.25" customHeight="1">
      <c r="A59" s="419">
        <v>5815.0</v>
      </c>
      <c r="B59" s="420" t="s">
        <v>9424</v>
      </c>
      <c r="C59" s="420">
        <v>2012.0</v>
      </c>
      <c r="D59" s="497">
        <v>41107.0</v>
      </c>
      <c r="E59" s="420" t="s">
        <v>9425</v>
      </c>
      <c r="F59" s="420" t="s">
        <v>8841</v>
      </c>
      <c r="G59" s="420" t="s">
        <v>552</v>
      </c>
      <c r="H59" s="420" t="s">
        <v>130</v>
      </c>
      <c r="I59" s="497">
        <v>42177.0</v>
      </c>
      <c r="J59" s="422">
        <v>6.0</v>
      </c>
      <c r="K59" s="635" t="s">
        <v>228</v>
      </c>
      <c r="L59" s="422" t="s">
        <v>258</v>
      </c>
      <c r="M59" s="316">
        <f t="shared" si="1"/>
        <v>1070</v>
      </c>
      <c r="N59" s="198"/>
      <c r="O59" s="348" t="s">
        <v>219</v>
      </c>
      <c r="P59" s="349">
        <f>SUM(P47:R58)</f>
        <v>139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4.25" customHeight="1">
      <c r="A60" s="425">
        <v>5915.0</v>
      </c>
      <c r="B60" s="426" t="s">
        <v>9426</v>
      </c>
      <c r="C60" s="426">
        <v>2012.0</v>
      </c>
      <c r="D60" s="500">
        <v>41107.0</v>
      </c>
      <c r="E60" s="426" t="s">
        <v>9427</v>
      </c>
      <c r="F60" s="426" t="s">
        <v>8841</v>
      </c>
      <c r="G60" s="426" t="s">
        <v>552</v>
      </c>
      <c r="H60" s="426" t="s">
        <v>130</v>
      </c>
      <c r="I60" s="500">
        <v>42177.0</v>
      </c>
      <c r="J60" s="428">
        <v>6.0</v>
      </c>
      <c r="K60" s="635" t="s">
        <v>228</v>
      </c>
      <c r="L60" s="428" t="s">
        <v>258</v>
      </c>
      <c r="M60" s="319">
        <f t="shared" si="1"/>
        <v>1070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5.0" customHeight="1">
      <c r="A61" s="419">
        <v>6015.0</v>
      </c>
      <c r="B61" s="420" t="s">
        <v>9428</v>
      </c>
      <c r="C61" s="420">
        <v>2015.0</v>
      </c>
      <c r="D61" s="497">
        <v>42090.0</v>
      </c>
      <c r="E61" s="420" t="s">
        <v>9429</v>
      </c>
      <c r="F61" s="623" t="s">
        <v>5738</v>
      </c>
      <c r="G61" s="420" t="s">
        <v>569</v>
      </c>
      <c r="H61" s="420" t="s">
        <v>2331</v>
      </c>
      <c r="I61" s="497">
        <v>42178.0</v>
      </c>
      <c r="J61" s="422">
        <v>6.0</v>
      </c>
      <c r="K61" s="636" t="s">
        <v>850</v>
      </c>
      <c r="L61" s="422" t="s">
        <v>260</v>
      </c>
      <c r="M61" s="316">
        <f t="shared" si="1"/>
        <v>88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4.25" customHeight="1">
      <c r="A62" s="425">
        <v>6115.0</v>
      </c>
      <c r="B62" s="426" t="s">
        <v>9430</v>
      </c>
      <c r="C62" s="426">
        <v>2011.0</v>
      </c>
      <c r="D62" s="500">
        <v>40661.0</v>
      </c>
      <c r="E62" s="426" t="s">
        <v>9431</v>
      </c>
      <c r="F62" s="426" t="s">
        <v>8841</v>
      </c>
      <c r="G62" s="426" t="s">
        <v>552</v>
      </c>
      <c r="H62" s="426" t="s">
        <v>130</v>
      </c>
      <c r="I62" s="500">
        <v>42178.0</v>
      </c>
      <c r="J62" s="428">
        <v>6.0</v>
      </c>
      <c r="K62" s="635" t="s">
        <v>228</v>
      </c>
      <c r="L62" s="428" t="s">
        <v>258</v>
      </c>
      <c r="M62" s="319">
        <f t="shared" si="1"/>
        <v>1517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5.75" customHeight="1">
      <c r="A63" s="419">
        <v>6215.0</v>
      </c>
      <c r="B63" s="420" t="s">
        <v>9432</v>
      </c>
      <c r="C63" s="420">
        <v>2008.0</v>
      </c>
      <c r="D63" s="497">
        <v>39813.0</v>
      </c>
      <c r="E63" s="420" t="s">
        <v>9433</v>
      </c>
      <c r="F63" s="420" t="s">
        <v>3694</v>
      </c>
      <c r="G63" s="420" t="s">
        <v>650</v>
      </c>
      <c r="H63" s="420" t="s">
        <v>2964</v>
      </c>
      <c r="I63" s="497">
        <v>42179.0</v>
      </c>
      <c r="J63" s="422">
        <v>6.0</v>
      </c>
      <c r="K63" s="635" t="s">
        <v>228</v>
      </c>
      <c r="L63" s="422" t="s">
        <v>258</v>
      </c>
      <c r="M63" s="316">
        <f t="shared" si="1"/>
        <v>2366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3.5" customHeight="1">
      <c r="A64" s="425">
        <v>6315.0</v>
      </c>
      <c r="B64" s="426" t="s">
        <v>9434</v>
      </c>
      <c r="C64" s="426">
        <v>2013.0</v>
      </c>
      <c r="D64" s="500">
        <v>41354.0</v>
      </c>
      <c r="E64" s="426" t="s">
        <v>9435</v>
      </c>
      <c r="F64" s="426" t="s">
        <v>963</v>
      </c>
      <c r="G64" s="426" t="s">
        <v>552</v>
      </c>
      <c r="H64" s="426" t="s">
        <v>583</v>
      </c>
      <c r="I64" s="500">
        <v>42185.0</v>
      </c>
      <c r="J64" s="428">
        <v>6.0</v>
      </c>
      <c r="K64" s="637" t="s">
        <v>238</v>
      </c>
      <c r="L64" s="428" t="s">
        <v>258</v>
      </c>
      <c r="M64" s="319">
        <f t="shared" si="1"/>
        <v>831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41</v>
      </c>
      <c r="T64" s="366">
        <f>(S64/S76)</f>
        <v>0.2949640288</v>
      </c>
      <c r="U64" s="198"/>
      <c r="V64" s="198"/>
      <c r="W64" s="198"/>
      <c r="X64" s="198"/>
      <c r="Y64" s="198"/>
      <c r="Z64" s="198"/>
    </row>
    <row r="65" ht="13.5" customHeight="1">
      <c r="A65" s="419">
        <v>6415.0</v>
      </c>
      <c r="B65" s="420" t="s">
        <v>9436</v>
      </c>
      <c r="C65" s="420">
        <v>2009.0</v>
      </c>
      <c r="D65" s="497">
        <v>39875.0</v>
      </c>
      <c r="E65" s="420" t="s">
        <v>9437</v>
      </c>
      <c r="F65" s="420" t="s">
        <v>2307</v>
      </c>
      <c r="G65" s="420" t="s">
        <v>552</v>
      </c>
      <c r="H65" s="420" t="s">
        <v>573</v>
      </c>
      <c r="I65" s="497">
        <v>42186.0</v>
      </c>
      <c r="J65" s="422">
        <v>7.0</v>
      </c>
      <c r="K65" s="637" t="s">
        <v>238</v>
      </c>
      <c r="L65" s="422" t="s">
        <v>256</v>
      </c>
      <c r="M65" s="316">
        <f t="shared" si="1"/>
        <v>2311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3.5" customHeight="1">
      <c r="A66" s="425">
        <v>6515.0</v>
      </c>
      <c r="B66" s="426" t="s">
        <v>9438</v>
      </c>
      <c r="C66" s="426">
        <v>2010.0</v>
      </c>
      <c r="D66" s="500">
        <v>40533.0</v>
      </c>
      <c r="E66" s="426" t="s">
        <v>9439</v>
      </c>
      <c r="F66" s="426" t="s">
        <v>44</v>
      </c>
      <c r="G66" s="426" t="s">
        <v>552</v>
      </c>
      <c r="H66" s="426" t="s">
        <v>1749</v>
      </c>
      <c r="I66" s="500">
        <v>42191.0</v>
      </c>
      <c r="J66" s="428">
        <v>7.0</v>
      </c>
      <c r="K66" s="635" t="s">
        <v>228</v>
      </c>
      <c r="L66" s="428" t="s">
        <v>258</v>
      </c>
      <c r="M66" s="319">
        <f t="shared" si="1"/>
        <v>1658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3.5" customHeight="1">
      <c r="A67" s="419">
        <v>6615.0</v>
      </c>
      <c r="B67" s="420" t="s">
        <v>9440</v>
      </c>
      <c r="C67" s="420">
        <v>2010.0</v>
      </c>
      <c r="D67" s="497">
        <v>40535.0</v>
      </c>
      <c r="E67" s="420" t="s">
        <v>9441</v>
      </c>
      <c r="F67" s="420" t="s">
        <v>44</v>
      </c>
      <c r="G67" s="420" t="s">
        <v>552</v>
      </c>
      <c r="H67" s="420" t="s">
        <v>596</v>
      </c>
      <c r="I67" s="497">
        <v>42191.0</v>
      </c>
      <c r="J67" s="422">
        <v>7.0</v>
      </c>
      <c r="K67" s="635" t="s">
        <v>228</v>
      </c>
      <c r="L67" s="422" t="s">
        <v>258</v>
      </c>
      <c r="M67" s="316">
        <f t="shared" si="1"/>
        <v>1656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16</v>
      </c>
      <c r="T67" s="374">
        <f>(S67/S76)</f>
        <v>0.1151079137</v>
      </c>
      <c r="U67" s="198"/>
      <c r="V67" s="198"/>
      <c r="W67" s="198"/>
      <c r="X67" s="198"/>
      <c r="Y67" s="198"/>
      <c r="Z67" s="198"/>
    </row>
    <row r="68" ht="13.5" customHeight="1">
      <c r="A68" s="425">
        <v>6715.0</v>
      </c>
      <c r="B68" s="426" t="s">
        <v>9442</v>
      </c>
      <c r="C68" s="426">
        <v>2012.0</v>
      </c>
      <c r="D68" s="500">
        <v>41183.0</v>
      </c>
      <c r="E68" s="426" t="s">
        <v>9443</v>
      </c>
      <c r="F68" s="426" t="s">
        <v>44</v>
      </c>
      <c r="G68" s="426" t="s">
        <v>552</v>
      </c>
      <c r="H68" s="426" t="s">
        <v>87</v>
      </c>
      <c r="I68" s="500">
        <v>42191.0</v>
      </c>
      <c r="J68" s="428">
        <v>7.0</v>
      </c>
      <c r="K68" s="635" t="s">
        <v>228</v>
      </c>
      <c r="L68" s="428" t="s">
        <v>258</v>
      </c>
      <c r="M68" s="319">
        <f t="shared" si="1"/>
        <v>1008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3.5" customHeight="1">
      <c r="A69" s="419">
        <v>6815.0</v>
      </c>
      <c r="B69" s="420" t="s">
        <v>9444</v>
      </c>
      <c r="C69" s="420">
        <v>2008.0</v>
      </c>
      <c r="D69" s="497">
        <v>39650.0</v>
      </c>
      <c r="E69" s="420" t="s">
        <v>9445</v>
      </c>
      <c r="F69" s="420" t="s">
        <v>92</v>
      </c>
      <c r="G69" s="420" t="s">
        <v>17</v>
      </c>
      <c r="H69" s="420" t="s">
        <v>573</v>
      </c>
      <c r="I69" s="497">
        <v>42198.0</v>
      </c>
      <c r="J69" s="422">
        <v>7.0</v>
      </c>
      <c r="K69" s="637" t="s">
        <v>238</v>
      </c>
      <c r="L69" s="422" t="s">
        <v>258</v>
      </c>
      <c r="M69" s="316">
        <f t="shared" si="1"/>
        <v>2548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52</v>
      </c>
      <c r="T69" s="377">
        <f>(S69/S76)</f>
        <v>0.3741007194</v>
      </c>
      <c r="U69" s="198"/>
      <c r="V69" s="198"/>
      <c r="W69" s="198"/>
      <c r="X69" s="198"/>
      <c r="Y69" s="198"/>
      <c r="Z69" s="198"/>
    </row>
    <row r="70" ht="13.5" customHeight="1">
      <c r="A70" s="425">
        <v>6915.0</v>
      </c>
      <c r="B70" s="426" t="s">
        <v>9446</v>
      </c>
      <c r="C70" s="426">
        <v>2010.0</v>
      </c>
      <c r="D70" s="500">
        <v>40200.0</v>
      </c>
      <c r="E70" s="426" t="s">
        <v>9447</v>
      </c>
      <c r="F70" s="426" t="s">
        <v>6747</v>
      </c>
      <c r="G70" s="426" t="s">
        <v>17</v>
      </c>
      <c r="H70" s="426" t="s">
        <v>1907</v>
      </c>
      <c r="I70" s="500">
        <v>42198.0</v>
      </c>
      <c r="J70" s="428">
        <v>7.0</v>
      </c>
      <c r="K70" s="638" t="s">
        <v>234</v>
      </c>
      <c r="L70" s="428" t="s">
        <v>256</v>
      </c>
      <c r="M70" s="319">
        <f t="shared" si="1"/>
        <v>1998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3.5" customHeight="1">
      <c r="A71" s="419">
        <v>7015.0</v>
      </c>
      <c r="B71" s="420" t="s">
        <v>9448</v>
      </c>
      <c r="C71" s="420">
        <v>2011.0</v>
      </c>
      <c r="D71" s="497">
        <v>40575.0</v>
      </c>
      <c r="E71" s="420" t="s">
        <v>9449</v>
      </c>
      <c r="F71" s="420" t="s">
        <v>1150</v>
      </c>
      <c r="G71" s="420" t="s">
        <v>17</v>
      </c>
      <c r="H71" s="420" t="s">
        <v>2509</v>
      </c>
      <c r="I71" s="497">
        <v>42198.0</v>
      </c>
      <c r="J71" s="422">
        <v>7.0</v>
      </c>
      <c r="K71" s="635" t="s">
        <v>228</v>
      </c>
      <c r="L71" s="422" t="s">
        <v>256</v>
      </c>
      <c r="M71" s="316">
        <f t="shared" si="1"/>
        <v>1623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7115.0</v>
      </c>
      <c r="B72" s="426" t="s">
        <v>9450</v>
      </c>
      <c r="C72" s="426">
        <v>2014.0</v>
      </c>
      <c r="D72" s="500">
        <v>41977.0</v>
      </c>
      <c r="E72" s="426" t="s">
        <v>9451</v>
      </c>
      <c r="F72" s="426" t="s">
        <v>9452</v>
      </c>
      <c r="G72" s="426" t="s">
        <v>565</v>
      </c>
      <c r="H72" s="426" t="s">
        <v>9453</v>
      </c>
      <c r="I72" s="500">
        <v>42200.0</v>
      </c>
      <c r="J72" s="428">
        <v>7.0</v>
      </c>
      <c r="K72" s="637" t="s">
        <v>238</v>
      </c>
      <c r="L72" s="428" t="s">
        <v>260</v>
      </c>
      <c r="M72" s="319">
        <f t="shared" si="1"/>
        <v>223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18</v>
      </c>
      <c r="T72" s="380">
        <f>(S72/S76)</f>
        <v>0.1294964029</v>
      </c>
      <c r="U72" s="198"/>
      <c r="V72" s="198"/>
      <c r="W72" s="198"/>
      <c r="X72" s="198"/>
      <c r="Y72" s="198"/>
      <c r="Z72" s="198"/>
    </row>
    <row r="73" ht="13.5" customHeight="1">
      <c r="A73" s="419">
        <v>7215.0</v>
      </c>
      <c r="B73" s="420" t="s">
        <v>9454</v>
      </c>
      <c r="C73" s="420">
        <v>2009.0</v>
      </c>
      <c r="D73" s="497">
        <v>40121.0</v>
      </c>
      <c r="E73" s="420" t="s">
        <v>9455</v>
      </c>
      <c r="F73" s="420" t="s">
        <v>1150</v>
      </c>
      <c r="G73" s="420" t="s">
        <v>17</v>
      </c>
      <c r="H73" s="420" t="s">
        <v>596</v>
      </c>
      <c r="I73" s="497">
        <v>42201.0</v>
      </c>
      <c r="J73" s="422">
        <v>7.0</v>
      </c>
      <c r="K73" s="635" t="s">
        <v>228</v>
      </c>
      <c r="L73" s="422" t="s">
        <v>256</v>
      </c>
      <c r="M73" s="316">
        <f t="shared" si="1"/>
        <v>2080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3.5" customHeight="1">
      <c r="A74" s="425">
        <v>7315.0</v>
      </c>
      <c r="B74" s="426" t="s">
        <v>9456</v>
      </c>
      <c r="C74" s="426">
        <v>2014.0</v>
      </c>
      <c r="D74" s="500">
        <v>41978.0</v>
      </c>
      <c r="E74" s="426" t="s">
        <v>9457</v>
      </c>
      <c r="F74" s="426" t="s">
        <v>9452</v>
      </c>
      <c r="G74" s="426" t="s">
        <v>565</v>
      </c>
      <c r="H74" s="426" t="s">
        <v>596</v>
      </c>
      <c r="I74" s="500">
        <v>42201.0</v>
      </c>
      <c r="J74" s="428">
        <v>7.0</v>
      </c>
      <c r="K74" s="637" t="s">
        <v>238</v>
      </c>
      <c r="L74" s="428" t="s">
        <v>260</v>
      </c>
      <c r="M74" s="319">
        <f t="shared" si="1"/>
        <v>223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12</v>
      </c>
      <c r="T74" s="380">
        <f>(S74/S76)</f>
        <v>0.08633093525</v>
      </c>
      <c r="U74" s="198"/>
      <c r="V74" s="198"/>
      <c r="W74" s="198"/>
      <c r="X74" s="198"/>
      <c r="Y74" s="198"/>
      <c r="Z74" s="198"/>
    </row>
    <row r="75" ht="13.5" customHeight="1">
      <c r="A75" s="419">
        <v>7415.0</v>
      </c>
      <c r="B75" s="420" t="s">
        <v>9458</v>
      </c>
      <c r="C75" s="420">
        <v>2014.0</v>
      </c>
      <c r="D75" s="497">
        <v>41981.0</v>
      </c>
      <c r="E75" s="420" t="s">
        <v>9459</v>
      </c>
      <c r="F75" s="420" t="s">
        <v>9452</v>
      </c>
      <c r="G75" s="420" t="s">
        <v>565</v>
      </c>
      <c r="H75" s="420" t="s">
        <v>7420</v>
      </c>
      <c r="I75" s="497">
        <v>42201.0</v>
      </c>
      <c r="J75" s="422">
        <v>7.0</v>
      </c>
      <c r="K75" s="636" t="s">
        <v>244</v>
      </c>
      <c r="L75" s="422" t="s">
        <v>260</v>
      </c>
      <c r="M75" s="316">
        <f t="shared" si="1"/>
        <v>220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425">
        <v>7515.0</v>
      </c>
      <c r="B76" s="426" t="s">
        <v>9460</v>
      </c>
      <c r="C76" s="426">
        <v>2009.0</v>
      </c>
      <c r="D76" s="500">
        <v>39980.0</v>
      </c>
      <c r="E76" s="426" t="s">
        <v>9461</v>
      </c>
      <c r="F76" s="426" t="s">
        <v>947</v>
      </c>
      <c r="G76" s="426" t="s">
        <v>552</v>
      </c>
      <c r="H76" s="426" t="s">
        <v>7403</v>
      </c>
      <c r="I76" s="500">
        <v>42202.0</v>
      </c>
      <c r="J76" s="428">
        <v>7.0</v>
      </c>
      <c r="K76" s="638" t="s">
        <v>234</v>
      </c>
      <c r="L76" s="428" t="s">
        <v>258</v>
      </c>
      <c r="M76" s="319">
        <f t="shared" si="1"/>
        <v>2222</v>
      </c>
      <c r="N76" s="198"/>
      <c r="O76" s="386" t="s">
        <v>219</v>
      </c>
      <c r="P76" s="332"/>
      <c r="Q76" s="332"/>
      <c r="R76" s="387"/>
      <c r="S76" s="388">
        <f>SUM(S64:S75)</f>
        <v>139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4.25" customHeight="1">
      <c r="A77" s="419">
        <v>7615.0</v>
      </c>
      <c r="B77" s="420" t="s">
        <v>9462</v>
      </c>
      <c r="C77" s="420">
        <v>2012.0</v>
      </c>
      <c r="D77" s="497">
        <v>41226.0</v>
      </c>
      <c r="E77" s="420" t="s">
        <v>9463</v>
      </c>
      <c r="F77" s="623" t="s">
        <v>2614</v>
      </c>
      <c r="G77" s="420" t="s">
        <v>569</v>
      </c>
      <c r="H77" s="420" t="s">
        <v>3892</v>
      </c>
      <c r="I77" s="497">
        <v>42202.0</v>
      </c>
      <c r="J77" s="422">
        <v>7.0</v>
      </c>
      <c r="K77" s="636" t="s">
        <v>244</v>
      </c>
      <c r="L77" s="422" t="s">
        <v>260</v>
      </c>
      <c r="M77" s="316">
        <f t="shared" si="1"/>
        <v>976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7715.0</v>
      </c>
      <c r="B78" s="426" t="s">
        <v>9464</v>
      </c>
      <c r="C78" s="426">
        <v>2011.0</v>
      </c>
      <c r="D78" s="500">
        <v>40605.0</v>
      </c>
      <c r="E78" s="426" t="s">
        <v>9465</v>
      </c>
      <c r="F78" s="426" t="s">
        <v>1150</v>
      </c>
      <c r="G78" s="426" t="s">
        <v>17</v>
      </c>
      <c r="H78" s="426" t="s">
        <v>596</v>
      </c>
      <c r="I78" s="500">
        <v>42202.0</v>
      </c>
      <c r="J78" s="428">
        <v>7.0</v>
      </c>
      <c r="K78" s="635" t="s">
        <v>228</v>
      </c>
      <c r="L78" s="428" t="s">
        <v>256</v>
      </c>
      <c r="M78" s="319">
        <f t="shared" si="1"/>
        <v>1597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3.5" customHeight="1">
      <c r="A79" s="419">
        <v>7815.0</v>
      </c>
      <c r="B79" s="420" t="s">
        <v>9466</v>
      </c>
      <c r="C79" s="420">
        <v>2014.0</v>
      </c>
      <c r="D79" s="497">
        <v>41978.0</v>
      </c>
      <c r="E79" s="420" t="s">
        <v>9467</v>
      </c>
      <c r="F79" s="420" t="s">
        <v>9452</v>
      </c>
      <c r="G79" s="420" t="s">
        <v>565</v>
      </c>
      <c r="H79" s="420" t="s">
        <v>9468</v>
      </c>
      <c r="I79" s="497">
        <v>42207.0</v>
      </c>
      <c r="J79" s="422">
        <v>7.0</v>
      </c>
      <c r="K79" s="637" t="s">
        <v>238</v>
      </c>
      <c r="L79" s="422" t="s">
        <v>260</v>
      </c>
      <c r="M79" s="316">
        <f t="shared" si="1"/>
        <v>229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5.0" customHeight="1">
      <c r="A80" s="425">
        <v>7915.0</v>
      </c>
      <c r="B80" s="426" t="s">
        <v>9469</v>
      </c>
      <c r="C80" s="426">
        <v>2007.0</v>
      </c>
      <c r="D80" s="500">
        <v>39391.0</v>
      </c>
      <c r="E80" s="426" t="s">
        <v>9470</v>
      </c>
      <c r="F80" s="426" t="s">
        <v>711</v>
      </c>
      <c r="G80" s="426" t="s">
        <v>650</v>
      </c>
      <c r="H80" s="426" t="s">
        <v>158</v>
      </c>
      <c r="I80" s="500">
        <v>42207.0</v>
      </c>
      <c r="J80" s="428">
        <v>7.0</v>
      </c>
      <c r="K80" s="637" t="s">
        <v>238</v>
      </c>
      <c r="L80" s="428" t="s">
        <v>258</v>
      </c>
      <c r="M80" s="319">
        <f t="shared" si="1"/>
        <v>2816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8015.0</v>
      </c>
      <c r="B81" s="420" t="s">
        <v>9471</v>
      </c>
      <c r="C81" s="420">
        <v>2012.0</v>
      </c>
      <c r="D81" s="497">
        <v>41156.0</v>
      </c>
      <c r="E81" s="420" t="s">
        <v>9472</v>
      </c>
      <c r="F81" s="420" t="s">
        <v>9473</v>
      </c>
      <c r="G81" s="420" t="s">
        <v>569</v>
      </c>
      <c r="H81" s="420" t="s">
        <v>9474</v>
      </c>
      <c r="I81" s="497">
        <v>42209.0</v>
      </c>
      <c r="J81" s="422">
        <v>7.0</v>
      </c>
      <c r="K81" s="638" t="s">
        <v>234</v>
      </c>
      <c r="L81" s="422" t="s">
        <v>260</v>
      </c>
      <c r="M81" s="316">
        <f t="shared" si="1"/>
        <v>1053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5</v>
      </c>
      <c r="T81" s="395">
        <f>(S81/S85)</f>
        <v>0.03597122302</v>
      </c>
      <c r="U81" s="198"/>
      <c r="V81" s="198"/>
      <c r="W81" s="198"/>
      <c r="X81" s="198"/>
      <c r="Y81" s="198"/>
      <c r="Z81" s="198"/>
    </row>
    <row r="82" ht="12.75" customHeight="1">
      <c r="A82" s="425">
        <v>8115.0</v>
      </c>
      <c r="B82" s="426" t="s">
        <v>9475</v>
      </c>
      <c r="C82" s="426">
        <v>2009.0</v>
      </c>
      <c r="D82" s="500">
        <v>40134.0</v>
      </c>
      <c r="E82" s="426" t="s">
        <v>9476</v>
      </c>
      <c r="F82" s="426" t="s">
        <v>1150</v>
      </c>
      <c r="G82" s="426" t="s">
        <v>17</v>
      </c>
      <c r="H82" s="426" t="s">
        <v>5732</v>
      </c>
      <c r="I82" s="500">
        <v>42212.0</v>
      </c>
      <c r="J82" s="428">
        <v>7.0</v>
      </c>
      <c r="K82" s="635" t="s">
        <v>228</v>
      </c>
      <c r="L82" s="428" t="s">
        <v>256</v>
      </c>
      <c r="M82" s="319">
        <f t="shared" si="1"/>
        <v>2078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52</v>
      </c>
      <c r="T82" s="398">
        <f>(S82/S85)</f>
        <v>0.3741007194</v>
      </c>
      <c r="U82" s="198"/>
      <c r="V82" s="198"/>
      <c r="W82" s="198"/>
      <c r="X82" s="198"/>
      <c r="Y82" s="198"/>
      <c r="Z82" s="198"/>
    </row>
    <row r="83" ht="13.5" customHeight="1">
      <c r="A83" s="419">
        <v>8215.0</v>
      </c>
      <c r="B83" s="420" t="s">
        <v>9477</v>
      </c>
      <c r="C83" s="420">
        <v>2012.0</v>
      </c>
      <c r="D83" s="497">
        <v>40910.0</v>
      </c>
      <c r="E83" s="420" t="s">
        <v>9478</v>
      </c>
      <c r="F83" s="420" t="s">
        <v>2714</v>
      </c>
      <c r="G83" s="420" t="s">
        <v>552</v>
      </c>
      <c r="H83" s="420" t="s">
        <v>125</v>
      </c>
      <c r="I83" s="497">
        <v>42212.0</v>
      </c>
      <c r="J83" s="422">
        <v>7.0</v>
      </c>
      <c r="K83" s="635" t="s">
        <v>228</v>
      </c>
      <c r="L83" s="422" t="s">
        <v>256</v>
      </c>
      <c r="M83" s="316">
        <f t="shared" si="1"/>
        <v>1302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50</v>
      </c>
      <c r="T83" s="395">
        <f>(S83/S85)</f>
        <v>0.3597122302</v>
      </c>
      <c r="U83" s="198"/>
      <c r="V83" s="198"/>
      <c r="W83" s="198"/>
      <c r="X83" s="198"/>
      <c r="Y83" s="198"/>
      <c r="Z83" s="198"/>
    </row>
    <row r="84" ht="13.5" customHeight="1">
      <c r="A84" s="425">
        <v>8315.0</v>
      </c>
      <c r="B84" s="426" t="s">
        <v>9479</v>
      </c>
      <c r="C84" s="426">
        <v>2011.0</v>
      </c>
      <c r="D84" s="500">
        <v>40791.0</v>
      </c>
      <c r="E84" s="426" t="s">
        <v>9480</v>
      </c>
      <c r="F84" s="426" t="s">
        <v>9481</v>
      </c>
      <c r="G84" s="426" t="s">
        <v>17</v>
      </c>
      <c r="H84" s="426" t="s">
        <v>1749</v>
      </c>
      <c r="I84" s="500">
        <v>42229.0</v>
      </c>
      <c r="J84" s="428">
        <v>8.0</v>
      </c>
      <c r="K84" s="638" t="s">
        <v>234</v>
      </c>
      <c r="L84" s="428" t="s">
        <v>256</v>
      </c>
      <c r="M84" s="319">
        <f t="shared" si="1"/>
        <v>1438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32</v>
      </c>
      <c r="T84" s="398">
        <f>(S84/S85)</f>
        <v>0.2302158273</v>
      </c>
      <c r="U84" s="198"/>
      <c r="V84" s="198"/>
      <c r="W84" s="198"/>
      <c r="X84" s="198"/>
      <c r="Y84" s="198"/>
      <c r="Z84" s="198"/>
    </row>
    <row r="85" ht="15.0" customHeight="1">
      <c r="A85" s="419">
        <v>8415.0</v>
      </c>
      <c r="B85" s="420" t="s">
        <v>9482</v>
      </c>
      <c r="C85" s="420">
        <v>2012.0</v>
      </c>
      <c r="D85" s="497">
        <v>41081.0</v>
      </c>
      <c r="E85" s="420" t="s">
        <v>9483</v>
      </c>
      <c r="F85" s="420" t="s">
        <v>963</v>
      </c>
      <c r="G85" s="420" t="s">
        <v>17</v>
      </c>
      <c r="H85" s="420" t="s">
        <v>1501</v>
      </c>
      <c r="I85" s="497">
        <v>42229.0</v>
      </c>
      <c r="J85" s="422">
        <v>8.0</v>
      </c>
      <c r="K85" s="635" t="s">
        <v>228</v>
      </c>
      <c r="L85" s="422" t="s">
        <v>258</v>
      </c>
      <c r="M85" s="316">
        <f t="shared" si="1"/>
        <v>1148</v>
      </c>
      <c r="N85" s="198"/>
      <c r="O85" s="358" t="s">
        <v>219</v>
      </c>
      <c r="P85" s="359"/>
      <c r="Q85" s="359"/>
      <c r="R85" s="360"/>
      <c r="S85" s="388">
        <f>SUM(S81:S84)</f>
        <v>139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3.5" customHeight="1">
      <c r="A86" s="425">
        <v>8515.0</v>
      </c>
      <c r="B86" s="426" t="s">
        <v>9484</v>
      </c>
      <c r="C86" s="426">
        <v>2008.0</v>
      </c>
      <c r="D86" s="500">
        <v>39771.0</v>
      </c>
      <c r="E86" s="426" t="s">
        <v>9485</v>
      </c>
      <c r="F86" s="426" t="s">
        <v>9486</v>
      </c>
      <c r="G86" s="426" t="s">
        <v>650</v>
      </c>
      <c r="H86" s="426" t="s">
        <v>158</v>
      </c>
      <c r="I86" s="500">
        <v>42230.0</v>
      </c>
      <c r="J86" s="428">
        <v>8.0</v>
      </c>
      <c r="K86" s="635" t="s">
        <v>228</v>
      </c>
      <c r="L86" s="428" t="s">
        <v>256</v>
      </c>
      <c r="M86" s="319">
        <f t="shared" si="1"/>
        <v>2459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419">
        <v>8615.0</v>
      </c>
      <c r="B87" s="420" t="s">
        <v>9487</v>
      </c>
      <c r="C87" s="420">
        <v>2009.0</v>
      </c>
      <c r="D87" s="497">
        <v>39909.0</v>
      </c>
      <c r="E87" s="420" t="s">
        <v>9488</v>
      </c>
      <c r="F87" s="420" t="s">
        <v>563</v>
      </c>
      <c r="G87" s="420" t="s">
        <v>552</v>
      </c>
      <c r="H87" s="420" t="s">
        <v>7403</v>
      </c>
      <c r="I87" s="497">
        <v>42233.0</v>
      </c>
      <c r="J87" s="422">
        <v>8.0</v>
      </c>
      <c r="K87" s="637" t="s">
        <v>238</v>
      </c>
      <c r="L87" s="422" t="s">
        <v>256</v>
      </c>
      <c r="M87" s="316">
        <f t="shared" si="1"/>
        <v>2324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4.25" customHeight="1">
      <c r="A88" s="425">
        <v>8715.0</v>
      </c>
      <c r="B88" s="426" t="s">
        <v>9489</v>
      </c>
      <c r="C88" s="426">
        <v>2015.0</v>
      </c>
      <c r="D88" s="500">
        <v>42075.0</v>
      </c>
      <c r="E88" s="426" t="s">
        <v>9490</v>
      </c>
      <c r="F88" s="622" t="s">
        <v>5738</v>
      </c>
      <c r="G88" s="426" t="s">
        <v>569</v>
      </c>
      <c r="H88" s="426" t="s">
        <v>3523</v>
      </c>
      <c r="I88" s="500">
        <v>42234.0</v>
      </c>
      <c r="J88" s="428">
        <v>8.0</v>
      </c>
      <c r="K88" s="636" t="s">
        <v>850</v>
      </c>
      <c r="L88" s="428" t="s">
        <v>260</v>
      </c>
      <c r="M88" s="319">
        <f t="shared" si="1"/>
        <v>159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5.0" customHeight="1">
      <c r="A89" s="419">
        <v>8815.0</v>
      </c>
      <c r="B89" s="420" t="s">
        <v>9491</v>
      </c>
      <c r="C89" s="420">
        <v>2015.0</v>
      </c>
      <c r="D89" s="497">
        <v>42041.0</v>
      </c>
      <c r="E89" s="420" t="s">
        <v>9492</v>
      </c>
      <c r="F89" s="623" t="s">
        <v>2383</v>
      </c>
      <c r="G89" s="420" t="s">
        <v>569</v>
      </c>
      <c r="H89" s="420" t="s">
        <v>3523</v>
      </c>
      <c r="I89" s="497">
        <v>42235.0</v>
      </c>
      <c r="J89" s="422">
        <v>8.0</v>
      </c>
      <c r="K89" s="636" t="s">
        <v>850</v>
      </c>
      <c r="L89" s="422" t="s">
        <v>260</v>
      </c>
      <c r="M89" s="316">
        <f t="shared" si="1"/>
        <v>194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3.5" customHeight="1">
      <c r="A90" s="425">
        <v>8915.0</v>
      </c>
      <c r="B90" s="426" t="s">
        <v>9493</v>
      </c>
      <c r="C90" s="426">
        <v>2011.0</v>
      </c>
      <c r="D90" s="500">
        <v>40794.0</v>
      </c>
      <c r="E90" s="426" t="s">
        <v>9494</v>
      </c>
      <c r="F90" s="426" t="s">
        <v>9481</v>
      </c>
      <c r="G90" s="426" t="s">
        <v>17</v>
      </c>
      <c r="H90" s="426" t="s">
        <v>596</v>
      </c>
      <c r="I90" s="500">
        <v>42236.0</v>
      </c>
      <c r="J90" s="428">
        <v>8.0</v>
      </c>
      <c r="K90" s="638" t="s">
        <v>234</v>
      </c>
      <c r="L90" s="428" t="s">
        <v>256</v>
      </c>
      <c r="M90" s="319">
        <f t="shared" si="1"/>
        <v>1442</v>
      </c>
      <c r="N90" s="198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9015.0</v>
      </c>
      <c r="B91" s="420" t="s">
        <v>9495</v>
      </c>
      <c r="C91" s="420">
        <v>2009.0</v>
      </c>
      <c r="D91" s="497">
        <v>39883.0</v>
      </c>
      <c r="E91" s="420" t="s">
        <v>9496</v>
      </c>
      <c r="F91" s="420" t="s">
        <v>9473</v>
      </c>
      <c r="G91" s="420" t="s">
        <v>565</v>
      </c>
      <c r="H91" s="420" t="s">
        <v>9497</v>
      </c>
      <c r="I91" s="497">
        <v>42243.0</v>
      </c>
      <c r="J91" s="422">
        <v>8.0</v>
      </c>
      <c r="K91" s="638" t="s">
        <v>234</v>
      </c>
      <c r="L91" s="422" t="s">
        <v>260</v>
      </c>
      <c r="M91" s="316">
        <f t="shared" si="1"/>
        <v>2360</v>
      </c>
      <c r="N91" s="198"/>
      <c r="O91" s="414" t="s">
        <v>34</v>
      </c>
      <c r="P91" s="415">
        <f>AVERAGEIF(G2:G477,"PTN",M2:M477)</f>
        <v>2052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9115.0</v>
      </c>
      <c r="B92" s="426" t="s">
        <v>9498</v>
      </c>
      <c r="C92" s="426">
        <v>2014.0</v>
      </c>
      <c r="D92" s="500">
        <v>41947.0</v>
      </c>
      <c r="E92" s="426" t="s">
        <v>9499</v>
      </c>
      <c r="F92" s="622" t="s">
        <v>2343</v>
      </c>
      <c r="G92" s="426" t="s">
        <v>569</v>
      </c>
      <c r="H92" s="426" t="s">
        <v>2564</v>
      </c>
      <c r="I92" s="500">
        <v>42243.0</v>
      </c>
      <c r="J92" s="428">
        <v>8.0</v>
      </c>
      <c r="K92" s="636" t="s">
        <v>244</v>
      </c>
      <c r="L92" s="428" t="s">
        <v>260</v>
      </c>
      <c r="M92" s="319">
        <f t="shared" si="1"/>
        <v>296</v>
      </c>
      <c r="N92" s="198"/>
      <c r="O92" s="412" t="s">
        <v>17</v>
      </c>
      <c r="P92" s="413">
        <f>AVERAGEIF(G2:G476,"PTE",M2:M476)</f>
        <v>1557.152174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9215.0</v>
      </c>
      <c r="B93" s="420" t="s">
        <v>9500</v>
      </c>
      <c r="C93" s="420">
        <v>2009.0</v>
      </c>
      <c r="D93" s="497">
        <v>39945.0</v>
      </c>
      <c r="E93" s="420" t="s">
        <v>9501</v>
      </c>
      <c r="F93" s="420" t="s">
        <v>563</v>
      </c>
      <c r="G93" s="420" t="s">
        <v>552</v>
      </c>
      <c r="H93" s="420" t="s">
        <v>7403</v>
      </c>
      <c r="I93" s="497">
        <v>42251.0</v>
      </c>
      <c r="J93" s="422">
        <v>9.0</v>
      </c>
      <c r="K93" s="637" t="s">
        <v>238</v>
      </c>
      <c r="L93" s="422" t="s">
        <v>256</v>
      </c>
      <c r="M93" s="316">
        <f t="shared" si="1"/>
        <v>2306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9315.0</v>
      </c>
      <c r="B94" s="426" t="s">
        <v>9502</v>
      </c>
      <c r="C94" s="426">
        <v>2013.0</v>
      </c>
      <c r="D94" s="500">
        <v>41376.0</v>
      </c>
      <c r="E94" s="426" t="s">
        <v>9503</v>
      </c>
      <c r="F94" s="426" t="s">
        <v>963</v>
      </c>
      <c r="G94" s="426" t="s">
        <v>552</v>
      </c>
      <c r="H94" s="426" t="s">
        <v>583</v>
      </c>
      <c r="I94" s="500">
        <v>42251.0</v>
      </c>
      <c r="J94" s="428">
        <v>9.0</v>
      </c>
      <c r="K94" s="637" t="s">
        <v>238</v>
      </c>
      <c r="L94" s="428" t="s">
        <v>258</v>
      </c>
      <c r="M94" s="319">
        <f t="shared" si="1"/>
        <v>875</v>
      </c>
      <c r="N94" s="198"/>
      <c r="O94" s="412" t="s">
        <v>650</v>
      </c>
      <c r="P94" s="413">
        <f>AVERAGEIF(G2:G476,"PF",M2:M476)</f>
        <v>2149.916667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9415.0</v>
      </c>
      <c r="B95" s="420" t="s">
        <v>9504</v>
      </c>
      <c r="C95" s="420">
        <v>2011.0</v>
      </c>
      <c r="D95" s="497">
        <v>40773.0</v>
      </c>
      <c r="E95" s="420" t="s">
        <v>9505</v>
      </c>
      <c r="F95" s="420" t="s">
        <v>102</v>
      </c>
      <c r="G95" s="420" t="s">
        <v>552</v>
      </c>
      <c r="H95" s="420" t="s">
        <v>9506</v>
      </c>
      <c r="I95" s="497">
        <v>42255.0</v>
      </c>
      <c r="J95" s="422">
        <v>9.0</v>
      </c>
      <c r="K95" s="637" t="s">
        <v>238</v>
      </c>
      <c r="L95" s="422" t="s">
        <v>256</v>
      </c>
      <c r="M95" s="316">
        <f t="shared" si="1"/>
        <v>1482</v>
      </c>
      <c r="N95" s="198"/>
      <c r="O95" s="414" t="s">
        <v>547</v>
      </c>
      <c r="P95" s="415">
        <f>AVERAGEIF(G2:G476,"PFN",M2:M476)</f>
        <v>1615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9515.0</v>
      </c>
      <c r="B96" s="426" t="s">
        <v>9507</v>
      </c>
      <c r="C96" s="426">
        <v>2011.0</v>
      </c>
      <c r="D96" s="500">
        <v>40802.0</v>
      </c>
      <c r="E96" s="426" t="s">
        <v>9508</v>
      </c>
      <c r="F96" s="426" t="s">
        <v>3972</v>
      </c>
      <c r="G96" s="426" t="s">
        <v>650</v>
      </c>
      <c r="H96" s="426" t="s">
        <v>5180</v>
      </c>
      <c r="I96" s="500">
        <v>42255.0</v>
      </c>
      <c r="J96" s="428">
        <v>9.0</v>
      </c>
      <c r="K96" s="636" t="s">
        <v>244</v>
      </c>
      <c r="L96" s="428" t="s">
        <v>256</v>
      </c>
      <c r="M96" s="319">
        <f t="shared" si="1"/>
        <v>1453</v>
      </c>
      <c r="N96" s="198"/>
      <c r="O96" s="412" t="s">
        <v>552</v>
      </c>
      <c r="P96" s="413">
        <f>AVERAGEIF(G2:G476,"PF/PTE",M2:M476)</f>
        <v>1572.446809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9615.0</v>
      </c>
      <c r="B97" s="420" t="s">
        <v>9509</v>
      </c>
      <c r="C97" s="420">
        <v>2014.0</v>
      </c>
      <c r="D97" s="497">
        <v>41947.0</v>
      </c>
      <c r="E97" s="420" t="s">
        <v>9510</v>
      </c>
      <c r="F97" s="623" t="s">
        <v>2614</v>
      </c>
      <c r="G97" s="420" t="s">
        <v>569</v>
      </c>
      <c r="H97" s="420" t="s">
        <v>2564</v>
      </c>
      <c r="I97" s="497">
        <v>42263.0</v>
      </c>
      <c r="J97" s="422">
        <v>9.0</v>
      </c>
      <c r="K97" s="636" t="s">
        <v>244</v>
      </c>
      <c r="L97" s="422" t="s">
        <v>260</v>
      </c>
      <c r="M97" s="316">
        <f t="shared" si="1"/>
        <v>316</v>
      </c>
      <c r="N97" s="198"/>
      <c r="O97" s="414" t="s">
        <v>565</v>
      </c>
      <c r="P97" s="415">
        <f>AVERAGEIF(G2:G476,"Bio",M2:M476)</f>
        <v>726.7142857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9715.0</v>
      </c>
      <c r="B98" s="426" t="s">
        <v>9511</v>
      </c>
      <c r="C98" s="426">
        <v>2013.0</v>
      </c>
      <c r="D98" s="500">
        <v>41514.0</v>
      </c>
      <c r="E98" s="426" t="s">
        <v>9512</v>
      </c>
      <c r="F98" s="622" t="s">
        <v>2343</v>
      </c>
      <c r="G98" s="426" t="s">
        <v>569</v>
      </c>
      <c r="H98" s="426" t="s">
        <v>9513</v>
      </c>
      <c r="I98" s="500">
        <v>42284.0</v>
      </c>
      <c r="J98" s="428">
        <v>10.0</v>
      </c>
      <c r="K98" s="636" t="s">
        <v>244</v>
      </c>
      <c r="L98" s="428" t="s">
        <v>260</v>
      </c>
      <c r="M98" s="319">
        <f t="shared" si="1"/>
        <v>770</v>
      </c>
      <c r="N98" s="198"/>
      <c r="O98" s="412" t="s">
        <v>569</v>
      </c>
      <c r="P98" s="413">
        <f>AVERAGEIF(G2:G476,"Bio/Org",M2:M476)</f>
        <v>577.8333333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9815.0</v>
      </c>
      <c r="B99" s="420" t="s">
        <v>9514</v>
      </c>
      <c r="C99" s="420">
        <v>2014.0</v>
      </c>
      <c r="D99" s="497">
        <v>41662.0</v>
      </c>
      <c r="E99" s="420" t="s">
        <v>9515</v>
      </c>
      <c r="F99" s="623" t="s">
        <v>2614</v>
      </c>
      <c r="G99" s="420" t="s">
        <v>569</v>
      </c>
      <c r="H99" s="420" t="s">
        <v>9516</v>
      </c>
      <c r="I99" s="497">
        <v>42284.0</v>
      </c>
      <c r="J99" s="422">
        <v>10.0</v>
      </c>
      <c r="K99" s="636" t="s">
        <v>244</v>
      </c>
      <c r="L99" s="422" t="s">
        <v>260</v>
      </c>
      <c r="M99" s="316">
        <f t="shared" si="1"/>
        <v>622</v>
      </c>
      <c r="N99" s="198"/>
      <c r="O99" s="416" t="s">
        <v>275</v>
      </c>
      <c r="P99" s="417">
        <f>AVERAGE(M2:M494)</f>
        <v>1410.122302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9915.0</v>
      </c>
      <c r="B100" s="426" t="s">
        <v>9517</v>
      </c>
      <c r="C100" s="426">
        <v>2010.0</v>
      </c>
      <c r="D100" s="500">
        <v>40400.0</v>
      </c>
      <c r="E100" s="426" t="s">
        <v>9518</v>
      </c>
      <c r="F100" s="622" t="s">
        <v>2343</v>
      </c>
      <c r="G100" s="426" t="s">
        <v>569</v>
      </c>
      <c r="H100" s="426" t="s">
        <v>9519</v>
      </c>
      <c r="I100" s="500">
        <v>42285.0</v>
      </c>
      <c r="J100" s="428">
        <v>10.0</v>
      </c>
      <c r="K100" s="636" t="s">
        <v>244</v>
      </c>
      <c r="L100" s="428" t="s">
        <v>260</v>
      </c>
      <c r="M100" s="319">
        <f t="shared" si="1"/>
        <v>1885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10015.0</v>
      </c>
      <c r="B101" s="420" t="s">
        <v>9520</v>
      </c>
      <c r="C101" s="420">
        <v>2011.0</v>
      </c>
      <c r="D101" s="497">
        <v>40604.0</v>
      </c>
      <c r="E101" s="420" t="s">
        <v>9521</v>
      </c>
      <c r="F101" s="623" t="s">
        <v>2343</v>
      </c>
      <c r="G101" s="420" t="s">
        <v>569</v>
      </c>
      <c r="H101" s="420" t="s">
        <v>9519</v>
      </c>
      <c r="I101" s="497">
        <v>42285.0</v>
      </c>
      <c r="J101" s="422">
        <v>10.0</v>
      </c>
      <c r="K101" s="636" t="s">
        <v>244</v>
      </c>
      <c r="L101" s="422" t="s">
        <v>260</v>
      </c>
      <c r="M101" s="316">
        <f t="shared" si="1"/>
        <v>1681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10115.0</v>
      </c>
      <c r="B102" s="426" t="s">
        <v>9522</v>
      </c>
      <c r="C102" s="426">
        <v>2013.0</v>
      </c>
      <c r="D102" s="500">
        <v>41555.0</v>
      </c>
      <c r="E102" s="426" t="s">
        <v>9523</v>
      </c>
      <c r="F102" s="622" t="s">
        <v>2383</v>
      </c>
      <c r="G102" s="426" t="s">
        <v>569</v>
      </c>
      <c r="H102" s="426" t="s">
        <v>2331</v>
      </c>
      <c r="I102" s="500">
        <v>42290.0</v>
      </c>
      <c r="J102" s="428">
        <v>10.0</v>
      </c>
      <c r="K102" s="636" t="s">
        <v>850</v>
      </c>
      <c r="L102" s="428" t="s">
        <v>260</v>
      </c>
      <c r="M102" s="319">
        <f t="shared" si="1"/>
        <v>735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10215.0</v>
      </c>
      <c r="B103" s="420" t="s">
        <v>9524</v>
      </c>
      <c r="C103" s="420">
        <v>2013.0</v>
      </c>
      <c r="D103" s="497">
        <v>41586.0</v>
      </c>
      <c r="E103" s="420" t="s">
        <v>9525</v>
      </c>
      <c r="F103" s="420" t="s">
        <v>1203</v>
      </c>
      <c r="G103" s="420" t="s">
        <v>17</v>
      </c>
      <c r="H103" s="420" t="s">
        <v>97</v>
      </c>
      <c r="I103" s="497">
        <v>42300.0</v>
      </c>
      <c r="J103" s="422">
        <v>10.0</v>
      </c>
      <c r="K103" s="637" t="s">
        <v>238</v>
      </c>
      <c r="L103" s="422" t="s">
        <v>254</v>
      </c>
      <c r="M103" s="316">
        <f t="shared" si="1"/>
        <v>714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10315.0</v>
      </c>
      <c r="B104" s="426" t="s">
        <v>9526</v>
      </c>
      <c r="C104" s="426">
        <v>2013.0</v>
      </c>
      <c r="D104" s="500">
        <v>41456.0</v>
      </c>
      <c r="E104" s="426" t="s">
        <v>9527</v>
      </c>
      <c r="F104" s="426" t="s">
        <v>1203</v>
      </c>
      <c r="G104" s="426" t="s">
        <v>17</v>
      </c>
      <c r="H104" s="426" t="s">
        <v>5016</v>
      </c>
      <c r="I104" s="500">
        <v>42300.0</v>
      </c>
      <c r="J104" s="428">
        <v>10.0</v>
      </c>
      <c r="K104" s="637" t="s">
        <v>238</v>
      </c>
      <c r="L104" s="428" t="s">
        <v>254</v>
      </c>
      <c r="M104" s="319">
        <f t="shared" si="1"/>
        <v>844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10415.0</v>
      </c>
      <c r="B105" s="420" t="s">
        <v>9528</v>
      </c>
      <c r="C105" s="420">
        <v>2014.0</v>
      </c>
      <c r="D105" s="497">
        <v>41948.0</v>
      </c>
      <c r="E105" s="420" t="s">
        <v>9529</v>
      </c>
      <c r="F105" s="420" t="s">
        <v>1544</v>
      </c>
      <c r="G105" s="420" t="s">
        <v>552</v>
      </c>
      <c r="H105" s="420" t="s">
        <v>1178</v>
      </c>
      <c r="I105" s="497">
        <v>42300.0</v>
      </c>
      <c r="J105" s="422">
        <v>10.0</v>
      </c>
      <c r="K105" s="635" t="s">
        <v>228</v>
      </c>
      <c r="L105" s="422" t="s">
        <v>256</v>
      </c>
      <c r="M105" s="316">
        <f t="shared" si="1"/>
        <v>352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10515.0</v>
      </c>
      <c r="B106" s="426" t="s">
        <v>9530</v>
      </c>
      <c r="C106" s="426">
        <v>2015.0</v>
      </c>
      <c r="D106" s="500">
        <v>42062.0</v>
      </c>
      <c r="E106" s="426" t="s">
        <v>9531</v>
      </c>
      <c r="F106" s="622" t="s">
        <v>8504</v>
      </c>
      <c r="G106" s="426" t="s">
        <v>569</v>
      </c>
      <c r="H106" s="426" t="s">
        <v>3523</v>
      </c>
      <c r="I106" s="500">
        <v>42305.0</v>
      </c>
      <c r="J106" s="428">
        <v>10.0</v>
      </c>
      <c r="K106" s="636" t="s">
        <v>850</v>
      </c>
      <c r="L106" s="428" t="s">
        <v>260</v>
      </c>
      <c r="M106" s="319">
        <f t="shared" si="1"/>
        <v>243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10615.0</v>
      </c>
      <c r="B107" s="420" t="s">
        <v>9532</v>
      </c>
      <c r="C107" s="420">
        <v>2011.0</v>
      </c>
      <c r="D107" s="497">
        <v>40907.0</v>
      </c>
      <c r="E107" s="420" t="s">
        <v>9533</v>
      </c>
      <c r="F107" s="420" t="s">
        <v>2307</v>
      </c>
      <c r="G107" s="420" t="s">
        <v>552</v>
      </c>
      <c r="H107" s="420" t="s">
        <v>573</v>
      </c>
      <c r="I107" s="497">
        <v>42312.0</v>
      </c>
      <c r="J107" s="422">
        <v>11.0</v>
      </c>
      <c r="K107" s="637" t="s">
        <v>238</v>
      </c>
      <c r="L107" s="422" t="s">
        <v>256</v>
      </c>
      <c r="M107" s="316">
        <f t="shared" si="1"/>
        <v>1405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10715.0</v>
      </c>
      <c r="B108" s="426" t="s">
        <v>9534</v>
      </c>
      <c r="C108" s="426">
        <v>2013.0</v>
      </c>
      <c r="D108" s="500">
        <v>41422.0</v>
      </c>
      <c r="E108" s="426" t="s">
        <v>9535</v>
      </c>
      <c r="F108" s="426" t="s">
        <v>963</v>
      </c>
      <c r="G108" s="426" t="s">
        <v>552</v>
      </c>
      <c r="H108" s="426" t="s">
        <v>9536</v>
      </c>
      <c r="I108" s="500">
        <v>42317.0</v>
      </c>
      <c r="J108" s="428">
        <v>11.0</v>
      </c>
      <c r="K108" s="637" t="s">
        <v>238</v>
      </c>
      <c r="L108" s="428" t="s">
        <v>256</v>
      </c>
      <c r="M108" s="319">
        <f t="shared" si="1"/>
        <v>895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10815.0</v>
      </c>
      <c r="B109" s="420" t="s">
        <v>9537</v>
      </c>
      <c r="C109" s="420">
        <v>2010.0</v>
      </c>
      <c r="D109" s="497">
        <v>40451.0</v>
      </c>
      <c r="E109" s="420" t="s">
        <v>9538</v>
      </c>
      <c r="F109" s="420" t="s">
        <v>9539</v>
      </c>
      <c r="G109" s="420" t="s">
        <v>650</v>
      </c>
      <c r="H109" s="420" t="s">
        <v>158</v>
      </c>
      <c r="I109" s="497">
        <v>42318.0</v>
      </c>
      <c r="J109" s="422">
        <v>11.0</v>
      </c>
      <c r="K109" s="638" t="s">
        <v>234</v>
      </c>
      <c r="L109" s="422" t="s">
        <v>256</v>
      </c>
      <c r="M109" s="316">
        <f t="shared" si="1"/>
        <v>1867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10915.0</v>
      </c>
      <c r="B110" s="426" t="s">
        <v>9540</v>
      </c>
      <c r="C110" s="426">
        <v>2013.0</v>
      </c>
      <c r="D110" s="500">
        <v>41276.0</v>
      </c>
      <c r="E110" s="426" t="s">
        <v>9541</v>
      </c>
      <c r="F110" s="426" t="s">
        <v>5830</v>
      </c>
      <c r="G110" s="426" t="s">
        <v>552</v>
      </c>
      <c r="H110" s="426" t="s">
        <v>573</v>
      </c>
      <c r="I110" s="500">
        <v>42319.0</v>
      </c>
      <c r="J110" s="428">
        <v>11.0</v>
      </c>
      <c r="K110" s="635" t="s">
        <v>228</v>
      </c>
      <c r="L110" s="428" t="s">
        <v>254</v>
      </c>
      <c r="M110" s="319">
        <f t="shared" si="1"/>
        <v>1043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11015.0</v>
      </c>
      <c r="B111" s="420" t="s">
        <v>9542</v>
      </c>
      <c r="C111" s="420">
        <v>2009.0</v>
      </c>
      <c r="D111" s="497">
        <v>40176.0</v>
      </c>
      <c r="E111" s="420" t="s">
        <v>9543</v>
      </c>
      <c r="F111" s="420" t="s">
        <v>9544</v>
      </c>
      <c r="G111" s="420" t="s">
        <v>552</v>
      </c>
      <c r="H111" s="420" t="s">
        <v>929</v>
      </c>
      <c r="I111" s="497">
        <v>42320.0</v>
      </c>
      <c r="J111" s="422">
        <v>11.0</v>
      </c>
      <c r="K111" s="637" t="s">
        <v>238</v>
      </c>
      <c r="L111" s="422" t="s">
        <v>258</v>
      </c>
      <c r="M111" s="316">
        <f t="shared" si="1"/>
        <v>2144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11115.0</v>
      </c>
      <c r="B112" s="426" t="s">
        <v>9545</v>
      </c>
      <c r="C112" s="426">
        <v>2010.0</v>
      </c>
      <c r="D112" s="500">
        <v>40269.0</v>
      </c>
      <c r="E112" s="426" t="s">
        <v>9546</v>
      </c>
      <c r="F112" s="426" t="s">
        <v>2268</v>
      </c>
      <c r="G112" s="426" t="s">
        <v>17</v>
      </c>
      <c r="H112" s="426" t="s">
        <v>740</v>
      </c>
      <c r="I112" s="500">
        <v>42325.0</v>
      </c>
      <c r="J112" s="428">
        <v>11.0</v>
      </c>
      <c r="K112" s="637" t="s">
        <v>238</v>
      </c>
      <c r="L112" s="428" t="s">
        <v>258</v>
      </c>
      <c r="M112" s="319">
        <f t="shared" si="1"/>
        <v>2056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11215.0</v>
      </c>
      <c r="B113" s="420" t="s">
        <v>9547</v>
      </c>
      <c r="C113" s="420">
        <v>2013.0</v>
      </c>
      <c r="D113" s="497">
        <v>41304.0</v>
      </c>
      <c r="E113" s="420" t="s">
        <v>9548</v>
      </c>
      <c r="F113" s="420" t="s">
        <v>1108</v>
      </c>
      <c r="G113" s="420" t="s">
        <v>17</v>
      </c>
      <c r="H113" s="420" t="s">
        <v>5171</v>
      </c>
      <c r="I113" s="497">
        <v>42325.0</v>
      </c>
      <c r="J113" s="422">
        <v>11.0</v>
      </c>
      <c r="K113" s="637" t="s">
        <v>238</v>
      </c>
      <c r="L113" s="422" t="s">
        <v>256</v>
      </c>
      <c r="M113" s="316">
        <f t="shared" si="1"/>
        <v>1021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11315.0</v>
      </c>
      <c r="B114" s="426" t="s">
        <v>9549</v>
      </c>
      <c r="C114" s="426">
        <v>2013.0</v>
      </c>
      <c r="D114" s="500">
        <v>41613.0</v>
      </c>
      <c r="E114" s="426" t="s">
        <v>9550</v>
      </c>
      <c r="F114" s="426" t="s">
        <v>1203</v>
      </c>
      <c r="G114" s="426" t="s">
        <v>17</v>
      </c>
      <c r="H114" s="426" t="s">
        <v>740</v>
      </c>
      <c r="I114" s="500">
        <v>42325.0</v>
      </c>
      <c r="J114" s="428">
        <v>11.0</v>
      </c>
      <c r="K114" s="637" t="s">
        <v>238</v>
      </c>
      <c r="L114" s="428" t="s">
        <v>256</v>
      </c>
      <c r="M114" s="319">
        <f t="shared" si="1"/>
        <v>712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11415.0</v>
      </c>
      <c r="B115" s="420" t="s">
        <v>9551</v>
      </c>
      <c r="C115" s="420">
        <v>2014.0</v>
      </c>
      <c r="D115" s="497">
        <v>41943.0</v>
      </c>
      <c r="E115" s="420" t="s">
        <v>9552</v>
      </c>
      <c r="F115" s="420" t="s">
        <v>8841</v>
      </c>
      <c r="G115" s="420" t="s">
        <v>552</v>
      </c>
      <c r="H115" s="420" t="s">
        <v>583</v>
      </c>
      <c r="I115" s="497">
        <v>42325.0</v>
      </c>
      <c r="J115" s="422">
        <v>11.0</v>
      </c>
      <c r="K115" s="635" t="s">
        <v>228</v>
      </c>
      <c r="L115" s="422" t="s">
        <v>258</v>
      </c>
      <c r="M115" s="316">
        <f t="shared" si="1"/>
        <v>382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11515.0</v>
      </c>
      <c r="B116" s="426" t="s">
        <v>9553</v>
      </c>
      <c r="C116" s="426">
        <v>2014.0</v>
      </c>
      <c r="D116" s="500">
        <v>41983.0</v>
      </c>
      <c r="E116" s="426" t="s">
        <v>9554</v>
      </c>
      <c r="F116" s="426" t="s">
        <v>2268</v>
      </c>
      <c r="G116" s="426" t="s">
        <v>17</v>
      </c>
      <c r="H116" s="426" t="s">
        <v>573</v>
      </c>
      <c r="I116" s="500">
        <v>42326.0</v>
      </c>
      <c r="J116" s="428">
        <v>11.0</v>
      </c>
      <c r="K116" s="637" t="s">
        <v>238</v>
      </c>
      <c r="L116" s="428" t="s">
        <v>258</v>
      </c>
      <c r="M116" s="319">
        <f t="shared" si="1"/>
        <v>343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11615.0</v>
      </c>
      <c r="B117" s="420" t="s">
        <v>9555</v>
      </c>
      <c r="C117" s="420">
        <v>2013.0</v>
      </c>
      <c r="D117" s="497">
        <v>41583.0</v>
      </c>
      <c r="E117" s="420" t="s">
        <v>9556</v>
      </c>
      <c r="F117" s="420" t="s">
        <v>1203</v>
      </c>
      <c r="G117" s="420" t="s">
        <v>17</v>
      </c>
      <c r="H117" s="420" t="s">
        <v>5732</v>
      </c>
      <c r="I117" s="497">
        <v>42326.0</v>
      </c>
      <c r="J117" s="422">
        <v>11.0</v>
      </c>
      <c r="K117" s="637" t="s">
        <v>238</v>
      </c>
      <c r="L117" s="422" t="s">
        <v>256</v>
      </c>
      <c r="M117" s="316">
        <f t="shared" si="1"/>
        <v>743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11715.0</v>
      </c>
      <c r="B118" s="426" t="s">
        <v>9557</v>
      </c>
      <c r="C118" s="426">
        <v>2011.0</v>
      </c>
      <c r="D118" s="500">
        <v>40834.0</v>
      </c>
      <c r="E118" s="426" t="s">
        <v>9558</v>
      </c>
      <c r="F118" s="426" t="s">
        <v>1203</v>
      </c>
      <c r="G118" s="426" t="s">
        <v>17</v>
      </c>
      <c r="H118" s="426" t="s">
        <v>5016</v>
      </c>
      <c r="I118" s="500">
        <v>42326.0</v>
      </c>
      <c r="J118" s="428">
        <v>11.0</v>
      </c>
      <c r="K118" s="638" t="s">
        <v>234</v>
      </c>
      <c r="L118" s="428" t="s">
        <v>256</v>
      </c>
      <c r="M118" s="319">
        <f t="shared" si="1"/>
        <v>1492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11815.0</v>
      </c>
      <c r="B119" s="420" t="s">
        <v>9559</v>
      </c>
      <c r="C119" s="420">
        <v>2014.0</v>
      </c>
      <c r="D119" s="497">
        <v>41698.0</v>
      </c>
      <c r="E119" s="420" t="s">
        <v>9560</v>
      </c>
      <c r="F119" s="420" t="s">
        <v>2268</v>
      </c>
      <c r="G119" s="420" t="s">
        <v>17</v>
      </c>
      <c r="H119" s="420" t="s">
        <v>26</v>
      </c>
      <c r="I119" s="497">
        <v>42327.0</v>
      </c>
      <c r="J119" s="422">
        <v>11.0</v>
      </c>
      <c r="K119" s="637" t="s">
        <v>238</v>
      </c>
      <c r="L119" s="422" t="s">
        <v>258</v>
      </c>
      <c r="M119" s="316">
        <f t="shared" si="1"/>
        <v>629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11915.0</v>
      </c>
      <c r="B120" s="426" t="s">
        <v>9561</v>
      </c>
      <c r="C120" s="426">
        <v>2010.0</v>
      </c>
      <c r="D120" s="500">
        <v>40456.0</v>
      </c>
      <c r="E120" s="426" t="s">
        <v>9562</v>
      </c>
      <c r="F120" s="426" t="s">
        <v>1203</v>
      </c>
      <c r="G120" s="426" t="s">
        <v>17</v>
      </c>
      <c r="H120" s="426" t="s">
        <v>1501</v>
      </c>
      <c r="I120" s="500">
        <v>42327.0</v>
      </c>
      <c r="J120" s="428">
        <v>11.0</v>
      </c>
      <c r="K120" s="637" t="s">
        <v>238</v>
      </c>
      <c r="L120" s="428" t="s">
        <v>258</v>
      </c>
      <c r="M120" s="319">
        <f t="shared" si="1"/>
        <v>1871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12015.0</v>
      </c>
      <c r="B121" s="420" t="s">
        <v>9563</v>
      </c>
      <c r="C121" s="420">
        <v>2010.0</v>
      </c>
      <c r="D121" s="497">
        <v>40543.0</v>
      </c>
      <c r="E121" s="420" t="s">
        <v>9564</v>
      </c>
      <c r="F121" s="420" t="s">
        <v>8731</v>
      </c>
      <c r="G121" s="420" t="s">
        <v>17</v>
      </c>
      <c r="H121" s="420" t="s">
        <v>130</v>
      </c>
      <c r="I121" s="497">
        <v>42327.0</v>
      </c>
      <c r="J121" s="422">
        <v>11.0</v>
      </c>
      <c r="K121" s="637" t="s">
        <v>238</v>
      </c>
      <c r="L121" s="422" t="s">
        <v>256</v>
      </c>
      <c r="M121" s="316">
        <f t="shared" si="1"/>
        <v>1784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12115.0</v>
      </c>
      <c r="B122" s="426" t="s">
        <v>9565</v>
      </c>
      <c r="C122" s="426">
        <v>2010.0</v>
      </c>
      <c r="D122" s="500">
        <v>40210.0</v>
      </c>
      <c r="E122" s="426" t="s">
        <v>9566</v>
      </c>
      <c r="F122" s="426" t="s">
        <v>1203</v>
      </c>
      <c r="G122" s="426" t="s">
        <v>17</v>
      </c>
      <c r="H122" s="426" t="s">
        <v>1749</v>
      </c>
      <c r="I122" s="500">
        <v>42334.0</v>
      </c>
      <c r="J122" s="428">
        <v>11.0</v>
      </c>
      <c r="K122" s="637" t="s">
        <v>238</v>
      </c>
      <c r="L122" s="428" t="s">
        <v>256</v>
      </c>
      <c r="M122" s="319">
        <f t="shared" si="1"/>
        <v>2124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12215.0</v>
      </c>
      <c r="B123" s="420" t="s">
        <v>9567</v>
      </c>
      <c r="C123" s="420">
        <v>2010.0</v>
      </c>
      <c r="D123" s="497">
        <v>40210.0</v>
      </c>
      <c r="E123" s="420" t="s">
        <v>9568</v>
      </c>
      <c r="F123" s="420" t="s">
        <v>1203</v>
      </c>
      <c r="G123" s="420" t="s">
        <v>17</v>
      </c>
      <c r="H123" s="420" t="s">
        <v>596</v>
      </c>
      <c r="I123" s="497">
        <v>42334.0</v>
      </c>
      <c r="J123" s="422">
        <v>11.0</v>
      </c>
      <c r="K123" s="637" t="s">
        <v>238</v>
      </c>
      <c r="L123" s="422" t="s">
        <v>256</v>
      </c>
      <c r="M123" s="316">
        <f t="shared" si="1"/>
        <v>2124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12315.0</v>
      </c>
      <c r="B124" s="426" t="s">
        <v>9569</v>
      </c>
      <c r="C124" s="426">
        <v>2012.0</v>
      </c>
      <c r="D124" s="500">
        <v>41128.0</v>
      </c>
      <c r="E124" s="426" t="s">
        <v>9570</v>
      </c>
      <c r="F124" s="426" t="s">
        <v>963</v>
      </c>
      <c r="G124" s="426" t="s">
        <v>17</v>
      </c>
      <c r="H124" s="426" t="s">
        <v>66</v>
      </c>
      <c r="I124" s="500">
        <v>42335.0</v>
      </c>
      <c r="J124" s="428">
        <v>11.0</v>
      </c>
      <c r="K124" s="635" t="s">
        <v>228</v>
      </c>
      <c r="L124" s="428" t="s">
        <v>258</v>
      </c>
      <c r="M124" s="319">
        <f t="shared" si="1"/>
        <v>1207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12415.0</v>
      </c>
      <c r="B125" s="420" t="s">
        <v>9571</v>
      </c>
      <c r="C125" s="420">
        <v>2012.0</v>
      </c>
      <c r="D125" s="497">
        <v>41148.0</v>
      </c>
      <c r="E125" s="420" t="s">
        <v>9572</v>
      </c>
      <c r="F125" s="420" t="s">
        <v>963</v>
      </c>
      <c r="G125" s="420" t="s">
        <v>17</v>
      </c>
      <c r="H125" s="420" t="s">
        <v>6529</v>
      </c>
      <c r="I125" s="497">
        <v>42345.0</v>
      </c>
      <c r="J125" s="422">
        <v>12.0</v>
      </c>
      <c r="K125" s="635" t="s">
        <v>228</v>
      </c>
      <c r="L125" s="422" t="s">
        <v>258</v>
      </c>
      <c r="M125" s="316">
        <f t="shared" si="1"/>
        <v>1197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12515.0</v>
      </c>
      <c r="B126" s="426" t="s">
        <v>9573</v>
      </c>
      <c r="C126" s="426">
        <v>2013.0</v>
      </c>
      <c r="D126" s="500">
        <v>41323.0</v>
      </c>
      <c r="E126" s="426" t="s">
        <v>9574</v>
      </c>
      <c r="F126" s="426" t="s">
        <v>963</v>
      </c>
      <c r="G126" s="426" t="s">
        <v>17</v>
      </c>
      <c r="H126" s="426" t="s">
        <v>5171</v>
      </c>
      <c r="I126" s="500">
        <v>42345.0</v>
      </c>
      <c r="J126" s="428">
        <v>12.0</v>
      </c>
      <c r="K126" s="635" t="s">
        <v>228</v>
      </c>
      <c r="L126" s="428" t="s">
        <v>258</v>
      </c>
      <c r="M126" s="319">
        <f t="shared" si="1"/>
        <v>1022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12615.0</v>
      </c>
      <c r="B127" s="420" t="s">
        <v>9575</v>
      </c>
      <c r="C127" s="420">
        <v>2009.0</v>
      </c>
      <c r="D127" s="497">
        <v>40056.0</v>
      </c>
      <c r="E127" s="420" t="s">
        <v>9576</v>
      </c>
      <c r="F127" s="420" t="s">
        <v>719</v>
      </c>
      <c r="G127" s="420" t="s">
        <v>17</v>
      </c>
      <c r="H127" s="420" t="s">
        <v>8845</v>
      </c>
      <c r="I127" s="497">
        <v>42346.0</v>
      </c>
      <c r="J127" s="422">
        <v>12.0</v>
      </c>
      <c r="K127" s="637" t="s">
        <v>238</v>
      </c>
      <c r="L127" s="422" t="s">
        <v>256</v>
      </c>
      <c r="M127" s="316">
        <f t="shared" si="1"/>
        <v>2290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12715.0</v>
      </c>
      <c r="B128" s="426" t="s">
        <v>9577</v>
      </c>
      <c r="C128" s="426">
        <v>2011.0</v>
      </c>
      <c r="D128" s="500">
        <v>40749.0</v>
      </c>
      <c r="E128" s="426" t="s">
        <v>9578</v>
      </c>
      <c r="F128" s="426" t="s">
        <v>654</v>
      </c>
      <c r="G128" s="426" t="s">
        <v>34</v>
      </c>
      <c r="H128" s="426" t="s">
        <v>5180</v>
      </c>
      <c r="I128" s="500">
        <v>42347.0</v>
      </c>
      <c r="J128" s="428">
        <v>12.0</v>
      </c>
      <c r="K128" s="637" t="s">
        <v>238</v>
      </c>
      <c r="L128" s="428" t="s">
        <v>256</v>
      </c>
      <c r="M128" s="319">
        <f t="shared" si="1"/>
        <v>1598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12815.0</v>
      </c>
      <c r="B129" s="420" t="s">
        <v>9579</v>
      </c>
      <c r="C129" s="420">
        <v>2009.0</v>
      </c>
      <c r="D129" s="497">
        <v>39842.0</v>
      </c>
      <c r="E129" s="420" t="s">
        <v>9580</v>
      </c>
      <c r="F129" s="420" t="s">
        <v>9581</v>
      </c>
      <c r="G129" s="420" t="s">
        <v>34</v>
      </c>
      <c r="H129" s="420" t="s">
        <v>651</v>
      </c>
      <c r="I129" s="497">
        <v>42348.0</v>
      </c>
      <c r="J129" s="422">
        <v>12.0</v>
      </c>
      <c r="K129" s="638" t="s">
        <v>234</v>
      </c>
      <c r="L129" s="422" t="s">
        <v>256</v>
      </c>
      <c r="M129" s="316">
        <f t="shared" si="1"/>
        <v>2506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12915.0</v>
      </c>
      <c r="B130" s="426" t="s">
        <v>9582</v>
      </c>
      <c r="C130" s="426">
        <v>2012.0</v>
      </c>
      <c r="D130" s="500">
        <v>41176.0</v>
      </c>
      <c r="E130" s="426" t="s">
        <v>9583</v>
      </c>
      <c r="F130" s="426" t="s">
        <v>1203</v>
      </c>
      <c r="G130" s="426" t="s">
        <v>17</v>
      </c>
      <c r="H130" s="426" t="s">
        <v>2509</v>
      </c>
      <c r="I130" s="500">
        <v>42349.0</v>
      </c>
      <c r="J130" s="428">
        <v>12.0</v>
      </c>
      <c r="K130" s="637" t="s">
        <v>238</v>
      </c>
      <c r="L130" s="428" t="s">
        <v>256</v>
      </c>
      <c r="M130" s="319">
        <f t="shared" si="1"/>
        <v>1173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13015.0</v>
      </c>
      <c r="B131" s="639" t="s">
        <v>9584</v>
      </c>
      <c r="C131" s="420">
        <v>2009.0</v>
      </c>
      <c r="D131" s="497">
        <v>39883.0</v>
      </c>
      <c r="E131" s="420" t="s">
        <v>9585</v>
      </c>
      <c r="F131" s="420" t="s">
        <v>1203</v>
      </c>
      <c r="G131" s="420" t="s">
        <v>17</v>
      </c>
      <c r="H131" s="420" t="s">
        <v>934</v>
      </c>
      <c r="I131" s="497">
        <v>42349.0</v>
      </c>
      <c r="J131" s="422">
        <v>12.0</v>
      </c>
      <c r="K131" s="637" t="s">
        <v>238</v>
      </c>
      <c r="L131" s="422" t="s">
        <v>256</v>
      </c>
      <c r="M131" s="316">
        <f t="shared" si="1"/>
        <v>2466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13115.0</v>
      </c>
      <c r="B132" s="426" t="s">
        <v>9586</v>
      </c>
      <c r="C132" s="426">
        <v>2010.0</v>
      </c>
      <c r="D132" s="500">
        <v>40372.0</v>
      </c>
      <c r="E132" s="426" t="s">
        <v>9587</v>
      </c>
      <c r="F132" s="426" t="s">
        <v>963</v>
      </c>
      <c r="G132" s="426" t="s">
        <v>17</v>
      </c>
      <c r="H132" s="426" t="s">
        <v>5732</v>
      </c>
      <c r="I132" s="500">
        <v>42349.0</v>
      </c>
      <c r="J132" s="428">
        <v>12.0</v>
      </c>
      <c r="K132" s="635" t="s">
        <v>228</v>
      </c>
      <c r="L132" s="428" t="s">
        <v>258</v>
      </c>
      <c r="M132" s="319">
        <f t="shared" si="1"/>
        <v>1977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13215.0</v>
      </c>
      <c r="B133" s="420" t="s">
        <v>9588</v>
      </c>
      <c r="C133" s="420">
        <v>2012.0</v>
      </c>
      <c r="D133" s="497">
        <v>41116.0</v>
      </c>
      <c r="E133" s="420" t="s">
        <v>9589</v>
      </c>
      <c r="F133" s="420" t="s">
        <v>660</v>
      </c>
      <c r="G133" s="420" t="s">
        <v>17</v>
      </c>
      <c r="H133" s="420" t="s">
        <v>775</v>
      </c>
      <c r="I133" s="497">
        <v>42352.0</v>
      </c>
      <c r="J133" s="422">
        <v>12.0</v>
      </c>
      <c r="K133" s="635" t="s">
        <v>228</v>
      </c>
      <c r="L133" s="422" t="s">
        <v>258</v>
      </c>
      <c r="M133" s="316">
        <f t="shared" si="1"/>
        <v>1236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13315.0</v>
      </c>
      <c r="B134" s="426" t="s">
        <v>9590</v>
      </c>
      <c r="C134" s="426">
        <v>2009.0</v>
      </c>
      <c r="D134" s="500">
        <v>40109.0</v>
      </c>
      <c r="E134" s="426" t="s">
        <v>9591</v>
      </c>
      <c r="F134" s="426" t="s">
        <v>8841</v>
      </c>
      <c r="G134" s="426" t="s">
        <v>17</v>
      </c>
      <c r="H134" s="426" t="s">
        <v>596</v>
      </c>
      <c r="I134" s="500">
        <v>42353.0</v>
      </c>
      <c r="J134" s="428">
        <v>12.0</v>
      </c>
      <c r="K134" s="635" t="s">
        <v>228</v>
      </c>
      <c r="L134" s="428" t="s">
        <v>256</v>
      </c>
      <c r="M134" s="319">
        <f t="shared" si="1"/>
        <v>2244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13415.0</v>
      </c>
      <c r="B135" s="420" t="s">
        <v>9592</v>
      </c>
      <c r="C135" s="420">
        <v>2010.0</v>
      </c>
      <c r="D135" s="497">
        <v>40522.0</v>
      </c>
      <c r="E135" s="420" t="s">
        <v>9593</v>
      </c>
      <c r="F135" s="420" t="s">
        <v>9539</v>
      </c>
      <c r="G135" s="420" t="s">
        <v>650</v>
      </c>
      <c r="H135" s="420" t="s">
        <v>158</v>
      </c>
      <c r="I135" s="497">
        <v>42354.0</v>
      </c>
      <c r="J135" s="422">
        <v>12.0</v>
      </c>
      <c r="K135" s="638" t="s">
        <v>234</v>
      </c>
      <c r="L135" s="422" t="s">
        <v>256</v>
      </c>
      <c r="M135" s="316">
        <f t="shared" si="1"/>
        <v>1832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13515.0</v>
      </c>
      <c r="B136" s="426" t="s">
        <v>9594</v>
      </c>
      <c r="C136" s="426">
        <v>2013.0</v>
      </c>
      <c r="D136" s="500">
        <v>41597.0</v>
      </c>
      <c r="E136" s="426" t="s">
        <v>9595</v>
      </c>
      <c r="F136" s="622" t="s">
        <v>2343</v>
      </c>
      <c r="G136" s="426" t="s">
        <v>569</v>
      </c>
      <c r="H136" s="426" t="s">
        <v>3892</v>
      </c>
      <c r="I136" s="500">
        <v>42354.0</v>
      </c>
      <c r="J136" s="428">
        <v>12.0</v>
      </c>
      <c r="K136" s="636" t="s">
        <v>244</v>
      </c>
      <c r="L136" s="428" t="s">
        <v>260</v>
      </c>
      <c r="M136" s="319">
        <f t="shared" si="1"/>
        <v>757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13615.0</v>
      </c>
      <c r="B137" s="420" t="s">
        <v>9596</v>
      </c>
      <c r="C137" s="420">
        <v>2009.0</v>
      </c>
      <c r="D137" s="497">
        <v>40060.0</v>
      </c>
      <c r="E137" s="420" t="s">
        <v>9597</v>
      </c>
      <c r="F137" s="420" t="s">
        <v>963</v>
      </c>
      <c r="G137" s="420" t="s">
        <v>552</v>
      </c>
      <c r="H137" s="420" t="s">
        <v>9033</v>
      </c>
      <c r="I137" s="497">
        <v>42366.0</v>
      </c>
      <c r="J137" s="422">
        <v>12.0</v>
      </c>
      <c r="K137" s="637" t="s">
        <v>238</v>
      </c>
      <c r="L137" s="422" t="s">
        <v>258</v>
      </c>
      <c r="M137" s="316">
        <f t="shared" si="1"/>
        <v>2306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13715.0</v>
      </c>
      <c r="B138" s="426" t="s">
        <v>9598</v>
      </c>
      <c r="C138" s="426">
        <v>2015.0</v>
      </c>
      <c r="D138" s="500">
        <v>42165.0</v>
      </c>
      <c r="E138" s="426" t="s">
        <v>9599</v>
      </c>
      <c r="F138" s="622" t="s">
        <v>5332</v>
      </c>
      <c r="G138" s="426" t="s">
        <v>569</v>
      </c>
      <c r="H138" s="426" t="s">
        <v>9600</v>
      </c>
      <c r="I138" s="500">
        <v>42367.0</v>
      </c>
      <c r="J138" s="428">
        <v>12.0</v>
      </c>
      <c r="K138" s="636" t="s">
        <v>850</v>
      </c>
      <c r="L138" s="428" t="s">
        <v>260</v>
      </c>
      <c r="M138" s="319">
        <f t="shared" si="1"/>
        <v>202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13815.0</v>
      </c>
      <c r="B139" s="420" t="s">
        <v>9601</v>
      </c>
      <c r="C139" s="420">
        <v>2015.0</v>
      </c>
      <c r="D139" s="497">
        <v>42165.0</v>
      </c>
      <c r="E139" s="420" t="s">
        <v>9602</v>
      </c>
      <c r="F139" s="623" t="s">
        <v>5332</v>
      </c>
      <c r="G139" s="420" t="s">
        <v>569</v>
      </c>
      <c r="H139" s="420" t="s">
        <v>9603</v>
      </c>
      <c r="I139" s="497">
        <v>42367.0</v>
      </c>
      <c r="J139" s="422">
        <v>12.0</v>
      </c>
      <c r="K139" s="636" t="s">
        <v>850</v>
      </c>
      <c r="L139" s="422" t="s">
        <v>260</v>
      </c>
      <c r="M139" s="316">
        <f t="shared" si="1"/>
        <v>202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425">
        <v>13915.0</v>
      </c>
      <c r="B140" s="426" t="s">
        <v>9604</v>
      </c>
      <c r="C140" s="426">
        <v>2011.0</v>
      </c>
      <c r="D140" s="500">
        <v>40753.0</v>
      </c>
      <c r="E140" s="426" t="s">
        <v>9605</v>
      </c>
      <c r="F140" s="426" t="s">
        <v>654</v>
      </c>
      <c r="G140" s="426" t="s">
        <v>547</v>
      </c>
      <c r="H140" s="426" t="s">
        <v>5180</v>
      </c>
      <c r="I140" s="500">
        <v>42368.0</v>
      </c>
      <c r="J140" s="428">
        <v>12.0</v>
      </c>
      <c r="K140" s="636" t="s">
        <v>244</v>
      </c>
      <c r="L140" s="428" t="s">
        <v>258</v>
      </c>
      <c r="M140" s="319">
        <f t="shared" si="1"/>
        <v>1615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198"/>
      <c r="C141" s="198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hidden="1" customHeight="1">
      <c r="A142" s="640"/>
      <c r="B142" s="613"/>
      <c r="C142" s="641"/>
      <c r="D142" s="615"/>
      <c r="E142" s="198"/>
      <c r="F142" s="198"/>
      <c r="G142" s="198"/>
      <c r="H142" s="198"/>
      <c r="I142" s="615"/>
      <c r="J142" s="198"/>
      <c r="K142" s="614"/>
      <c r="L142" s="614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hidden="1" customHeight="1">
      <c r="A143" s="640"/>
      <c r="B143" s="613"/>
      <c r="C143" s="641"/>
      <c r="D143" s="615"/>
      <c r="E143" s="198"/>
      <c r="F143" s="198"/>
      <c r="G143" s="198"/>
      <c r="H143" s="198"/>
      <c r="I143" s="615"/>
      <c r="J143" s="198"/>
      <c r="K143" s="614"/>
      <c r="L143" s="614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hidden="1" customHeight="1">
      <c r="A144" s="640"/>
      <c r="B144" s="613"/>
      <c r="C144" s="641"/>
      <c r="D144" s="615"/>
      <c r="E144" s="198"/>
      <c r="F144" s="198"/>
      <c r="G144" s="198"/>
      <c r="H144" s="198"/>
      <c r="I144" s="615"/>
      <c r="J144" s="198"/>
      <c r="K144" s="614"/>
      <c r="L144" s="614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hidden="1" customHeight="1">
      <c r="A145" s="640"/>
      <c r="B145" s="613"/>
      <c r="C145" s="641"/>
      <c r="D145" s="615">
        <v>39771.0</v>
      </c>
      <c r="E145" s="198"/>
      <c r="F145" s="198"/>
      <c r="G145" s="198"/>
      <c r="H145" s="198"/>
      <c r="I145" s="615"/>
      <c r="J145" s="198"/>
      <c r="K145" s="614"/>
      <c r="L145" s="614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hidden="1" customHeight="1">
      <c r="A146" s="640"/>
      <c r="B146" s="613"/>
      <c r="C146" s="641"/>
      <c r="D146" s="615"/>
      <c r="E146" s="198"/>
      <c r="F146" s="198"/>
      <c r="G146" s="198"/>
      <c r="H146" s="198"/>
      <c r="I146" s="615"/>
      <c r="J146" s="198"/>
      <c r="K146" s="614"/>
      <c r="L146" s="614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hidden="1" customHeight="1">
      <c r="A147" s="640"/>
      <c r="B147" s="613" t="s">
        <v>9606</v>
      </c>
      <c r="C147" s="641"/>
      <c r="D147" s="615">
        <v>40207.0</v>
      </c>
      <c r="E147" s="198"/>
      <c r="F147" s="198"/>
      <c r="G147" s="198"/>
      <c r="H147" s="198"/>
      <c r="I147" s="615"/>
      <c r="J147" s="198"/>
      <c r="K147" s="614"/>
      <c r="L147" s="614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hidden="1" customHeight="1">
      <c r="A148" s="640"/>
      <c r="B148" s="613"/>
      <c r="C148" s="641"/>
      <c r="D148" s="615"/>
      <c r="E148" s="198"/>
      <c r="F148" s="198"/>
      <c r="G148" s="198"/>
      <c r="H148" s="198"/>
      <c r="I148" s="615"/>
      <c r="J148" s="198"/>
      <c r="K148" s="614"/>
      <c r="L148" s="614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hidden="1" customHeight="1">
      <c r="A149" s="640"/>
      <c r="B149" s="613"/>
      <c r="C149" s="641"/>
      <c r="D149" s="615"/>
      <c r="E149" s="198"/>
      <c r="F149" s="198"/>
      <c r="G149" s="198"/>
      <c r="H149" s="198"/>
      <c r="I149" s="615"/>
      <c r="J149" s="198"/>
      <c r="K149" s="614"/>
      <c r="L149" s="614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hidden="1" customHeight="1">
      <c r="A150" s="640"/>
      <c r="B150" s="613"/>
      <c r="C150" s="641"/>
      <c r="D150" s="615"/>
      <c r="E150" s="198"/>
      <c r="F150" s="198"/>
      <c r="G150" s="198"/>
      <c r="H150" s="198"/>
      <c r="I150" s="615"/>
      <c r="J150" s="198"/>
      <c r="K150" s="614"/>
      <c r="L150" s="614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hidden="1" customHeight="1">
      <c r="A151" s="640"/>
      <c r="B151" s="613"/>
      <c r="C151" s="641"/>
      <c r="D151" s="615">
        <v>40245.0</v>
      </c>
      <c r="E151" s="198"/>
      <c r="F151" s="198"/>
      <c r="G151" s="198"/>
      <c r="H151" s="198"/>
      <c r="I151" s="615"/>
      <c r="J151" s="198"/>
      <c r="K151" s="614"/>
      <c r="L151" s="614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hidden="1" customHeight="1">
      <c r="A152" s="640"/>
      <c r="B152" s="613"/>
      <c r="C152" s="641"/>
      <c r="D152" s="615">
        <v>40087.0</v>
      </c>
      <c r="E152" s="198"/>
      <c r="F152" s="198"/>
      <c r="G152" s="198"/>
      <c r="H152" s="198"/>
      <c r="I152" s="615"/>
      <c r="J152" s="198"/>
      <c r="K152" s="614"/>
      <c r="L152" s="614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hidden="1" customHeight="1">
      <c r="A153" s="640"/>
      <c r="B153" s="613"/>
      <c r="C153" s="641"/>
      <c r="D153" s="615"/>
      <c r="E153" s="198"/>
      <c r="F153" s="198"/>
      <c r="G153" s="198"/>
      <c r="H153" s="198"/>
      <c r="I153" s="615"/>
      <c r="J153" s="198"/>
      <c r="K153" s="614"/>
      <c r="L153" s="614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hidden="1" customHeight="1">
      <c r="A154" s="640"/>
      <c r="B154" s="613"/>
      <c r="C154" s="641"/>
      <c r="D154" s="615"/>
      <c r="E154" s="198"/>
      <c r="F154" s="198"/>
      <c r="G154" s="198"/>
      <c r="H154" s="198"/>
      <c r="I154" s="615"/>
      <c r="J154" s="198"/>
      <c r="K154" s="614"/>
      <c r="L154" s="614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hidden="1" customHeight="1">
      <c r="A155" s="640"/>
      <c r="B155" s="613"/>
      <c r="C155" s="641"/>
      <c r="D155" s="615"/>
      <c r="E155" s="198"/>
      <c r="F155" s="198"/>
      <c r="G155" s="198"/>
      <c r="H155" s="198"/>
      <c r="I155" s="615"/>
      <c r="J155" s="198"/>
      <c r="K155" s="614"/>
      <c r="L155" s="614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hidden="1" customHeight="1">
      <c r="A156" s="640"/>
      <c r="B156" s="613"/>
      <c r="C156" s="641"/>
      <c r="D156" s="615"/>
      <c r="E156" s="198"/>
      <c r="F156" s="198"/>
      <c r="G156" s="198"/>
      <c r="H156" s="198"/>
      <c r="I156" s="615"/>
      <c r="J156" s="198"/>
      <c r="K156" s="614"/>
      <c r="L156" s="614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hidden="1" customHeight="1">
      <c r="A157" s="640"/>
      <c r="B157" s="613"/>
      <c r="C157" s="641"/>
      <c r="D157" s="615"/>
      <c r="E157" s="198"/>
      <c r="F157" s="198"/>
      <c r="G157" s="198"/>
      <c r="H157" s="198"/>
      <c r="I157" s="615"/>
      <c r="J157" s="198"/>
      <c r="K157" s="614"/>
      <c r="L157" s="614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hidden="1" customHeight="1">
      <c r="A158" s="640"/>
      <c r="B158" s="613"/>
      <c r="C158" s="641"/>
      <c r="D158" s="615"/>
      <c r="E158" s="198"/>
      <c r="F158" s="198"/>
      <c r="G158" s="198"/>
      <c r="H158" s="198"/>
      <c r="I158" s="615"/>
      <c r="J158" s="198"/>
      <c r="K158" s="614"/>
      <c r="L158" s="614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hidden="1" customHeight="1">
      <c r="A159" s="640"/>
      <c r="B159" s="613"/>
      <c r="C159" s="641"/>
      <c r="D159" s="615"/>
      <c r="E159" s="198"/>
      <c r="F159" s="198"/>
      <c r="G159" s="198"/>
      <c r="H159" s="198"/>
      <c r="I159" s="615"/>
      <c r="J159" s="198"/>
      <c r="K159" s="614"/>
      <c r="L159" s="614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hidden="1" customHeight="1">
      <c r="A160" s="640"/>
      <c r="B160" s="613"/>
      <c r="C160" s="641"/>
      <c r="D160" s="615"/>
      <c r="E160" s="198"/>
      <c r="F160" s="198"/>
      <c r="G160" s="198"/>
      <c r="H160" s="198"/>
      <c r="I160" s="615"/>
      <c r="J160" s="198"/>
      <c r="K160" s="614"/>
      <c r="L160" s="614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hidden="1" customHeight="1">
      <c r="A161" s="640"/>
      <c r="B161" s="613"/>
      <c r="C161" s="641"/>
      <c r="D161" s="615"/>
      <c r="E161" s="198"/>
      <c r="F161" s="198"/>
      <c r="G161" s="198"/>
      <c r="H161" s="198"/>
      <c r="I161" s="615"/>
      <c r="J161" s="198"/>
      <c r="K161" s="614"/>
      <c r="L161" s="614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hidden="1" customHeight="1">
      <c r="A162" s="640"/>
      <c r="B162" s="613"/>
      <c r="C162" s="641"/>
      <c r="D162" s="615"/>
      <c r="E162" s="198"/>
      <c r="F162" s="198"/>
      <c r="G162" s="198"/>
      <c r="H162" s="198"/>
      <c r="I162" s="615"/>
      <c r="J162" s="198"/>
      <c r="K162" s="614"/>
      <c r="L162" s="614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hidden="1" customHeight="1">
      <c r="A163" s="640"/>
      <c r="B163" s="613"/>
      <c r="C163" s="641"/>
      <c r="D163" s="615"/>
      <c r="E163" s="198"/>
      <c r="F163" s="198"/>
      <c r="G163" s="198"/>
      <c r="H163" s="198"/>
      <c r="I163" s="615"/>
      <c r="J163" s="198"/>
      <c r="K163" s="614"/>
      <c r="L163" s="614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hidden="1" customHeight="1">
      <c r="A164" s="640"/>
      <c r="B164" s="613"/>
      <c r="C164" s="641"/>
      <c r="D164" s="615"/>
      <c r="E164" s="198"/>
      <c r="F164" s="198"/>
      <c r="G164" s="198"/>
      <c r="H164" s="198"/>
      <c r="I164" s="615"/>
      <c r="J164" s="198"/>
      <c r="K164" s="614"/>
      <c r="L164" s="614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hidden="1" customHeight="1">
      <c r="A165" s="640"/>
      <c r="B165" s="613"/>
      <c r="C165" s="641"/>
      <c r="D165" s="615">
        <v>39525.0</v>
      </c>
      <c r="E165" s="198"/>
      <c r="F165" s="198"/>
      <c r="G165" s="198"/>
      <c r="H165" s="198"/>
      <c r="I165" s="615"/>
      <c r="J165" s="198"/>
      <c r="K165" s="614"/>
      <c r="L165" s="614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hidden="1" customHeight="1">
      <c r="A166" s="640"/>
      <c r="B166" s="613"/>
      <c r="C166" s="641"/>
      <c r="D166" s="615"/>
      <c r="E166" s="198"/>
      <c r="F166" s="198"/>
      <c r="G166" s="198"/>
      <c r="H166" s="198"/>
      <c r="I166" s="615"/>
      <c r="J166" s="198"/>
      <c r="K166" s="614"/>
      <c r="L166" s="614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hidden="1" customHeight="1">
      <c r="A167" s="640"/>
      <c r="B167" s="613"/>
      <c r="C167" s="641"/>
      <c r="D167" s="615">
        <v>39651.0</v>
      </c>
      <c r="E167" s="198"/>
      <c r="F167" s="198"/>
      <c r="G167" s="198"/>
      <c r="H167" s="198"/>
      <c r="I167" s="615"/>
      <c r="J167" s="198"/>
      <c r="K167" s="614"/>
      <c r="L167" s="614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hidden="1" customHeight="1">
      <c r="A168" s="640"/>
      <c r="B168" s="613"/>
      <c r="C168" s="641"/>
      <c r="D168" s="615">
        <v>39857.0</v>
      </c>
      <c r="E168" s="198"/>
      <c r="F168" s="198"/>
      <c r="G168" s="198"/>
      <c r="H168" s="198"/>
      <c r="I168" s="615"/>
      <c r="J168" s="198"/>
      <c r="K168" s="614"/>
      <c r="L168" s="614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hidden="1" customHeight="1">
      <c r="A169" s="640"/>
      <c r="B169" s="613"/>
      <c r="C169" s="641"/>
      <c r="D169" s="615">
        <v>39638.0</v>
      </c>
      <c r="E169" s="198"/>
      <c r="F169" s="198"/>
      <c r="G169" s="198"/>
      <c r="H169" s="198"/>
      <c r="I169" s="615"/>
      <c r="J169" s="198"/>
      <c r="K169" s="614"/>
      <c r="L169" s="614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hidden="1" customHeight="1">
      <c r="A170" s="640"/>
      <c r="B170" s="613"/>
      <c r="C170" s="641"/>
      <c r="D170" s="615"/>
      <c r="E170" s="198"/>
      <c r="F170" s="198"/>
      <c r="G170" s="198"/>
      <c r="H170" s="198"/>
      <c r="I170" s="615"/>
      <c r="J170" s="198"/>
      <c r="K170" s="614"/>
      <c r="L170" s="614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hidden="1" customHeight="1">
      <c r="A171" s="640"/>
      <c r="B171" s="613"/>
      <c r="C171" s="641"/>
      <c r="D171" s="615"/>
      <c r="E171" s="198"/>
      <c r="F171" s="198"/>
      <c r="G171" s="198"/>
      <c r="H171" s="198"/>
      <c r="I171" s="615"/>
      <c r="J171" s="198"/>
      <c r="K171" s="614"/>
      <c r="L171" s="614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hidden="1" customHeight="1">
      <c r="A172" s="640"/>
      <c r="B172" s="613"/>
      <c r="C172" s="641"/>
      <c r="D172" s="615"/>
      <c r="E172" s="198"/>
      <c r="F172" s="198"/>
      <c r="G172" s="198"/>
      <c r="H172" s="198"/>
      <c r="I172" s="615"/>
      <c r="J172" s="198"/>
      <c r="K172" s="614"/>
      <c r="L172" s="614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hidden="1" customHeight="1">
      <c r="A173" s="640"/>
      <c r="B173" s="613"/>
      <c r="C173" s="641"/>
      <c r="D173" s="615"/>
      <c r="E173" s="198"/>
      <c r="F173" s="198"/>
      <c r="G173" s="198"/>
      <c r="H173" s="198"/>
      <c r="I173" s="615"/>
      <c r="J173" s="198"/>
      <c r="K173" s="614"/>
      <c r="L173" s="614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hidden="1" customHeight="1">
      <c r="A174" s="640"/>
      <c r="B174" s="613"/>
      <c r="C174" s="641"/>
      <c r="D174" s="615"/>
      <c r="E174" s="198"/>
      <c r="F174" s="198"/>
      <c r="G174" s="198"/>
      <c r="H174" s="198"/>
      <c r="I174" s="615"/>
      <c r="J174" s="198"/>
      <c r="K174" s="614"/>
      <c r="L174" s="614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hidden="1" customHeight="1">
      <c r="A175" s="640"/>
      <c r="B175" s="613"/>
      <c r="C175" s="641"/>
      <c r="D175" s="615"/>
      <c r="E175" s="198"/>
      <c r="F175" s="198"/>
      <c r="G175" s="198"/>
      <c r="H175" s="198"/>
      <c r="I175" s="615"/>
      <c r="J175" s="198"/>
      <c r="K175" s="614"/>
      <c r="L175" s="614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hidden="1" customHeight="1">
      <c r="A176" s="640"/>
      <c r="B176" s="613"/>
      <c r="C176" s="641"/>
      <c r="D176" s="615"/>
      <c r="E176" s="198"/>
      <c r="F176" s="198"/>
      <c r="G176" s="198"/>
      <c r="H176" s="198"/>
      <c r="I176" s="615"/>
      <c r="J176" s="198"/>
      <c r="K176" s="614"/>
      <c r="L176" s="614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hidden="1" customHeight="1">
      <c r="A177" s="640"/>
      <c r="B177" s="613"/>
      <c r="C177" s="641"/>
      <c r="D177" s="615"/>
      <c r="E177" s="198"/>
      <c r="F177" s="198"/>
      <c r="G177" s="198"/>
      <c r="H177" s="198"/>
      <c r="I177" s="615"/>
      <c r="J177" s="198"/>
      <c r="K177" s="614"/>
      <c r="L177" s="614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hidden="1" customHeight="1">
      <c r="A178" s="640"/>
      <c r="B178" s="613"/>
      <c r="C178" s="641"/>
      <c r="D178" s="615"/>
      <c r="E178" s="198"/>
      <c r="F178" s="198"/>
      <c r="G178" s="198"/>
      <c r="H178" s="198"/>
      <c r="I178" s="615"/>
      <c r="J178" s="198"/>
      <c r="K178" s="614"/>
      <c r="L178" s="614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hidden="1" customHeight="1">
      <c r="A179" s="640"/>
      <c r="B179" s="613"/>
      <c r="C179" s="641"/>
      <c r="D179" s="615"/>
      <c r="E179" s="198"/>
      <c r="F179" s="198"/>
      <c r="G179" s="198"/>
      <c r="H179" s="198"/>
      <c r="I179" s="615"/>
      <c r="J179" s="198"/>
      <c r="K179" s="614"/>
      <c r="L179" s="614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hidden="1" customHeight="1">
      <c r="A180" s="640"/>
      <c r="B180" s="613"/>
      <c r="C180" s="641"/>
      <c r="D180" s="615"/>
      <c r="E180" s="198"/>
      <c r="F180" s="198"/>
      <c r="G180" s="198"/>
      <c r="H180" s="198"/>
      <c r="I180" s="615"/>
      <c r="J180" s="198"/>
      <c r="K180" s="614"/>
      <c r="L180" s="614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hidden="1" customHeight="1">
      <c r="A181" s="640"/>
      <c r="B181" s="613"/>
      <c r="C181" s="641"/>
      <c r="D181" s="615"/>
      <c r="E181" s="198"/>
      <c r="F181" s="198"/>
      <c r="G181" s="198"/>
      <c r="H181" s="198"/>
      <c r="I181" s="615"/>
      <c r="J181" s="198"/>
      <c r="K181" s="614"/>
      <c r="L181" s="614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hidden="1" customHeight="1">
      <c r="A182" s="640"/>
      <c r="B182" s="613"/>
      <c r="C182" s="641"/>
      <c r="D182" s="615"/>
      <c r="E182" s="198"/>
      <c r="F182" s="198"/>
      <c r="G182" s="198"/>
      <c r="H182" s="198"/>
      <c r="I182" s="615"/>
      <c r="J182" s="198"/>
      <c r="K182" s="614"/>
      <c r="L182" s="614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hidden="1" customHeight="1">
      <c r="A183" s="640"/>
      <c r="B183" s="613"/>
      <c r="C183" s="641"/>
      <c r="D183" s="615"/>
      <c r="E183" s="198"/>
      <c r="F183" s="198"/>
      <c r="G183" s="198"/>
      <c r="H183" s="198"/>
      <c r="I183" s="615"/>
      <c r="J183" s="198"/>
      <c r="K183" s="614"/>
      <c r="L183" s="614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hidden="1" customHeight="1">
      <c r="A184" s="640"/>
      <c r="B184" s="613"/>
      <c r="C184" s="641"/>
      <c r="D184" s="615"/>
      <c r="E184" s="198"/>
      <c r="F184" s="198"/>
      <c r="G184" s="198"/>
      <c r="H184" s="198"/>
      <c r="I184" s="615"/>
      <c r="J184" s="198"/>
      <c r="K184" s="614"/>
      <c r="L184" s="614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hidden="1" customHeight="1">
      <c r="A185" s="640"/>
      <c r="B185" s="613"/>
      <c r="C185" s="641"/>
      <c r="D185" s="615"/>
      <c r="E185" s="198"/>
      <c r="F185" s="198"/>
      <c r="G185" s="198"/>
      <c r="H185" s="198"/>
      <c r="I185" s="615"/>
      <c r="J185" s="198"/>
      <c r="K185" s="614"/>
      <c r="L185" s="614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hidden="1" customHeight="1">
      <c r="A186" s="640"/>
      <c r="B186" s="613"/>
      <c r="C186" s="641"/>
      <c r="D186" s="615"/>
      <c r="E186" s="198"/>
      <c r="F186" s="198"/>
      <c r="G186" s="198"/>
      <c r="H186" s="198"/>
      <c r="I186" s="615"/>
      <c r="J186" s="198"/>
      <c r="K186" s="614"/>
      <c r="L186" s="614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hidden="1" customHeight="1">
      <c r="A187" s="640"/>
      <c r="B187" s="613"/>
      <c r="C187" s="641"/>
      <c r="D187" s="615"/>
      <c r="E187" s="198"/>
      <c r="F187" s="198"/>
      <c r="G187" s="198"/>
      <c r="H187" s="198"/>
      <c r="I187" s="615"/>
      <c r="J187" s="198"/>
      <c r="K187" s="614"/>
      <c r="L187" s="614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hidden="1" customHeight="1">
      <c r="A188" s="640"/>
      <c r="B188" s="613"/>
      <c r="C188" s="641"/>
      <c r="D188" s="615"/>
      <c r="E188" s="198"/>
      <c r="F188" s="198"/>
      <c r="G188" s="198"/>
      <c r="H188" s="198"/>
      <c r="I188" s="615"/>
      <c r="J188" s="198"/>
      <c r="K188" s="614"/>
      <c r="L188" s="614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hidden="1" customHeight="1">
      <c r="A189" s="640"/>
      <c r="B189" s="613"/>
      <c r="C189" s="641"/>
      <c r="D189" s="615"/>
      <c r="E189" s="198"/>
      <c r="F189" s="198"/>
      <c r="G189" s="198"/>
      <c r="H189" s="198"/>
      <c r="I189" s="615"/>
      <c r="J189" s="198"/>
      <c r="K189" s="614"/>
      <c r="L189" s="614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hidden="1" customHeight="1">
      <c r="A190" s="640"/>
      <c r="B190" s="613"/>
      <c r="C190" s="641"/>
      <c r="D190" s="615"/>
      <c r="E190" s="198"/>
      <c r="F190" s="198"/>
      <c r="G190" s="198"/>
      <c r="H190" s="198"/>
      <c r="I190" s="615"/>
      <c r="J190" s="198"/>
      <c r="K190" s="614"/>
      <c r="L190" s="614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hidden="1" customHeight="1">
      <c r="A191" s="640"/>
      <c r="B191" s="613"/>
      <c r="C191" s="641"/>
      <c r="D191" s="615"/>
      <c r="E191" s="198"/>
      <c r="F191" s="198"/>
      <c r="G191" s="198"/>
      <c r="H191" s="198"/>
      <c r="I191" s="615"/>
      <c r="J191" s="198"/>
      <c r="K191" s="614"/>
      <c r="L191" s="614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hidden="1" customHeight="1">
      <c r="A192" s="640"/>
      <c r="B192" s="613"/>
      <c r="C192" s="641"/>
      <c r="D192" s="615"/>
      <c r="E192" s="198"/>
      <c r="F192" s="198"/>
      <c r="G192" s="198"/>
      <c r="H192" s="198"/>
      <c r="I192" s="615"/>
      <c r="J192" s="198"/>
      <c r="K192" s="614"/>
      <c r="L192" s="614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hidden="1" customHeight="1">
      <c r="A193" s="640"/>
      <c r="B193" s="613"/>
      <c r="C193" s="641"/>
      <c r="D193" s="615"/>
      <c r="E193" s="198"/>
      <c r="F193" s="198"/>
      <c r="G193" s="198"/>
      <c r="H193" s="198"/>
      <c r="I193" s="615"/>
      <c r="J193" s="198"/>
      <c r="K193" s="614"/>
      <c r="L193" s="614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hidden="1" customHeight="1">
      <c r="A194" s="640"/>
      <c r="B194" s="613"/>
      <c r="C194" s="641"/>
      <c r="D194" s="615"/>
      <c r="E194" s="198"/>
      <c r="F194" s="198"/>
      <c r="G194" s="198"/>
      <c r="H194" s="198"/>
      <c r="I194" s="615"/>
      <c r="J194" s="198"/>
      <c r="K194" s="614"/>
      <c r="L194" s="614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hidden="1" customHeight="1">
      <c r="A195" s="640"/>
      <c r="B195" s="613"/>
      <c r="C195" s="641"/>
      <c r="D195" s="615"/>
      <c r="E195" s="198"/>
      <c r="F195" s="198"/>
      <c r="G195" s="198"/>
      <c r="H195" s="198"/>
      <c r="I195" s="615"/>
      <c r="J195" s="198"/>
      <c r="K195" s="614"/>
      <c r="L195" s="614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hidden="1" customHeight="1">
      <c r="A196" s="640"/>
      <c r="B196" s="613"/>
      <c r="C196" s="641"/>
      <c r="D196" s="615"/>
      <c r="E196" s="198"/>
      <c r="F196" s="198"/>
      <c r="G196" s="198"/>
      <c r="H196" s="198"/>
      <c r="I196" s="615"/>
      <c r="J196" s="198"/>
      <c r="K196" s="614"/>
      <c r="L196" s="614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hidden="1" customHeight="1">
      <c r="A197" s="640"/>
      <c r="B197" s="613"/>
      <c r="C197" s="641"/>
      <c r="D197" s="615"/>
      <c r="E197" s="198"/>
      <c r="F197" s="198"/>
      <c r="G197" s="198"/>
      <c r="H197" s="198"/>
      <c r="I197" s="615"/>
      <c r="J197" s="198"/>
      <c r="K197" s="614"/>
      <c r="L197" s="614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hidden="1" customHeight="1">
      <c r="A198" s="640"/>
      <c r="B198" s="613"/>
      <c r="C198" s="641"/>
      <c r="D198" s="615"/>
      <c r="E198" s="198"/>
      <c r="F198" s="198"/>
      <c r="G198" s="198"/>
      <c r="H198" s="198"/>
      <c r="I198" s="615"/>
      <c r="J198" s="198"/>
      <c r="K198" s="614"/>
      <c r="L198" s="614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hidden="1" customHeight="1">
      <c r="A199" s="640"/>
      <c r="B199" s="613"/>
      <c r="C199" s="641"/>
      <c r="D199" s="615"/>
      <c r="E199" s="198"/>
      <c r="F199" s="198"/>
      <c r="G199" s="198"/>
      <c r="H199" s="198"/>
      <c r="I199" s="615"/>
      <c r="J199" s="198"/>
      <c r="K199" s="614"/>
      <c r="L199" s="614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hidden="1" customHeight="1">
      <c r="A200" s="640"/>
      <c r="B200" s="613"/>
      <c r="C200" s="641"/>
      <c r="D200" s="615"/>
      <c r="E200" s="198"/>
      <c r="F200" s="198"/>
      <c r="G200" s="198"/>
      <c r="H200" s="198"/>
      <c r="I200" s="615"/>
      <c r="J200" s="198"/>
      <c r="K200" s="614"/>
      <c r="L200" s="614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hidden="1" customHeight="1">
      <c r="A201" s="640"/>
      <c r="B201" s="613"/>
      <c r="C201" s="641"/>
      <c r="D201" s="615"/>
      <c r="E201" s="198"/>
      <c r="F201" s="198"/>
      <c r="G201" s="198"/>
      <c r="H201" s="198"/>
      <c r="I201" s="615"/>
      <c r="J201" s="198"/>
      <c r="K201" s="614"/>
      <c r="L201" s="614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hidden="1" customHeight="1">
      <c r="A202" s="640"/>
      <c r="B202" s="613"/>
      <c r="C202" s="641"/>
      <c r="D202" s="615"/>
      <c r="E202" s="198"/>
      <c r="F202" s="198"/>
      <c r="G202" s="198"/>
      <c r="H202" s="198"/>
      <c r="I202" s="615"/>
      <c r="J202" s="198"/>
      <c r="K202" s="614"/>
      <c r="L202" s="614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hidden="1" customHeight="1">
      <c r="A203" s="640"/>
      <c r="B203" s="613"/>
      <c r="C203" s="641"/>
      <c r="D203" s="615"/>
      <c r="E203" s="198"/>
      <c r="F203" s="198"/>
      <c r="G203" s="198"/>
      <c r="H203" s="198"/>
      <c r="I203" s="615"/>
      <c r="J203" s="198"/>
      <c r="K203" s="614"/>
      <c r="L203" s="614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hidden="1" customHeight="1">
      <c r="A204" s="640"/>
      <c r="B204" s="613"/>
      <c r="C204" s="641"/>
      <c r="D204" s="615"/>
      <c r="E204" s="198"/>
      <c r="F204" s="198"/>
      <c r="G204" s="198"/>
      <c r="H204" s="198"/>
      <c r="I204" s="615"/>
      <c r="J204" s="198"/>
      <c r="K204" s="614"/>
      <c r="L204" s="614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hidden="1" customHeight="1">
      <c r="A205" s="640"/>
      <c r="B205" s="613"/>
      <c r="C205" s="641"/>
      <c r="D205" s="615"/>
      <c r="E205" s="198"/>
      <c r="F205" s="198"/>
      <c r="G205" s="198"/>
      <c r="H205" s="198"/>
      <c r="I205" s="615"/>
      <c r="J205" s="198"/>
      <c r="K205" s="614"/>
      <c r="L205" s="614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hidden="1" customHeight="1">
      <c r="A206" s="640"/>
      <c r="B206" s="613"/>
      <c r="C206" s="641"/>
      <c r="D206" s="615"/>
      <c r="E206" s="198"/>
      <c r="F206" s="198"/>
      <c r="G206" s="198"/>
      <c r="H206" s="198"/>
      <c r="I206" s="615"/>
      <c r="J206" s="198"/>
      <c r="K206" s="614"/>
      <c r="L206" s="614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hidden="1" customHeight="1">
      <c r="A207" s="640"/>
      <c r="B207" s="613"/>
      <c r="C207" s="641"/>
      <c r="D207" s="615"/>
      <c r="E207" s="198"/>
      <c r="F207" s="198"/>
      <c r="G207" s="198"/>
      <c r="H207" s="198"/>
      <c r="I207" s="615"/>
      <c r="J207" s="198"/>
      <c r="K207" s="614"/>
      <c r="L207" s="614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hidden="1" customHeight="1">
      <c r="A208" s="640"/>
      <c r="B208" s="613"/>
      <c r="C208" s="641"/>
      <c r="D208" s="615"/>
      <c r="E208" s="198"/>
      <c r="F208" s="198"/>
      <c r="G208" s="198"/>
      <c r="H208" s="198"/>
      <c r="I208" s="615"/>
      <c r="J208" s="198"/>
      <c r="K208" s="614"/>
      <c r="L208" s="614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hidden="1" customHeight="1">
      <c r="A209" s="640"/>
      <c r="B209" s="613"/>
      <c r="C209" s="641"/>
      <c r="D209" s="615"/>
      <c r="E209" s="198"/>
      <c r="F209" s="198"/>
      <c r="G209" s="198"/>
      <c r="H209" s="198"/>
      <c r="I209" s="615"/>
      <c r="J209" s="198"/>
      <c r="K209" s="614"/>
      <c r="L209" s="614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hidden="1" customHeight="1">
      <c r="A210" s="640"/>
      <c r="B210" s="613"/>
      <c r="C210" s="641"/>
      <c r="D210" s="615"/>
      <c r="E210" s="198"/>
      <c r="F210" s="198"/>
      <c r="G210" s="198"/>
      <c r="H210" s="198"/>
      <c r="I210" s="615"/>
      <c r="J210" s="198"/>
      <c r="K210" s="614"/>
      <c r="L210" s="614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hidden="1" customHeight="1">
      <c r="A211" s="640"/>
      <c r="B211" s="613"/>
      <c r="C211" s="641"/>
      <c r="D211" s="615"/>
      <c r="E211" s="198"/>
      <c r="F211" s="198"/>
      <c r="G211" s="198"/>
      <c r="H211" s="198"/>
      <c r="I211" s="615"/>
      <c r="J211" s="198"/>
      <c r="K211" s="614"/>
      <c r="L211" s="614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hidden="1" customHeight="1">
      <c r="A212" s="640"/>
      <c r="B212" s="613"/>
      <c r="C212" s="641"/>
      <c r="D212" s="615"/>
      <c r="E212" s="198"/>
      <c r="F212" s="198"/>
      <c r="G212" s="198"/>
      <c r="H212" s="198"/>
      <c r="I212" s="615"/>
      <c r="J212" s="198"/>
      <c r="K212" s="614"/>
      <c r="L212" s="614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hidden="1" customHeight="1">
      <c r="A213" s="640"/>
      <c r="B213" s="613"/>
      <c r="C213" s="641"/>
      <c r="D213" s="615"/>
      <c r="E213" s="198"/>
      <c r="F213" s="198"/>
      <c r="G213" s="198"/>
      <c r="H213" s="198"/>
      <c r="I213" s="615"/>
      <c r="J213" s="198"/>
      <c r="K213" s="614"/>
      <c r="L213" s="614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hidden="1" customHeight="1">
      <c r="A214" s="640"/>
      <c r="B214" s="613"/>
      <c r="C214" s="641"/>
      <c r="D214" s="615"/>
      <c r="E214" s="198"/>
      <c r="F214" s="198"/>
      <c r="G214" s="198"/>
      <c r="H214" s="198"/>
      <c r="I214" s="615"/>
      <c r="J214" s="198"/>
      <c r="K214" s="614"/>
      <c r="L214" s="614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hidden="1" customHeight="1">
      <c r="A215" s="640"/>
      <c r="B215" s="613"/>
      <c r="C215" s="641"/>
      <c r="D215" s="615"/>
      <c r="E215" s="198"/>
      <c r="F215" s="198"/>
      <c r="G215" s="198"/>
      <c r="H215" s="198"/>
      <c r="I215" s="615"/>
      <c r="J215" s="198"/>
      <c r="K215" s="614"/>
      <c r="L215" s="614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hidden="1" customHeight="1">
      <c r="A216" s="640"/>
      <c r="B216" s="613"/>
      <c r="C216" s="641"/>
      <c r="D216" s="615"/>
      <c r="E216" s="198"/>
      <c r="F216" s="198"/>
      <c r="G216" s="198"/>
      <c r="H216" s="198"/>
      <c r="I216" s="615"/>
      <c r="J216" s="198"/>
      <c r="K216" s="614"/>
      <c r="L216" s="614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hidden="1" customHeight="1">
      <c r="A217" s="640"/>
      <c r="B217" s="613"/>
      <c r="C217" s="641"/>
      <c r="D217" s="615"/>
      <c r="E217" s="198"/>
      <c r="F217" s="198"/>
      <c r="G217" s="198"/>
      <c r="H217" s="198"/>
      <c r="I217" s="615"/>
      <c r="J217" s="198"/>
      <c r="K217" s="614"/>
      <c r="L217" s="614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hidden="1" customHeight="1">
      <c r="A218" s="640"/>
      <c r="B218" s="613"/>
      <c r="C218" s="641"/>
      <c r="D218" s="615"/>
      <c r="E218" s="198"/>
      <c r="F218" s="198"/>
      <c r="G218" s="198"/>
      <c r="H218" s="198"/>
      <c r="I218" s="615"/>
      <c r="J218" s="198"/>
      <c r="K218" s="614"/>
      <c r="L218" s="614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hidden="1" customHeight="1">
      <c r="A219" s="640"/>
      <c r="B219" s="613"/>
      <c r="C219" s="641"/>
      <c r="D219" s="615"/>
      <c r="E219" s="198"/>
      <c r="F219" s="198"/>
      <c r="G219" s="198"/>
      <c r="H219" s="198"/>
      <c r="I219" s="615"/>
      <c r="J219" s="198"/>
      <c r="K219" s="614"/>
      <c r="L219" s="614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hidden="1" customHeight="1">
      <c r="A220" s="640"/>
      <c r="B220" s="613"/>
      <c r="C220" s="641"/>
      <c r="D220" s="615"/>
      <c r="E220" s="198"/>
      <c r="F220" s="198"/>
      <c r="G220" s="198"/>
      <c r="H220" s="198"/>
      <c r="I220" s="615"/>
      <c r="J220" s="198"/>
      <c r="K220" s="614"/>
      <c r="L220" s="614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hidden="1" customHeight="1">
      <c r="A221" s="640"/>
      <c r="B221" s="613"/>
      <c r="C221" s="641"/>
      <c r="D221" s="615"/>
      <c r="E221" s="198"/>
      <c r="F221" s="198"/>
      <c r="G221" s="198"/>
      <c r="H221" s="198"/>
      <c r="I221" s="615"/>
      <c r="J221" s="198"/>
      <c r="K221" s="614"/>
      <c r="L221" s="614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hidden="1" customHeight="1">
      <c r="A222" s="640"/>
      <c r="B222" s="613"/>
      <c r="C222" s="641"/>
      <c r="D222" s="615"/>
      <c r="E222" s="198"/>
      <c r="F222" s="198"/>
      <c r="G222" s="198"/>
      <c r="H222" s="198"/>
      <c r="I222" s="615"/>
      <c r="J222" s="198"/>
      <c r="K222" s="614"/>
      <c r="L222" s="614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hidden="1" customHeight="1">
      <c r="A223" s="640"/>
      <c r="B223" s="613"/>
      <c r="C223" s="641"/>
      <c r="D223" s="615"/>
      <c r="E223" s="198"/>
      <c r="F223" s="198"/>
      <c r="G223" s="198"/>
      <c r="H223" s="198"/>
      <c r="I223" s="615"/>
      <c r="J223" s="198"/>
      <c r="K223" s="614"/>
      <c r="L223" s="614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hidden="1" customHeight="1">
      <c r="A224" s="640"/>
      <c r="B224" s="613"/>
      <c r="C224" s="641"/>
      <c r="D224" s="615"/>
      <c r="E224" s="198"/>
      <c r="F224" s="198"/>
      <c r="G224" s="198"/>
      <c r="H224" s="198"/>
      <c r="I224" s="615"/>
      <c r="J224" s="198"/>
      <c r="K224" s="614"/>
      <c r="L224" s="614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hidden="1" customHeight="1">
      <c r="A225" s="640"/>
      <c r="B225" s="613"/>
      <c r="C225" s="641"/>
      <c r="D225" s="615"/>
      <c r="E225" s="198"/>
      <c r="F225" s="198"/>
      <c r="G225" s="198"/>
      <c r="H225" s="198"/>
      <c r="I225" s="615"/>
      <c r="J225" s="198"/>
      <c r="K225" s="614"/>
      <c r="L225" s="614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hidden="1" customHeight="1">
      <c r="A226" s="640"/>
      <c r="B226" s="613"/>
      <c r="C226" s="641"/>
      <c r="D226" s="615"/>
      <c r="E226" s="198"/>
      <c r="F226" s="198"/>
      <c r="G226" s="198"/>
      <c r="H226" s="198"/>
      <c r="I226" s="615"/>
      <c r="J226" s="198"/>
      <c r="K226" s="614"/>
      <c r="L226" s="614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hidden="1" customHeight="1">
      <c r="A227" s="640"/>
      <c r="B227" s="613"/>
      <c r="C227" s="641"/>
      <c r="D227" s="615"/>
      <c r="E227" s="198"/>
      <c r="F227" s="198"/>
      <c r="G227" s="198"/>
      <c r="H227" s="198"/>
      <c r="I227" s="615"/>
      <c r="J227" s="198"/>
      <c r="K227" s="614"/>
      <c r="L227" s="614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hidden="1" customHeight="1">
      <c r="A228" s="640"/>
      <c r="B228" s="613"/>
      <c r="C228" s="641"/>
      <c r="D228" s="615"/>
      <c r="E228" s="198"/>
      <c r="F228" s="198"/>
      <c r="G228" s="198"/>
      <c r="H228" s="198"/>
      <c r="I228" s="615"/>
      <c r="J228" s="198"/>
      <c r="K228" s="614"/>
      <c r="L228" s="614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hidden="1" customHeight="1">
      <c r="A229" s="640"/>
      <c r="B229" s="613"/>
      <c r="C229" s="641"/>
      <c r="D229" s="615"/>
      <c r="E229" s="198"/>
      <c r="F229" s="198"/>
      <c r="G229" s="198"/>
      <c r="H229" s="198"/>
      <c r="I229" s="615"/>
      <c r="J229" s="198"/>
      <c r="K229" s="614"/>
      <c r="L229" s="614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hidden="1" customHeight="1">
      <c r="A230" s="640"/>
      <c r="B230" s="613"/>
      <c r="C230" s="641"/>
      <c r="D230" s="615"/>
      <c r="E230" s="198"/>
      <c r="F230" s="198"/>
      <c r="G230" s="198"/>
      <c r="H230" s="198"/>
      <c r="I230" s="615"/>
      <c r="J230" s="198"/>
      <c r="K230" s="614"/>
      <c r="L230" s="614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hidden="1" customHeight="1">
      <c r="A231" s="640"/>
      <c r="B231" s="613"/>
      <c r="C231" s="641"/>
      <c r="D231" s="615"/>
      <c r="E231" s="198"/>
      <c r="F231" s="198"/>
      <c r="G231" s="198"/>
      <c r="H231" s="198"/>
      <c r="I231" s="615"/>
      <c r="J231" s="198"/>
      <c r="K231" s="614"/>
      <c r="L231" s="614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hidden="1" customHeight="1">
      <c r="A232" s="640"/>
      <c r="B232" s="613"/>
      <c r="C232" s="641"/>
      <c r="D232" s="615"/>
      <c r="E232" s="198"/>
      <c r="F232" s="198"/>
      <c r="G232" s="198"/>
      <c r="H232" s="198"/>
      <c r="I232" s="615"/>
      <c r="J232" s="198"/>
      <c r="K232" s="614"/>
      <c r="L232" s="614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hidden="1" customHeight="1">
      <c r="A233" s="640"/>
      <c r="B233" s="613"/>
      <c r="C233" s="641"/>
      <c r="D233" s="615"/>
      <c r="E233" s="198"/>
      <c r="F233" s="198"/>
      <c r="G233" s="198"/>
      <c r="H233" s="198"/>
      <c r="I233" s="615"/>
      <c r="J233" s="198"/>
      <c r="K233" s="614"/>
      <c r="L233" s="614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hidden="1" customHeight="1">
      <c r="A234" s="640"/>
      <c r="B234" s="613"/>
      <c r="C234" s="641"/>
      <c r="D234" s="615"/>
      <c r="E234" s="198"/>
      <c r="F234" s="198"/>
      <c r="G234" s="198"/>
      <c r="H234" s="198"/>
      <c r="I234" s="615"/>
      <c r="J234" s="198"/>
      <c r="K234" s="614"/>
      <c r="L234" s="614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hidden="1" customHeight="1">
      <c r="A235" s="640"/>
      <c r="B235" s="613"/>
      <c r="C235" s="641"/>
      <c r="D235" s="615"/>
      <c r="E235" s="198"/>
      <c r="F235" s="198"/>
      <c r="G235" s="198"/>
      <c r="H235" s="198"/>
      <c r="I235" s="615"/>
      <c r="J235" s="198"/>
      <c r="K235" s="614"/>
      <c r="L235" s="614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hidden="1" customHeight="1">
      <c r="A236" s="640"/>
      <c r="B236" s="613"/>
      <c r="C236" s="641"/>
      <c r="D236" s="615"/>
      <c r="E236" s="198"/>
      <c r="F236" s="198"/>
      <c r="G236" s="198"/>
      <c r="H236" s="198"/>
      <c r="I236" s="615"/>
      <c r="J236" s="198"/>
      <c r="K236" s="614"/>
      <c r="L236" s="614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hidden="1" customHeight="1">
      <c r="A237" s="640"/>
      <c r="B237" s="613"/>
      <c r="C237" s="641"/>
      <c r="D237" s="615"/>
      <c r="E237" s="198"/>
      <c r="F237" s="198"/>
      <c r="G237" s="198"/>
      <c r="H237" s="198"/>
      <c r="I237" s="615"/>
      <c r="J237" s="198"/>
      <c r="K237" s="614"/>
      <c r="L237" s="614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hidden="1" customHeight="1">
      <c r="A238" s="640"/>
      <c r="B238" s="613"/>
      <c r="C238" s="641"/>
      <c r="D238" s="615"/>
      <c r="E238" s="198"/>
      <c r="F238" s="198"/>
      <c r="G238" s="198"/>
      <c r="H238" s="198"/>
      <c r="I238" s="615"/>
      <c r="J238" s="198"/>
      <c r="K238" s="614"/>
      <c r="L238" s="614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hidden="1" customHeight="1">
      <c r="A239" s="640"/>
      <c r="B239" s="613"/>
      <c r="C239" s="641"/>
      <c r="D239" s="615"/>
      <c r="E239" s="198"/>
      <c r="F239" s="198"/>
      <c r="G239" s="198"/>
      <c r="H239" s="198"/>
      <c r="I239" s="615"/>
      <c r="J239" s="198"/>
      <c r="K239" s="614"/>
      <c r="L239" s="614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hidden="1" customHeight="1">
      <c r="A240" s="640"/>
      <c r="B240" s="613"/>
      <c r="C240" s="641"/>
      <c r="D240" s="615"/>
      <c r="E240" s="198"/>
      <c r="F240" s="198"/>
      <c r="G240" s="198"/>
      <c r="H240" s="198"/>
      <c r="I240" s="615"/>
      <c r="J240" s="198"/>
      <c r="K240" s="614"/>
      <c r="L240" s="614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hidden="1" customHeight="1">
      <c r="A241" s="640"/>
      <c r="B241" s="613"/>
      <c r="C241" s="641"/>
      <c r="D241" s="615"/>
      <c r="E241" s="198"/>
      <c r="F241" s="198"/>
      <c r="G241" s="198"/>
      <c r="H241" s="198"/>
      <c r="I241" s="615"/>
      <c r="J241" s="198"/>
      <c r="K241" s="614"/>
      <c r="L241" s="614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hidden="1" customHeight="1">
      <c r="A242" s="640"/>
      <c r="B242" s="613"/>
      <c r="C242" s="641"/>
      <c r="D242" s="615"/>
      <c r="E242" s="198"/>
      <c r="F242" s="198"/>
      <c r="G242" s="198"/>
      <c r="H242" s="198"/>
      <c r="I242" s="615"/>
      <c r="J242" s="198"/>
      <c r="K242" s="614"/>
      <c r="L242" s="614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hidden="1" customHeight="1">
      <c r="A243" s="640"/>
      <c r="B243" s="613"/>
      <c r="C243" s="641"/>
      <c r="D243" s="615"/>
      <c r="E243" s="198"/>
      <c r="F243" s="198"/>
      <c r="G243" s="198"/>
      <c r="H243" s="198"/>
      <c r="I243" s="615"/>
      <c r="J243" s="198"/>
      <c r="K243" s="614"/>
      <c r="L243" s="614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hidden="1" customHeight="1">
      <c r="A244" s="640"/>
      <c r="B244" s="613"/>
      <c r="C244" s="641"/>
      <c r="D244" s="615"/>
      <c r="E244" s="198"/>
      <c r="F244" s="198"/>
      <c r="G244" s="198"/>
      <c r="H244" s="198"/>
      <c r="I244" s="615"/>
      <c r="J244" s="198"/>
      <c r="K244" s="614"/>
      <c r="L244" s="614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hidden="1" customHeight="1">
      <c r="A245" s="640"/>
      <c r="B245" s="613"/>
      <c r="C245" s="641"/>
      <c r="D245" s="615"/>
      <c r="E245" s="198"/>
      <c r="F245" s="198"/>
      <c r="G245" s="198"/>
      <c r="H245" s="198"/>
      <c r="I245" s="615"/>
      <c r="J245" s="198"/>
      <c r="K245" s="614"/>
      <c r="L245" s="614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hidden="1" customHeight="1">
      <c r="A246" s="640"/>
      <c r="B246" s="613"/>
      <c r="C246" s="641"/>
      <c r="D246" s="615"/>
      <c r="E246" s="198"/>
      <c r="F246" s="198"/>
      <c r="G246" s="198"/>
      <c r="H246" s="198"/>
      <c r="I246" s="615"/>
      <c r="J246" s="198"/>
      <c r="K246" s="614"/>
      <c r="L246" s="614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hidden="1" customHeight="1">
      <c r="A247" s="640"/>
      <c r="B247" s="613"/>
      <c r="C247" s="641"/>
      <c r="D247" s="615"/>
      <c r="E247" s="198"/>
      <c r="F247" s="198"/>
      <c r="G247" s="198"/>
      <c r="H247" s="198"/>
      <c r="I247" s="615"/>
      <c r="J247" s="198"/>
      <c r="K247" s="614"/>
      <c r="L247" s="614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hidden="1" customHeight="1">
      <c r="A248" s="640"/>
      <c r="B248" s="613"/>
      <c r="C248" s="641"/>
      <c r="D248" s="615"/>
      <c r="E248" s="198"/>
      <c r="F248" s="198"/>
      <c r="G248" s="198"/>
      <c r="H248" s="198"/>
      <c r="I248" s="615"/>
      <c r="J248" s="198"/>
      <c r="K248" s="614"/>
      <c r="L248" s="614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hidden="1" customHeight="1">
      <c r="A249" s="640"/>
      <c r="B249" s="613"/>
      <c r="C249" s="641"/>
      <c r="D249" s="615"/>
      <c r="E249" s="198"/>
      <c r="F249" s="198"/>
      <c r="G249" s="198"/>
      <c r="H249" s="198"/>
      <c r="I249" s="615"/>
      <c r="J249" s="198"/>
      <c r="K249" s="614"/>
      <c r="L249" s="614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hidden="1" customHeight="1">
      <c r="A250" s="640"/>
      <c r="B250" s="613"/>
      <c r="C250" s="641"/>
      <c r="D250" s="615"/>
      <c r="E250" s="198"/>
      <c r="F250" s="198"/>
      <c r="G250" s="198"/>
      <c r="H250" s="198"/>
      <c r="I250" s="615"/>
      <c r="J250" s="198"/>
      <c r="K250" s="614"/>
      <c r="L250" s="614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hidden="1" customHeight="1">
      <c r="A251" s="640"/>
      <c r="B251" s="613"/>
      <c r="C251" s="641"/>
      <c r="D251" s="615"/>
      <c r="E251" s="198"/>
      <c r="F251" s="198"/>
      <c r="G251" s="198"/>
      <c r="H251" s="198"/>
      <c r="I251" s="615"/>
      <c r="J251" s="198"/>
      <c r="K251" s="614"/>
      <c r="L251" s="614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hidden="1" customHeight="1">
      <c r="A252" s="640"/>
      <c r="B252" s="613"/>
      <c r="C252" s="641"/>
      <c r="D252" s="615"/>
      <c r="E252" s="198"/>
      <c r="F252" s="198"/>
      <c r="G252" s="198"/>
      <c r="H252" s="198"/>
      <c r="I252" s="615"/>
      <c r="J252" s="198"/>
      <c r="K252" s="614"/>
      <c r="L252" s="614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hidden="1" customHeight="1">
      <c r="A253" s="640"/>
      <c r="B253" s="613"/>
      <c r="C253" s="641"/>
      <c r="D253" s="615"/>
      <c r="E253" s="198"/>
      <c r="F253" s="198"/>
      <c r="G253" s="198"/>
      <c r="H253" s="198"/>
      <c r="I253" s="615"/>
      <c r="J253" s="198"/>
      <c r="K253" s="614"/>
      <c r="L253" s="614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hidden="1" customHeight="1">
      <c r="A254" s="640"/>
      <c r="B254" s="613"/>
      <c r="C254" s="641"/>
      <c r="D254" s="615"/>
      <c r="E254" s="198"/>
      <c r="F254" s="198"/>
      <c r="G254" s="198"/>
      <c r="H254" s="198"/>
      <c r="I254" s="615"/>
      <c r="J254" s="198"/>
      <c r="K254" s="614"/>
      <c r="L254" s="614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hidden="1" customHeight="1">
      <c r="A255" s="640"/>
      <c r="B255" s="613"/>
      <c r="C255" s="641"/>
      <c r="D255" s="615"/>
      <c r="E255" s="198"/>
      <c r="F255" s="198"/>
      <c r="G255" s="198"/>
      <c r="H255" s="198"/>
      <c r="I255" s="615"/>
      <c r="J255" s="198"/>
      <c r="K255" s="614"/>
      <c r="L255" s="614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hidden="1" customHeight="1">
      <c r="A256" s="640"/>
      <c r="B256" s="613"/>
      <c r="C256" s="641"/>
      <c r="D256" s="615"/>
      <c r="E256" s="198"/>
      <c r="F256" s="198"/>
      <c r="G256" s="198"/>
      <c r="H256" s="198"/>
      <c r="I256" s="615"/>
      <c r="J256" s="198"/>
      <c r="K256" s="614"/>
      <c r="L256" s="614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hidden="1" customHeight="1">
      <c r="A257" s="640"/>
      <c r="B257" s="613"/>
      <c r="C257" s="641"/>
      <c r="D257" s="615"/>
      <c r="E257" s="198"/>
      <c r="F257" s="198"/>
      <c r="G257" s="198"/>
      <c r="H257" s="198"/>
      <c r="I257" s="615"/>
      <c r="J257" s="198"/>
      <c r="K257" s="614"/>
      <c r="L257" s="614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hidden="1" customHeight="1">
      <c r="A258" s="640"/>
      <c r="B258" s="613"/>
      <c r="C258" s="641"/>
      <c r="D258" s="615"/>
      <c r="E258" s="198"/>
      <c r="F258" s="198"/>
      <c r="G258" s="198"/>
      <c r="H258" s="198"/>
      <c r="I258" s="615"/>
      <c r="J258" s="198"/>
      <c r="K258" s="614"/>
      <c r="L258" s="614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hidden="1" customHeight="1">
      <c r="A259" s="640"/>
      <c r="B259" s="613"/>
      <c r="C259" s="641"/>
      <c r="D259" s="615"/>
      <c r="E259" s="198"/>
      <c r="F259" s="198"/>
      <c r="G259" s="198"/>
      <c r="H259" s="198"/>
      <c r="I259" s="615"/>
      <c r="J259" s="198"/>
      <c r="K259" s="614"/>
      <c r="L259" s="614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hidden="1" customHeight="1">
      <c r="A260" s="640"/>
      <c r="B260" s="613"/>
      <c r="C260" s="641"/>
      <c r="D260" s="615"/>
      <c r="E260" s="198"/>
      <c r="F260" s="198"/>
      <c r="G260" s="198"/>
      <c r="H260" s="198"/>
      <c r="I260" s="615"/>
      <c r="J260" s="198"/>
      <c r="K260" s="614"/>
      <c r="L260" s="614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hidden="1" customHeight="1">
      <c r="A261" s="640"/>
      <c r="B261" s="613"/>
      <c r="C261" s="641"/>
      <c r="D261" s="615"/>
      <c r="E261" s="198"/>
      <c r="F261" s="198"/>
      <c r="G261" s="198"/>
      <c r="H261" s="198"/>
      <c r="I261" s="615"/>
      <c r="J261" s="198"/>
      <c r="K261" s="614"/>
      <c r="L261" s="614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hidden="1" customHeight="1">
      <c r="A262" s="640"/>
      <c r="B262" s="613"/>
      <c r="C262" s="641"/>
      <c r="D262" s="615"/>
      <c r="E262" s="198"/>
      <c r="F262" s="198"/>
      <c r="G262" s="198"/>
      <c r="H262" s="198"/>
      <c r="I262" s="615"/>
      <c r="J262" s="198"/>
      <c r="K262" s="614"/>
      <c r="L262" s="614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hidden="1" customHeight="1">
      <c r="A263" s="640"/>
      <c r="B263" s="613"/>
      <c r="C263" s="641"/>
      <c r="D263" s="615"/>
      <c r="E263" s="198"/>
      <c r="F263" s="198"/>
      <c r="G263" s="198"/>
      <c r="H263" s="198"/>
      <c r="I263" s="615"/>
      <c r="J263" s="198"/>
      <c r="K263" s="614"/>
      <c r="L263" s="614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hidden="1" customHeight="1">
      <c r="A264" s="640"/>
      <c r="B264" s="613"/>
      <c r="C264" s="641"/>
      <c r="D264" s="615"/>
      <c r="E264" s="198"/>
      <c r="F264" s="198"/>
      <c r="G264" s="198"/>
      <c r="H264" s="198"/>
      <c r="I264" s="615"/>
      <c r="J264" s="198"/>
      <c r="K264" s="614"/>
      <c r="L264" s="614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hidden="1" customHeight="1">
      <c r="A265" s="640"/>
      <c r="B265" s="613"/>
      <c r="C265" s="641"/>
      <c r="D265" s="615"/>
      <c r="E265" s="198"/>
      <c r="F265" s="198"/>
      <c r="G265" s="198"/>
      <c r="H265" s="198"/>
      <c r="I265" s="615"/>
      <c r="J265" s="198"/>
      <c r="K265" s="614"/>
      <c r="L265" s="614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hidden="1" customHeight="1">
      <c r="A266" s="640"/>
      <c r="B266" s="613"/>
      <c r="C266" s="641"/>
      <c r="D266" s="615"/>
      <c r="E266" s="198"/>
      <c r="F266" s="198"/>
      <c r="G266" s="198"/>
      <c r="H266" s="198"/>
      <c r="I266" s="615"/>
      <c r="J266" s="198"/>
      <c r="K266" s="614"/>
      <c r="L266" s="614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hidden="1" customHeight="1">
      <c r="A267" s="640"/>
      <c r="B267" s="613"/>
      <c r="C267" s="641"/>
      <c r="D267" s="615"/>
      <c r="E267" s="198"/>
      <c r="F267" s="198"/>
      <c r="G267" s="198"/>
      <c r="H267" s="198"/>
      <c r="I267" s="615"/>
      <c r="J267" s="198"/>
      <c r="K267" s="614"/>
      <c r="L267" s="614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hidden="1" customHeight="1">
      <c r="A268" s="640"/>
      <c r="B268" s="613"/>
      <c r="C268" s="641"/>
      <c r="D268" s="615"/>
      <c r="E268" s="198"/>
      <c r="F268" s="198"/>
      <c r="G268" s="198"/>
      <c r="H268" s="198"/>
      <c r="I268" s="615"/>
      <c r="J268" s="198"/>
      <c r="K268" s="614"/>
      <c r="L268" s="614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hidden="1" customHeight="1">
      <c r="A269" s="640"/>
      <c r="B269" s="613"/>
      <c r="C269" s="641"/>
      <c r="D269" s="615"/>
      <c r="E269" s="198"/>
      <c r="F269" s="198"/>
      <c r="G269" s="198"/>
      <c r="H269" s="198"/>
      <c r="I269" s="615"/>
      <c r="J269" s="198"/>
      <c r="K269" s="614"/>
      <c r="L269" s="614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hidden="1" customHeight="1">
      <c r="A270" s="640"/>
      <c r="B270" s="613"/>
      <c r="C270" s="641"/>
      <c r="D270" s="615"/>
      <c r="E270" s="198"/>
      <c r="F270" s="198"/>
      <c r="G270" s="198"/>
      <c r="H270" s="198"/>
      <c r="I270" s="615"/>
      <c r="J270" s="198"/>
      <c r="K270" s="614"/>
      <c r="L270" s="614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hidden="1" customHeight="1">
      <c r="A271" s="640"/>
      <c r="B271" s="613"/>
      <c r="C271" s="641"/>
      <c r="D271" s="615"/>
      <c r="E271" s="198"/>
      <c r="F271" s="198"/>
      <c r="G271" s="198"/>
      <c r="H271" s="198"/>
      <c r="I271" s="615"/>
      <c r="J271" s="198"/>
      <c r="K271" s="614"/>
      <c r="L271" s="614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hidden="1" customHeight="1">
      <c r="A272" s="640"/>
      <c r="B272" s="613"/>
      <c r="C272" s="641"/>
      <c r="D272" s="615"/>
      <c r="E272" s="198"/>
      <c r="F272" s="198"/>
      <c r="G272" s="198"/>
      <c r="H272" s="198"/>
      <c r="I272" s="615"/>
      <c r="J272" s="198"/>
      <c r="K272" s="614"/>
      <c r="L272" s="614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hidden="1" customHeight="1">
      <c r="A273" s="640"/>
      <c r="B273" s="613"/>
      <c r="C273" s="641"/>
      <c r="D273" s="615"/>
      <c r="E273" s="198"/>
      <c r="F273" s="198"/>
      <c r="G273" s="198"/>
      <c r="H273" s="198"/>
      <c r="I273" s="615"/>
      <c r="J273" s="198"/>
      <c r="K273" s="614"/>
      <c r="L273" s="614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hidden="1" customHeight="1">
      <c r="A274" s="640"/>
      <c r="B274" s="613"/>
      <c r="C274" s="641"/>
      <c r="D274" s="615"/>
      <c r="E274" s="198"/>
      <c r="F274" s="198"/>
      <c r="G274" s="198"/>
      <c r="H274" s="198"/>
      <c r="I274" s="615"/>
      <c r="J274" s="198"/>
      <c r="K274" s="614"/>
      <c r="L274" s="614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hidden="1" customHeight="1">
      <c r="A275" s="640"/>
      <c r="B275" s="613"/>
      <c r="C275" s="641"/>
      <c r="D275" s="615"/>
      <c r="E275" s="198"/>
      <c r="F275" s="198"/>
      <c r="G275" s="198"/>
      <c r="H275" s="198"/>
      <c r="I275" s="615"/>
      <c r="J275" s="198"/>
      <c r="K275" s="614"/>
      <c r="L275" s="614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hidden="1" customHeight="1">
      <c r="A276" s="640"/>
      <c r="B276" s="613"/>
      <c r="C276" s="641"/>
      <c r="D276" s="615"/>
      <c r="E276" s="198"/>
      <c r="F276" s="198"/>
      <c r="G276" s="198"/>
      <c r="H276" s="198"/>
      <c r="I276" s="615"/>
      <c r="J276" s="198"/>
      <c r="K276" s="614"/>
      <c r="L276" s="614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hidden="1" customHeight="1">
      <c r="A277" s="640"/>
      <c r="B277" s="613"/>
      <c r="C277" s="641"/>
      <c r="D277" s="615"/>
      <c r="E277" s="198"/>
      <c r="F277" s="198"/>
      <c r="G277" s="198"/>
      <c r="H277" s="198"/>
      <c r="I277" s="615"/>
      <c r="J277" s="198"/>
      <c r="K277" s="614"/>
      <c r="L277" s="614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hidden="1" customHeight="1">
      <c r="A278" s="640"/>
      <c r="B278" s="613"/>
      <c r="C278" s="641"/>
      <c r="D278" s="615"/>
      <c r="E278" s="198"/>
      <c r="F278" s="198"/>
      <c r="G278" s="198"/>
      <c r="H278" s="198"/>
      <c r="I278" s="615"/>
      <c r="J278" s="198"/>
      <c r="K278" s="614"/>
      <c r="L278" s="614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hidden="1" customHeight="1">
      <c r="A279" s="640"/>
      <c r="B279" s="613"/>
      <c r="C279" s="641"/>
      <c r="D279" s="615"/>
      <c r="E279" s="198"/>
      <c r="F279" s="198"/>
      <c r="G279" s="198"/>
      <c r="H279" s="198"/>
      <c r="I279" s="615"/>
      <c r="J279" s="198"/>
      <c r="K279" s="614"/>
      <c r="L279" s="614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hidden="1" customHeight="1">
      <c r="A280" s="640"/>
      <c r="B280" s="613"/>
      <c r="C280" s="641"/>
      <c r="D280" s="615"/>
      <c r="E280" s="198"/>
      <c r="F280" s="198"/>
      <c r="G280" s="198"/>
      <c r="H280" s="198"/>
      <c r="I280" s="615"/>
      <c r="J280" s="198"/>
      <c r="K280" s="614"/>
      <c r="L280" s="614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hidden="1" customHeight="1">
      <c r="A281" s="640"/>
      <c r="B281" s="613"/>
      <c r="C281" s="641"/>
      <c r="D281" s="615"/>
      <c r="E281" s="198"/>
      <c r="F281" s="198"/>
      <c r="G281" s="198"/>
      <c r="H281" s="198"/>
      <c r="I281" s="615"/>
      <c r="J281" s="198"/>
      <c r="K281" s="614"/>
      <c r="L281" s="614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hidden="1" customHeight="1">
      <c r="A282" s="640"/>
      <c r="B282" s="613"/>
      <c r="C282" s="641"/>
      <c r="D282" s="615"/>
      <c r="E282" s="198"/>
      <c r="F282" s="198"/>
      <c r="G282" s="198"/>
      <c r="H282" s="198"/>
      <c r="I282" s="615"/>
      <c r="J282" s="198"/>
      <c r="K282" s="614"/>
      <c r="L282" s="614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hidden="1" customHeight="1">
      <c r="A283" s="640"/>
      <c r="B283" s="613"/>
      <c r="C283" s="641"/>
      <c r="D283" s="615"/>
      <c r="E283" s="198"/>
      <c r="F283" s="198"/>
      <c r="G283" s="198"/>
      <c r="H283" s="198"/>
      <c r="I283" s="615"/>
      <c r="J283" s="198"/>
      <c r="K283" s="614"/>
      <c r="L283" s="614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hidden="1" customHeight="1">
      <c r="A284" s="640"/>
      <c r="B284" s="613"/>
      <c r="C284" s="641"/>
      <c r="D284" s="615"/>
      <c r="E284" s="198"/>
      <c r="F284" s="198"/>
      <c r="G284" s="198"/>
      <c r="H284" s="198"/>
      <c r="I284" s="615"/>
      <c r="J284" s="198"/>
      <c r="K284" s="614"/>
      <c r="L284" s="614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hidden="1" customHeight="1">
      <c r="A285" s="640"/>
      <c r="B285" s="613"/>
      <c r="C285" s="641"/>
      <c r="D285" s="615"/>
      <c r="E285" s="198"/>
      <c r="F285" s="198"/>
      <c r="G285" s="198"/>
      <c r="H285" s="198"/>
      <c r="I285" s="615"/>
      <c r="J285" s="198"/>
      <c r="K285" s="614"/>
      <c r="L285" s="614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hidden="1" customHeight="1">
      <c r="A286" s="640"/>
      <c r="B286" s="613"/>
      <c r="C286" s="641"/>
      <c r="D286" s="615"/>
      <c r="E286" s="198"/>
      <c r="F286" s="198"/>
      <c r="G286" s="198"/>
      <c r="H286" s="198"/>
      <c r="I286" s="615"/>
      <c r="J286" s="198"/>
      <c r="K286" s="614"/>
      <c r="L286" s="614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hidden="1" customHeight="1">
      <c r="A287" s="640"/>
      <c r="B287" s="613"/>
      <c r="C287" s="641"/>
      <c r="D287" s="615"/>
      <c r="E287" s="198"/>
      <c r="F287" s="198"/>
      <c r="G287" s="198"/>
      <c r="H287" s="198"/>
      <c r="I287" s="615"/>
      <c r="J287" s="198"/>
      <c r="K287" s="614"/>
      <c r="L287" s="614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hidden="1" customHeight="1">
      <c r="A288" s="640"/>
      <c r="B288" s="613"/>
      <c r="C288" s="641"/>
      <c r="D288" s="615"/>
      <c r="E288" s="198"/>
      <c r="F288" s="198"/>
      <c r="G288" s="198"/>
      <c r="H288" s="198"/>
      <c r="I288" s="615"/>
      <c r="J288" s="198"/>
      <c r="K288" s="614"/>
      <c r="L288" s="614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hidden="1" customHeight="1">
      <c r="A289" s="640"/>
      <c r="B289" s="613"/>
      <c r="C289" s="641"/>
      <c r="D289" s="615"/>
      <c r="E289" s="198"/>
      <c r="F289" s="198"/>
      <c r="G289" s="198"/>
      <c r="H289" s="198"/>
      <c r="I289" s="615"/>
      <c r="J289" s="198"/>
      <c r="K289" s="614"/>
      <c r="L289" s="614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hidden="1" customHeight="1">
      <c r="A290" s="640"/>
      <c r="B290" s="613"/>
      <c r="C290" s="641"/>
      <c r="D290" s="615"/>
      <c r="E290" s="198"/>
      <c r="F290" s="198"/>
      <c r="G290" s="198"/>
      <c r="H290" s="198"/>
      <c r="I290" s="615"/>
      <c r="J290" s="198"/>
      <c r="K290" s="614"/>
      <c r="L290" s="614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hidden="1" customHeight="1">
      <c r="A291" s="640"/>
      <c r="B291" s="613"/>
      <c r="C291" s="641"/>
      <c r="D291" s="615"/>
      <c r="E291" s="198"/>
      <c r="F291" s="198"/>
      <c r="G291" s="198"/>
      <c r="H291" s="198"/>
      <c r="I291" s="615"/>
      <c r="J291" s="198"/>
      <c r="K291" s="614"/>
      <c r="L291" s="614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hidden="1" customHeight="1">
      <c r="A292" s="640"/>
      <c r="B292" s="613"/>
      <c r="C292" s="641"/>
      <c r="D292" s="615"/>
      <c r="E292" s="198"/>
      <c r="F292" s="198"/>
      <c r="G292" s="198"/>
      <c r="H292" s="198"/>
      <c r="I292" s="615"/>
      <c r="J292" s="198"/>
      <c r="K292" s="614"/>
      <c r="L292" s="614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hidden="1" customHeight="1">
      <c r="A293" s="640"/>
      <c r="B293" s="613"/>
      <c r="C293" s="641"/>
      <c r="D293" s="615"/>
      <c r="E293" s="198"/>
      <c r="F293" s="198"/>
      <c r="G293" s="198"/>
      <c r="H293" s="198"/>
      <c r="I293" s="615"/>
      <c r="J293" s="198"/>
      <c r="K293" s="614"/>
      <c r="L293" s="614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hidden="1" customHeight="1">
      <c r="A294" s="640"/>
      <c r="B294" s="613"/>
      <c r="C294" s="641"/>
      <c r="D294" s="615"/>
      <c r="E294" s="198"/>
      <c r="F294" s="198"/>
      <c r="G294" s="198"/>
      <c r="H294" s="198"/>
      <c r="I294" s="615"/>
      <c r="J294" s="198"/>
      <c r="K294" s="614"/>
      <c r="L294" s="614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hidden="1" customHeight="1">
      <c r="A295" s="640"/>
      <c r="B295" s="613"/>
      <c r="C295" s="641"/>
      <c r="D295" s="615"/>
      <c r="E295" s="198"/>
      <c r="F295" s="198"/>
      <c r="G295" s="198"/>
      <c r="H295" s="198"/>
      <c r="I295" s="615"/>
      <c r="J295" s="198"/>
      <c r="K295" s="614"/>
      <c r="L295" s="614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hidden="1" customHeight="1">
      <c r="A296" s="640"/>
      <c r="B296" s="613"/>
      <c r="C296" s="641"/>
      <c r="D296" s="615"/>
      <c r="E296" s="198"/>
      <c r="F296" s="198"/>
      <c r="G296" s="198"/>
      <c r="H296" s="198"/>
      <c r="I296" s="615"/>
      <c r="J296" s="198"/>
      <c r="K296" s="614"/>
      <c r="L296" s="614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hidden="1" customHeight="1">
      <c r="A297" s="640"/>
      <c r="B297" s="613"/>
      <c r="C297" s="641"/>
      <c r="D297" s="615"/>
      <c r="E297" s="198"/>
      <c r="F297" s="198"/>
      <c r="G297" s="198"/>
      <c r="H297" s="198"/>
      <c r="I297" s="615"/>
      <c r="J297" s="198"/>
      <c r="K297" s="614"/>
      <c r="L297" s="614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hidden="1" customHeight="1">
      <c r="A298" s="640"/>
      <c r="B298" s="613"/>
      <c r="C298" s="641"/>
      <c r="D298" s="615"/>
      <c r="E298" s="198"/>
      <c r="F298" s="198"/>
      <c r="G298" s="198"/>
      <c r="H298" s="198"/>
      <c r="I298" s="615"/>
      <c r="J298" s="198"/>
      <c r="K298" s="614"/>
      <c r="L298" s="614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hidden="1" customHeight="1">
      <c r="A299" s="640"/>
      <c r="B299" s="613"/>
      <c r="C299" s="641"/>
      <c r="D299" s="615"/>
      <c r="E299" s="198"/>
      <c r="F299" s="198"/>
      <c r="G299" s="198"/>
      <c r="H299" s="198"/>
      <c r="I299" s="615"/>
      <c r="J299" s="198"/>
      <c r="K299" s="614"/>
      <c r="L299" s="614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hidden="1" customHeight="1">
      <c r="A300" s="640"/>
      <c r="B300" s="613"/>
      <c r="C300" s="641"/>
      <c r="D300" s="615"/>
      <c r="E300" s="198"/>
      <c r="F300" s="198"/>
      <c r="G300" s="198"/>
      <c r="H300" s="198"/>
      <c r="I300" s="615"/>
      <c r="J300" s="198"/>
      <c r="K300" s="614"/>
      <c r="L300" s="614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hidden="1" customHeight="1">
      <c r="A301" s="640"/>
      <c r="B301" s="613"/>
      <c r="C301" s="641"/>
      <c r="D301" s="615"/>
      <c r="E301" s="198"/>
      <c r="F301" s="198"/>
      <c r="G301" s="198"/>
      <c r="H301" s="198"/>
      <c r="I301" s="615"/>
      <c r="J301" s="198"/>
      <c r="K301" s="614"/>
      <c r="L301" s="614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hidden="1" customHeight="1">
      <c r="A302" s="640"/>
      <c r="B302" s="613"/>
      <c r="C302" s="641"/>
      <c r="D302" s="615"/>
      <c r="E302" s="198"/>
      <c r="F302" s="198"/>
      <c r="G302" s="198"/>
      <c r="H302" s="198"/>
      <c r="I302" s="615"/>
      <c r="J302" s="198"/>
      <c r="K302" s="614"/>
      <c r="L302" s="614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hidden="1" customHeight="1">
      <c r="A303" s="640"/>
      <c r="B303" s="613"/>
      <c r="C303" s="641"/>
      <c r="D303" s="615"/>
      <c r="E303" s="198"/>
      <c r="F303" s="198"/>
      <c r="G303" s="198"/>
      <c r="H303" s="198"/>
      <c r="I303" s="615"/>
      <c r="J303" s="198"/>
      <c r="K303" s="614"/>
      <c r="L303" s="614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hidden="1" customHeight="1">
      <c r="A304" s="640"/>
      <c r="B304" s="613"/>
      <c r="C304" s="641"/>
      <c r="D304" s="615"/>
      <c r="E304" s="198"/>
      <c r="F304" s="198"/>
      <c r="G304" s="198"/>
      <c r="H304" s="198"/>
      <c r="I304" s="615"/>
      <c r="J304" s="198"/>
      <c r="K304" s="614"/>
      <c r="L304" s="614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hidden="1" customHeight="1">
      <c r="A305" s="640"/>
      <c r="B305" s="613"/>
      <c r="C305" s="641"/>
      <c r="D305" s="615"/>
      <c r="E305" s="198"/>
      <c r="F305" s="198"/>
      <c r="G305" s="198"/>
      <c r="H305" s="198"/>
      <c r="I305" s="615"/>
      <c r="J305" s="198"/>
      <c r="K305" s="614"/>
      <c r="L305" s="614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hidden="1" customHeight="1">
      <c r="A306" s="640"/>
      <c r="B306" s="613"/>
      <c r="C306" s="641"/>
      <c r="D306" s="615"/>
      <c r="E306" s="198"/>
      <c r="F306" s="198"/>
      <c r="G306" s="198"/>
      <c r="H306" s="198"/>
      <c r="I306" s="615"/>
      <c r="J306" s="198"/>
      <c r="K306" s="614"/>
      <c r="L306" s="614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hidden="1" customHeight="1">
      <c r="A307" s="640"/>
      <c r="B307" s="613"/>
      <c r="C307" s="641"/>
      <c r="D307" s="615"/>
      <c r="E307" s="198"/>
      <c r="F307" s="198"/>
      <c r="G307" s="198"/>
      <c r="H307" s="198"/>
      <c r="I307" s="615"/>
      <c r="J307" s="198"/>
      <c r="K307" s="614"/>
      <c r="L307" s="614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hidden="1" customHeight="1">
      <c r="A308" s="640"/>
      <c r="B308" s="613"/>
      <c r="C308" s="641"/>
      <c r="D308" s="615"/>
      <c r="E308" s="198"/>
      <c r="F308" s="198"/>
      <c r="G308" s="198"/>
      <c r="H308" s="198"/>
      <c r="I308" s="615"/>
      <c r="J308" s="198"/>
      <c r="K308" s="614"/>
      <c r="L308" s="614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hidden="1" customHeight="1">
      <c r="A309" s="640"/>
      <c r="B309" s="613"/>
      <c r="C309" s="641"/>
      <c r="D309" s="615"/>
      <c r="E309" s="198"/>
      <c r="F309" s="198"/>
      <c r="G309" s="198"/>
      <c r="H309" s="198"/>
      <c r="I309" s="615"/>
      <c r="J309" s="198"/>
      <c r="K309" s="614"/>
      <c r="L309" s="614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hidden="1" customHeight="1">
      <c r="A310" s="640"/>
      <c r="B310" s="613"/>
      <c r="C310" s="641"/>
      <c r="D310" s="615"/>
      <c r="E310" s="198"/>
      <c r="F310" s="198"/>
      <c r="G310" s="198"/>
      <c r="H310" s="198"/>
      <c r="I310" s="615"/>
      <c r="J310" s="198"/>
      <c r="K310" s="614"/>
      <c r="L310" s="614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hidden="1" customHeight="1">
      <c r="A311" s="640"/>
      <c r="B311" s="613"/>
      <c r="C311" s="641"/>
      <c r="D311" s="615"/>
      <c r="E311" s="198"/>
      <c r="F311" s="198"/>
      <c r="G311" s="198"/>
      <c r="H311" s="198"/>
      <c r="I311" s="615"/>
      <c r="J311" s="198"/>
      <c r="K311" s="614"/>
      <c r="L311" s="614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hidden="1" customHeight="1">
      <c r="A312" s="640"/>
      <c r="B312" s="613"/>
      <c r="C312" s="641"/>
      <c r="D312" s="615"/>
      <c r="E312" s="198"/>
      <c r="F312" s="198"/>
      <c r="G312" s="198"/>
      <c r="H312" s="198"/>
      <c r="I312" s="615"/>
      <c r="J312" s="198"/>
      <c r="K312" s="614"/>
      <c r="L312" s="614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hidden="1" customHeight="1">
      <c r="A313" s="640"/>
      <c r="B313" s="613"/>
      <c r="C313" s="641"/>
      <c r="D313" s="615"/>
      <c r="E313" s="198"/>
      <c r="F313" s="198"/>
      <c r="G313" s="198"/>
      <c r="H313" s="198"/>
      <c r="I313" s="615"/>
      <c r="J313" s="198"/>
      <c r="K313" s="614"/>
      <c r="L313" s="614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hidden="1" customHeight="1">
      <c r="A314" s="640"/>
      <c r="B314" s="613"/>
      <c r="C314" s="641"/>
      <c r="D314" s="615"/>
      <c r="E314" s="198"/>
      <c r="F314" s="198"/>
      <c r="G314" s="198"/>
      <c r="H314" s="198"/>
      <c r="I314" s="615"/>
      <c r="J314" s="198"/>
      <c r="K314" s="614"/>
      <c r="L314" s="614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hidden="1" customHeight="1">
      <c r="A315" s="640"/>
      <c r="B315" s="613"/>
      <c r="C315" s="641"/>
      <c r="D315" s="615"/>
      <c r="E315" s="198"/>
      <c r="F315" s="198"/>
      <c r="G315" s="198"/>
      <c r="H315" s="198"/>
      <c r="I315" s="615"/>
      <c r="J315" s="198"/>
      <c r="K315" s="614"/>
      <c r="L315" s="614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hidden="1" customHeight="1">
      <c r="A316" s="640"/>
      <c r="B316" s="613"/>
      <c r="C316" s="641"/>
      <c r="D316" s="615"/>
      <c r="E316" s="198"/>
      <c r="F316" s="198"/>
      <c r="G316" s="198"/>
      <c r="H316" s="198"/>
      <c r="I316" s="615"/>
      <c r="J316" s="198"/>
      <c r="K316" s="614"/>
      <c r="L316" s="614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hidden="1" customHeight="1">
      <c r="A317" s="640"/>
      <c r="B317" s="613"/>
      <c r="C317" s="641"/>
      <c r="D317" s="615"/>
      <c r="E317" s="198"/>
      <c r="F317" s="198"/>
      <c r="G317" s="198"/>
      <c r="H317" s="198"/>
      <c r="I317" s="615"/>
      <c r="J317" s="198"/>
      <c r="K317" s="614"/>
      <c r="L317" s="614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hidden="1" customHeight="1">
      <c r="A318" s="640"/>
      <c r="B318" s="613"/>
      <c r="C318" s="641"/>
      <c r="D318" s="615"/>
      <c r="E318" s="198"/>
      <c r="F318" s="198"/>
      <c r="G318" s="198"/>
      <c r="H318" s="198"/>
      <c r="I318" s="615"/>
      <c r="J318" s="198"/>
      <c r="K318" s="614"/>
      <c r="L318" s="614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hidden="1" customHeight="1">
      <c r="A319" s="640"/>
      <c r="B319" s="613"/>
      <c r="C319" s="641"/>
      <c r="D319" s="615"/>
      <c r="E319" s="198"/>
      <c r="F319" s="198"/>
      <c r="G319" s="198"/>
      <c r="H319" s="198"/>
      <c r="I319" s="615"/>
      <c r="J319" s="198"/>
      <c r="K319" s="614"/>
      <c r="L319" s="614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hidden="1" customHeight="1">
      <c r="A320" s="640"/>
      <c r="B320" s="613"/>
      <c r="C320" s="641"/>
      <c r="D320" s="615"/>
      <c r="E320" s="198"/>
      <c r="F320" s="198"/>
      <c r="G320" s="198"/>
      <c r="H320" s="198"/>
      <c r="I320" s="615"/>
      <c r="J320" s="198"/>
      <c r="K320" s="614"/>
      <c r="L320" s="614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hidden="1" customHeight="1">
      <c r="A321" s="640"/>
      <c r="B321" s="613"/>
      <c r="C321" s="641"/>
      <c r="D321" s="615"/>
      <c r="E321" s="198"/>
      <c r="F321" s="198"/>
      <c r="G321" s="198"/>
      <c r="H321" s="198"/>
      <c r="I321" s="615"/>
      <c r="J321" s="198"/>
      <c r="K321" s="614"/>
      <c r="L321" s="614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hidden="1" customHeight="1">
      <c r="A322" s="640"/>
      <c r="B322" s="613"/>
      <c r="C322" s="641"/>
      <c r="D322" s="615"/>
      <c r="E322" s="198"/>
      <c r="F322" s="198"/>
      <c r="G322" s="198"/>
      <c r="H322" s="198"/>
      <c r="I322" s="615"/>
      <c r="J322" s="198"/>
      <c r="K322" s="614"/>
      <c r="L322" s="614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hidden="1" customHeight="1">
      <c r="A323" s="640"/>
      <c r="B323" s="613"/>
      <c r="C323" s="641"/>
      <c r="D323" s="615"/>
      <c r="E323" s="198"/>
      <c r="F323" s="198"/>
      <c r="G323" s="198"/>
      <c r="H323" s="198"/>
      <c r="I323" s="615"/>
      <c r="J323" s="198"/>
      <c r="K323" s="614"/>
      <c r="L323" s="614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hidden="1" customHeight="1">
      <c r="A324" s="640"/>
      <c r="B324" s="613"/>
      <c r="C324" s="641"/>
      <c r="D324" s="615"/>
      <c r="E324" s="198"/>
      <c r="F324" s="198"/>
      <c r="G324" s="198"/>
      <c r="H324" s="198"/>
      <c r="I324" s="615"/>
      <c r="J324" s="198"/>
      <c r="K324" s="614"/>
      <c r="L324" s="614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hidden="1" customHeight="1">
      <c r="A325" s="640"/>
      <c r="B325" s="613"/>
      <c r="C325" s="641"/>
      <c r="D325" s="615"/>
      <c r="E325" s="198"/>
      <c r="F325" s="198"/>
      <c r="G325" s="198"/>
      <c r="H325" s="198"/>
      <c r="I325" s="615"/>
      <c r="J325" s="198"/>
      <c r="K325" s="614"/>
      <c r="L325" s="614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hidden="1" customHeight="1">
      <c r="A326" s="640"/>
      <c r="B326" s="613"/>
      <c r="C326" s="641"/>
      <c r="D326" s="615"/>
      <c r="E326" s="198"/>
      <c r="F326" s="198"/>
      <c r="G326" s="198"/>
      <c r="H326" s="198"/>
      <c r="I326" s="615"/>
      <c r="J326" s="198"/>
      <c r="K326" s="614"/>
      <c r="L326" s="614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hidden="1" customHeight="1">
      <c r="A327" s="640"/>
      <c r="B327" s="613"/>
      <c r="C327" s="641"/>
      <c r="D327" s="615"/>
      <c r="E327" s="198"/>
      <c r="F327" s="198"/>
      <c r="G327" s="198"/>
      <c r="H327" s="198"/>
      <c r="I327" s="615"/>
      <c r="J327" s="198"/>
      <c r="K327" s="614"/>
      <c r="L327" s="614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hidden="1" customHeight="1">
      <c r="A328" s="640"/>
      <c r="B328" s="613"/>
      <c r="C328" s="641"/>
      <c r="D328" s="615"/>
      <c r="E328" s="198"/>
      <c r="F328" s="198"/>
      <c r="G328" s="198"/>
      <c r="H328" s="198"/>
      <c r="I328" s="615"/>
      <c r="J328" s="198"/>
      <c r="K328" s="614"/>
      <c r="L328" s="614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hidden="1" customHeight="1">
      <c r="A329" s="640"/>
      <c r="B329" s="613"/>
      <c r="C329" s="641"/>
      <c r="D329" s="615"/>
      <c r="E329" s="198"/>
      <c r="F329" s="198"/>
      <c r="G329" s="198"/>
      <c r="H329" s="198"/>
      <c r="I329" s="615"/>
      <c r="J329" s="198"/>
      <c r="K329" s="614"/>
      <c r="L329" s="614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hidden="1" customHeight="1">
      <c r="A330" s="640"/>
      <c r="B330" s="613"/>
      <c r="C330" s="641"/>
      <c r="D330" s="615"/>
      <c r="E330" s="198"/>
      <c r="F330" s="198"/>
      <c r="G330" s="198"/>
      <c r="H330" s="198"/>
      <c r="I330" s="615"/>
      <c r="J330" s="198"/>
      <c r="K330" s="614"/>
      <c r="L330" s="614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hidden="1" customHeight="1">
      <c r="A331" s="640"/>
      <c r="B331" s="613"/>
      <c r="C331" s="641"/>
      <c r="D331" s="615"/>
      <c r="E331" s="198"/>
      <c r="F331" s="198"/>
      <c r="G331" s="198"/>
      <c r="H331" s="198"/>
      <c r="I331" s="615"/>
      <c r="J331" s="198"/>
      <c r="K331" s="614"/>
      <c r="L331" s="614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hidden="1" customHeight="1">
      <c r="A332" s="640"/>
      <c r="B332" s="613"/>
      <c r="C332" s="641"/>
      <c r="D332" s="615"/>
      <c r="E332" s="198"/>
      <c r="F332" s="198"/>
      <c r="G332" s="198"/>
      <c r="H332" s="198"/>
      <c r="I332" s="615"/>
      <c r="J332" s="198"/>
      <c r="K332" s="614"/>
      <c r="L332" s="614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hidden="1" customHeight="1">
      <c r="A333" s="640"/>
      <c r="B333" s="613"/>
      <c r="C333" s="641"/>
      <c r="D333" s="615"/>
      <c r="E333" s="198"/>
      <c r="F333" s="198"/>
      <c r="G333" s="198"/>
      <c r="H333" s="198"/>
      <c r="I333" s="615"/>
      <c r="J333" s="198"/>
      <c r="K333" s="614"/>
      <c r="L333" s="614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hidden="1" customHeight="1">
      <c r="A334" s="640"/>
      <c r="B334" s="613"/>
      <c r="C334" s="641"/>
      <c r="D334" s="615"/>
      <c r="E334" s="198"/>
      <c r="F334" s="198"/>
      <c r="G334" s="198"/>
      <c r="H334" s="198"/>
      <c r="I334" s="615"/>
      <c r="J334" s="198"/>
      <c r="K334" s="614"/>
      <c r="L334" s="614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hidden="1" customHeight="1">
      <c r="A335" s="640"/>
      <c r="B335" s="613"/>
      <c r="C335" s="641"/>
      <c r="D335" s="615"/>
      <c r="E335" s="198"/>
      <c r="F335" s="198"/>
      <c r="G335" s="198"/>
      <c r="H335" s="198"/>
      <c r="I335" s="615"/>
      <c r="J335" s="198"/>
      <c r="K335" s="614"/>
      <c r="L335" s="614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hidden="1" customHeight="1">
      <c r="A336" s="640"/>
      <c r="B336" s="613"/>
      <c r="C336" s="641"/>
      <c r="D336" s="615"/>
      <c r="E336" s="198"/>
      <c r="F336" s="198"/>
      <c r="G336" s="198"/>
      <c r="H336" s="198"/>
      <c r="I336" s="615"/>
      <c r="J336" s="198"/>
      <c r="K336" s="614"/>
      <c r="L336" s="614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hidden="1" customHeight="1">
      <c r="A337" s="640"/>
      <c r="B337" s="613"/>
      <c r="C337" s="641"/>
      <c r="D337" s="615"/>
      <c r="E337" s="198"/>
      <c r="F337" s="198"/>
      <c r="G337" s="198"/>
      <c r="H337" s="198"/>
      <c r="I337" s="615"/>
      <c r="J337" s="198"/>
      <c r="K337" s="614"/>
      <c r="L337" s="614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hidden="1" customHeight="1">
      <c r="A338" s="640"/>
      <c r="B338" s="613"/>
      <c r="C338" s="641"/>
      <c r="D338" s="615"/>
      <c r="E338" s="198"/>
      <c r="F338" s="198"/>
      <c r="G338" s="198"/>
      <c r="H338" s="198"/>
      <c r="I338" s="615"/>
      <c r="J338" s="198"/>
      <c r="K338" s="614"/>
      <c r="L338" s="614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hidden="1" customHeight="1">
      <c r="A339" s="640"/>
      <c r="B339" s="613"/>
      <c r="C339" s="641"/>
      <c r="D339" s="615"/>
      <c r="E339" s="198"/>
      <c r="F339" s="198"/>
      <c r="G339" s="198"/>
      <c r="H339" s="198"/>
      <c r="I339" s="615"/>
      <c r="J339" s="198"/>
      <c r="K339" s="614"/>
      <c r="L339" s="614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hidden="1" customHeight="1">
      <c r="A340" s="640"/>
      <c r="B340" s="613"/>
      <c r="C340" s="641"/>
      <c r="D340" s="615"/>
      <c r="E340" s="198"/>
      <c r="F340" s="198"/>
      <c r="G340" s="198"/>
      <c r="H340" s="198"/>
      <c r="I340" s="615"/>
      <c r="J340" s="198"/>
      <c r="K340" s="614"/>
      <c r="L340" s="614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hidden="1" customHeight="1">
      <c r="A341" s="640"/>
      <c r="B341" s="613"/>
      <c r="C341" s="641"/>
      <c r="D341" s="615"/>
      <c r="E341" s="198"/>
      <c r="F341" s="198"/>
      <c r="G341" s="198"/>
      <c r="H341" s="198"/>
      <c r="I341" s="615"/>
      <c r="J341" s="198"/>
      <c r="K341" s="614"/>
      <c r="L341" s="614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hidden="1" customHeight="1">
      <c r="A342" s="640"/>
      <c r="B342" s="613"/>
      <c r="C342" s="641"/>
      <c r="D342" s="615"/>
      <c r="E342" s="198"/>
      <c r="F342" s="198"/>
      <c r="G342" s="198"/>
      <c r="H342" s="198"/>
      <c r="I342" s="615"/>
      <c r="J342" s="198"/>
      <c r="K342" s="614"/>
      <c r="L342" s="614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hidden="1" customHeight="1">
      <c r="A343" s="640"/>
      <c r="B343" s="613"/>
      <c r="C343" s="641"/>
      <c r="D343" s="615"/>
      <c r="E343" s="198"/>
      <c r="F343" s="198"/>
      <c r="G343" s="198"/>
      <c r="H343" s="198"/>
      <c r="I343" s="615"/>
      <c r="J343" s="198"/>
      <c r="K343" s="614"/>
      <c r="L343" s="614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hidden="1" customHeight="1">
      <c r="A344" s="640"/>
      <c r="B344" s="613"/>
      <c r="C344" s="641"/>
      <c r="D344" s="615"/>
      <c r="E344" s="198"/>
      <c r="F344" s="198"/>
      <c r="G344" s="198"/>
      <c r="H344" s="198"/>
      <c r="I344" s="615"/>
      <c r="J344" s="198"/>
      <c r="K344" s="614"/>
      <c r="L344" s="614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hidden="1" customHeight="1">
      <c r="A345" s="640"/>
      <c r="B345" s="613"/>
      <c r="C345" s="641"/>
      <c r="D345" s="615"/>
      <c r="E345" s="198"/>
      <c r="F345" s="198"/>
      <c r="G345" s="198"/>
      <c r="H345" s="198"/>
      <c r="I345" s="615"/>
      <c r="J345" s="198"/>
      <c r="K345" s="614"/>
      <c r="L345" s="614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hidden="1" customHeight="1">
      <c r="A346" s="640"/>
      <c r="B346" s="613"/>
      <c r="C346" s="641"/>
      <c r="D346" s="615"/>
      <c r="E346" s="198"/>
      <c r="F346" s="198"/>
      <c r="G346" s="198"/>
      <c r="H346" s="198"/>
      <c r="I346" s="615"/>
      <c r="J346" s="198"/>
      <c r="K346" s="614"/>
      <c r="L346" s="614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hidden="1" customHeight="1">
      <c r="A347" s="640"/>
      <c r="B347" s="613"/>
      <c r="C347" s="641"/>
      <c r="D347" s="615"/>
      <c r="E347" s="198"/>
      <c r="F347" s="198"/>
      <c r="G347" s="198"/>
      <c r="H347" s="198"/>
      <c r="I347" s="615"/>
      <c r="J347" s="198"/>
      <c r="K347" s="614"/>
      <c r="L347" s="614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hidden="1" customHeight="1">
      <c r="A348" s="640"/>
      <c r="B348" s="613"/>
      <c r="C348" s="641"/>
      <c r="D348" s="615"/>
      <c r="E348" s="198"/>
      <c r="F348" s="198"/>
      <c r="G348" s="198"/>
      <c r="H348" s="198"/>
      <c r="I348" s="615"/>
      <c r="J348" s="198"/>
      <c r="K348" s="614"/>
      <c r="L348" s="614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hidden="1" customHeight="1">
      <c r="A349" s="640"/>
      <c r="B349" s="613"/>
      <c r="C349" s="641"/>
      <c r="D349" s="615"/>
      <c r="E349" s="198"/>
      <c r="F349" s="198"/>
      <c r="G349" s="198"/>
      <c r="H349" s="198"/>
      <c r="I349" s="615"/>
      <c r="J349" s="198"/>
      <c r="K349" s="614"/>
      <c r="L349" s="614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hidden="1" customHeight="1">
      <c r="A350" s="640"/>
      <c r="B350" s="613"/>
      <c r="C350" s="641"/>
      <c r="D350" s="615"/>
      <c r="E350" s="198"/>
      <c r="F350" s="198"/>
      <c r="G350" s="198"/>
      <c r="H350" s="198"/>
      <c r="I350" s="615"/>
      <c r="J350" s="198"/>
      <c r="K350" s="614"/>
      <c r="L350" s="614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hidden="1" customHeight="1">
      <c r="A351" s="640"/>
      <c r="B351" s="613"/>
      <c r="C351" s="641"/>
      <c r="D351" s="615"/>
      <c r="E351" s="198"/>
      <c r="F351" s="198"/>
      <c r="G351" s="198"/>
      <c r="H351" s="198"/>
      <c r="I351" s="615"/>
      <c r="J351" s="198"/>
      <c r="K351" s="614"/>
      <c r="L351" s="614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hidden="1" customHeight="1">
      <c r="A352" s="640"/>
      <c r="B352" s="613"/>
      <c r="C352" s="641"/>
      <c r="D352" s="615"/>
      <c r="E352" s="198"/>
      <c r="F352" s="198"/>
      <c r="G352" s="198"/>
      <c r="H352" s="198"/>
      <c r="I352" s="615"/>
      <c r="J352" s="198"/>
      <c r="K352" s="614"/>
      <c r="L352" s="614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hidden="1" customHeight="1">
      <c r="A353" s="640"/>
      <c r="B353" s="613"/>
      <c r="C353" s="641"/>
      <c r="D353" s="615"/>
      <c r="E353" s="198"/>
      <c r="F353" s="198"/>
      <c r="G353" s="198"/>
      <c r="H353" s="198"/>
      <c r="I353" s="615"/>
      <c r="J353" s="198"/>
      <c r="K353" s="614"/>
      <c r="L353" s="614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hidden="1" customHeight="1">
      <c r="A354" s="640"/>
      <c r="B354" s="613"/>
      <c r="C354" s="641"/>
      <c r="D354" s="615"/>
      <c r="E354" s="198"/>
      <c r="F354" s="198"/>
      <c r="G354" s="198"/>
      <c r="H354" s="198"/>
      <c r="I354" s="615"/>
      <c r="J354" s="198"/>
      <c r="K354" s="614"/>
      <c r="L354" s="614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hidden="1" customHeight="1">
      <c r="A355" s="640"/>
      <c r="B355" s="613"/>
      <c r="C355" s="641"/>
      <c r="D355" s="615"/>
      <c r="E355" s="198"/>
      <c r="F355" s="198"/>
      <c r="G355" s="198"/>
      <c r="H355" s="198"/>
      <c r="I355" s="615"/>
      <c r="J355" s="198"/>
      <c r="K355" s="614"/>
      <c r="L355" s="614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hidden="1" customHeight="1">
      <c r="A356" s="640"/>
      <c r="B356" s="613"/>
      <c r="C356" s="641"/>
      <c r="D356" s="615"/>
      <c r="E356" s="198"/>
      <c r="F356" s="198"/>
      <c r="G356" s="198"/>
      <c r="H356" s="198"/>
      <c r="I356" s="615"/>
      <c r="J356" s="198"/>
      <c r="K356" s="614"/>
      <c r="L356" s="614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hidden="1" customHeight="1">
      <c r="A357" s="640"/>
      <c r="B357" s="613"/>
      <c r="C357" s="641"/>
      <c r="D357" s="615"/>
      <c r="E357" s="198"/>
      <c r="F357" s="198"/>
      <c r="G357" s="198"/>
      <c r="H357" s="198"/>
      <c r="I357" s="615"/>
      <c r="J357" s="198"/>
      <c r="K357" s="614"/>
      <c r="L357" s="614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hidden="1" customHeight="1">
      <c r="A358" s="640"/>
      <c r="B358" s="613"/>
      <c r="C358" s="641"/>
      <c r="D358" s="615"/>
      <c r="E358" s="198"/>
      <c r="F358" s="198"/>
      <c r="G358" s="198"/>
      <c r="H358" s="198"/>
      <c r="I358" s="615"/>
      <c r="J358" s="198"/>
      <c r="K358" s="614"/>
      <c r="L358" s="614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hidden="1" customHeight="1">
      <c r="A359" s="640"/>
      <c r="B359" s="613"/>
      <c r="C359" s="641"/>
      <c r="D359" s="615"/>
      <c r="E359" s="198"/>
      <c r="F359" s="198"/>
      <c r="G359" s="198"/>
      <c r="H359" s="198"/>
      <c r="I359" s="615"/>
      <c r="J359" s="198"/>
      <c r="K359" s="614"/>
      <c r="L359" s="614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hidden="1" customHeight="1">
      <c r="A360" s="640"/>
      <c r="B360" s="613"/>
      <c r="C360" s="641"/>
      <c r="D360" s="615"/>
      <c r="E360" s="198"/>
      <c r="F360" s="198"/>
      <c r="G360" s="198"/>
      <c r="H360" s="198"/>
      <c r="I360" s="615"/>
      <c r="J360" s="198"/>
      <c r="K360" s="614"/>
      <c r="L360" s="614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hidden="1" customHeight="1">
      <c r="A361" s="640"/>
      <c r="B361" s="613"/>
      <c r="C361" s="641"/>
      <c r="D361" s="615"/>
      <c r="E361" s="198"/>
      <c r="F361" s="198"/>
      <c r="G361" s="198"/>
      <c r="H361" s="198"/>
      <c r="I361" s="615"/>
      <c r="J361" s="198"/>
      <c r="K361" s="614"/>
      <c r="L361" s="614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hidden="1" customHeight="1">
      <c r="A362" s="640"/>
      <c r="B362" s="613"/>
      <c r="C362" s="641"/>
      <c r="D362" s="615"/>
      <c r="E362" s="198"/>
      <c r="F362" s="198"/>
      <c r="G362" s="198"/>
      <c r="H362" s="198"/>
      <c r="I362" s="615"/>
      <c r="J362" s="198"/>
      <c r="K362" s="614"/>
      <c r="L362" s="614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hidden="1" customHeight="1">
      <c r="A363" s="640"/>
      <c r="B363" s="613"/>
      <c r="C363" s="641"/>
      <c r="D363" s="615"/>
      <c r="E363" s="198"/>
      <c r="F363" s="198"/>
      <c r="G363" s="198"/>
      <c r="H363" s="198"/>
      <c r="I363" s="615"/>
      <c r="J363" s="198"/>
      <c r="K363" s="614"/>
      <c r="L363" s="614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hidden="1" customHeight="1">
      <c r="A364" s="640"/>
      <c r="B364" s="613"/>
      <c r="C364" s="641"/>
      <c r="D364" s="615"/>
      <c r="E364" s="198"/>
      <c r="F364" s="198"/>
      <c r="G364" s="198"/>
      <c r="H364" s="198"/>
      <c r="I364" s="615"/>
      <c r="J364" s="198"/>
      <c r="K364" s="614"/>
      <c r="L364" s="614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hidden="1" customHeight="1">
      <c r="A365" s="640"/>
      <c r="B365" s="613"/>
      <c r="C365" s="641"/>
      <c r="D365" s="615"/>
      <c r="E365" s="198"/>
      <c r="F365" s="198"/>
      <c r="G365" s="198"/>
      <c r="H365" s="198"/>
      <c r="I365" s="615"/>
      <c r="J365" s="198"/>
      <c r="K365" s="614"/>
      <c r="L365" s="614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hidden="1" customHeight="1">
      <c r="A366" s="640"/>
      <c r="B366" s="613"/>
      <c r="C366" s="641"/>
      <c r="D366" s="615"/>
      <c r="E366" s="198"/>
      <c r="F366" s="198"/>
      <c r="G366" s="198"/>
      <c r="H366" s="198"/>
      <c r="I366" s="615"/>
      <c r="J366" s="198"/>
      <c r="K366" s="614"/>
      <c r="L366" s="614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hidden="1" customHeight="1">
      <c r="A367" s="640"/>
      <c r="B367" s="613"/>
      <c r="C367" s="641"/>
      <c r="D367" s="615"/>
      <c r="E367" s="198"/>
      <c r="F367" s="198"/>
      <c r="G367" s="198"/>
      <c r="H367" s="198"/>
      <c r="I367" s="615"/>
      <c r="J367" s="198"/>
      <c r="K367" s="614"/>
      <c r="L367" s="614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hidden="1" customHeight="1">
      <c r="A368" s="640"/>
      <c r="B368" s="613"/>
      <c r="C368" s="641"/>
      <c r="D368" s="615"/>
      <c r="E368" s="198"/>
      <c r="F368" s="198"/>
      <c r="G368" s="198"/>
      <c r="H368" s="198"/>
      <c r="I368" s="615"/>
      <c r="J368" s="198"/>
      <c r="K368" s="614"/>
      <c r="L368" s="614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hidden="1" customHeight="1">
      <c r="A369" s="640"/>
      <c r="B369" s="613"/>
      <c r="C369" s="641"/>
      <c r="D369" s="615"/>
      <c r="E369" s="198"/>
      <c r="F369" s="198"/>
      <c r="G369" s="198"/>
      <c r="H369" s="198"/>
      <c r="I369" s="615"/>
      <c r="J369" s="198"/>
      <c r="K369" s="614"/>
      <c r="L369" s="614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41"/>
      <c r="D370" s="615"/>
      <c r="E370" s="198"/>
      <c r="F370" s="198"/>
      <c r="G370" s="198"/>
      <c r="H370" s="198"/>
      <c r="I370" s="615"/>
      <c r="J370" s="198"/>
      <c r="K370" s="614"/>
      <c r="L370" s="614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41"/>
      <c r="D371" s="615"/>
      <c r="E371" s="198"/>
      <c r="F371" s="198"/>
      <c r="G371" s="198"/>
      <c r="H371" s="198"/>
      <c r="I371" s="615"/>
      <c r="J371" s="198"/>
      <c r="K371" s="614"/>
      <c r="L371" s="614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41"/>
      <c r="D372" s="615"/>
      <c r="E372" s="198"/>
      <c r="F372" s="198"/>
      <c r="G372" s="198"/>
      <c r="H372" s="198"/>
      <c r="I372" s="615"/>
      <c r="J372" s="198"/>
      <c r="K372" s="614"/>
      <c r="L372" s="614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41"/>
      <c r="D373" s="615"/>
      <c r="E373" s="198"/>
      <c r="F373" s="198"/>
      <c r="G373" s="198"/>
      <c r="H373" s="198"/>
      <c r="I373" s="615"/>
      <c r="J373" s="198"/>
      <c r="K373" s="614"/>
      <c r="L373" s="614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41"/>
      <c r="D374" s="615"/>
      <c r="E374" s="198"/>
      <c r="F374" s="198"/>
      <c r="G374" s="198"/>
      <c r="H374" s="198"/>
      <c r="I374" s="615"/>
      <c r="J374" s="198"/>
      <c r="K374" s="614"/>
      <c r="L374" s="614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41"/>
      <c r="D375" s="615"/>
      <c r="E375" s="198"/>
      <c r="F375" s="198"/>
      <c r="G375" s="198"/>
      <c r="H375" s="198"/>
      <c r="I375" s="615"/>
      <c r="J375" s="198"/>
      <c r="K375" s="614"/>
      <c r="L375" s="614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41"/>
      <c r="D376" s="615"/>
      <c r="E376" s="198"/>
      <c r="F376" s="198"/>
      <c r="G376" s="198"/>
      <c r="H376" s="198"/>
      <c r="I376" s="615"/>
      <c r="J376" s="198"/>
      <c r="K376" s="614"/>
      <c r="L376" s="614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41"/>
      <c r="D377" s="615"/>
      <c r="E377" s="198"/>
      <c r="F377" s="198"/>
      <c r="G377" s="198"/>
      <c r="H377" s="198"/>
      <c r="I377" s="615"/>
      <c r="J377" s="198"/>
      <c r="K377" s="614"/>
      <c r="L377" s="614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41"/>
      <c r="D378" s="615"/>
      <c r="E378" s="198"/>
      <c r="F378" s="198"/>
      <c r="G378" s="198"/>
      <c r="H378" s="198"/>
      <c r="I378" s="615"/>
      <c r="J378" s="198"/>
      <c r="K378" s="614"/>
      <c r="L378" s="614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41"/>
      <c r="D379" s="615"/>
      <c r="E379" s="198"/>
      <c r="F379" s="198"/>
      <c r="G379" s="198"/>
      <c r="H379" s="198"/>
      <c r="I379" s="615"/>
      <c r="J379" s="198"/>
      <c r="K379" s="614"/>
      <c r="L379" s="614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41"/>
      <c r="D380" s="615"/>
      <c r="E380" s="198"/>
      <c r="F380" s="198"/>
      <c r="G380" s="198"/>
      <c r="H380" s="198"/>
      <c r="I380" s="615"/>
      <c r="J380" s="198"/>
      <c r="K380" s="614"/>
      <c r="L380" s="614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41"/>
      <c r="D381" s="615"/>
      <c r="E381" s="198"/>
      <c r="F381" s="198"/>
      <c r="G381" s="198"/>
      <c r="H381" s="198"/>
      <c r="I381" s="615"/>
      <c r="J381" s="198"/>
      <c r="K381" s="614"/>
      <c r="L381" s="614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41"/>
      <c r="D382" s="615"/>
      <c r="E382" s="198"/>
      <c r="F382" s="198"/>
      <c r="G382" s="198"/>
      <c r="H382" s="198"/>
      <c r="I382" s="615"/>
      <c r="J382" s="198"/>
      <c r="K382" s="614"/>
      <c r="L382" s="614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41"/>
      <c r="D383" s="615"/>
      <c r="E383" s="198"/>
      <c r="F383" s="198"/>
      <c r="G383" s="198"/>
      <c r="H383" s="198"/>
      <c r="I383" s="615"/>
      <c r="J383" s="198"/>
      <c r="K383" s="614"/>
      <c r="L383" s="614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41"/>
      <c r="D384" s="615"/>
      <c r="E384" s="198"/>
      <c r="F384" s="198"/>
      <c r="G384" s="198"/>
      <c r="H384" s="198"/>
      <c r="I384" s="615"/>
      <c r="J384" s="198"/>
      <c r="K384" s="614"/>
      <c r="L384" s="614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41"/>
      <c r="D385" s="615"/>
      <c r="E385" s="198"/>
      <c r="F385" s="198"/>
      <c r="G385" s="198"/>
      <c r="H385" s="198"/>
      <c r="I385" s="615"/>
      <c r="J385" s="198"/>
      <c r="K385" s="614"/>
      <c r="L385" s="614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41"/>
      <c r="D386" s="615"/>
      <c r="E386" s="198"/>
      <c r="F386" s="198"/>
      <c r="G386" s="198"/>
      <c r="H386" s="198"/>
      <c r="I386" s="615"/>
      <c r="J386" s="198"/>
      <c r="K386" s="614"/>
      <c r="L386" s="614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41"/>
      <c r="D387" s="615"/>
      <c r="E387" s="198"/>
      <c r="F387" s="198"/>
      <c r="G387" s="198"/>
      <c r="H387" s="198"/>
      <c r="I387" s="615"/>
      <c r="J387" s="198"/>
      <c r="K387" s="614"/>
      <c r="L387" s="614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41"/>
      <c r="D388" s="615"/>
      <c r="E388" s="198"/>
      <c r="F388" s="198"/>
      <c r="G388" s="198"/>
      <c r="H388" s="198"/>
      <c r="I388" s="615"/>
      <c r="J388" s="198"/>
      <c r="K388" s="614"/>
      <c r="L388" s="614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41"/>
      <c r="D389" s="615"/>
      <c r="E389" s="198"/>
      <c r="F389" s="198"/>
      <c r="G389" s="198"/>
      <c r="H389" s="198"/>
      <c r="I389" s="615"/>
      <c r="J389" s="198"/>
      <c r="K389" s="614"/>
      <c r="L389" s="614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41"/>
      <c r="D390" s="615"/>
      <c r="E390" s="198"/>
      <c r="F390" s="198"/>
      <c r="G390" s="198"/>
      <c r="H390" s="198"/>
      <c r="I390" s="615"/>
      <c r="J390" s="198"/>
      <c r="K390" s="614"/>
      <c r="L390" s="614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41"/>
      <c r="D391" s="615"/>
      <c r="E391" s="198"/>
      <c r="F391" s="198"/>
      <c r="G391" s="198"/>
      <c r="H391" s="198"/>
      <c r="I391" s="615"/>
      <c r="J391" s="198"/>
      <c r="K391" s="614"/>
      <c r="L391" s="614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41"/>
      <c r="D392" s="615"/>
      <c r="E392" s="198"/>
      <c r="F392" s="198"/>
      <c r="G392" s="198"/>
      <c r="H392" s="198"/>
      <c r="I392" s="615"/>
      <c r="J392" s="198"/>
      <c r="K392" s="614"/>
      <c r="L392" s="614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41"/>
      <c r="D393" s="615"/>
      <c r="E393" s="198"/>
      <c r="F393" s="198"/>
      <c r="G393" s="198"/>
      <c r="H393" s="198"/>
      <c r="I393" s="615"/>
      <c r="J393" s="198"/>
      <c r="K393" s="614"/>
      <c r="L393" s="614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41"/>
      <c r="D394" s="615"/>
      <c r="E394" s="198"/>
      <c r="F394" s="198"/>
      <c r="G394" s="198"/>
      <c r="H394" s="198"/>
      <c r="I394" s="615"/>
      <c r="J394" s="198"/>
      <c r="K394" s="614"/>
      <c r="L394" s="614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41"/>
      <c r="D395" s="615"/>
      <c r="E395" s="198"/>
      <c r="F395" s="198"/>
      <c r="G395" s="198"/>
      <c r="H395" s="198"/>
      <c r="I395" s="615"/>
      <c r="J395" s="198"/>
      <c r="K395" s="614"/>
      <c r="L395" s="614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41"/>
      <c r="D396" s="615"/>
      <c r="E396" s="198"/>
      <c r="F396" s="198"/>
      <c r="G396" s="198"/>
      <c r="H396" s="198"/>
      <c r="I396" s="615"/>
      <c r="J396" s="198"/>
      <c r="K396" s="614"/>
      <c r="L396" s="614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41"/>
      <c r="D397" s="615"/>
      <c r="E397" s="198"/>
      <c r="F397" s="198"/>
      <c r="G397" s="198"/>
      <c r="H397" s="198"/>
      <c r="I397" s="615"/>
      <c r="J397" s="198"/>
      <c r="K397" s="614"/>
      <c r="L397" s="614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41"/>
      <c r="D398" s="615"/>
      <c r="E398" s="198"/>
      <c r="F398" s="198"/>
      <c r="G398" s="198"/>
      <c r="H398" s="198"/>
      <c r="I398" s="615"/>
      <c r="J398" s="198"/>
      <c r="K398" s="614"/>
      <c r="L398" s="614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41"/>
      <c r="D399" s="615"/>
      <c r="E399" s="198"/>
      <c r="F399" s="198"/>
      <c r="G399" s="198"/>
      <c r="H399" s="198"/>
      <c r="I399" s="615"/>
      <c r="J399" s="198"/>
      <c r="K399" s="614"/>
      <c r="L399" s="614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41"/>
      <c r="D400" s="615"/>
      <c r="E400" s="198"/>
      <c r="F400" s="198"/>
      <c r="G400" s="198"/>
      <c r="H400" s="198"/>
      <c r="I400" s="615"/>
      <c r="J400" s="198"/>
      <c r="K400" s="614"/>
      <c r="L400" s="614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41"/>
      <c r="D401" s="615"/>
      <c r="E401" s="198"/>
      <c r="F401" s="198"/>
      <c r="G401" s="198"/>
      <c r="H401" s="198"/>
      <c r="I401" s="615"/>
      <c r="J401" s="198"/>
      <c r="K401" s="614"/>
      <c r="L401" s="614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41"/>
      <c r="D402" s="615"/>
      <c r="E402" s="198"/>
      <c r="F402" s="198"/>
      <c r="G402" s="198"/>
      <c r="H402" s="198"/>
      <c r="I402" s="615"/>
      <c r="J402" s="198"/>
      <c r="K402" s="614"/>
      <c r="L402" s="614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41"/>
      <c r="D403" s="615"/>
      <c r="E403" s="198"/>
      <c r="F403" s="198"/>
      <c r="G403" s="198"/>
      <c r="H403" s="198"/>
      <c r="I403" s="615"/>
      <c r="J403" s="198"/>
      <c r="K403" s="614"/>
      <c r="L403" s="614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41"/>
      <c r="D404" s="615"/>
      <c r="E404" s="198"/>
      <c r="F404" s="198"/>
      <c r="G404" s="198"/>
      <c r="H404" s="198"/>
      <c r="I404" s="615"/>
      <c r="J404" s="198"/>
      <c r="K404" s="614"/>
      <c r="L404" s="614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41"/>
      <c r="D405" s="615"/>
      <c r="E405" s="198"/>
      <c r="F405" s="198"/>
      <c r="G405" s="198"/>
      <c r="H405" s="198"/>
      <c r="I405" s="615"/>
      <c r="J405" s="198"/>
      <c r="K405" s="614"/>
      <c r="L405" s="614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41"/>
      <c r="D406" s="615"/>
      <c r="E406" s="198"/>
      <c r="F406" s="198"/>
      <c r="G406" s="198"/>
      <c r="H406" s="198"/>
      <c r="I406" s="615"/>
      <c r="J406" s="198"/>
      <c r="K406" s="614"/>
      <c r="L406" s="614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41"/>
      <c r="D407" s="615"/>
      <c r="E407" s="198"/>
      <c r="F407" s="198"/>
      <c r="G407" s="198"/>
      <c r="H407" s="198"/>
      <c r="I407" s="615"/>
      <c r="J407" s="198"/>
      <c r="K407" s="614"/>
      <c r="L407" s="614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41"/>
      <c r="D408" s="615"/>
      <c r="E408" s="198"/>
      <c r="F408" s="198"/>
      <c r="G408" s="198"/>
      <c r="H408" s="198"/>
      <c r="I408" s="615"/>
      <c r="J408" s="198"/>
      <c r="K408" s="614"/>
      <c r="L408" s="614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41"/>
      <c r="D409" s="615"/>
      <c r="E409" s="198"/>
      <c r="F409" s="198"/>
      <c r="G409" s="198"/>
      <c r="H409" s="198"/>
      <c r="I409" s="615"/>
      <c r="J409" s="198"/>
      <c r="K409" s="614"/>
      <c r="L409" s="614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41"/>
      <c r="D410" s="615"/>
      <c r="E410" s="198"/>
      <c r="F410" s="198"/>
      <c r="G410" s="198"/>
      <c r="H410" s="198"/>
      <c r="I410" s="615"/>
      <c r="J410" s="198"/>
      <c r="K410" s="614"/>
      <c r="L410" s="614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41"/>
      <c r="D411" s="615"/>
      <c r="E411" s="198"/>
      <c r="F411" s="198"/>
      <c r="G411" s="198"/>
      <c r="H411" s="198"/>
      <c r="I411" s="615"/>
      <c r="J411" s="198"/>
      <c r="K411" s="614"/>
      <c r="L411" s="614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41"/>
      <c r="D412" s="615"/>
      <c r="E412" s="198"/>
      <c r="F412" s="198"/>
      <c r="G412" s="198"/>
      <c r="H412" s="198"/>
      <c r="I412" s="615"/>
      <c r="J412" s="198"/>
      <c r="K412" s="614"/>
      <c r="L412" s="614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41"/>
      <c r="D413" s="615"/>
      <c r="E413" s="198"/>
      <c r="F413" s="198"/>
      <c r="G413" s="198"/>
      <c r="H413" s="198"/>
      <c r="I413" s="615"/>
      <c r="J413" s="198"/>
      <c r="K413" s="614"/>
      <c r="L413" s="614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41"/>
      <c r="D414" s="615"/>
      <c r="E414" s="198"/>
      <c r="F414" s="198"/>
      <c r="G414" s="198"/>
      <c r="H414" s="198"/>
      <c r="I414" s="615"/>
      <c r="J414" s="198"/>
      <c r="K414" s="614"/>
      <c r="L414" s="614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41"/>
      <c r="D415" s="615"/>
      <c r="E415" s="198"/>
      <c r="F415" s="198"/>
      <c r="G415" s="198"/>
      <c r="H415" s="198"/>
      <c r="I415" s="615"/>
      <c r="J415" s="198"/>
      <c r="K415" s="614"/>
      <c r="L415" s="614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41"/>
      <c r="D416" s="615"/>
      <c r="E416" s="198"/>
      <c r="F416" s="198"/>
      <c r="G416" s="198"/>
      <c r="H416" s="198"/>
      <c r="I416" s="615"/>
      <c r="J416" s="198"/>
      <c r="K416" s="614"/>
      <c r="L416" s="614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41"/>
      <c r="D417" s="615"/>
      <c r="E417" s="198"/>
      <c r="F417" s="198"/>
      <c r="G417" s="198"/>
      <c r="H417" s="198"/>
      <c r="I417" s="615"/>
      <c r="J417" s="198"/>
      <c r="K417" s="614"/>
      <c r="L417" s="614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41"/>
      <c r="D418" s="615"/>
      <c r="E418" s="198"/>
      <c r="F418" s="198"/>
      <c r="G418" s="198"/>
      <c r="H418" s="198"/>
      <c r="I418" s="615"/>
      <c r="J418" s="198"/>
      <c r="K418" s="614"/>
      <c r="L418" s="614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41"/>
      <c r="D419" s="615"/>
      <c r="E419" s="198"/>
      <c r="F419" s="198"/>
      <c r="G419" s="198"/>
      <c r="H419" s="198"/>
      <c r="I419" s="615"/>
      <c r="J419" s="198"/>
      <c r="K419" s="614"/>
      <c r="L419" s="614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41"/>
      <c r="D420" s="615"/>
      <c r="E420" s="198"/>
      <c r="F420" s="198"/>
      <c r="G420" s="198"/>
      <c r="H420" s="198"/>
      <c r="I420" s="615"/>
      <c r="J420" s="198"/>
      <c r="K420" s="614"/>
      <c r="L420" s="614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41"/>
      <c r="D421" s="615"/>
      <c r="E421" s="198"/>
      <c r="F421" s="198"/>
      <c r="G421" s="198"/>
      <c r="H421" s="198"/>
      <c r="I421" s="615"/>
      <c r="J421" s="198"/>
      <c r="K421" s="614"/>
      <c r="L421" s="614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41"/>
      <c r="D422" s="615"/>
      <c r="E422" s="198"/>
      <c r="F422" s="198"/>
      <c r="G422" s="198"/>
      <c r="H422" s="198"/>
      <c r="I422" s="615"/>
      <c r="J422" s="198"/>
      <c r="K422" s="614"/>
      <c r="L422" s="614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41"/>
      <c r="D423" s="615"/>
      <c r="E423" s="198"/>
      <c r="F423" s="198"/>
      <c r="G423" s="198"/>
      <c r="H423" s="198"/>
      <c r="I423" s="615"/>
      <c r="J423" s="198"/>
      <c r="K423" s="614"/>
      <c r="L423" s="614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41"/>
      <c r="D424" s="615"/>
      <c r="E424" s="198"/>
      <c r="F424" s="198"/>
      <c r="G424" s="198"/>
      <c r="H424" s="198"/>
      <c r="I424" s="615"/>
      <c r="J424" s="198"/>
      <c r="K424" s="614"/>
      <c r="L424" s="614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41"/>
      <c r="D425" s="615"/>
      <c r="E425" s="198"/>
      <c r="F425" s="198"/>
      <c r="G425" s="198"/>
      <c r="H425" s="198"/>
      <c r="I425" s="615"/>
      <c r="J425" s="198"/>
      <c r="K425" s="614"/>
      <c r="L425" s="614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41"/>
      <c r="D426" s="615"/>
      <c r="E426" s="198"/>
      <c r="F426" s="198"/>
      <c r="G426" s="198"/>
      <c r="H426" s="198"/>
      <c r="I426" s="615"/>
      <c r="J426" s="198"/>
      <c r="K426" s="614"/>
      <c r="L426" s="614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41"/>
      <c r="D427" s="615"/>
      <c r="E427" s="198"/>
      <c r="F427" s="198"/>
      <c r="G427" s="198"/>
      <c r="H427" s="198"/>
      <c r="I427" s="615"/>
      <c r="J427" s="198"/>
      <c r="K427" s="614"/>
      <c r="L427" s="614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41"/>
      <c r="D428" s="615"/>
      <c r="E428" s="198"/>
      <c r="F428" s="198"/>
      <c r="G428" s="198"/>
      <c r="H428" s="198"/>
      <c r="I428" s="615"/>
      <c r="J428" s="198"/>
      <c r="K428" s="614"/>
      <c r="L428" s="614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41"/>
      <c r="D429" s="615"/>
      <c r="E429" s="198"/>
      <c r="F429" s="198"/>
      <c r="G429" s="198"/>
      <c r="H429" s="198"/>
      <c r="I429" s="615"/>
      <c r="J429" s="198"/>
      <c r="K429" s="614"/>
      <c r="L429" s="614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41"/>
      <c r="D430" s="615"/>
      <c r="E430" s="198"/>
      <c r="F430" s="198"/>
      <c r="G430" s="198"/>
      <c r="H430" s="198"/>
      <c r="I430" s="615"/>
      <c r="J430" s="198"/>
      <c r="K430" s="614"/>
      <c r="L430" s="614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41"/>
      <c r="D431" s="615"/>
      <c r="E431" s="198"/>
      <c r="F431" s="198"/>
      <c r="G431" s="198"/>
      <c r="H431" s="198"/>
      <c r="I431" s="615"/>
      <c r="J431" s="198"/>
      <c r="K431" s="614"/>
      <c r="L431" s="614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41"/>
      <c r="D432" s="615"/>
      <c r="E432" s="198"/>
      <c r="F432" s="198"/>
      <c r="G432" s="198"/>
      <c r="H432" s="198"/>
      <c r="I432" s="615"/>
      <c r="J432" s="198"/>
      <c r="K432" s="614"/>
      <c r="L432" s="614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41"/>
      <c r="D433" s="615"/>
      <c r="E433" s="198"/>
      <c r="F433" s="198"/>
      <c r="G433" s="198"/>
      <c r="H433" s="198"/>
      <c r="I433" s="615"/>
      <c r="J433" s="198"/>
      <c r="K433" s="614"/>
      <c r="L433" s="614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41"/>
      <c r="D434" s="615"/>
      <c r="E434" s="198"/>
      <c r="F434" s="198"/>
      <c r="G434" s="198"/>
      <c r="H434" s="198"/>
      <c r="I434" s="615"/>
      <c r="J434" s="198"/>
      <c r="K434" s="614"/>
      <c r="L434" s="614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41"/>
      <c r="D435" s="615"/>
      <c r="E435" s="198"/>
      <c r="F435" s="198"/>
      <c r="G435" s="198"/>
      <c r="H435" s="198"/>
      <c r="I435" s="615"/>
      <c r="J435" s="198"/>
      <c r="K435" s="614"/>
      <c r="L435" s="614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41"/>
      <c r="D436" s="615"/>
      <c r="E436" s="198"/>
      <c r="F436" s="198"/>
      <c r="G436" s="198"/>
      <c r="H436" s="198"/>
      <c r="I436" s="615"/>
      <c r="J436" s="198"/>
      <c r="K436" s="614"/>
      <c r="L436" s="614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41"/>
      <c r="D437" s="615"/>
      <c r="E437" s="198"/>
      <c r="F437" s="198"/>
      <c r="G437" s="198"/>
      <c r="H437" s="198"/>
      <c r="I437" s="615"/>
      <c r="J437" s="198"/>
      <c r="K437" s="614"/>
      <c r="L437" s="614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41"/>
      <c r="D438" s="615"/>
      <c r="E438" s="198"/>
      <c r="F438" s="198"/>
      <c r="G438" s="198"/>
      <c r="H438" s="198"/>
      <c r="I438" s="615"/>
      <c r="J438" s="198"/>
      <c r="K438" s="614"/>
      <c r="L438" s="614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41"/>
      <c r="D439" s="615"/>
      <c r="E439" s="198"/>
      <c r="F439" s="198"/>
      <c r="G439" s="198"/>
      <c r="H439" s="198"/>
      <c r="I439" s="615"/>
      <c r="J439" s="198"/>
      <c r="K439" s="614"/>
      <c r="L439" s="614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41"/>
      <c r="D440" s="615"/>
      <c r="E440" s="198"/>
      <c r="F440" s="198"/>
      <c r="G440" s="198"/>
      <c r="H440" s="198"/>
      <c r="I440" s="615"/>
      <c r="J440" s="198"/>
      <c r="K440" s="614"/>
      <c r="L440" s="614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41"/>
      <c r="D441" s="615"/>
      <c r="E441" s="198"/>
      <c r="F441" s="198"/>
      <c r="G441" s="198"/>
      <c r="H441" s="198"/>
      <c r="I441" s="615"/>
      <c r="J441" s="198"/>
      <c r="K441" s="614"/>
      <c r="L441" s="614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41"/>
      <c r="D442" s="615"/>
      <c r="E442" s="198"/>
      <c r="F442" s="198"/>
      <c r="G442" s="198"/>
      <c r="H442" s="198"/>
      <c r="I442" s="615"/>
      <c r="J442" s="198"/>
      <c r="K442" s="614"/>
      <c r="L442" s="614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41"/>
      <c r="D443" s="615"/>
      <c r="E443" s="198"/>
      <c r="F443" s="198"/>
      <c r="G443" s="198"/>
      <c r="H443" s="198"/>
      <c r="I443" s="615"/>
      <c r="J443" s="198"/>
      <c r="K443" s="614"/>
      <c r="L443" s="614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41"/>
      <c r="D444" s="615"/>
      <c r="E444" s="198"/>
      <c r="F444" s="198"/>
      <c r="G444" s="198"/>
      <c r="H444" s="198"/>
      <c r="I444" s="615"/>
      <c r="J444" s="198"/>
      <c r="K444" s="614"/>
      <c r="L444" s="614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41"/>
      <c r="D445" s="615"/>
      <c r="E445" s="198"/>
      <c r="F445" s="198"/>
      <c r="G445" s="198"/>
      <c r="H445" s="198"/>
      <c r="I445" s="615"/>
      <c r="J445" s="198"/>
      <c r="K445" s="614"/>
      <c r="L445" s="614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41"/>
      <c r="D446" s="615"/>
      <c r="E446" s="198"/>
      <c r="F446" s="198"/>
      <c r="G446" s="198"/>
      <c r="H446" s="198"/>
      <c r="I446" s="615"/>
      <c r="J446" s="198"/>
      <c r="K446" s="614"/>
      <c r="L446" s="614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41"/>
      <c r="D447" s="615"/>
      <c r="E447" s="198"/>
      <c r="F447" s="198"/>
      <c r="G447" s="198"/>
      <c r="H447" s="198"/>
      <c r="I447" s="615"/>
      <c r="J447" s="198"/>
      <c r="K447" s="614"/>
      <c r="L447" s="614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41"/>
      <c r="D448" s="615"/>
      <c r="E448" s="198"/>
      <c r="F448" s="198"/>
      <c r="G448" s="198"/>
      <c r="H448" s="198"/>
      <c r="I448" s="615"/>
      <c r="J448" s="198"/>
      <c r="K448" s="614"/>
      <c r="L448" s="614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41"/>
      <c r="D449" s="615"/>
      <c r="E449" s="198"/>
      <c r="F449" s="198"/>
      <c r="G449" s="198"/>
      <c r="H449" s="198"/>
      <c r="I449" s="615"/>
      <c r="J449" s="198"/>
      <c r="K449" s="614"/>
      <c r="L449" s="614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41"/>
      <c r="D450" s="615"/>
      <c r="E450" s="198"/>
      <c r="F450" s="198"/>
      <c r="G450" s="198"/>
      <c r="H450" s="198"/>
      <c r="I450" s="615"/>
      <c r="J450" s="198"/>
      <c r="K450" s="614"/>
      <c r="L450" s="614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41"/>
      <c r="D451" s="615"/>
      <c r="E451" s="198"/>
      <c r="F451" s="198"/>
      <c r="G451" s="198"/>
      <c r="H451" s="198"/>
      <c r="I451" s="615"/>
      <c r="J451" s="198"/>
      <c r="K451" s="614"/>
      <c r="L451" s="614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41"/>
      <c r="D452" s="615"/>
      <c r="E452" s="198"/>
      <c r="F452" s="198"/>
      <c r="G452" s="198"/>
      <c r="H452" s="198"/>
      <c r="I452" s="615"/>
      <c r="J452" s="198"/>
      <c r="K452" s="614"/>
      <c r="L452" s="614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41"/>
      <c r="D453" s="615"/>
      <c r="E453" s="198"/>
      <c r="F453" s="198"/>
      <c r="G453" s="198"/>
      <c r="H453" s="198"/>
      <c r="I453" s="615"/>
      <c r="J453" s="198"/>
      <c r="K453" s="614"/>
      <c r="L453" s="614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41"/>
      <c r="D454" s="615"/>
      <c r="E454" s="198"/>
      <c r="F454" s="198"/>
      <c r="G454" s="198"/>
      <c r="H454" s="198"/>
      <c r="I454" s="615"/>
      <c r="J454" s="198"/>
      <c r="K454" s="614"/>
      <c r="L454" s="614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41"/>
      <c r="D455" s="615"/>
      <c r="E455" s="198"/>
      <c r="F455" s="198"/>
      <c r="G455" s="198"/>
      <c r="H455" s="198"/>
      <c r="I455" s="615"/>
      <c r="J455" s="198"/>
      <c r="K455" s="614"/>
      <c r="L455" s="614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41"/>
      <c r="D456" s="615"/>
      <c r="E456" s="198"/>
      <c r="F456" s="198"/>
      <c r="G456" s="198"/>
      <c r="H456" s="198"/>
      <c r="I456" s="615"/>
      <c r="J456" s="198"/>
      <c r="K456" s="614"/>
      <c r="L456" s="614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41"/>
      <c r="D457" s="615"/>
      <c r="E457" s="198"/>
      <c r="F457" s="198"/>
      <c r="G457" s="198"/>
      <c r="H457" s="198"/>
      <c r="I457" s="615"/>
      <c r="J457" s="198"/>
      <c r="K457" s="614"/>
      <c r="L457" s="614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41"/>
      <c r="D458" s="615"/>
      <c r="E458" s="198"/>
      <c r="F458" s="198"/>
      <c r="G458" s="198"/>
      <c r="H458" s="198"/>
      <c r="I458" s="615"/>
      <c r="J458" s="198"/>
      <c r="K458" s="614"/>
      <c r="L458" s="614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41"/>
      <c r="D459" s="615"/>
      <c r="E459" s="198"/>
      <c r="F459" s="198"/>
      <c r="G459" s="198"/>
      <c r="H459" s="198"/>
      <c r="I459" s="615"/>
      <c r="J459" s="198"/>
      <c r="K459" s="614"/>
      <c r="L459" s="614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41"/>
      <c r="D460" s="615"/>
      <c r="E460" s="198"/>
      <c r="F460" s="198"/>
      <c r="G460" s="198"/>
      <c r="H460" s="198"/>
      <c r="I460" s="615"/>
      <c r="J460" s="198"/>
      <c r="K460" s="614"/>
      <c r="L460" s="614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41"/>
      <c r="D461" s="615"/>
      <c r="E461" s="198"/>
      <c r="F461" s="198"/>
      <c r="G461" s="198"/>
      <c r="H461" s="198"/>
      <c r="I461" s="615"/>
      <c r="J461" s="198"/>
      <c r="K461" s="614"/>
      <c r="L461" s="614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41"/>
      <c r="D462" s="615"/>
      <c r="E462" s="198"/>
      <c r="F462" s="198"/>
      <c r="G462" s="198"/>
      <c r="H462" s="198"/>
      <c r="I462" s="615"/>
      <c r="J462" s="198"/>
      <c r="K462" s="614"/>
      <c r="L462" s="614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41"/>
      <c r="D463" s="615"/>
      <c r="E463" s="198"/>
      <c r="F463" s="198"/>
      <c r="G463" s="198"/>
      <c r="H463" s="198"/>
      <c r="I463" s="615"/>
      <c r="J463" s="198"/>
      <c r="K463" s="614"/>
      <c r="L463" s="614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41"/>
      <c r="D464" s="615"/>
      <c r="E464" s="198"/>
      <c r="F464" s="198"/>
      <c r="G464" s="198"/>
      <c r="H464" s="198"/>
      <c r="I464" s="615"/>
      <c r="J464" s="198"/>
      <c r="K464" s="614"/>
      <c r="L464" s="614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41"/>
      <c r="D465" s="615"/>
      <c r="E465" s="198"/>
      <c r="F465" s="198"/>
      <c r="G465" s="198"/>
      <c r="H465" s="198"/>
      <c r="I465" s="615"/>
      <c r="J465" s="198"/>
      <c r="K465" s="614"/>
      <c r="L465" s="614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41"/>
      <c r="D466" s="615"/>
      <c r="E466" s="198"/>
      <c r="F466" s="198"/>
      <c r="G466" s="198"/>
      <c r="H466" s="198"/>
      <c r="I466" s="615"/>
      <c r="J466" s="198"/>
      <c r="K466" s="614"/>
      <c r="L466" s="614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41"/>
      <c r="D467" s="615"/>
      <c r="E467" s="198"/>
      <c r="F467" s="198"/>
      <c r="G467" s="198"/>
      <c r="H467" s="198"/>
      <c r="I467" s="615"/>
      <c r="J467" s="198"/>
      <c r="K467" s="614"/>
      <c r="L467" s="614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41"/>
      <c r="D468" s="615"/>
      <c r="E468" s="198"/>
      <c r="F468" s="198"/>
      <c r="G468" s="198"/>
      <c r="H468" s="198"/>
      <c r="I468" s="615"/>
      <c r="J468" s="198"/>
      <c r="K468" s="614"/>
      <c r="L468" s="614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41"/>
      <c r="D469" s="615"/>
      <c r="E469" s="198"/>
      <c r="F469" s="198"/>
      <c r="G469" s="198"/>
      <c r="H469" s="198"/>
      <c r="I469" s="615"/>
      <c r="J469" s="198"/>
      <c r="K469" s="614"/>
      <c r="L469" s="614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41"/>
      <c r="D470" s="615"/>
      <c r="E470" s="198"/>
      <c r="F470" s="198"/>
      <c r="G470" s="198"/>
      <c r="H470" s="198"/>
      <c r="I470" s="615"/>
      <c r="J470" s="198"/>
      <c r="K470" s="614"/>
      <c r="L470" s="614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41"/>
      <c r="D471" s="615"/>
      <c r="E471" s="198"/>
      <c r="F471" s="198"/>
      <c r="G471" s="198"/>
      <c r="H471" s="198"/>
      <c r="I471" s="615"/>
      <c r="J471" s="198"/>
      <c r="K471" s="614"/>
      <c r="L471" s="614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41"/>
      <c r="D472" s="615"/>
      <c r="E472" s="198"/>
      <c r="F472" s="198"/>
      <c r="G472" s="198"/>
      <c r="H472" s="198"/>
      <c r="I472" s="615"/>
      <c r="J472" s="198"/>
      <c r="K472" s="614"/>
      <c r="L472" s="614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41"/>
      <c r="D473" s="615"/>
      <c r="E473" s="198"/>
      <c r="F473" s="198"/>
      <c r="G473" s="198"/>
      <c r="H473" s="198"/>
      <c r="I473" s="615"/>
      <c r="J473" s="198"/>
      <c r="K473" s="614"/>
      <c r="L473" s="614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41"/>
      <c r="D474" s="615"/>
      <c r="E474" s="198"/>
      <c r="F474" s="198"/>
      <c r="G474" s="198"/>
      <c r="H474" s="198"/>
      <c r="I474" s="615"/>
      <c r="J474" s="198"/>
      <c r="K474" s="614"/>
      <c r="L474" s="614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41"/>
      <c r="D475" s="615"/>
      <c r="E475" s="198"/>
      <c r="F475" s="198"/>
      <c r="G475" s="198"/>
      <c r="H475" s="198"/>
      <c r="I475" s="615"/>
      <c r="J475" s="198"/>
      <c r="K475" s="614"/>
      <c r="L475" s="614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41"/>
      <c r="D476" s="615"/>
      <c r="E476" s="198"/>
      <c r="F476" s="198"/>
      <c r="G476" s="198"/>
      <c r="H476" s="198"/>
      <c r="I476" s="615"/>
      <c r="J476" s="198"/>
      <c r="K476" s="614"/>
      <c r="L476" s="614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41"/>
      <c r="D477" s="615"/>
      <c r="E477" s="198"/>
      <c r="F477" s="198"/>
      <c r="G477" s="198"/>
      <c r="H477" s="198"/>
      <c r="I477" s="615"/>
      <c r="J477" s="198"/>
      <c r="K477" s="614"/>
      <c r="L477" s="614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41"/>
      <c r="D478" s="615"/>
      <c r="E478" s="198"/>
      <c r="F478" s="198"/>
      <c r="G478" s="198"/>
      <c r="H478" s="198"/>
      <c r="I478" s="615"/>
      <c r="J478" s="198"/>
      <c r="K478" s="614"/>
      <c r="L478" s="614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41"/>
      <c r="D479" s="615"/>
      <c r="E479" s="198"/>
      <c r="F479" s="198"/>
      <c r="G479" s="198"/>
      <c r="H479" s="198"/>
      <c r="I479" s="615"/>
      <c r="J479" s="198"/>
      <c r="K479" s="614"/>
      <c r="L479" s="614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41"/>
      <c r="D480" s="615"/>
      <c r="E480" s="198"/>
      <c r="F480" s="198"/>
      <c r="G480" s="198"/>
      <c r="H480" s="198"/>
      <c r="I480" s="615"/>
      <c r="J480" s="198"/>
      <c r="K480" s="614"/>
      <c r="L480" s="614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41"/>
      <c r="D481" s="615"/>
      <c r="E481" s="198"/>
      <c r="F481" s="198"/>
      <c r="G481" s="198"/>
      <c r="H481" s="198"/>
      <c r="I481" s="615"/>
      <c r="J481" s="198"/>
      <c r="K481" s="614"/>
      <c r="L481" s="614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41"/>
      <c r="D482" s="615"/>
      <c r="E482" s="198"/>
      <c r="F482" s="198"/>
      <c r="G482" s="198"/>
      <c r="H482" s="198"/>
      <c r="I482" s="615"/>
      <c r="J482" s="198"/>
      <c r="K482" s="614"/>
      <c r="L482" s="614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41"/>
      <c r="D483" s="615"/>
      <c r="E483" s="198"/>
      <c r="F483" s="198"/>
      <c r="G483" s="198"/>
      <c r="H483" s="198"/>
      <c r="I483" s="615"/>
      <c r="J483" s="198"/>
      <c r="K483" s="614"/>
      <c r="L483" s="614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41"/>
      <c r="D484" s="615"/>
      <c r="E484" s="198"/>
      <c r="F484" s="198"/>
      <c r="G484" s="198"/>
      <c r="H484" s="198"/>
      <c r="I484" s="615"/>
      <c r="J484" s="198"/>
      <c r="K484" s="614"/>
      <c r="L484" s="614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41"/>
      <c r="D485" s="615"/>
      <c r="E485" s="198"/>
      <c r="F485" s="198"/>
      <c r="G485" s="198"/>
      <c r="H485" s="198"/>
      <c r="I485" s="615"/>
      <c r="J485" s="198"/>
      <c r="K485" s="614"/>
      <c r="L485" s="614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41"/>
      <c r="D486" s="615"/>
      <c r="E486" s="198"/>
      <c r="F486" s="198"/>
      <c r="G486" s="198"/>
      <c r="H486" s="198"/>
      <c r="I486" s="615"/>
      <c r="J486" s="198"/>
      <c r="K486" s="614"/>
      <c r="L486" s="614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41"/>
      <c r="D487" s="615"/>
      <c r="E487" s="198"/>
      <c r="F487" s="198"/>
      <c r="G487" s="198"/>
      <c r="H487" s="198"/>
      <c r="I487" s="615"/>
      <c r="J487" s="198"/>
      <c r="K487" s="614"/>
      <c r="L487" s="614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41"/>
      <c r="D488" s="615"/>
      <c r="E488" s="198"/>
      <c r="F488" s="198"/>
      <c r="G488" s="198"/>
      <c r="H488" s="198"/>
      <c r="I488" s="615"/>
      <c r="J488" s="198"/>
      <c r="K488" s="614"/>
      <c r="L488" s="614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41"/>
      <c r="D489" s="615"/>
      <c r="E489" s="198"/>
      <c r="F489" s="198"/>
      <c r="G489" s="198"/>
      <c r="H489" s="198"/>
      <c r="I489" s="615"/>
      <c r="J489" s="198"/>
      <c r="K489" s="614"/>
      <c r="L489" s="614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41"/>
      <c r="D490" s="615"/>
      <c r="E490" s="198"/>
      <c r="F490" s="198"/>
      <c r="G490" s="198"/>
      <c r="H490" s="198"/>
      <c r="I490" s="615"/>
      <c r="J490" s="198"/>
      <c r="K490" s="614"/>
      <c r="L490" s="614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41"/>
      <c r="D491" s="615"/>
      <c r="E491" s="198"/>
      <c r="F491" s="198"/>
      <c r="G491" s="198"/>
      <c r="H491" s="198"/>
      <c r="I491" s="615"/>
      <c r="J491" s="198"/>
      <c r="K491" s="614"/>
      <c r="L491" s="614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41"/>
      <c r="D492" s="615"/>
      <c r="E492" s="198"/>
      <c r="F492" s="198"/>
      <c r="G492" s="198"/>
      <c r="H492" s="198"/>
      <c r="I492" s="615"/>
      <c r="J492" s="198"/>
      <c r="K492" s="614"/>
      <c r="L492" s="614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41"/>
      <c r="D493" s="615"/>
      <c r="E493" s="198"/>
      <c r="F493" s="198"/>
      <c r="G493" s="198"/>
      <c r="H493" s="198"/>
      <c r="I493" s="615"/>
      <c r="J493" s="198"/>
      <c r="K493" s="614"/>
      <c r="L493" s="614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41"/>
      <c r="D494" s="615"/>
      <c r="E494" s="198"/>
      <c r="F494" s="198"/>
      <c r="G494" s="198"/>
      <c r="H494" s="198"/>
      <c r="I494" s="615"/>
      <c r="J494" s="198"/>
      <c r="K494" s="614"/>
      <c r="L494" s="614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41"/>
      <c r="D495" s="615"/>
      <c r="E495" s="198"/>
      <c r="F495" s="198"/>
      <c r="G495" s="198"/>
      <c r="H495" s="198"/>
      <c r="I495" s="615"/>
      <c r="J495" s="198"/>
      <c r="K495" s="614"/>
      <c r="L495" s="614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41"/>
      <c r="D496" s="615"/>
      <c r="E496" s="198"/>
      <c r="F496" s="198"/>
      <c r="G496" s="198"/>
      <c r="H496" s="198"/>
      <c r="I496" s="615"/>
      <c r="J496" s="198"/>
      <c r="K496" s="614"/>
      <c r="L496" s="614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41"/>
      <c r="D497" s="615"/>
      <c r="E497" s="198"/>
      <c r="F497" s="198"/>
      <c r="G497" s="198"/>
      <c r="H497" s="198"/>
      <c r="I497" s="615"/>
      <c r="J497" s="198"/>
      <c r="K497" s="614"/>
      <c r="L497" s="614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41"/>
      <c r="D498" s="615"/>
      <c r="E498" s="198"/>
      <c r="F498" s="198"/>
      <c r="G498" s="198"/>
      <c r="H498" s="198"/>
      <c r="I498" s="615"/>
      <c r="J498" s="198"/>
      <c r="K498" s="614"/>
      <c r="L498" s="614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41"/>
      <c r="D499" s="615"/>
      <c r="E499" s="198"/>
      <c r="F499" s="198"/>
      <c r="G499" s="198"/>
      <c r="H499" s="198"/>
      <c r="I499" s="615"/>
      <c r="J499" s="198"/>
      <c r="K499" s="614"/>
      <c r="L499" s="614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41"/>
      <c r="D500" s="615"/>
      <c r="E500" s="198"/>
      <c r="F500" s="198"/>
      <c r="G500" s="198"/>
      <c r="H500" s="198"/>
      <c r="I500" s="615"/>
      <c r="J500" s="198"/>
      <c r="K500" s="614"/>
      <c r="L500" s="614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41"/>
      <c r="D501" s="615"/>
      <c r="E501" s="198"/>
      <c r="F501" s="198"/>
      <c r="G501" s="198"/>
      <c r="H501" s="198"/>
      <c r="I501" s="615"/>
      <c r="J501" s="198"/>
      <c r="K501" s="614"/>
      <c r="L501" s="614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41"/>
      <c r="D502" s="615"/>
      <c r="E502" s="198"/>
      <c r="F502" s="198"/>
      <c r="G502" s="198"/>
      <c r="H502" s="198"/>
      <c r="I502" s="615"/>
      <c r="J502" s="198"/>
      <c r="K502" s="614"/>
      <c r="L502" s="614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41"/>
      <c r="D503" s="615"/>
      <c r="E503" s="198"/>
      <c r="F503" s="198"/>
      <c r="G503" s="198"/>
      <c r="H503" s="198"/>
      <c r="I503" s="615"/>
      <c r="J503" s="198"/>
      <c r="K503" s="614"/>
      <c r="L503" s="614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41"/>
      <c r="D504" s="615"/>
      <c r="E504" s="198"/>
      <c r="F504" s="198"/>
      <c r="G504" s="198"/>
      <c r="H504" s="198"/>
      <c r="I504" s="615"/>
      <c r="J504" s="198"/>
      <c r="K504" s="614"/>
      <c r="L504" s="614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41"/>
      <c r="D505" s="615"/>
      <c r="E505" s="198"/>
      <c r="F505" s="198"/>
      <c r="G505" s="198"/>
      <c r="H505" s="198"/>
      <c r="I505" s="615"/>
      <c r="J505" s="198"/>
      <c r="K505" s="614"/>
      <c r="L505" s="614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41"/>
      <c r="D506" s="615"/>
      <c r="E506" s="198"/>
      <c r="F506" s="198"/>
      <c r="G506" s="198"/>
      <c r="H506" s="198"/>
      <c r="I506" s="615"/>
      <c r="J506" s="198"/>
      <c r="K506" s="614"/>
      <c r="L506" s="614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41"/>
      <c r="D507" s="615"/>
      <c r="E507" s="198"/>
      <c r="F507" s="198"/>
      <c r="G507" s="198"/>
      <c r="H507" s="198"/>
      <c r="I507" s="615"/>
      <c r="J507" s="198"/>
      <c r="K507" s="614"/>
      <c r="L507" s="614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41"/>
      <c r="D508" s="615"/>
      <c r="E508" s="198"/>
      <c r="F508" s="198"/>
      <c r="G508" s="198"/>
      <c r="H508" s="198"/>
      <c r="I508" s="615"/>
      <c r="J508" s="198"/>
      <c r="K508" s="614"/>
      <c r="L508" s="614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41"/>
      <c r="D509" s="615"/>
      <c r="E509" s="198"/>
      <c r="F509" s="198"/>
      <c r="G509" s="198"/>
      <c r="H509" s="198"/>
      <c r="I509" s="615"/>
      <c r="J509" s="198"/>
      <c r="K509" s="614"/>
      <c r="L509" s="614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41"/>
      <c r="D510" s="615"/>
      <c r="E510" s="198"/>
      <c r="F510" s="198"/>
      <c r="G510" s="198"/>
      <c r="H510" s="198"/>
      <c r="I510" s="615"/>
      <c r="J510" s="198"/>
      <c r="K510" s="614"/>
      <c r="L510" s="614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41"/>
      <c r="D511" s="615"/>
      <c r="E511" s="198"/>
      <c r="F511" s="198"/>
      <c r="G511" s="198"/>
      <c r="H511" s="198"/>
      <c r="I511" s="615"/>
      <c r="J511" s="198"/>
      <c r="K511" s="614"/>
      <c r="L511" s="614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41"/>
      <c r="D512" s="615"/>
      <c r="E512" s="198"/>
      <c r="F512" s="198"/>
      <c r="G512" s="198"/>
      <c r="H512" s="198"/>
      <c r="I512" s="615"/>
      <c r="J512" s="198"/>
      <c r="K512" s="614"/>
      <c r="L512" s="614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41"/>
      <c r="D513" s="615"/>
      <c r="E513" s="198"/>
      <c r="F513" s="198"/>
      <c r="G513" s="198"/>
      <c r="H513" s="198"/>
      <c r="I513" s="615"/>
      <c r="J513" s="198"/>
      <c r="K513" s="614"/>
      <c r="L513" s="614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41"/>
      <c r="D514" s="615"/>
      <c r="E514" s="198"/>
      <c r="F514" s="198"/>
      <c r="G514" s="198"/>
      <c r="H514" s="198"/>
      <c r="I514" s="615"/>
      <c r="J514" s="198"/>
      <c r="K514" s="614"/>
      <c r="L514" s="614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41"/>
      <c r="D515" s="615"/>
      <c r="E515" s="198"/>
      <c r="F515" s="198"/>
      <c r="G515" s="198"/>
      <c r="H515" s="198"/>
      <c r="I515" s="615"/>
      <c r="J515" s="198"/>
      <c r="K515" s="614"/>
      <c r="L515" s="614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41"/>
      <c r="D516" s="615"/>
      <c r="E516" s="198"/>
      <c r="F516" s="198"/>
      <c r="G516" s="198"/>
      <c r="H516" s="198"/>
      <c r="I516" s="615"/>
      <c r="J516" s="198"/>
      <c r="K516" s="614"/>
      <c r="L516" s="614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41"/>
      <c r="D517" s="615"/>
      <c r="E517" s="198"/>
      <c r="F517" s="198"/>
      <c r="G517" s="198"/>
      <c r="H517" s="198"/>
      <c r="I517" s="615"/>
      <c r="J517" s="198"/>
      <c r="K517" s="614"/>
      <c r="L517" s="614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41"/>
      <c r="D518" s="615"/>
      <c r="E518" s="198"/>
      <c r="F518" s="198"/>
      <c r="G518" s="198"/>
      <c r="H518" s="198"/>
      <c r="I518" s="615"/>
      <c r="J518" s="198"/>
      <c r="K518" s="614"/>
      <c r="L518" s="614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41"/>
      <c r="D519" s="615"/>
      <c r="E519" s="198"/>
      <c r="F519" s="198"/>
      <c r="G519" s="198"/>
      <c r="H519" s="198"/>
      <c r="I519" s="615"/>
      <c r="J519" s="198"/>
      <c r="K519" s="614"/>
      <c r="L519" s="614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41"/>
      <c r="D520" s="615"/>
      <c r="E520" s="198"/>
      <c r="F520" s="198"/>
      <c r="G520" s="198"/>
      <c r="H520" s="198"/>
      <c r="I520" s="615"/>
      <c r="J520" s="198"/>
      <c r="K520" s="614"/>
      <c r="L520" s="614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41"/>
      <c r="D521" s="615"/>
      <c r="E521" s="198"/>
      <c r="F521" s="198"/>
      <c r="G521" s="198"/>
      <c r="H521" s="198"/>
      <c r="I521" s="615"/>
      <c r="J521" s="198"/>
      <c r="K521" s="614"/>
      <c r="L521" s="614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41"/>
      <c r="D522" s="615"/>
      <c r="E522" s="198"/>
      <c r="F522" s="198"/>
      <c r="G522" s="198"/>
      <c r="H522" s="198"/>
      <c r="I522" s="615"/>
      <c r="J522" s="198"/>
      <c r="K522" s="614"/>
      <c r="L522" s="614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41"/>
      <c r="D523" s="615"/>
      <c r="E523" s="198"/>
      <c r="F523" s="198"/>
      <c r="G523" s="198"/>
      <c r="H523" s="198"/>
      <c r="I523" s="615"/>
      <c r="J523" s="198"/>
      <c r="K523" s="614"/>
      <c r="L523" s="614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41"/>
      <c r="D524" s="615"/>
      <c r="E524" s="198"/>
      <c r="F524" s="198"/>
      <c r="G524" s="198"/>
      <c r="H524" s="198"/>
      <c r="I524" s="615"/>
      <c r="J524" s="198"/>
      <c r="K524" s="614"/>
      <c r="L524" s="614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41"/>
      <c r="D525" s="615"/>
      <c r="E525" s="198"/>
      <c r="F525" s="198"/>
      <c r="G525" s="198"/>
      <c r="H525" s="198"/>
      <c r="I525" s="615"/>
      <c r="J525" s="198"/>
      <c r="K525" s="614"/>
      <c r="L525" s="614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41"/>
      <c r="D526" s="615"/>
      <c r="E526" s="198"/>
      <c r="F526" s="198"/>
      <c r="G526" s="198"/>
      <c r="H526" s="198"/>
      <c r="I526" s="615"/>
      <c r="J526" s="198"/>
      <c r="K526" s="614"/>
      <c r="L526" s="614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41"/>
      <c r="D527" s="615"/>
      <c r="E527" s="198"/>
      <c r="F527" s="198"/>
      <c r="G527" s="198"/>
      <c r="H527" s="198"/>
      <c r="I527" s="615"/>
      <c r="J527" s="198"/>
      <c r="K527" s="614"/>
      <c r="L527" s="614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41"/>
      <c r="D528" s="615"/>
      <c r="E528" s="198"/>
      <c r="F528" s="198"/>
      <c r="G528" s="198"/>
      <c r="H528" s="198"/>
      <c r="I528" s="615"/>
      <c r="J528" s="198"/>
      <c r="K528" s="614"/>
      <c r="L528" s="614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41"/>
      <c r="D529" s="615"/>
      <c r="E529" s="198"/>
      <c r="F529" s="198"/>
      <c r="G529" s="198"/>
      <c r="H529" s="198"/>
      <c r="I529" s="615"/>
      <c r="J529" s="198"/>
      <c r="K529" s="614"/>
      <c r="L529" s="614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41"/>
      <c r="D530" s="615"/>
      <c r="E530" s="198"/>
      <c r="F530" s="198"/>
      <c r="G530" s="198"/>
      <c r="H530" s="198"/>
      <c r="I530" s="615"/>
      <c r="J530" s="198"/>
      <c r="K530" s="614"/>
      <c r="L530" s="614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41"/>
      <c r="D531" s="615"/>
      <c r="E531" s="198"/>
      <c r="F531" s="198"/>
      <c r="G531" s="198"/>
      <c r="H531" s="198"/>
      <c r="I531" s="615"/>
      <c r="J531" s="198"/>
      <c r="K531" s="614"/>
      <c r="L531" s="614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41"/>
      <c r="D532" s="615"/>
      <c r="E532" s="198"/>
      <c r="F532" s="198"/>
      <c r="G532" s="198"/>
      <c r="H532" s="198"/>
      <c r="I532" s="615"/>
      <c r="J532" s="198"/>
      <c r="K532" s="614"/>
      <c r="L532" s="614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41"/>
      <c r="D533" s="615"/>
      <c r="E533" s="198"/>
      <c r="F533" s="198"/>
      <c r="G533" s="198"/>
      <c r="H533" s="198"/>
      <c r="I533" s="615"/>
      <c r="J533" s="198"/>
      <c r="K533" s="614"/>
      <c r="L533" s="614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41"/>
      <c r="D534" s="615"/>
      <c r="E534" s="198"/>
      <c r="F534" s="198"/>
      <c r="G534" s="198"/>
      <c r="H534" s="198"/>
      <c r="I534" s="615"/>
      <c r="J534" s="198"/>
      <c r="K534" s="614"/>
      <c r="L534" s="614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41"/>
      <c r="D535" s="615"/>
      <c r="E535" s="198"/>
      <c r="F535" s="198"/>
      <c r="G535" s="198"/>
      <c r="H535" s="198"/>
      <c r="I535" s="615"/>
      <c r="J535" s="198"/>
      <c r="K535" s="614"/>
      <c r="L535" s="614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41"/>
      <c r="D536" s="615"/>
      <c r="E536" s="198"/>
      <c r="F536" s="198"/>
      <c r="G536" s="198"/>
      <c r="H536" s="198"/>
      <c r="I536" s="615"/>
      <c r="J536" s="198"/>
      <c r="K536" s="614"/>
      <c r="L536" s="614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41"/>
      <c r="D537" s="615"/>
      <c r="E537" s="198"/>
      <c r="F537" s="198"/>
      <c r="G537" s="198"/>
      <c r="H537" s="198"/>
      <c r="I537" s="615"/>
      <c r="J537" s="198"/>
      <c r="K537" s="614"/>
      <c r="L537" s="614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41"/>
      <c r="D538" s="615"/>
      <c r="E538" s="198"/>
      <c r="F538" s="198"/>
      <c r="G538" s="198"/>
      <c r="H538" s="198"/>
      <c r="I538" s="615"/>
      <c r="J538" s="198"/>
      <c r="K538" s="614"/>
      <c r="L538" s="614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41"/>
      <c r="D539" s="615"/>
      <c r="E539" s="198"/>
      <c r="F539" s="198"/>
      <c r="G539" s="198"/>
      <c r="H539" s="198"/>
      <c r="I539" s="615"/>
      <c r="J539" s="198"/>
      <c r="K539" s="614"/>
      <c r="L539" s="614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41"/>
      <c r="D540" s="615"/>
      <c r="E540" s="198"/>
      <c r="F540" s="198"/>
      <c r="G540" s="198"/>
      <c r="H540" s="198"/>
      <c r="I540" s="615"/>
      <c r="J540" s="198"/>
      <c r="K540" s="614"/>
      <c r="L540" s="614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41"/>
      <c r="D541" s="615"/>
      <c r="E541" s="198"/>
      <c r="F541" s="198"/>
      <c r="G541" s="198"/>
      <c r="H541" s="198"/>
      <c r="I541" s="615"/>
      <c r="J541" s="198"/>
      <c r="K541" s="614"/>
      <c r="L541" s="614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41"/>
      <c r="D542" s="615"/>
      <c r="E542" s="198"/>
      <c r="F542" s="198"/>
      <c r="G542" s="198"/>
      <c r="H542" s="198"/>
      <c r="I542" s="615"/>
      <c r="J542" s="198"/>
      <c r="K542" s="614"/>
      <c r="L542" s="614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41"/>
      <c r="D543" s="615"/>
      <c r="E543" s="198"/>
      <c r="F543" s="198"/>
      <c r="G543" s="198"/>
      <c r="H543" s="198"/>
      <c r="I543" s="615"/>
      <c r="J543" s="198"/>
      <c r="K543" s="614"/>
      <c r="L543" s="614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41"/>
      <c r="D544" s="615"/>
      <c r="E544" s="198"/>
      <c r="F544" s="198"/>
      <c r="G544" s="198"/>
      <c r="H544" s="198"/>
      <c r="I544" s="615"/>
      <c r="J544" s="198"/>
      <c r="K544" s="614"/>
      <c r="L544" s="614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41"/>
      <c r="D545" s="615"/>
      <c r="E545" s="198"/>
      <c r="F545" s="198"/>
      <c r="G545" s="198"/>
      <c r="H545" s="198"/>
      <c r="I545" s="615"/>
      <c r="J545" s="198"/>
      <c r="K545" s="614"/>
      <c r="L545" s="614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41"/>
      <c r="D546" s="615"/>
      <c r="E546" s="198"/>
      <c r="F546" s="198"/>
      <c r="G546" s="198"/>
      <c r="H546" s="198"/>
      <c r="I546" s="615"/>
      <c r="J546" s="198"/>
      <c r="K546" s="614"/>
      <c r="L546" s="614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41"/>
      <c r="D547" s="615"/>
      <c r="E547" s="198"/>
      <c r="F547" s="198"/>
      <c r="G547" s="198"/>
      <c r="H547" s="198"/>
      <c r="I547" s="615"/>
      <c r="J547" s="198"/>
      <c r="K547" s="614"/>
      <c r="L547" s="614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41"/>
      <c r="D548" s="615"/>
      <c r="E548" s="198"/>
      <c r="F548" s="198"/>
      <c r="G548" s="198"/>
      <c r="H548" s="198"/>
      <c r="I548" s="615"/>
      <c r="J548" s="198"/>
      <c r="K548" s="614"/>
      <c r="L548" s="614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41"/>
      <c r="D549" s="615"/>
      <c r="E549" s="198"/>
      <c r="F549" s="198"/>
      <c r="G549" s="198"/>
      <c r="H549" s="198"/>
      <c r="I549" s="615"/>
      <c r="J549" s="198"/>
      <c r="K549" s="614"/>
      <c r="L549" s="614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41"/>
      <c r="D550" s="615"/>
      <c r="E550" s="198"/>
      <c r="F550" s="198"/>
      <c r="G550" s="198"/>
      <c r="H550" s="198"/>
      <c r="I550" s="615"/>
      <c r="J550" s="198"/>
      <c r="K550" s="614"/>
      <c r="L550" s="614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41"/>
      <c r="D551" s="615"/>
      <c r="E551" s="198"/>
      <c r="F551" s="198"/>
      <c r="G551" s="198"/>
      <c r="H551" s="198"/>
      <c r="I551" s="615"/>
      <c r="J551" s="198"/>
      <c r="K551" s="614"/>
      <c r="L551" s="614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41"/>
      <c r="D552" s="615"/>
      <c r="E552" s="198"/>
      <c r="F552" s="198"/>
      <c r="G552" s="198"/>
      <c r="H552" s="198"/>
      <c r="I552" s="615"/>
      <c r="J552" s="198"/>
      <c r="K552" s="614"/>
      <c r="L552" s="614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41"/>
      <c r="D553" s="615"/>
      <c r="E553" s="198"/>
      <c r="F553" s="198"/>
      <c r="G553" s="198"/>
      <c r="H553" s="198"/>
      <c r="I553" s="615"/>
      <c r="J553" s="198"/>
      <c r="K553" s="614"/>
      <c r="L553" s="614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41"/>
      <c r="D554" s="615"/>
      <c r="E554" s="198"/>
      <c r="F554" s="198"/>
      <c r="G554" s="198"/>
      <c r="H554" s="198"/>
      <c r="I554" s="615"/>
      <c r="J554" s="198"/>
      <c r="K554" s="614"/>
      <c r="L554" s="614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41"/>
      <c r="D555" s="615"/>
      <c r="E555" s="198"/>
      <c r="F555" s="198"/>
      <c r="G555" s="198"/>
      <c r="H555" s="198"/>
      <c r="I555" s="615"/>
      <c r="J555" s="198"/>
      <c r="K555" s="614"/>
      <c r="L555" s="614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41"/>
      <c r="D556" s="615"/>
      <c r="E556" s="198"/>
      <c r="F556" s="198"/>
      <c r="G556" s="198"/>
      <c r="H556" s="198"/>
      <c r="I556" s="615"/>
      <c r="J556" s="198"/>
      <c r="K556" s="614"/>
      <c r="L556" s="614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41"/>
      <c r="D557" s="615"/>
      <c r="E557" s="198"/>
      <c r="F557" s="198"/>
      <c r="G557" s="198"/>
      <c r="H557" s="198"/>
      <c r="I557" s="615"/>
      <c r="J557" s="198"/>
      <c r="K557" s="614"/>
      <c r="L557" s="614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41"/>
      <c r="D558" s="615"/>
      <c r="E558" s="198"/>
      <c r="F558" s="198"/>
      <c r="G558" s="198"/>
      <c r="H558" s="198"/>
      <c r="I558" s="615"/>
      <c r="J558" s="198"/>
      <c r="K558" s="614"/>
      <c r="L558" s="614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41"/>
      <c r="D559" s="615"/>
      <c r="E559" s="198"/>
      <c r="F559" s="198"/>
      <c r="G559" s="198"/>
      <c r="H559" s="198"/>
      <c r="I559" s="615"/>
      <c r="J559" s="198"/>
      <c r="K559" s="614"/>
      <c r="L559" s="614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41"/>
      <c r="D560" s="615"/>
      <c r="E560" s="198"/>
      <c r="F560" s="198"/>
      <c r="G560" s="198"/>
      <c r="H560" s="198"/>
      <c r="I560" s="615"/>
      <c r="J560" s="198"/>
      <c r="K560" s="614"/>
      <c r="L560" s="614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41"/>
      <c r="D561" s="615"/>
      <c r="E561" s="198"/>
      <c r="F561" s="198"/>
      <c r="G561" s="198"/>
      <c r="H561" s="198"/>
      <c r="I561" s="615"/>
      <c r="J561" s="198"/>
      <c r="K561" s="614"/>
      <c r="L561" s="614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41"/>
      <c r="D562" s="615"/>
      <c r="E562" s="198"/>
      <c r="F562" s="198"/>
      <c r="G562" s="198"/>
      <c r="H562" s="198"/>
      <c r="I562" s="615"/>
      <c r="J562" s="198"/>
      <c r="K562" s="614"/>
      <c r="L562" s="614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41"/>
      <c r="D563" s="615"/>
      <c r="E563" s="198"/>
      <c r="F563" s="198"/>
      <c r="G563" s="198"/>
      <c r="H563" s="198"/>
      <c r="I563" s="615"/>
      <c r="J563" s="198"/>
      <c r="K563" s="614"/>
      <c r="L563" s="614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41"/>
      <c r="D564" s="615"/>
      <c r="E564" s="198"/>
      <c r="F564" s="198"/>
      <c r="G564" s="198"/>
      <c r="H564" s="198"/>
      <c r="I564" s="615"/>
      <c r="J564" s="198"/>
      <c r="K564" s="614"/>
      <c r="L564" s="614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41"/>
      <c r="D565" s="615"/>
      <c r="E565" s="198"/>
      <c r="F565" s="198"/>
      <c r="G565" s="198"/>
      <c r="H565" s="198"/>
      <c r="I565" s="615"/>
      <c r="J565" s="198"/>
      <c r="K565" s="614"/>
      <c r="L565" s="614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41"/>
      <c r="D566" s="615"/>
      <c r="E566" s="198"/>
      <c r="F566" s="198"/>
      <c r="G566" s="198"/>
      <c r="H566" s="198"/>
      <c r="I566" s="615"/>
      <c r="J566" s="198"/>
      <c r="K566" s="614"/>
      <c r="L566" s="614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41"/>
      <c r="D567" s="615"/>
      <c r="E567" s="198"/>
      <c r="F567" s="198"/>
      <c r="G567" s="198"/>
      <c r="H567" s="198"/>
      <c r="I567" s="615"/>
      <c r="J567" s="198"/>
      <c r="K567" s="614"/>
      <c r="L567" s="614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41"/>
      <c r="D568" s="615"/>
      <c r="E568" s="198"/>
      <c r="F568" s="198"/>
      <c r="G568" s="198"/>
      <c r="H568" s="198"/>
      <c r="I568" s="615"/>
      <c r="J568" s="198"/>
      <c r="K568" s="614"/>
      <c r="L568" s="614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41"/>
      <c r="D569" s="615"/>
      <c r="E569" s="198"/>
      <c r="F569" s="198"/>
      <c r="G569" s="198"/>
      <c r="H569" s="198"/>
      <c r="I569" s="615"/>
      <c r="J569" s="198"/>
      <c r="K569" s="614"/>
      <c r="L569" s="614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41"/>
      <c r="D570" s="615"/>
      <c r="E570" s="198"/>
      <c r="F570" s="198"/>
      <c r="G570" s="198"/>
      <c r="H570" s="198"/>
      <c r="I570" s="615"/>
      <c r="J570" s="198"/>
      <c r="K570" s="614"/>
      <c r="L570" s="614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41"/>
      <c r="D571" s="615"/>
      <c r="E571" s="198"/>
      <c r="F571" s="198"/>
      <c r="G571" s="198"/>
      <c r="H571" s="198"/>
      <c r="I571" s="615"/>
      <c r="J571" s="198"/>
      <c r="K571" s="614"/>
      <c r="L571" s="614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41"/>
      <c r="D572" s="615"/>
      <c r="E572" s="198"/>
      <c r="F572" s="198"/>
      <c r="G572" s="198"/>
      <c r="H572" s="198"/>
      <c r="I572" s="615"/>
      <c r="J572" s="198"/>
      <c r="K572" s="614"/>
      <c r="L572" s="614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41"/>
      <c r="D573" s="615"/>
      <c r="E573" s="198"/>
      <c r="F573" s="198"/>
      <c r="G573" s="198"/>
      <c r="H573" s="198"/>
      <c r="I573" s="615"/>
      <c r="J573" s="198"/>
      <c r="K573" s="614"/>
      <c r="L573" s="614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41"/>
      <c r="D574" s="615"/>
      <c r="E574" s="198"/>
      <c r="F574" s="198"/>
      <c r="G574" s="198"/>
      <c r="H574" s="198"/>
      <c r="I574" s="615"/>
      <c r="J574" s="198"/>
      <c r="K574" s="614"/>
      <c r="L574" s="614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41"/>
      <c r="D575" s="615"/>
      <c r="E575" s="198"/>
      <c r="F575" s="198"/>
      <c r="G575" s="198"/>
      <c r="H575" s="198"/>
      <c r="I575" s="615"/>
      <c r="J575" s="198"/>
      <c r="K575" s="614"/>
      <c r="L575" s="614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41"/>
      <c r="D576" s="615"/>
      <c r="E576" s="198"/>
      <c r="F576" s="198"/>
      <c r="G576" s="198"/>
      <c r="H576" s="198"/>
      <c r="I576" s="615"/>
      <c r="J576" s="198"/>
      <c r="K576" s="614"/>
      <c r="L576" s="614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41"/>
      <c r="D577" s="615"/>
      <c r="E577" s="198"/>
      <c r="F577" s="198"/>
      <c r="G577" s="198"/>
      <c r="H577" s="198"/>
      <c r="I577" s="615"/>
      <c r="J577" s="198"/>
      <c r="K577" s="614"/>
      <c r="L577" s="614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41"/>
      <c r="D578" s="615"/>
      <c r="E578" s="198"/>
      <c r="F578" s="198"/>
      <c r="G578" s="198"/>
      <c r="H578" s="198"/>
      <c r="I578" s="615"/>
      <c r="J578" s="198"/>
      <c r="K578" s="614"/>
      <c r="L578" s="614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41"/>
      <c r="D579" s="615"/>
      <c r="E579" s="198"/>
      <c r="F579" s="198"/>
      <c r="G579" s="198"/>
      <c r="H579" s="198"/>
      <c r="I579" s="615"/>
      <c r="J579" s="198"/>
      <c r="K579" s="614"/>
      <c r="L579" s="614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41"/>
      <c r="D580" s="615"/>
      <c r="E580" s="198"/>
      <c r="F580" s="198"/>
      <c r="G580" s="198"/>
      <c r="H580" s="198"/>
      <c r="I580" s="615"/>
      <c r="J580" s="198"/>
      <c r="K580" s="614"/>
      <c r="L580" s="614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41"/>
      <c r="D581" s="615"/>
      <c r="E581" s="198"/>
      <c r="F581" s="198"/>
      <c r="G581" s="198"/>
      <c r="H581" s="198"/>
      <c r="I581" s="615"/>
      <c r="J581" s="198"/>
      <c r="K581" s="614"/>
      <c r="L581" s="614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41"/>
      <c r="D582" s="615"/>
      <c r="E582" s="198"/>
      <c r="F582" s="198"/>
      <c r="G582" s="198"/>
      <c r="H582" s="198"/>
      <c r="I582" s="615"/>
      <c r="J582" s="198"/>
      <c r="K582" s="614"/>
      <c r="L582" s="614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41"/>
      <c r="D583" s="615"/>
      <c r="E583" s="198"/>
      <c r="F583" s="198"/>
      <c r="G583" s="198"/>
      <c r="H583" s="198"/>
      <c r="I583" s="615"/>
      <c r="J583" s="198"/>
      <c r="K583" s="614"/>
      <c r="L583" s="614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41"/>
      <c r="D584" s="615"/>
      <c r="E584" s="198"/>
      <c r="F584" s="198"/>
      <c r="G584" s="198"/>
      <c r="H584" s="198"/>
      <c r="I584" s="615"/>
      <c r="J584" s="198"/>
      <c r="K584" s="614"/>
      <c r="L584" s="614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41"/>
      <c r="D585" s="615"/>
      <c r="E585" s="198"/>
      <c r="F585" s="198"/>
      <c r="G585" s="198"/>
      <c r="H585" s="198"/>
      <c r="I585" s="615"/>
      <c r="J585" s="198"/>
      <c r="K585" s="614"/>
      <c r="L585" s="614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41"/>
      <c r="D586" s="615"/>
      <c r="E586" s="198"/>
      <c r="F586" s="198"/>
      <c r="G586" s="198"/>
      <c r="H586" s="198"/>
      <c r="I586" s="615"/>
      <c r="J586" s="198"/>
      <c r="K586" s="614"/>
      <c r="L586" s="614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41"/>
      <c r="D587" s="615"/>
      <c r="E587" s="198"/>
      <c r="F587" s="198"/>
      <c r="G587" s="198"/>
      <c r="H587" s="198"/>
      <c r="I587" s="615"/>
      <c r="J587" s="198"/>
      <c r="K587" s="614"/>
      <c r="L587" s="614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41"/>
      <c r="D588" s="615"/>
      <c r="E588" s="198"/>
      <c r="F588" s="198"/>
      <c r="G588" s="198"/>
      <c r="H588" s="198"/>
      <c r="I588" s="615"/>
      <c r="J588" s="198"/>
      <c r="K588" s="614"/>
      <c r="L588" s="614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41"/>
      <c r="D589" s="615"/>
      <c r="E589" s="198"/>
      <c r="F589" s="198"/>
      <c r="G589" s="198"/>
      <c r="H589" s="198"/>
      <c r="I589" s="615"/>
      <c r="J589" s="198"/>
      <c r="K589" s="614"/>
      <c r="L589" s="614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41"/>
      <c r="D590" s="615"/>
      <c r="E590" s="198"/>
      <c r="F590" s="198"/>
      <c r="G590" s="198"/>
      <c r="H590" s="198"/>
      <c r="I590" s="615"/>
      <c r="J590" s="198"/>
      <c r="K590" s="614"/>
      <c r="L590" s="614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41"/>
      <c r="D591" s="615"/>
      <c r="E591" s="198"/>
      <c r="F591" s="198"/>
      <c r="G591" s="198"/>
      <c r="H591" s="198"/>
      <c r="I591" s="615"/>
      <c r="J591" s="198"/>
      <c r="K591" s="614"/>
      <c r="L591" s="614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41"/>
      <c r="D592" s="615"/>
      <c r="E592" s="198"/>
      <c r="F592" s="198"/>
      <c r="G592" s="198"/>
      <c r="H592" s="198"/>
      <c r="I592" s="615"/>
      <c r="J592" s="198"/>
      <c r="K592" s="614"/>
      <c r="L592" s="614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41"/>
      <c r="D593" s="615"/>
      <c r="E593" s="198"/>
      <c r="F593" s="198"/>
      <c r="G593" s="198"/>
      <c r="H593" s="198"/>
      <c r="I593" s="615"/>
      <c r="J593" s="198"/>
      <c r="K593" s="614"/>
      <c r="L593" s="614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41"/>
      <c r="D594" s="615"/>
      <c r="E594" s="198"/>
      <c r="F594" s="198"/>
      <c r="G594" s="198"/>
      <c r="H594" s="198"/>
      <c r="I594" s="615"/>
      <c r="J594" s="198"/>
      <c r="K594" s="614"/>
      <c r="L594" s="614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41"/>
      <c r="D595" s="615"/>
      <c r="E595" s="198"/>
      <c r="F595" s="198"/>
      <c r="G595" s="198"/>
      <c r="H595" s="198"/>
      <c r="I595" s="615"/>
      <c r="J595" s="198"/>
      <c r="K595" s="614"/>
      <c r="L595" s="614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41"/>
      <c r="D596" s="615"/>
      <c r="E596" s="198"/>
      <c r="F596" s="198"/>
      <c r="G596" s="198"/>
      <c r="H596" s="198"/>
      <c r="I596" s="615"/>
      <c r="J596" s="198"/>
      <c r="K596" s="614"/>
      <c r="L596" s="614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41"/>
      <c r="D597" s="615"/>
      <c r="E597" s="198"/>
      <c r="F597" s="198"/>
      <c r="G597" s="198"/>
      <c r="H597" s="198"/>
      <c r="I597" s="615"/>
      <c r="J597" s="198"/>
      <c r="K597" s="614"/>
      <c r="L597" s="614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41"/>
      <c r="D598" s="615"/>
      <c r="E598" s="198"/>
      <c r="F598" s="198"/>
      <c r="G598" s="198"/>
      <c r="H598" s="198"/>
      <c r="I598" s="615"/>
      <c r="J598" s="198"/>
      <c r="K598" s="614"/>
      <c r="L598" s="614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41"/>
      <c r="D599" s="615"/>
      <c r="E599" s="198"/>
      <c r="F599" s="198"/>
      <c r="G599" s="198"/>
      <c r="H599" s="198"/>
      <c r="I599" s="615"/>
      <c r="J599" s="198"/>
      <c r="K599" s="614"/>
      <c r="L599" s="614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41"/>
      <c r="D600" s="615"/>
      <c r="E600" s="198"/>
      <c r="F600" s="198"/>
      <c r="G600" s="198"/>
      <c r="H600" s="198"/>
      <c r="I600" s="615"/>
      <c r="J600" s="198"/>
      <c r="K600" s="614"/>
      <c r="L600" s="614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41"/>
      <c r="D601" s="615"/>
      <c r="E601" s="198"/>
      <c r="F601" s="198"/>
      <c r="G601" s="198"/>
      <c r="H601" s="198"/>
      <c r="I601" s="615"/>
      <c r="J601" s="198"/>
      <c r="K601" s="614"/>
      <c r="L601" s="614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41"/>
      <c r="D602" s="615"/>
      <c r="E602" s="198"/>
      <c r="F602" s="198"/>
      <c r="G602" s="198"/>
      <c r="H602" s="198"/>
      <c r="I602" s="615"/>
      <c r="J602" s="198"/>
      <c r="K602" s="614"/>
      <c r="L602" s="614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41"/>
      <c r="D603" s="615"/>
      <c r="E603" s="198"/>
      <c r="F603" s="198"/>
      <c r="G603" s="198"/>
      <c r="H603" s="198"/>
      <c r="I603" s="615"/>
      <c r="J603" s="198"/>
      <c r="K603" s="614"/>
      <c r="L603" s="614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41"/>
      <c r="D604" s="615"/>
      <c r="E604" s="198"/>
      <c r="F604" s="198"/>
      <c r="G604" s="198"/>
      <c r="H604" s="198"/>
      <c r="I604" s="615"/>
      <c r="J604" s="198"/>
      <c r="K604" s="614"/>
      <c r="L604" s="614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41"/>
      <c r="D605" s="615"/>
      <c r="E605" s="198"/>
      <c r="F605" s="198"/>
      <c r="G605" s="198"/>
      <c r="H605" s="198"/>
      <c r="I605" s="615"/>
      <c r="J605" s="198"/>
      <c r="K605" s="614"/>
      <c r="L605" s="614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41"/>
      <c r="D606" s="615"/>
      <c r="E606" s="198"/>
      <c r="F606" s="198"/>
      <c r="G606" s="198"/>
      <c r="H606" s="198"/>
      <c r="I606" s="615"/>
      <c r="J606" s="198"/>
      <c r="K606" s="614"/>
      <c r="L606" s="614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41"/>
      <c r="D607" s="615"/>
      <c r="E607" s="198"/>
      <c r="F607" s="198"/>
      <c r="G607" s="198"/>
      <c r="H607" s="198"/>
      <c r="I607" s="615"/>
      <c r="J607" s="198"/>
      <c r="K607" s="614"/>
      <c r="L607" s="614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41"/>
      <c r="D608" s="615"/>
      <c r="E608" s="198"/>
      <c r="F608" s="198"/>
      <c r="G608" s="198"/>
      <c r="H608" s="198"/>
      <c r="I608" s="615"/>
      <c r="J608" s="198"/>
      <c r="K608" s="614"/>
      <c r="L608" s="614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41"/>
      <c r="D609" s="615"/>
      <c r="E609" s="198"/>
      <c r="F609" s="198"/>
      <c r="G609" s="198"/>
      <c r="H609" s="198"/>
      <c r="I609" s="615"/>
      <c r="J609" s="198"/>
      <c r="K609" s="614"/>
      <c r="L609" s="614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41"/>
      <c r="D610" s="615"/>
      <c r="E610" s="198"/>
      <c r="F610" s="198"/>
      <c r="G610" s="198"/>
      <c r="H610" s="198"/>
      <c r="I610" s="615"/>
      <c r="J610" s="198"/>
      <c r="K610" s="614"/>
      <c r="L610" s="614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41"/>
      <c r="D611" s="615"/>
      <c r="E611" s="198"/>
      <c r="F611" s="198"/>
      <c r="G611" s="198"/>
      <c r="H611" s="198"/>
      <c r="I611" s="615"/>
      <c r="J611" s="198"/>
      <c r="K611" s="614"/>
      <c r="L611" s="614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41"/>
      <c r="D612" s="615"/>
      <c r="E612" s="198"/>
      <c r="F612" s="198"/>
      <c r="G612" s="198"/>
      <c r="H612" s="198"/>
      <c r="I612" s="615"/>
      <c r="J612" s="198"/>
      <c r="K612" s="614"/>
      <c r="L612" s="614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41"/>
      <c r="D613" s="615"/>
      <c r="E613" s="198"/>
      <c r="F613" s="198"/>
      <c r="G613" s="198"/>
      <c r="H613" s="198"/>
      <c r="I613" s="615"/>
      <c r="J613" s="198"/>
      <c r="K613" s="614"/>
      <c r="L613" s="614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41"/>
      <c r="D614" s="615"/>
      <c r="E614" s="198"/>
      <c r="F614" s="198"/>
      <c r="G614" s="198"/>
      <c r="H614" s="198"/>
      <c r="I614" s="615"/>
      <c r="J614" s="198"/>
      <c r="K614" s="614"/>
      <c r="L614" s="614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41"/>
      <c r="D615" s="615"/>
      <c r="E615" s="198"/>
      <c r="F615" s="198"/>
      <c r="G615" s="198"/>
      <c r="H615" s="198"/>
      <c r="I615" s="615"/>
      <c r="J615" s="198"/>
      <c r="K615" s="614"/>
      <c r="L615" s="614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41"/>
      <c r="D616" s="615"/>
      <c r="E616" s="198"/>
      <c r="F616" s="198"/>
      <c r="G616" s="198"/>
      <c r="H616" s="198"/>
      <c r="I616" s="615"/>
      <c r="J616" s="198"/>
      <c r="K616" s="614"/>
      <c r="L616" s="614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41"/>
      <c r="D617" s="615"/>
      <c r="E617" s="198"/>
      <c r="F617" s="198"/>
      <c r="G617" s="198"/>
      <c r="H617" s="198"/>
      <c r="I617" s="615"/>
      <c r="J617" s="198"/>
      <c r="K617" s="614"/>
      <c r="L617" s="614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41"/>
      <c r="D618" s="615"/>
      <c r="E618" s="198"/>
      <c r="F618" s="198"/>
      <c r="G618" s="198"/>
      <c r="H618" s="198"/>
      <c r="I618" s="615"/>
      <c r="J618" s="198"/>
      <c r="K618" s="614"/>
      <c r="L618" s="614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41"/>
      <c r="D619" s="615"/>
      <c r="E619" s="198"/>
      <c r="F619" s="198"/>
      <c r="G619" s="198"/>
      <c r="H619" s="198"/>
      <c r="I619" s="615"/>
      <c r="J619" s="198"/>
      <c r="K619" s="614"/>
      <c r="L619" s="614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41"/>
      <c r="D620" s="615"/>
      <c r="E620" s="198"/>
      <c r="F620" s="198"/>
      <c r="G620" s="198"/>
      <c r="H620" s="198"/>
      <c r="I620" s="615"/>
      <c r="J620" s="198"/>
      <c r="K620" s="614"/>
      <c r="L620" s="614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41"/>
      <c r="D621" s="615"/>
      <c r="E621" s="198"/>
      <c r="F621" s="198"/>
      <c r="G621" s="198"/>
      <c r="H621" s="198"/>
      <c r="I621" s="615"/>
      <c r="J621" s="198"/>
      <c r="K621" s="614"/>
      <c r="L621" s="614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41"/>
      <c r="D622" s="615"/>
      <c r="E622" s="198"/>
      <c r="F622" s="198"/>
      <c r="G622" s="198"/>
      <c r="H622" s="198"/>
      <c r="I622" s="615"/>
      <c r="J622" s="198"/>
      <c r="K622" s="614"/>
      <c r="L622" s="614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41"/>
      <c r="D623" s="615"/>
      <c r="E623" s="198"/>
      <c r="F623" s="198"/>
      <c r="G623" s="198"/>
      <c r="H623" s="198"/>
      <c r="I623" s="615"/>
      <c r="J623" s="198"/>
      <c r="K623" s="614"/>
      <c r="L623" s="614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41"/>
      <c r="D624" s="615"/>
      <c r="E624" s="198"/>
      <c r="F624" s="198"/>
      <c r="G624" s="198"/>
      <c r="H624" s="198"/>
      <c r="I624" s="615"/>
      <c r="J624" s="198"/>
      <c r="K624" s="614"/>
      <c r="L624" s="614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41"/>
      <c r="D625" s="615"/>
      <c r="E625" s="198"/>
      <c r="F625" s="198"/>
      <c r="G625" s="198"/>
      <c r="H625" s="198"/>
      <c r="I625" s="615"/>
      <c r="J625" s="198"/>
      <c r="K625" s="614"/>
      <c r="L625" s="614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41"/>
      <c r="D626" s="615"/>
      <c r="E626" s="198"/>
      <c r="F626" s="198"/>
      <c r="G626" s="198"/>
      <c r="H626" s="198"/>
      <c r="I626" s="615"/>
      <c r="J626" s="198"/>
      <c r="K626" s="614"/>
      <c r="L626" s="614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41"/>
      <c r="D627" s="615"/>
      <c r="E627" s="198"/>
      <c r="F627" s="198"/>
      <c r="G627" s="198"/>
      <c r="H627" s="198"/>
      <c r="I627" s="615"/>
      <c r="J627" s="198"/>
      <c r="K627" s="614"/>
      <c r="L627" s="614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41"/>
      <c r="D628" s="615"/>
      <c r="E628" s="198"/>
      <c r="F628" s="198"/>
      <c r="G628" s="198"/>
      <c r="H628" s="198"/>
      <c r="I628" s="615"/>
      <c r="J628" s="198"/>
      <c r="K628" s="614"/>
      <c r="L628" s="614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41"/>
      <c r="D629" s="615"/>
      <c r="E629" s="198"/>
      <c r="F629" s="198"/>
      <c r="G629" s="198"/>
      <c r="H629" s="198"/>
      <c r="I629" s="615"/>
      <c r="J629" s="198"/>
      <c r="K629" s="614"/>
      <c r="L629" s="614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41"/>
      <c r="D630" s="615"/>
      <c r="E630" s="198"/>
      <c r="F630" s="198"/>
      <c r="G630" s="198"/>
      <c r="H630" s="198"/>
      <c r="I630" s="615"/>
      <c r="J630" s="198"/>
      <c r="K630" s="614"/>
      <c r="L630" s="614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41"/>
      <c r="D631" s="615"/>
      <c r="E631" s="198"/>
      <c r="F631" s="198"/>
      <c r="G631" s="198"/>
      <c r="H631" s="198"/>
      <c r="I631" s="615"/>
      <c r="J631" s="198"/>
      <c r="K631" s="614"/>
      <c r="L631" s="614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41"/>
      <c r="D632" s="615"/>
      <c r="E632" s="198"/>
      <c r="F632" s="198"/>
      <c r="G632" s="198"/>
      <c r="H632" s="198"/>
      <c r="I632" s="615"/>
      <c r="J632" s="198"/>
      <c r="K632" s="614"/>
      <c r="L632" s="614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41"/>
      <c r="D633" s="615"/>
      <c r="E633" s="198"/>
      <c r="F633" s="198"/>
      <c r="G633" s="198"/>
      <c r="H633" s="198"/>
      <c r="I633" s="615"/>
      <c r="J633" s="198"/>
      <c r="K633" s="614"/>
      <c r="L633" s="614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41"/>
      <c r="D634" s="615"/>
      <c r="E634" s="198"/>
      <c r="F634" s="198"/>
      <c r="G634" s="198"/>
      <c r="H634" s="198"/>
      <c r="I634" s="615"/>
      <c r="J634" s="198"/>
      <c r="K634" s="614"/>
      <c r="L634" s="614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41"/>
      <c r="D635" s="615"/>
      <c r="E635" s="198"/>
      <c r="F635" s="198"/>
      <c r="G635" s="198"/>
      <c r="H635" s="198"/>
      <c r="I635" s="615"/>
      <c r="J635" s="198"/>
      <c r="K635" s="614"/>
      <c r="L635" s="614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41"/>
      <c r="D636" s="615"/>
      <c r="E636" s="198"/>
      <c r="F636" s="198"/>
      <c r="G636" s="198"/>
      <c r="H636" s="198"/>
      <c r="I636" s="615"/>
      <c r="J636" s="198"/>
      <c r="K636" s="614"/>
      <c r="L636" s="614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41"/>
      <c r="D637" s="615"/>
      <c r="E637" s="198"/>
      <c r="F637" s="198"/>
      <c r="G637" s="198"/>
      <c r="H637" s="198"/>
      <c r="I637" s="615"/>
      <c r="J637" s="198"/>
      <c r="K637" s="614"/>
      <c r="L637" s="614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41"/>
      <c r="D638" s="615"/>
      <c r="E638" s="198"/>
      <c r="F638" s="198"/>
      <c r="G638" s="198"/>
      <c r="H638" s="198"/>
      <c r="I638" s="615"/>
      <c r="J638" s="198"/>
      <c r="K638" s="614"/>
      <c r="L638" s="614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41"/>
      <c r="D639" s="615"/>
      <c r="E639" s="198"/>
      <c r="F639" s="198"/>
      <c r="G639" s="198"/>
      <c r="H639" s="198"/>
      <c r="I639" s="615"/>
      <c r="J639" s="198"/>
      <c r="K639" s="614"/>
      <c r="L639" s="614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41"/>
      <c r="D640" s="615"/>
      <c r="E640" s="198"/>
      <c r="F640" s="198"/>
      <c r="G640" s="198"/>
      <c r="H640" s="198"/>
      <c r="I640" s="615"/>
      <c r="J640" s="198"/>
      <c r="K640" s="614"/>
      <c r="L640" s="614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41"/>
      <c r="D641" s="615"/>
      <c r="E641" s="198"/>
      <c r="F641" s="198"/>
      <c r="G641" s="198"/>
      <c r="H641" s="198"/>
      <c r="I641" s="615"/>
      <c r="J641" s="198"/>
      <c r="K641" s="614"/>
      <c r="L641" s="614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41"/>
      <c r="D642" s="615"/>
      <c r="E642" s="198"/>
      <c r="F642" s="198"/>
      <c r="G642" s="198"/>
      <c r="H642" s="198"/>
      <c r="I642" s="615"/>
      <c r="J642" s="198"/>
      <c r="K642" s="614"/>
      <c r="L642" s="614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41"/>
      <c r="D643" s="615"/>
      <c r="E643" s="198"/>
      <c r="F643" s="198"/>
      <c r="G643" s="198"/>
      <c r="H643" s="198"/>
      <c r="I643" s="615"/>
      <c r="J643" s="198"/>
      <c r="K643" s="614"/>
      <c r="L643" s="614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41"/>
      <c r="D644" s="615"/>
      <c r="E644" s="198"/>
      <c r="F644" s="198"/>
      <c r="G644" s="198"/>
      <c r="H644" s="198"/>
      <c r="I644" s="615"/>
      <c r="J644" s="198"/>
      <c r="K644" s="614"/>
      <c r="L644" s="614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41"/>
      <c r="D645" s="615"/>
      <c r="E645" s="198"/>
      <c r="F645" s="198"/>
      <c r="G645" s="198"/>
      <c r="H645" s="198"/>
      <c r="I645" s="615"/>
      <c r="J645" s="198"/>
      <c r="K645" s="614"/>
      <c r="L645" s="614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41"/>
      <c r="D646" s="615"/>
      <c r="E646" s="198"/>
      <c r="F646" s="198"/>
      <c r="G646" s="198"/>
      <c r="H646" s="198"/>
      <c r="I646" s="615"/>
      <c r="J646" s="198"/>
      <c r="K646" s="614"/>
      <c r="L646" s="614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41"/>
      <c r="D647" s="615"/>
      <c r="E647" s="198"/>
      <c r="F647" s="198"/>
      <c r="G647" s="198"/>
      <c r="H647" s="198"/>
      <c r="I647" s="615"/>
      <c r="J647" s="198"/>
      <c r="K647" s="614"/>
      <c r="L647" s="614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41"/>
      <c r="D648" s="615"/>
      <c r="E648" s="198"/>
      <c r="F648" s="198"/>
      <c r="G648" s="198"/>
      <c r="H648" s="198"/>
      <c r="I648" s="615"/>
      <c r="J648" s="198"/>
      <c r="K648" s="614"/>
      <c r="L648" s="614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41"/>
      <c r="D649" s="615"/>
      <c r="E649" s="198"/>
      <c r="F649" s="198"/>
      <c r="G649" s="198"/>
      <c r="H649" s="198"/>
      <c r="I649" s="615"/>
      <c r="J649" s="198"/>
      <c r="K649" s="614"/>
      <c r="L649" s="614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41"/>
      <c r="D650" s="615"/>
      <c r="E650" s="198"/>
      <c r="F650" s="198"/>
      <c r="G650" s="198"/>
      <c r="H650" s="198"/>
      <c r="I650" s="615"/>
      <c r="J650" s="198"/>
      <c r="K650" s="614"/>
      <c r="L650" s="614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41"/>
      <c r="D651" s="615"/>
      <c r="E651" s="198"/>
      <c r="F651" s="198"/>
      <c r="G651" s="198"/>
      <c r="H651" s="198"/>
      <c r="I651" s="615"/>
      <c r="J651" s="198"/>
      <c r="K651" s="614"/>
      <c r="L651" s="614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41"/>
      <c r="D652" s="615"/>
      <c r="E652" s="198"/>
      <c r="F652" s="198"/>
      <c r="G652" s="198"/>
      <c r="H652" s="198"/>
      <c r="I652" s="615"/>
      <c r="J652" s="198"/>
      <c r="K652" s="614"/>
      <c r="L652" s="614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41"/>
      <c r="D653" s="615"/>
      <c r="E653" s="198"/>
      <c r="F653" s="198"/>
      <c r="G653" s="198"/>
      <c r="H653" s="198"/>
      <c r="I653" s="615"/>
      <c r="J653" s="198"/>
      <c r="K653" s="614"/>
      <c r="L653" s="614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41"/>
      <c r="D654" s="615"/>
      <c r="E654" s="198"/>
      <c r="F654" s="198"/>
      <c r="G654" s="198"/>
      <c r="H654" s="198"/>
      <c r="I654" s="615"/>
      <c r="J654" s="198"/>
      <c r="K654" s="614"/>
      <c r="L654" s="614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41"/>
      <c r="D655" s="615"/>
      <c r="E655" s="198"/>
      <c r="F655" s="198"/>
      <c r="G655" s="198"/>
      <c r="H655" s="198"/>
      <c r="I655" s="615"/>
      <c r="J655" s="198"/>
      <c r="K655" s="614"/>
      <c r="L655" s="614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41"/>
      <c r="D656" s="615"/>
      <c r="E656" s="198"/>
      <c r="F656" s="198"/>
      <c r="G656" s="198"/>
      <c r="H656" s="198"/>
      <c r="I656" s="615"/>
      <c r="J656" s="198"/>
      <c r="K656" s="614"/>
      <c r="L656" s="614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41"/>
      <c r="D657" s="615"/>
      <c r="E657" s="198"/>
      <c r="F657" s="198"/>
      <c r="G657" s="198"/>
      <c r="H657" s="198"/>
      <c r="I657" s="615"/>
      <c r="J657" s="198"/>
      <c r="K657" s="614"/>
      <c r="L657" s="614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41"/>
      <c r="D658" s="615"/>
      <c r="E658" s="198"/>
      <c r="F658" s="198"/>
      <c r="G658" s="198"/>
      <c r="H658" s="198"/>
      <c r="I658" s="615"/>
      <c r="J658" s="198"/>
      <c r="K658" s="614"/>
      <c r="L658" s="614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41"/>
      <c r="D659" s="615"/>
      <c r="E659" s="198"/>
      <c r="F659" s="198"/>
      <c r="G659" s="198"/>
      <c r="H659" s="198"/>
      <c r="I659" s="615"/>
      <c r="J659" s="198"/>
      <c r="K659" s="614"/>
      <c r="L659" s="614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41"/>
      <c r="D660" s="615"/>
      <c r="E660" s="198"/>
      <c r="F660" s="198"/>
      <c r="G660" s="198"/>
      <c r="H660" s="198"/>
      <c r="I660" s="615"/>
      <c r="J660" s="198"/>
      <c r="K660" s="614"/>
      <c r="L660" s="614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41"/>
      <c r="D661" s="615"/>
      <c r="E661" s="198"/>
      <c r="F661" s="198"/>
      <c r="G661" s="198"/>
      <c r="H661" s="198"/>
      <c r="I661" s="615"/>
      <c r="J661" s="198"/>
      <c r="K661" s="614"/>
      <c r="L661" s="614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41"/>
      <c r="D662" s="615"/>
      <c r="E662" s="198"/>
      <c r="F662" s="198"/>
      <c r="G662" s="198"/>
      <c r="H662" s="198"/>
      <c r="I662" s="615"/>
      <c r="J662" s="198"/>
      <c r="K662" s="614"/>
      <c r="L662" s="614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41"/>
      <c r="D663" s="615"/>
      <c r="E663" s="198"/>
      <c r="F663" s="198"/>
      <c r="G663" s="198"/>
      <c r="H663" s="198"/>
      <c r="I663" s="615"/>
      <c r="J663" s="198"/>
      <c r="K663" s="614"/>
      <c r="L663" s="614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41"/>
      <c r="D664" s="615"/>
      <c r="E664" s="198"/>
      <c r="F664" s="198"/>
      <c r="G664" s="198"/>
      <c r="H664" s="198"/>
      <c r="I664" s="615"/>
      <c r="J664" s="198"/>
      <c r="K664" s="614"/>
      <c r="L664" s="614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41"/>
      <c r="D665" s="615"/>
      <c r="E665" s="198"/>
      <c r="F665" s="198"/>
      <c r="G665" s="198"/>
      <c r="H665" s="198"/>
      <c r="I665" s="615"/>
      <c r="J665" s="198"/>
      <c r="K665" s="614"/>
      <c r="L665" s="614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41"/>
      <c r="D666" s="615"/>
      <c r="E666" s="198"/>
      <c r="F666" s="198"/>
      <c r="G666" s="198"/>
      <c r="H666" s="198"/>
      <c r="I666" s="615"/>
      <c r="J666" s="198"/>
      <c r="K666" s="614"/>
      <c r="L666" s="614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41"/>
      <c r="D667" s="615"/>
      <c r="E667" s="198"/>
      <c r="F667" s="198"/>
      <c r="G667" s="198"/>
      <c r="H667" s="198"/>
      <c r="I667" s="615"/>
      <c r="J667" s="198"/>
      <c r="K667" s="614"/>
      <c r="L667" s="614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41"/>
      <c r="D668" s="615"/>
      <c r="E668" s="198"/>
      <c r="F668" s="198"/>
      <c r="G668" s="198"/>
      <c r="H668" s="198"/>
      <c r="I668" s="615"/>
      <c r="J668" s="198"/>
      <c r="K668" s="614"/>
      <c r="L668" s="614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41"/>
      <c r="D669" s="615"/>
      <c r="E669" s="198"/>
      <c r="F669" s="198"/>
      <c r="G669" s="198"/>
      <c r="H669" s="198"/>
      <c r="I669" s="615"/>
      <c r="J669" s="198"/>
      <c r="K669" s="614"/>
      <c r="L669" s="614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41"/>
      <c r="D670" s="615"/>
      <c r="E670" s="198"/>
      <c r="F670" s="198"/>
      <c r="G670" s="198"/>
      <c r="H670" s="198"/>
      <c r="I670" s="615"/>
      <c r="J670" s="198"/>
      <c r="K670" s="614"/>
      <c r="L670" s="614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41"/>
      <c r="D671" s="615"/>
      <c r="E671" s="198"/>
      <c r="F671" s="198"/>
      <c r="G671" s="198"/>
      <c r="H671" s="198"/>
      <c r="I671" s="615"/>
      <c r="J671" s="198"/>
      <c r="K671" s="614"/>
      <c r="L671" s="614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41"/>
      <c r="D672" s="615"/>
      <c r="E672" s="198"/>
      <c r="F672" s="198"/>
      <c r="G672" s="198"/>
      <c r="H672" s="198"/>
      <c r="I672" s="615"/>
      <c r="J672" s="198"/>
      <c r="K672" s="614"/>
      <c r="L672" s="614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41"/>
      <c r="D673" s="615"/>
      <c r="E673" s="198"/>
      <c r="F673" s="198"/>
      <c r="G673" s="198"/>
      <c r="H673" s="198"/>
      <c r="I673" s="615"/>
      <c r="J673" s="198"/>
      <c r="K673" s="614"/>
      <c r="L673" s="614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41"/>
      <c r="D674" s="615"/>
      <c r="E674" s="198"/>
      <c r="F674" s="198"/>
      <c r="G674" s="198"/>
      <c r="H674" s="198"/>
      <c r="I674" s="615"/>
      <c r="J674" s="198"/>
      <c r="K674" s="614"/>
      <c r="L674" s="614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41"/>
      <c r="D675" s="615"/>
      <c r="E675" s="198"/>
      <c r="F675" s="198"/>
      <c r="G675" s="198"/>
      <c r="H675" s="198"/>
      <c r="I675" s="615"/>
      <c r="J675" s="198"/>
      <c r="K675" s="614"/>
      <c r="L675" s="614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41"/>
      <c r="D676" s="615"/>
      <c r="E676" s="198"/>
      <c r="F676" s="198"/>
      <c r="G676" s="198"/>
      <c r="H676" s="198"/>
      <c r="I676" s="615"/>
      <c r="J676" s="198"/>
      <c r="K676" s="614"/>
      <c r="L676" s="614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41"/>
      <c r="D677" s="615"/>
      <c r="E677" s="198"/>
      <c r="F677" s="198"/>
      <c r="G677" s="198"/>
      <c r="H677" s="198"/>
      <c r="I677" s="615"/>
      <c r="J677" s="198"/>
      <c r="K677" s="614"/>
      <c r="L677" s="614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41"/>
      <c r="D678" s="615"/>
      <c r="E678" s="198"/>
      <c r="F678" s="198"/>
      <c r="G678" s="198"/>
      <c r="H678" s="198"/>
      <c r="I678" s="615"/>
      <c r="J678" s="198"/>
      <c r="K678" s="614"/>
      <c r="L678" s="614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41"/>
      <c r="D679" s="615"/>
      <c r="E679" s="198"/>
      <c r="F679" s="198"/>
      <c r="G679" s="198"/>
      <c r="H679" s="198"/>
      <c r="I679" s="615"/>
      <c r="J679" s="198"/>
      <c r="K679" s="614"/>
      <c r="L679" s="614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41"/>
      <c r="D680" s="615"/>
      <c r="E680" s="198"/>
      <c r="F680" s="198"/>
      <c r="G680" s="198"/>
      <c r="H680" s="198"/>
      <c r="I680" s="615"/>
      <c r="J680" s="198"/>
      <c r="K680" s="614"/>
      <c r="L680" s="614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41"/>
      <c r="D681" s="615"/>
      <c r="E681" s="198"/>
      <c r="F681" s="198"/>
      <c r="G681" s="198"/>
      <c r="H681" s="198"/>
      <c r="I681" s="615"/>
      <c r="J681" s="198"/>
      <c r="K681" s="614"/>
      <c r="L681" s="614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41"/>
      <c r="D682" s="615"/>
      <c r="E682" s="198"/>
      <c r="F682" s="198"/>
      <c r="G682" s="198"/>
      <c r="H682" s="198"/>
      <c r="I682" s="615"/>
      <c r="J682" s="198"/>
      <c r="K682" s="614"/>
      <c r="L682" s="614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41"/>
      <c r="D683" s="615"/>
      <c r="E683" s="198"/>
      <c r="F683" s="198"/>
      <c r="G683" s="198"/>
      <c r="H683" s="198"/>
      <c r="I683" s="615"/>
      <c r="J683" s="198"/>
      <c r="K683" s="614"/>
      <c r="L683" s="614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41"/>
      <c r="D684" s="615"/>
      <c r="E684" s="198"/>
      <c r="F684" s="198"/>
      <c r="G684" s="198"/>
      <c r="H684" s="198"/>
      <c r="I684" s="615"/>
      <c r="J684" s="198"/>
      <c r="K684" s="614"/>
      <c r="L684" s="614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41"/>
      <c r="D685" s="615"/>
      <c r="E685" s="198"/>
      <c r="F685" s="198"/>
      <c r="G685" s="198"/>
      <c r="H685" s="198"/>
      <c r="I685" s="615"/>
      <c r="J685" s="198"/>
      <c r="K685" s="614"/>
      <c r="L685" s="614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41"/>
      <c r="D686" s="615"/>
      <c r="E686" s="198"/>
      <c r="F686" s="198"/>
      <c r="G686" s="198"/>
      <c r="H686" s="198"/>
      <c r="I686" s="615"/>
      <c r="J686" s="198"/>
      <c r="K686" s="614"/>
      <c r="L686" s="614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41"/>
      <c r="D687" s="615"/>
      <c r="E687" s="198"/>
      <c r="F687" s="198"/>
      <c r="G687" s="198"/>
      <c r="H687" s="198"/>
      <c r="I687" s="615"/>
      <c r="J687" s="198"/>
      <c r="K687" s="614"/>
      <c r="L687" s="614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41"/>
      <c r="D688" s="615"/>
      <c r="E688" s="198"/>
      <c r="F688" s="198"/>
      <c r="G688" s="198"/>
      <c r="H688" s="198"/>
      <c r="I688" s="615"/>
      <c r="J688" s="198"/>
      <c r="K688" s="614"/>
      <c r="L688" s="614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41"/>
      <c r="D689" s="615"/>
      <c r="E689" s="198"/>
      <c r="F689" s="198"/>
      <c r="G689" s="198"/>
      <c r="H689" s="198"/>
      <c r="I689" s="615"/>
      <c r="J689" s="198"/>
      <c r="K689" s="614"/>
      <c r="L689" s="614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41"/>
      <c r="D690" s="615"/>
      <c r="E690" s="198"/>
      <c r="F690" s="198"/>
      <c r="G690" s="198"/>
      <c r="H690" s="198"/>
      <c r="I690" s="615"/>
      <c r="J690" s="198"/>
      <c r="K690" s="614"/>
      <c r="L690" s="614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41"/>
      <c r="D691" s="615"/>
      <c r="E691" s="198"/>
      <c r="F691" s="198"/>
      <c r="G691" s="198"/>
      <c r="H691" s="198"/>
      <c r="I691" s="615"/>
      <c r="J691" s="198"/>
      <c r="K691" s="614"/>
      <c r="L691" s="614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41"/>
      <c r="D692" s="615"/>
      <c r="E692" s="198"/>
      <c r="F692" s="198"/>
      <c r="G692" s="198"/>
      <c r="H692" s="198"/>
      <c r="I692" s="615"/>
      <c r="J692" s="198"/>
      <c r="K692" s="614"/>
      <c r="L692" s="614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41"/>
      <c r="D693" s="615"/>
      <c r="E693" s="198"/>
      <c r="F693" s="198"/>
      <c r="G693" s="198"/>
      <c r="H693" s="198"/>
      <c r="I693" s="615"/>
      <c r="J693" s="198"/>
      <c r="K693" s="614"/>
      <c r="L693" s="614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41"/>
      <c r="D694" s="615"/>
      <c r="E694" s="198"/>
      <c r="F694" s="198"/>
      <c r="G694" s="198"/>
      <c r="H694" s="198"/>
      <c r="I694" s="615"/>
      <c r="J694" s="198"/>
      <c r="K694" s="614"/>
      <c r="L694" s="614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41"/>
      <c r="D695" s="615"/>
      <c r="E695" s="198"/>
      <c r="F695" s="198"/>
      <c r="G695" s="198"/>
      <c r="H695" s="198"/>
      <c r="I695" s="615"/>
      <c r="J695" s="198"/>
      <c r="K695" s="614"/>
      <c r="L695" s="614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41"/>
      <c r="D696" s="615"/>
      <c r="E696" s="198"/>
      <c r="F696" s="198"/>
      <c r="G696" s="198"/>
      <c r="H696" s="198"/>
      <c r="I696" s="615"/>
      <c r="J696" s="198"/>
      <c r="K696" s="614"/>
      <c r="L696" s="614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41"/>
      <c r="D697" s="615"/>
      <c r="E697" s="198"/>
      <c r="F697" s="198"/>
      <c r="G697" s="198"/>
      <c r="H697" s="198"/>
      <c r="I697" s="615"/>
      <c r="J697" s="198"/>
      <c r="K697" s="614"/>
      <c r="L697" s="614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41"/>
      <c r="D698" s="615"/>
      <c r="E698" s="198"/>
      <c r="F698" s="198"/>
      <c r="G698" s="198"/>
      <c r="H698" s="198"/>
      <c r="I698" s="615"/>
      <c r="J698" s="198"/>
      <c r="K698" s="614"/>
      <c r="L698" s="614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41"/>
      <c r="D699" s="615"/>
      <c r="E699" s="198"/>
      <c r="F699" s="198"/>
      <c r="G699" s="198"/>
      <c r="H699" s="198"/>
      <c r="I699" s="615"/>
      <c r="J699" s="198"/>
      <c r="K699" s="614"/>
      <c r="L699" s="614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41"/>
      <c r="D700" s="615"/>
      <c r="E700" s="198"/>
      <c r="F700" s="198"/>
      <c r="G700" s="198"/>
      <c r="H700" s="198"/>
      <c r="I700" s="615"/>
      <c r="J700" s="198"/>
      <c r="K700" s="614"/>
      <c r="L700" s="614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41"/>
      <c r="D701" s="615"/>
      <c r="E701" s="198"/>
      <c r="F701" s="198"/>
      <c r="G701" s="198"/>
      <c r="H701" s="198"/>
      <c r="I701" s="615"/>
      <c r="J701" s="198"/>
      <c r="K701" s="614"/>
      <c r="L701" s="614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41"/>
      <c r="D702" s="615"/>
      <c r="E702" s="198"/>
      <c r="F702" s="198"/>
      <c r="G702" s="198"/>
      <c r="H702" s="198"/>
      <c r="I702" s="615"/>
      <c r="J702" s="198"/>
      <c r="K702" s="614"/>
      <c r="L702" s="614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41"/>
      <c r="D703" s="615"/>
      <c r="E703" s="198"/>
      <c r="F703" s="198"/>
      <c r="G703" s="198"/>
      <c r="H703" s="198"/>
      <c r="I703" s="615"/>
      <c r="J703" s="198"/>
      <c r="K703" s="614"/>
      <c r="L703" s="614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41"/>
      <c r="D704" s="615"/>
      <c r="E704" s="198"/>
      <c r="F704" s="198"/>
      <c r="G704" s="198"/>
      <c r="H704" s="198"/>
      <c r="I704" s="615"/>
      <c r="J704" s="198"/>
      <c r="K704" s="614"/>
      <c r="L704" s="614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41"/>
      <c r="D705" s="615"/>
      <c r="E705" s="198"/>
      <c r="F705" s="198"/>
      <c r="G705" s="198"/>
      <c r="H705" s="198"/>
      <c r="I705" s="615"/>
      <c r="J705" s="198"/>
      <c r="K705" s="614"/>
      <c r="L705" s="614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41"/>
      <c r="D706" s="615"/>
      <c r="E706" s="198"/>
      <c r="F706" s="198"/>
      <c r="G706" s="198"/>
      <c r="H706" s="198"/>
      <c r="I706" s="615"/>
      <c r="J706" s="198"/>
      <c r="K706" s="614"/>
      <c r="L706" s="614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41"/>
      <c r="D707" s="615"/>
      <c r="E707" s="198"/>
      <c r="F707" s="198"/>
      <c r="G707" s="198"/>
      <c r="H707" s="198"/>
      <c r="I707" s="615"/>
      <c r="J707" s="198"/>
      <c r="K707" s="614"/>
      <c r="L707" s="614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41"/>
      <c r="D708" s="615"/>
      <c r="E708" s="198"/>
      <c r="F708" s="198"/>
      <c r="G708" s="198"/>
      <c r="H708" s="198"/>
      <c r="I708" s="615"/>
      <c r="J708" s="198"/>
      <c r="K708" s="614"/>
      <c r="L708" s="614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41"/>
      <c r="D709" s="615"/>
      <c r="E709" s="198"/>
      <c r="F709" s="198"/>
      <c r="G709" s="198"/>
      <c r="H709" s="198"/>
      <c r="I709" s="615"/>
      <c r="J709" s="198"/>
      <c r="K709" s="614"/>
      <c r="L709" s="614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41"/>
      <c r="D710" s="615"/>
      <c r="E710" s="198"/>
      <c r="F710" s="198"/>
      <c r="G710" s="198"/>
      <c r="H710" s="198"/>
      <c r="I710" s="615"/>
      <c r="J710" s="198"/>
      <c r="K710" s="614"/>
      <c r="L710" s="614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41"/>
      <c r="D711" s="615"/>
      <c r="E711" s="198"/>
      <c r="F711" s="198"/>
      <c r="G711" s="198"/>
      <c r="H711" s="198"/>
      <c r="I711" s="615"/>
      <c r="J711" s="198"/>
      <c r="K711" s="614"/>
      <c r="L711" s="614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41"/>
      <c r="D712" s="615"/>
      <c r="E712" s="198"/>
      <c r="F712" s="198"/>
      <c r="G712" s="198"/>
      <c r="H712" s="198"/>
      <c r="I712" s="615"/>
      <c r="J712" s="198"/>
      <c r="K712" s="614"/>
      <c r="L712" s="614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41"/>
      <c r="D713" s="615"/>
      <c r="E713" s="198"/>
      <c r="F713" s="198"/>
      <c r="G713" s="198"/>
      <c r="H713" s="198"/>
      <c r="I713" s="615"/>
      <c r="J713" s="198"/>
      <c r="K713" s="614"/>
      <c r="L713" s="614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41"/>
      <c r="D714" s="615"/>
      <c r="E714" s="198"/>
      <c r="F714" s="198"/>
      <c r="G714" s="198"/>
      <c r="H714" s="198"/>
      <c r="I714" s="615"/>
      <c r="J714" s="198"/>
      <c r="K714" s="614"/>
      <c r="L714" s="614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41"/>
      <c r="D715" s="615"/>
      <c r="E715" s="198"/>
      <c r="F715" s="198"/>
      <c r="G715" s="198"/>
      <c r="H715" s="198"/>
      <c r="I715" s="615"/>
      <c r="J715" s="198"/>
      <c r="K715" s="614"/>
      <c r="L715" s="614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41"/>
      <c r="D716" s="615"/>
      <c r="E716" s="198"/>
      <c r="F716" s="198"/>
      <c r="G716" s="198"/>
      <c r="H716" s="198"/>
      <c r="I716" s="615"/>
      <c r="J716" s="198"/>
      <c r="K716" s="614"/>
      <c r="L716" s="614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41"/>
      <c r="D717" s="615"/>
      <c r="E717" s="198"/>
      <c r="F717" s="198"/>
      <c r="G717" s="198"/>
      <c r="H717" s="198"/>
      <c r="I717" s="615"/>
      <c r="J717" s="198"/>
      <c r="K717" s="614"/>
      <c r="L717" s="614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41"/>
      <c r="D718" s="615"/>
      <c r="E718" s="198"/>
      <c r="F718" s="198"/>
      <c r="G718" s="198"/>
      <c r="H718" s="198"/>
      <c r="I718" s="615"/>
      <c r="J718" s="198"/>
      <c r="K718" s="614"/>
      <c r="L718" s="614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41"/>
      <c r="D719" s="615"/>
      <c r="E719" s="198"/>
      <c r="F719" s="198"/>
      <c r="G719" s="198"/>
      <c r="H719" s="198"/>
      <c r="I719" s="615"/>
      <c r="J719" s="198"/>
      <c r="K719" s="614"/>
      <c r="L719" s="614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41"/>
      <c r="D720" s="615"/>
      <c r="E720" s="198"/>
      <c r="F720" s="198"/>
      <c r="G720" s="198"/>
      <c r="H720" s="198"/>
      <c r="I720" s="615"/>
      <c r="J720" s="198"/>
      <c r="K720" s="614"/>
      <c r="L720" s="614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41"/>
      <c r="D721" s="615"/>
      <c r="E721" s="198"/>
      <c r="F721" s="198"/>
      <c r="G721" s="198"/>
      <c r="H721" s="198"/>
      <c r="I721" s="615"/>
      <c r="J721" s="198"/>
      <c r="K721" s="614"/>
      <c r="L721" s="614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41"/>
      <c r="D722" s="615"/>
      <c r="E722" s="198"/>
      <c r="F722" s="198"/>
      <c r="G722" s="198"/>
      <c r="H722" s="198"/>
      <c r="I722" s="615"/>
      <c r="J722" s="198"/>
      <c r="K722" s="614"/>
      <c r="L722" s="614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41"/>
      <c r="D723" s="615"/>
      <c r="E723" s="198"/>
      <c r="F723" s="198"/>
      <c r="G723" s="198"/>
      <c r="H723" s="198"/>
      <c r="I723" s="615"/>
      <c r="J723" s="198"/>
      <c r="K723" s="614"/>
      <c r="L723" s="614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41"/>
      <c r="D724" s="615"/>
      <c r="E724" s="198"/>
      <c r="F724" s="198"/>
      <c r="G724" s="198"/>
      <c r="H724" s="198"/>
      <c r="I724" s="615"/>
      <c r="J724" s="198"/>
      <c r="K724" s="614"/>
      <c r="L724" s="614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41"/>
      <c r="D725" s="615"/>
      <c r="E725" s="198"/>
      <c r="F725" s="198"/>
      <c r="G725" s="198"/>
      <c r="H725" s="198"/>
      <c r="I725" s="615"/>
      <c r="J725" s="198"/>
      <c r="K725" s="614"/>
      <c r="L725" s="614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41"/>
      <c r="D726" s="615"/>
      <c r="E726" s="198"/>
      <c r="F726" s="198"/>
      <c r="G726" s="198"/>
      <c r="H726" s="198"/>
      <c r="I726" s="615"/>
      <c r="J726" s="198"/>
      <c r="K726" s="614"/>
      <c r="L726" s="614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41"/>
      <c r="D727" s="615"/>
      <c r="E727" s="198"/>
      <c r="F727" s="198"/>
      <c r="G727" s="198"/>
      <c r="H727" s="198"/>
      <c r="I727" s="615"/>
      <c r="J727" s="198"/>
      <c r="K727" s="614"/>
      <c r="L727" s="614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41"/>
      <c r="D728" s="615"/>
      <c r="E728" s="198"/>
      <c r="F728" s="198"/>
      <c r="G728" s="198"/>
      <c r="H728" s="198"/>
      <c r="I728" s="615"/>
      <c r="J728" s="198"/>
      <c r="K728" s="614"/>
      <c r="L728" s="614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41"/>
      <c r="D729" s="615"/>
      <c r="E729" s="198"/>
      <c r="F729" s="198"/>
      <c r="G729" s="198"/>
      <c r="H729" s="198"/>
      <c r="I729" s="615"/>
      <c r="J729" s="198"/>
      <c r="K729" s="614"/>
      <c r="L729" s="614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41"/>
      <c r="D730" s="615"/>
      <c r="E730" s="198"/>
      <c r="F730" s="198"/>
      <c r="G730" s="198"/>
      <c r="H730" s="198"/>
      <c r="I730" s="615"/>
      <c r="J730" s="198"/>
      <c r="K730" s="614"/>
      <c r="L730" s="614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41"/>
      <c r="D731" s="615"/>
      <c r="E731" s="198"/>
      <c r="F731" s="198"/>
      <c r="G731" s="198"/>
      <c r="H731" s="198"/>
      <c r="I731" s="615"/>
      <c r="J731" s="198"/>
      <c r="K731" s="614"/>
      <c r="L731" s="614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41"/>
      <c r="D732" s="615"/>
      <c r="E732" s="198"/>
      <c r="F732" s="198"/>
      <c r="G732" s="198"/>
      <c r="H732" s="198"/>
      <c r="I732" s="615"/>
      <c r="J732" s="198"/>
      <c r="K732" s="614"/>
      <c r="L732" s="614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41"/>
      <c r="D733" s="615"/>
      <c r="E733" s="198"/>
      <c r="F733" s="198"/>
      <c r="G733" s="198"/>
      <c r="H733" s="198"/>
      <c r="I733" s="615"/>
      <c r="J733" s="198"/>
      <c r="K733" s="614"/>
      <c r="L733" s="614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41"/>
      <c r="D734" s="615"/>
      <c r="E734" s="198"/>
      <c r="F734" s="198"/>
      <c r="G734" s="198"/>
      <c r="H734" s="198"/>
      <c r="I734" s="615"/>
      <c r="J734" s="198"/>
      <c r="K734" s="614"/>
      <c r="L734" s="614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41"/>
      <c r="D735" s="615"/>
      <c r="E735" s="198"/>
      <c r="F735" s="198"/>
      <c r="G735" s="198"/>
      <c r="H735" s="198"/>
      <c r="I735" s="615"/>
      <c r="J735" s="198"/>
      <c r="K735" s="614"/>
      <c r="L735" s="614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41"/>
      <c r="D736" s="615"/>
      <c r="E736" s="198"/>
      <c r="F736" s="198"/>
      <c r="G736" s="198"/>
      <c r="H736" s="198"/>
      <c r="I736" s="615"/>
      <c r="J736" s="198"/>
      <c r="K736" s="614"/>
      <c r="L736" s="614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41"/>
      <c r="D737" s="615"/>
      <c r="E737" s="198"/>
      <c r="F737" s="198"/>
      <c r="G737" s="198"/>
      <c r="H737" s="198"/>
      <c r="I737" s="615"/>
      <c r="J737" s="198"/>
      <c r="K737" s="614"/>
      <c r="L737" s="614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41"/>
      <c r="D738" s="615"/>
      <c r="E738" s="198"/>
      <c r="F738" s="198"/>
      <c r="G738" s="198"/>
      <c r="H738" s="198"/>
      <c r="I738" s="615"/>
      <c r="J738" s="198"/>
      <c r="K738" s="614"/>
      <c r="L738" s="614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41"/>
      <c r="D739" s="615"/>
      <c r="E739" s="198"/>
      <c r="F739" s="198"/>
      <c r="G739" s="198"/>
      <c r="H739" s="198"/>
      <c r="I739" s="615"/>
      <c r="J739" s="198"/>
      <c r="K739" s="614"/>
      <c r="L739" s="614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41"/>
      <c r="D740" s="615"/>
      <c r="E740" s="198"/>
      <c r="F740" s="198"/>
      <c r="G740" s="198"/>
      <c r="H740" s="198"/>
      <c r="I740" s="615"/>
      <c r="J740" s="198"/>
      <c r="K740" s="614"/>
      <c r="L740" s="614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41"/>
      <c r="D741" s="615"/>
      <c r="E741" s="198"/>
      <c r="F741" s="198"/>
      <c r="G741" s="198"/>
      <c r="H741" s="198"/>
      <c r="I741" s="615"/>
      <c r="J741" s="198"/>
      <c r="K741" s="614"/>
      <c r="L741" s="614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41"/>
      <c r="D742" s="615"/>
      <c r="E742" s="198"/>
      <c r="F742" s="198"/>
      <c r="G742" s="198"/>
      <c r="H742" s="198"/>
      <c r="I742" s="615"/>
      <c r="J742" s="198"/>
      <c r="K742" s="614"/>
      <c r="L742" s="614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41"/>
      <c r="D743" s="615"/>
      <c r="E743" s="198"/>
      <c r="F743" s="198"/>
      <c r="G743" s="198"/>
      <c r="H743" s="198"/>
      <c r="I743" s="615"/>
      <c r="J743" s="198"/>
      <c r="K743" s="614"/>
      <c r="L743" s="614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41"/>
      <c r="D744" s="615"/>
      <c r="E744" s="198"/>
      <c r="F744" s="198"/>
      <c r="G744" s="198"/>
      <c r="H744" s="198"/>
      <c r="I744" s="615"/>
      <c r="J744" s="198"/>
      <c r="K744" s="614"/>
      <c r="L744" s="614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41"/>
      <c r="D745" s="615"/>
      <c r="E745" s="198"/>
      <c r="F745" s="198"/>
      <c r="G745" s="198"/>
      <c r="H745" s="198"/>
      <c r="I745" s="615"/>
      <c r="J745" s="198"/>
      <c r="K745" s="614"/>
      <c r="L745" s="614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41"/>
      <c r="D746" s="615"/>
      <c r="E746" s="198"/>
      <c r="F746" s="198"/>
      <c r="G746" s="198"/>
      <c r="H746" s="198"/>
      <c r="I746" s="615"/>
      <c r="J746" s="198"/>
      <c r="K746" s="614"/>
      <c r="L746" s="614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41"/>
      <c r="D747" s="615"/>
      <c r="E747" s="198"/>
      <c r="F747" s="198"/>
      <c r="G747" s="198"/>
      <c r="H747" s="198"/>
      <c r="I747" s="615"/>
      <c r="J747" s="198"/>
      <c r="K747" s="614"/>
      <c r="L747" s="614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41"/>
      <c r="D748" s="615"/>
      <c r="E748" s="198"/>
      <c r="F748" s="198"/>
      <c r="G748" s="198"/>
      <c r="H748" s="198"/>
      <c r="I748" s="615"/>
      <c r="J748" s="198"/>
      <c r="K748" s="614"/>
      <c r="L748" s="614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41"/>
      <c r="D749" s="615"/>
      <c r="E749" s="198"/>
      <c r="F749" s="198"/>
      <c r="G749" s="198"/>
      <c r="H749" s="198"/>
      <c r="I749" s="615"/>
      <c r="J749" s="198"/>
      <c r="K749" s="614"/>
      <c r="L749" s="614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41"/>
      <c r="D750" s="615"/>
      <c r="E750" s="198"/>
      <c r="F750" s="198"/>
      <c r="G750" s="198"/>
      <c r="H750" s="198"/>
      <c r="I750" s="615"/>
      <c r="J750" s="198"/>
      <c r="K750" s="614"/>
      <c r="L750" s="614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41"/>
      <c r="D751" s="615"/>
      <c r="E751" s="198"/>
      <c r="F751" s="198"/>
      <c r="G751" s="198"/>
      <c r="H751" s="198"/>
      <c r="I751" s="615"/>
      <c r="J751" s="198"/>
      <c r="K751" s="614"/>
      <c r="L751" s="614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41"/>
      <c r="D752" s="615"/>
      <c r="E752" s="198"/>
      <c r="F752" s="198"/>
      <c r="G752" s="198"/>
      <c r="H752" s="198"/>
      <c r="I752" s="615"/>
      <c r="J752" s="198"/>
      <c r="K752" s="614"/>
      <c r="L752" s="614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41"/>
      <c r="D753" s="615"/>
      <c r="E753" s="198"/>
      <c r="F753" s="198"/>
      <c r="G753" s="198"/>
      <c r="H753" s="198"/>
      <c r="I753" s="615"/>
      <c r="J753" s="198"/>
      <c r="K753" s="614"/>
      <c r="L753" s="614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41"/>
      <c r="D754" s="615"/>
      <c r="E754" s="198"/>
      <c r="F754" s="198"/>
      <c r="G754" s="198"/>
      <c r="H754" s="198"/>
      <c r="I754" s="615"/>
      <c r="J754" s="198"/>
      <c r="K754" s="614"/>
      <c r="L754" s="614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41"/>
      <c r="D755" s="615"/>
      <c r="E755" s="198"/>
      <c r="F755" s="198"/>
      <c r="G755" s="198"/>
      <c r="H755" s="198"/>
      <c r="I755" s="615"/>
      <c r="J755" s="198"/>
      <c r="K755" s="614"/>
      <c r="L755" s="614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41"/>
      <c r="D756" s="615"/>
      <c r="E756" s="198"/>
      <c r="F756" s="198"/>
      <c r="G756" s="198"/>
      <c r="H756" s="198"/>
      <c r="I756" s="615"/>
      <c r="J756" s="198"/>
      <c r="K756" s="614"/>
      <c r="L756" s="614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41"/>
      <c r="D757" s="615"/>
      <c r="E757" s="198"/>
      <c r="F757" s="198"/>
      <c r="G757" s="198"/>
      <c r="H757" s="198"/>
      <c r="I757" s="615"/>
      <c r="J757" s="198"/>
      <c r="K757" s="614"/>
      <c r="L757" s="614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41"/>
      <c r="D758" s="615"/>
      <c r="E758" s="198"/>
      <c r="F758" s="198"/>
      <c r="G758" s="198"/>
      <c r="H758" s="198"/>
      <c r="I758" s="615"/>
      <c r="J758" s="198"/>
      <c r="K758" s="614"/>
      <c r="L758" s="614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41"/>
      <c r="D759" s="615"/>
      <c r="E759" s="198"/>
      <c r="F759" s="198"/>
      <c r="G759" s="198"/>
      <c r="H759" s="198"/>
      <c r="I759" s="615"/>
      <c r="J759" s="198"/>
      <c r="K759" s="614"/>
      <c r="L759" s="614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41"/>
      <c r="D760" s="615"/>
      <c r="E760" s="198"/>
      <c r="F760" s="198"/>
      <c r="G760" s="198"/>
      <c r="H760" s="198"/>
      <c r="I760" s="615"/>
      <c r="J760" s="198"/>
      <c r="K760" s="614"/>
      <c r="L760" s="614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41"/>
      <c r="D761" s="615"/>
      <c r="E761" s="198"/>
      <c r="F761" s="198"/>
      <c r="G761" s="198"/>
      <c r="H761" s="198"/>
      <c r="I761" s="615"/>
      <c r="J761" s="198"/>
      <c r="K761" s="614"/>
      <c r="L761" s="614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41"/>
      <c r="D762" s="615"/>
      <c r="E762" s="198"/>
      <c r="F762" s="198"/>
      <c r="G762" s="198"/>
      <c r="H762" s="198"/>
      <c r="I762" s="615"/>
      <c r="J762" s="198"/>
      <c r="K762" s="614"/>
      <c r="L762" s="614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41"/>
      <c r="D763" s="615"/>
      <c r="E763" s="198"/>
      <c r="F763" s="198"/>
      <c r="G763" s="198"/>
      <c r="H763" s="198"/>
      <c r="I763" s="615"/>
      <c r="J763" s="198"/>
      <c r="K763" s="614"/>
      <c r="L763" s="614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41"/>
      <c r="D764" s="615"/>
      <c r="E764" s="198"/>
      <c r="F764" s="198"/>
      <c r="G764" s="198"/>
      <c r="H764" s="198"/>
      <c r="I764" s="615"/>
      <c r="J764" s="198"/>
      <c r="K764" s="614"/>
      <c r="L764" s="614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41"/>
      <c r="D765" s="615"/>
      <c r="E765" s="198"/>
      <c r="F765" s="198"/>
      <c r="G765" s="198"/>
      <c r="H765" s="198"/>
      <c r="I765" s="615"/>
      <c r="J765" s="198"/>
      <c r="K765" s="614"/>
      <c r="L765" s="614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41"/>
      <c r="D766" s="615"/>
      <c r="E766" s="198"/>
      <c r="F766" s="198"/>
      <c r="G766" s="198"/>
      <c r="H766" s="198"/>
      <c r="I766" s="615"/>
      <c r="J766" s="198"/>
      <c r="K766" s="614"/>
      <c r="L766" s="614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41"/>
      <c r="D767" s="615"/>
      <c r="E767" s="198"/>
      <c r="F767" s="198"/>
      <c r="G767" s="198"/>
      <c r="H767" s="198"/>
      <c r="I767" s="615"/>
      <c r="J767" s="198"/>
      <c r="K767" s="614"/>
      <c r="L767" s="614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41"/>
      <c r="D768" s="615"/>
      <c r="E768" s="198"/>
      <c r="F768" s="198"/>
      <c r="G768" s="198"/>
      <c r="H768" s="198"/>
      <c r="I768" s="615"/>
      <c r="J768" s="198"/>
      <c r="K768" s="614"/>
      <c r="L768" s="614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41"/>
      <c r="D769" s="615"/>
      <c r="E769" s="198"/>
      <c r="F769" s="198"/>
      <c r="G769" s="198"/>
      <c r="H769" s="198"/>
      <c r="I769" s="615"/>
      <c r="J769" s="198"/>
      <c r="K769" s="614"/>
      <c r="L769" s="614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41"/>
      <c r="D770" s="615"/>
      <c r="E770" s="198"/>
      <c r="F770" s="198"/>
      <c r="G770" s="198"/>
      <c r="H770" s="198"/>
      <c r="I770" s="615"/>
      <c r="J770" s="198"/>
      <c r="K770" s="614"/>
      <c r="L770" s="614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41"/>
      <c r="D771" s="615"/>
      <c r="E771" s="198"/>
      <c r="F771" s="198"/>
      <c r="G771" s="198"/>
      <c r="H771" s="198"/>
      <c r="I771" s="615"/>
      <c r="J771" s="198"/>
      <c r="K771" s="614"/>
      <c r="L771" s="614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41"/>
      <c r="D772" s="615"/>
      <c r="E772" s="198"/>
      <c r="F772" s="198"/>
      <c r="G772" s="198"/>
      <c r="H772" s="198"/>
      <c r="I772" s="615"/>
      <c r="J772" s="198"/>
      <c r="K772" s="614"/>
      <c r="L772" s="614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41"/>
      <c r="D773" s="615"/>
      <c r="E773" s="198"/>
      <c r="F773" s="198"/>
      <c r="G773" s="198"/>
      <c r="H773" s="198"/>
      <c r="I773" s="615"/>
      <c r="J773" s="198"/>
      <c r="K773" s="614"/>
      <c r="L773" s="614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41"/>
      <c r="D774" s="615"/>
      <c r="E774" s="198"/>
      <c r="F774" s="198"/>
      <c r="G774" s="198"/>
      <c r="H774" s="198"/>
      <c r="I774" s="615"/>
      <c r="J774" s="198"/>
      <c r="K774" s="614"/>
      <c r="L774" s="614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41"/>
      <c r="D775" s="615"/>
      <c r="E775" s="198"/>
      <c r="F775" s="198"/>
      <c r="G775" s="198"/>
      <c r="H775" s="198"/>
      <c r="I775" s="615"/>
      <c r="J775" s="198"/>
      <c r="K775" s="614"/>
      <c r="L775" s="614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41"/>
      <c r="D776" s="615"/>
      <c r="E776" s="198"/>
      <c r="F776" s="198"/>
      <c r="G776" s="198"/>
      <c r="H776" s="198"/>
      <c r="I776" s="615"/>
      <c r="J776" s="198"/>
      <c r="K776" s="614"/>
      <c r="L776" s="614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41"/>
      <c r="D777" s="615"/>
      <c r="E777" s="198"/>
      <c r="F777" s="198"/>
      <c r="G777" s="198"/>
      <c r="H777" s="198"/>
      <c r="I777" s="615"/>
      <c r="J777" s="198"/>
      <c r="K777" s="614"/>
      <c r="L777" s="614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41"/>
      <c r="D778" s="615"/>
      <c r="E778" s="198"/>
      <c r="F778" s="198"/>
      <c r="G778" s="198"/>
      <c r="H778" s="198"/>
      <c r="I778" s="615"/>
      <c r="J778" s="198"/>
      <c r="K778" s="614"/>
      <c r="L778" s="614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41"/>
      <c r="D779" s="615"/>
      <c r="E779" s="198"/>
      <c r="F779" s="198"/>
      <c r="G779" s="198"/>
      <c r="H779" s="198"/>
      <c r="I779" s="615"/>
      <c r="J779" s="198"/>
      <c r="K779" s="614"/>
      <c r="L779" s="614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41"/>
      <c r="D780" s="615"/>
      <c r="E780" s="198"/>
      <c r="F780" s="198"/>
      <c r="G780" s="198"/>
      <c r="H780" s="198"/>
      <c r="I780" s="615"/>
      <c r="J780" s="198"/>
      <c r="K780" s="614"/>
      <c r="L780" s="614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41"/>
      <c r="D781" s="615"/>
      <c r="E781" s="198"/>
      <c r="F781" s="198"/>
      <c r="G781" s="198"/>
      <c r="H781" s="198"/>
      <c r="I781" s="615"/>
      <c r="J781" s="198"/>
      <c r="K781" s="614"/>
      <c r="L781" s="614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41"/>
      <c r="D782" s="615"/>
      <c r="E782" s="198"/>
      <c r="F782" s="198"/>
      <c r="G782" s="198"/>
      <c r="H782" s="198"/>
      <c r="I782" s="615"/>
      <c r="J782" s="198"/>
      <c r="K782" s="614"/>
      <c r="L782" s="614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41"/>
      <c r="D783" s="615"/>
      <c r="E783" s="198"/>
      <c r="F783" s="198"/>
      <c r="G783" s="198"/>
      <c r="H783" s="198"/>
      <c r="I783" s="615"/>
      <c r="J783" s="198"/>
      <c r="K783" s="614"/>
      <c r="L783" s="614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41"/>
      <c r="D784" s="615"/>
      <c r="E784" s="198"/>
      <c r="F784" s="198"/>
      <c r="G784" s="198"/>
      <c r="H784" s="198"/>
      <c r="I784" s="615"/>
      <c r="J784" s="198"/>
      <c r="K784" s="614"/>
      <c r="L784" s="614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41"/>
      <c r="D785" s="615"/>
      <c r="E785" s="198"/>
      <c r="F785" s="198"/>
      <c r="G785" s="198"/>
      <c r="H785" s="198"/>
      <c r="I785" s="615"/>
      <c r="J785" s="198"/>
      <c r="K785" s="614"/>
      <c r="L785" s="614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41"/>
      <c r="D786" s="615"/>
      <c r="E786" s="198"/>
      <c r="F786" s="198"/>
      <c r="G786" s="198"/>
      <c r="H786" s="198"/>
      <c r="I786" s="615"/>
      <c r="J786" s="198"/>
      <c r="K786" s="614"/>
      <c r="L786" s="614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41"/>
      <c r="D787" s="615"/>
      <c r="E787" s="198"/>
      <c r="F787" s="198"/>
      <c r="G787" s="198"/>
      <c r="H787" s="198"/>
      <c r="I787" s="615"/>
      <c r="J787" s="198"/>
      <c r="K787" s="614"/>
      <c r="L787" s="614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41"/>
      <c r="D788" s="615"/>
      <c r="E788" s="198"/>
      <c r="F788" s="198"/>
      <c r="G788" s="198"/>
      <c r="H788" s="198"/>
      <c r="I788" s="615"/>
      <c r="J788" s="198"/>
      <c r="K788" s="614"/>
      <c r="L788" s="614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41"/>
      <c r="D789" s="615"/>
      <c r="E789" s="198"/>
      <c r="F789" s="198"/>
      <c r="G789" s="198"/>
      <c r="H789" s="198"/>
      <c r="I789" s="615"/>
      <c r="J789" s="198"/>
      <c r="K789" s="614"/>
      <c r="L789" s="614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41"/>
      <c r="D790" s="615"/>
      <c r="E790" s="198"/>
      <c r="F790" s="198"/>
      <c r="G790" s="198"/>
      <c r="H790" s="198"/>
      <c r="I790" s="615"/>
      <c r="J790" s="198"/>
      <c r="K790" s="614"/>
      <c r="L790" s="614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41"/>
      <c r="D791" s="615"/>
      <c r="E791" s="198"/>
      <c r="F791" s="198"/>
      <c r="G791" s="198"/>
      <c r="H791" s="198"/>
      <c r="I791" s="615"/>
      <c r="J791" s="198"/>
      <c r="K791" s="614"/>
      <c r="L791" s="614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41"/>
      <c r="D792" s="615"/>
      <c r="E792" s="198"/>
      <c r="F792" s="198"/>
      <c r="G792" s="198"/>
      <c r="H792" s="198"/>
      <c r="I792" s="615"/>
      <c r="J792" s="198"/>
      <c r="K792" s="614"/>
      <c r="L792" s="614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41"/>
      <c r="D793" s="615"/>
      <c r="E793" s="198"/>
      <c r="F793" s="198"/>
      <c r="G793" s="198"/>
      <c r="H793" s="198"/>
      <c r="I793" s="615"/>
      <c r="J793" s="198"/>
      <c r="K793" s="614"/>
      <c r="L793" s="614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41"/>
      <c r="D794" s="615"/>
      <c r="E794" s="198"/>
      <c r="F794" s="198"/>
      <c r="G794" s="198"/>
      <c r="H794" s="198"/>
      <c r="I794" s="615"/>
      <c r="J794" s="198"/>
      <c r="K794" s="614"/>
      <c r="L794" s="614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41"/>
      <c r="D795" s="615"/>
      <c r="E795" s="198"/>
      <c r="F795" s="198"/>
      <c r="G795" s="198"/>
      <c r="H795" s="198"/>
      <c r="I795" s="615"/>
      <c r="J795" s="198"/>
      <c r="K795" s="614"/>
      <c r="L795" s="614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41"/>
      <c r="D796" s="615"/>
      <c r="E796" s="198"/>
      <c r="F796" s="198"/>
      <c r="G796" s="198"/>
      <c r="H796" s="198"/>
      <c r="I796" s="615"/>
      <c r="J796" s="198"/>
      <c r="K796" s="614"/>
      <c r="L796" s="614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41"/>
      <c r="D797" s="615"/>
      <c r="E797" s="198"/>
      <c r="F797" s="198"/>
      <c r="G797" s="198"/>
      <c r="H797" s="198"/>
      <c r="I797" s="615"/>
      <c r="J797" s="198"/>
      <c r="K797" s="614"/>
      <c r="L797" s="614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41"/>
      <c r="D798" s="615"/>
      <c r="E798" s="198"/>
      <c r="F798" s="198"/>
      <c r="G798" s="198"/>
      <c r="H798" s="198"/>
      <c r="I798" s="615"/>
      <c r="J798" s="198"/>
      <c r="K798" s="614"/>
      <c r="L798" s="614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41"/>
      <c r="D799" s="615"/>
      <c r="E799" s="198"/>
      <c r="F799" s="198"/>
      <c r="G799" s="198"/>
      <c r="H799" s="198"/>
      <c r="I799" s="615"/>
      <c r="J799" s="198"/>
      <c r="K799" s="614"/>
      <c r="L799" s="614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41"/>
      <c r="D800" s="615"/>
      <c r="E800" s="198"/>
      <c r="F800" s="198"/>
      <c r="G800" s="198"/>
      <c r="H800" s="198"/>
      <c r="I800" s="615"/>
      <c r="J800" s="198"/>
      <c r="K800" s="614"/>
      <c r="L800" s="614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41"/>
      <c r="D801" s="615"/>
      <c r="E801" s="198"/>
      <c r="F801" s="198"/>
      <c r="G801" s="198"/>
      <c r="H801" s="198"/>
      <c r="I801" s="615"/>
      <c r="J801" s="198"/>
      <c r="K801" s="614"/>
      <c r="L801" s="614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41"/>
      <c r="D802" s="615"/>
      <c r="E802" s="198"/>
      <c r="F802" s="198"/>
      <c r="G802" s="198"/>
      <c r="H802" s="198"/>
      <c r="I802" s="615"/>
      <c r="J802" s="198"/>
      <c r="K802" s="614"/>
      <c r="L802" s="614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41"/>
      <c r="D803" s="615"/>
      <c r="E803" s="198"/>
      <c r="F803" s="198"/>
      <c r="G803" s="198"/>
      <c r="H803" s="198"/>
      <c r="I803" s="615"/>
      <c r="J803" s="198"/>
      <c r="K803" s="614"/>
      <c r="L803" s="614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41"/>
      <c r="D804" s="615"/>
      <c r="E804" s="198"/>
      <c r="F804" s="198"/>
      <c r="G804" s="198"/>
      <c r="H804" s="198"/>
      <c r="I804" s="615"/>
      <c r="J804" s="198"/>
      <c r="K804" s="614"/>
      <c r="L804" s="614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41"/>
      <c r="D805" s="615"/>
      <c r="E805" s="198"/>
      <c r="F805" s="198"/>
      <c r="G805" s="198"/>
      <c r="H805" s="198"/>
      <c r="I805" s="615"/>
      <c r="J805" s="198"/>
      <c r="K805" s="614"/>
      <c r="L805" s="614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41"/>
      <c r="D806" s="615"/>
      <c r="E806" s="198"/>
      <c r="F806" s="198"/>
      <c r="G806" s="198"/>
      <c r="H806" s="198"/>
      <c r="I806" s="615"/>
      <c r="J806" s="198"/>
      <c r="K806" s="614"/>
      <c r="L806" s="614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41"/>
      <c r="D807" s="615"/>
      <c r="E807" s="198"/>
      <c r="F807" s="198"/>
      <c r="G807" s="198"/>
      <c r="H807" s="198"/>
      <c r="I807" s="615"/>
      <c r="J807" s="198"/>
      <c r="K807" s="614"/>
      <c r="L807" s="614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41"/>
      <c r="D808" s="615"/>
      <c r="E808" s="198"/>
      <c r="F808" s="198"/>
      <c r="G808" s="198"/>
      <c r="H808" s="198"/>
      <c r="I808" s="615"/>
      <c r="J808" s="198"/>
      <c r="K808" s="614"/>
      <c r="L808" s="614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41"/>
      <c r="D809" s="615"/>
      <c r="E809" s="198"/>
      <c r="F809" s="198"/>
      <c r="G809" s="198"/>
      <c r="H809" s="198"/>
      <c r="I809" s="615"/>
      <c r="J809" s="198"/>
      <c r="K809" s="614"/>
      <c r="L809" s="614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41"/>
      <c r="D810" s="615"/>
      <c r="E810" s="198"/>
      <c r="F810" s="198"/>
      <c r="G810" s="198"/>
      <c r="H810" s="198"/>
      <c r="I810" s="615"/>
      <c r="J810" s="198"/>
      <c r="K810" s="614"/>
      <c r="L810" s="614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41"/>
      <c r="D811" s="615"/>
      <c r="E811" s="198"/>
      <c r="F811" s="198"/>
      <c r="G811" s="198"/>
      <c r="H811" s="198"/>
      <c r="I811" s="615"/>
      <c r="J811" s="198"/>
      <c r="K811" s="614"/>
      <c r="L811" s="614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41"/>
      <c r="D812" s="615"/>
      <c r="E812" s="198"/>
      <c r="F812" s="198"/>
      <c r="G812" s="198"/>
      <c r="H812" s="198"/>
      <c r="I812" s="615"/>
      <c r="J812" s="198"/>
      <c r="K812" s="614"/>
      <c r="L812" s="614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41"/>
      <c r="D813" s="615"/>
      <c r="E813" s="198"/>
      <c r="F813" s="198"/>
      <c r="G813" s="198"/>
      <c r="H813" s="198"/>
      <c r="I813" s="615"/>
      <c r="J813" s="198"/>
      <c r="K813" s="614"/>
      <c r="L813" s="614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41"/>
      <c r="D814" s="615"/>
      <c r="E814" s="198"/>
      <c r="F814" s="198"/>
      <c r="G814" s="198"/>
      <c r="H814" s="198"/>
      <c r="I814" s="615"/>
      <c r="J814" s="198"/>
      <c r="K814" s="614"/>
      <c r="L814" s="614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41"/>
      <c r="D815" s="615"/>
      <c r="E815" s="198"/>
      <c r="F815" s="198"/>
      <c r="G815" s="198"/>
      <c r="H815" s="198"/>
      <c r="I815" s="615"/>
      <c r="J815" s="198"/>
      <c r="K815" s="614"/>
      <c r="L815" s="614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41"/>
      <c r="D816" s="615"/>
      <c r="E816" s="198"/>
      <c r="F816" s="198"/>
      <c r="G816" s="198"/>
      <c r="H816" s="198"/>
      <c r="I816" s="615"/>
      <c r="J816" s="198"/>
      <c r="K816" s="614"/>
      <c r="L816" s="614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41"/>
      <c r="D817" s="615"/>
      <c r="E817" s="198"/>
      <c r="F817" s="198"/>
      <c r="G817" s="198"/>
      <c r="H817" s="198"/>
      <c r="I817" s="615"/>
      <c r="J817" s="198"/>
      <c r="K817" s="614"/>
      <c r="L817" s="614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41"/>
      <c r="D818" s="615"/>
      <c r="E818" s="198"/>
      <c r="F818" s="198"/>
      <c r="G818" s="198"/>
      <c r="H818" s="198"/>
      <c r="I818" s="615"/>
      <c r="J818" s="198"/>
      <c r="K818" s="614"/>
      <c r="L818" s="614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41"/>
      <c r="D819" s="615"/>
      <c r="E819" s="198"/>
      <c r="F819" s="198"/>
      <c r="G819" s="198"/>
      <c r="H819" s="198"/>
      <c r="I819" s="615"/>
      <c r="J819" s="198"/>
      <c r="K819" s="614"/>
      <c r="L819" s="614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41"/>
      <c r="D820" s="615"/>
      <c r="E820" s="198"/>
      <c r="F820" s="198"/>
      <c r="G820" s="198"/>
      <c r="H820" s="198"/>
      <c r="I820" s="615"/>
      <c r="J820" s="198"/>
      <c r="K820" s="614"/>
      <c r="L820" s="614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41"/>
      <c r="D821" s="615"/>
      <c r="E821" s="198"/>
      <c r="F821" s="198"/>
      <c r="G821" s="198"/>
      <c r="H821" s="198"/>
      <c r="I821" s="615"/>
      <c r="J821" s="198"/>
      <c r="K821" s="614"/>
      <c r="L821" s="614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41"/>
      <c r="D822" s="615"/>
      <c r="E822" s="198"/>
      <c r="F822" s="198"/>
      <c r="G822" s="198"/>
      <c r="H822" s="198"/>
      <c r="I822" s="615"/>
      <c r="J822" s="198"/>
      <c r="K822" s="614"/>
      <c r="L822" s="614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41"/>
      <c r="D823" s="615"/>
      <c r="E823" s="198"/>
      <c r="F823" s="198"/>
      <c r="G823" s="198"/>
      <c r="H823" s="198"/>
      <c r="I823" s="615"/>
      <c r="J823" s="198"/>
      <c r="K823" s="614"/>
      <c r="L823" s="614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41"/>
      <c r="D824" s="615"/>
      <c r="E824" s="198"/>
      <c r="F824" s="198"/>
      <c r="G824" s="198"/>
      <c r="H824" s="198"/>
      <c r="I824" s="615"/>
      <c r="J824" s="198"/>
      <c r="K824" s="614"/>
      <c r="L824" s="614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41"/>
      <c r="D825" s="615"/>
      <c r="E825" s="198"/>
      <c r="F825" s="198"/>
      <c r="G825" s="198"/>
      <c r="H825" s="198"/>
      <c r="I825" s="615"/>
      <c r="J825" s="198"/>
      <c r="K825" s="614"/>
      <c r="L825" s="614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41"/>
      <c r="D826" s="615"/>
      <c r="E826" s="198"/>
      <c r="F826" s="198"/>
      <c r="G826" s="198"/>
      <c r="H826" s="198"/>
      <c r="I826" s="615"/>
      <c r="J826" s="198"/>
      <c r="K826" s="614"/>
      <c r="L826" s="614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41"/>
      <c r="D827" s="615"/>
      <c r="E827" s="198"/>
      <c r="F827" s="198"/>
      <c r="G827" s="198"/>
      <c r="H827" s="198"/>
      <c r="I827" s="615"/>
      <c r="J827" s="198"/>
      <c r="K827" s="614"/>
      <c r="L827" s="614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41"/>
      <c r="D828" s="615"/>
      <c r="E828" s="198"/>
      <c r="F828" s="198"/>
      <c r="G828" s="198"/>
      <c r="H828" s="198"/>
      <c r="I828" s="615"/>
      <c r="J828" s="198"/>
      <c r="K828" s="614"/>
      <c r="L828" s="614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41"/>
      <c r="D829" s="615"/>
      <c r="E829" s="198"/>
      <c r="F829" s="198"/>
      <c r="G829" s="198"/>
      <c r="H829" s="198"/>
      <c r="I829" s="615"/>
      <c r="J829" s="198"/>
      <c r="K829" s="614"/>
      <c r="L829" s="614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41"/>
      <c r="D830" s="615"/>
      <c r="E830" s="198"/>
      <c r="F830" s="198"/>
      <c r="G830" s="198"/>
      <c r="H830" s="198"/>
      <c r="I830" s="615"/>
      <c r="J830" s="198"/>
      <c r="K830" s="614"/>
      <c r="L830" s="614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41"/>
      <c r="D831" s="615"/>
      <c r="E831" s="198"/>
      <c r="F831" s="198"/>
      <c r="G831" s="198"/>
      <c r="H831" s="198"/>
      <c r="I831" s="615"/>
      <c r="J831" s="198"/>
      <c r="K831" s="614"/>
      <c r="L831" s="614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41"/>
      <c r="D832" s="615"/>
      <c r="E832" s="198"/>
      <c r="F832" s="198"/>
      <c r="G832" s="198"/>
      <c r="H832" s="198"/>
      <c r="I832" s="615"/>
      <c r="J832" s="198"/>
      <c r="K832" s="614"/>
      <c r="L832" s="614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41"/>
      <c r="D833" s="615"/>
      <c r="E833" s="198"/>
      <c r="F833" s="198"/>
      <c r="G833" s="198"/>
      <c r="H833" s="198"/>
      <c r="I833" s="615"/>
      <c r="J833" s="198"/>
      <c r="K833" s="614"/>
      <c r="L833" s="614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41"/>
      <c r="D834" s="615"/>
      <c r="E834" s="198"/>
      <c r="F834" s="198"/>
      <c r="G834" s="198"/>
      <c r="H834" s="198"/>
      <c r="I834" s="615"/>
      <c r="J834" s="198"/>
      <c r="K834" s="614"/>
      <c r="L834" s="614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41"/>
      <c r="D835" s="615"/>
      <c r="E835" s="198"/>
      <c r="F835" s="198"/>
      <c r="G835" s="198"/>
      <c r="H835" s="198"/>
      <c r="I835" s="615"/>
      <c r="J835" s="198"/>
      <c r="K835" s="614"/>
      <c r="L835" s="614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41"/>
      <c r="D836" s="615"/>
      <c r="E836" s="198"/>
      <c r="F836" s="198"/>
      <c r="G836" s="198"/>
      <c r="H836" s="198"/>
      <c r="I836" s="615"/>
      <c r="J836" s="198"/>
      <c r="K836" s="614"/>
      <c r="L836" s="614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41"/>
      <c r="D837" s="615"/>
      <c r="E837" s="198"/>
      <c r="F837" s="198"/>
      <c r="G837" s="198"/>
      <c r="H837" s="198"/>
      <c r="I837" s="615"/>
      <c r="J837" s="198"/>
      <c r="K837" s="614"/>
      <c r="L837" s="614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41"/>
      <c r="D838" s="615"/>
      <c r="E838" s="198"/>
      <c r="F838" s="198"/>
      <c r="G838" s="198"/>
      <c r="H838" s="198"/>
      <c r="I838" s="615"/>
      <c r="J838" s="198"/>
      <c r="K838" s="614"/>
      <c r="L838" s="614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41"/>
      <c r="D839" s="615"/>
      <c r="E839" s="198"/>
      <c r="F839" s="198"/>
      <c r="G839" s="198"/>
      <c r="H839" s="198"/>
      <c r="I839" s="615"/>
      <c r="J839" s="198"/>
      <c r="K839" s="614"/>
      <c r="L839" s="614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41"/>
      <c r="D840" s="615"/>
      <c r="E840" s="198"/>
      <c r="F840" s="198"/>
      <c r="G840" s="198"/>
      <c r="H840" s="198"/>
      <c r="I840" s="615"/>
      <c r="J840" s="198"/>
      <c r="K840" s="614"/>
      <c r="L840" s="614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41"/>
      <c r="D841" s="615"/>
      <c r="E841" s="198"/>
      <c r="F841" s="198"/>
      <c r="G841" s="198"/>
      <c r="H841" s="198"/>
      <c r="I841" s="615"/>
      <c r="J841" s="198"/>
      <c r="K841" s="614"/>
      <c r="L841" s="614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41"/>
      <c r="D842" s="615"/>
      <c r="E842" s="198"/>
      <c r="F842" s="198"/>
      <c r="G842" s="198"/>
      <c r="H842" s="198"/>
      <c r="I842" s="615"/>
      <c r="J842" s="198"/>
      <c r="K842" s="614"/>
      <c r="L842" s="614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41"/>
      <c r="D843" s="615"/>
      <c r="E843" s="198"/>
      <c r="F843" s="198"/>
      <c r="G843" s="198"/>
      <c r="H843" s="198"/>
      <c r="I843" s="615"/>
      <c r="J843" s="198"/>
      <c r="K843" s="614"/>
      <c r="L843" s="614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41"/>
      <c r="D844" s="615"/>
      <c r="E844" s="198"/>
      <c r="F844" s="198"/>
      <c r="G844" s="198"/>
      <c r="H844" s="198"/>
      <c r="I844" s="615"/>
      <c r="J844" s="198"/>
      <c r="K844" s="614"/>
      <c r="L844" s="614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41"/>
      <c r="D845" s="615"/>
      <c r="E845" s="198"/>
      <c r="F845" s="198"/>
      <c r="G845" s="198"/>
      <c r="H845" s="198"/>
      <c r="I845" s="615"/>
      <c r="J845" s="198"/>
      <c r="K845" s="614"/>
      <c r="L845" s="614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41"/>
      <c r="D846" s="615"/>
      <c r="E846" s="198"/>
      <c r="F846" s="198"/>
      <c r="G846" s="198"/>
      <c r="H846" s="198"/>
      <c r="I846" s="615"/>
      <c r="J846" s="198"/>
      <c r="K846" s="614"/>
      <c r="L846" s="614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41"/>
      <c r="D847" s="615"/>
      <c r="E847" s="198"/>
      <c r="F847" s="198"/>
      <c r="G847" s="198"/>
      <c r="H847" s="198"/>
      <c r="I847" s="615"/>
      <c r="J847" s="198"/>
      <c r="K847" s="614"/>
      <c r="L847" s="614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41"/>
      <c r="D848" s="615"/>
      <c r="E848" s="198"/>
      <c r="F848" s="198"/>
      <c r="G848" s="198"/>
      <c r="H848" s="198"/>
      <c r="I848" s="615"/>
      <c r="J848" s="198"/>
      <c r="K848" s="614"/>
      <c r="L848" s="614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41"/>
      <c r="D849" s="615"/>
      <c r="E849" s="198"/>
      <c r="F849" s="198"/>
      <c r="G849" s="198"/>
      <c r="H849" s="198"/>
      <c r="I849" s="615"/>
      <c r="J849" s="198"/>
      <c r="K849" s="614"/>
      <c r="L849" s="614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41"/>
      <c r="D850" s="615"/>
      <c r="E850" s="198"/>
      <c r="F850" s="198"/>
      <c r="G850" s="198"/>
      <c r="H850" s="198"/>
      <c r="I850" s="615"/>
      <c r="J850" s="198"/>
      <c r="K850" s="614"/>
      <c r="L850" s="614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41"/>
      <c r="D851" s="615"/>
      <c r="E851" s="198"/>
      <c r="F851" s="198"/>
      <c r="G851" s="198"/>
      <c r="H851" s="198"/>
      <c r="I851" s="615"/>
      <c r="J851" s="198"/>
      <c r="K851" s="614"/>
      <c r="L851" s="614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41"/>
      <c r="D852" s="615"/>
      <c r="E852" s="198"/>
      <c r="F852" s="198"/>
      <c r="G852" s="198"/>
      <c r="H852" s="198"/>
      <c r="I852" s="615"/>
      <c r="J852" s="198"/>
      <c r="K852" s="614"/>
      <c r="L852" s="614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41"/>
      <c r="D853" s="615"/>
      <c r="E853" s="198"/>
      <c r="F853" s="198"/>
      <c r="G853" s="198"/>
      <c r="H853" s="198"/>
      <c r="I853" s="615"/>
      <c r="J853" s="198"/>
      <c r="K853" s="614"/>
      <c r="L853" s="614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41"/>
      <c r="D854" s="615"/>
      <c r="E854" s="198"/>
      <c r="F854" s="198"/>
      <c r="G854" s="198"/>
      <c r="H854" s="198"/>
      <c r="I854" s="615"/>
      <c r="J854" s="198"/>
      <c r="K854" s="614"/>
      <c r="L854" s="614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41"/>
      <c r="D855" s="615"/>
      <c r="E855" s="198"/>
      <c r="F855" s="198"/>
      <c r="G855" s="198"/>
      <c r="H855" s="198"/>
      <c r="I855" s="615"/>
      <c r="J855" s="198"/>
      <c r="K855" s="614"/>
      <c r="L855" s="614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41"/>
      <c r="D856" s="615"/>
      <c r="E856" s="198"/>
      <c r="F856" s="198"/>
      <c r="G856" s="198"/>
      <c r="H856" s="198"/>
      <c r="I856" s="615"/>
      <c r="J856" s="198"/>
      <c r="K856" s="614"/>
      <c r="L856" s="614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41"/>
      <c r="D857" s="615"/>
      <c r="E857" s="198"/>
      <c r="F857" s="198"/>
      <c r="G857" s="198"/>
      <c r="H857" s="198"/>
      <c r="I857" s="615"/>
      <c r="J857" s="198"/>
      <c r="K857" s="614"/>
      <c r="L857" s="614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41"/>
      <c r="D858" s="615"/>
      <c r="E858" s="198"/>
      <c r="F858" s="198"/>
      <c r="G858" s="198"/>
      <c r="H858" s="198"/>
      <c r="I858" s="615"/>
      <c r="J858" s="198"/>
      <c r="K858" s="614"/>
      <c r="L858" s="614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41"/>
      <c r="D859" s="615"/>
      <c r="E859" s="198"/>
      <c r="F859" s="198"/>
      <c r="G859" s="198"/>
      <c r="H859" s="198"/>
      <c r="I859" s="615"/>
      <c r="J859" s="198"/>
      <c r="K859" s="614"/>
      <c r="L859" s="614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41"/>
      <c r="D860" s="615"/>
      <c r="E860" s="198"/>
      <c r="F860" s="198"/>
      <c r="G860" s="198"/>
      <c r="H860" s="198"/>
      <c r="I860" s="615"/>
      <c r="J860" s="198"/>
      <c r="K860" s="614"/>
      <c r="L860" s="614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41"/>
      <c r="D861" s="615"/>
      <c r="E861" s="198"/>
      <c r="F861" s="198"/>
      <c r="G861" s="198"/>
      <c r="H861" s="198"/>
      <c r="I861" s="615"/>
      <c r="J861" s="198"/>
      <c r="K861" s="614"/>
      <c r="L861" s="614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41"/>
      <c r="D862" s="615"/>
      <c r="E862" s="198"/>
      <c r="F862" s="198"/>
      <c r="G862" s="198"/>
      <c r="H862" s="198"/>
      <c r="I862" s="615"/>
      <c r="J862" s="198"/>
      <c r="K862" s="614"/>
      <c r="L862" s="614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41"/>
      <c r="D863" s="615"/>
      <c r="E863" s="198"/>
      <c r="F863" s="198"/>
      <c r="G863" s="198"/>
      <c r="H863" s="198"/>
      <c r="I863" s="615"/>
      <c r="J863" s="198"/>
      <c r="K863" s="614"/>
      <c r="L863" s="614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41"/>
      <c r="D864" s="615"/>
      <c r="E864" s="198"/>
      <c r="F864" s="198"/>
      <c r="G864" s="198"/>
      <c r="H864" s="198"/>
      <c r="I864" s="615"/>
      <c r="J864" s="198"/>
      <c r="K864" s="614"/>
      <c r="L864" s="614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41"/>
      <c r="D865" s="615"/>
      <c r="E865" s="198"/>
      <c r="F865" s="198"/>
      <c r="G865" s="198"/>
      <c r="H865" s="198"/>
      <c r="I865" s="615"/>
      <c r="J865" s="198"/>
      <c r="K865" s="614"/>
      <c r="L865" s="614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41"/>
      <c r="D866" s="615"/>
      <c r="E866" s="198"/>
      <c r="F866" s="198"/>
      <c r="G866" s="198"/>
      <c r="H866" s="198"/>
      <c r="I866" s="615"/>
      <c r="J866" s="198"/>
      <c r="K866" s="614"/>
      <c r="L866" s="614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41"/>
      <c r="D867" s="615"/>
      <c r="E867" s="198"/>
      <c r="F867" s="198"/>
      <c r="G867" s="198"/>
      <c r="H867" s="198"/>
      <c r="I867" s="615"/>
      <c r="J867" s="198"/>
      <c r="K867" s="614"/>
      <c r="L867" s="614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41"/>
      <c r="D868" s="615"/>
      <c r="E868" s="198"/>
      <c r="F868" s="198"/>
      <c r="G868" s="198"/>
      <c r="H868" s="198"/>
      <c r="I868" s="615"/>
      <c r="J868" s="198"/>
      <c r="K868" s="614"/>
      <c r="L868" s="614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41"/>
      <c r="D869" s="615"/>
      <c r="E869" s="198"/>
      <c r="F869" s="198"/>
      <c r="G869" s="198"/>
      <c r="H869" s="198"/>
      <c r="I869" s="615"/>
      <c r="J869" s="198"/>
      <c r="K869" s="614"/>
      <c r="L869" s="614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41"/>
      <c r="D870" s="615"/>
      <c r="E870" s="198"/>
      <c r="F870" s="198"/>
      <c r="G870" s="198"/>
      <c r="H870" s="198"/>
      <c r="I870" s="615"/>
      <c r="J870" s="198"/>
      <c r="K870" s="614"/>
      <c r="L870" s="614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41"/>
      <c r="D871" s="615"/>
      <c r="E871" s="198"/>
      <c r="F871" s="198"/>
      <c r="G871" s="198"/>
      <c r="H871" s="198"/>
      <c r="I871" s="615"/>
      <c r="J871" s="198"/>
      <c r="K871" s="614"/>
      <c r="L871" s="614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41"/>
      <c r="D872" s="615"/>
      <c r="E872" s="198"/>
      <c r="F872" s="198"/>
      <c r="G872" s="198"/>
      <c r="H872" s="198"/>
      <c r="I872" s="615"/>
      <c r="J872" s="198"/>
      <c r="K872" s="614"/>
      <c r="L872" s="614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41"/>
      <c r="D873" s="615"/>
      <c r="E873" s="198"/>
      <c r="F873" s="198"/>
      <c r="G873" s="198"/>
      <c r="H873" s="198"/>
      <c r="I873" s="615"/>
      <c r="J873" s="198"/>
      <c r="K873" s="614"/>
      <c r="L873" s="614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41"/>
      <c r="D874" s="615"/>
      <c r="E874" s="198"/>
      <c r="F874" s="198"/>
      <c r="G874" s="198"/>
      <c r="H874" s="198"/>
      <c r="I874" s="615"/>
      <c r="J874" s="198"/>
      <c r="K874" s="614"/>
      <c r="L874" s="614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41"/>
      <c r="D875" s="615"/>
      <c r="E875" s="198"/>
      <c r="F875" s="198"/>
      <c r="G875" s="198"/>
      <c r="H875" s="198"/>
      <c r="I875" s="615"/>
      <c r="J875" s="198"/>
      <c r="K875" s="614"/>
      <c r="L875" s="614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41"/>
      <c r="D876" s="615"/>
      <c r="E876" s="198"/>
      <c r="F876" s="198"/>
      <c r="G876" s="198"/>
      <c r="H876" s="198"/>
      <c r="I876" s="615"/>
      <c r="J876" s="198"/>
      <c r="K876" s="614"/>
      <c r="L876" s="614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41"/>
      <c r="D877" s="615"/>
      <c r="E877" s="198"/>
      <c r="F877" s="198"/>
      <c r="G877" s="198"/>
      <c r="H877" s="198"/>
      <c r="I877" s="615"/>
      <c r="J877" s="198"/>
      <c r="K877" s="614"/>
      <c r="L877" s="614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41"/>
      <c r="D878" s="615"/>
      <c r="E878" s="198"/>
      <c r="F878" s="198"/>
      <c r="G878" s="198"/>
      <c r="H878" s="198"/>
      <c r="I878" s="615"/>
      <c r="J878" s="198"/>
      <c r="K878" s="614"/>
      <c r="L878" s="614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41"/>
      <c r="D879" s="615"/>
      <c r="E879" s="198"/>
      <c r="F879" s="198"/>
      <c r="G879" s="198"/>
      <c r="H879" s="198"/>
      <c r="I879" s="615"/>
      <c r="J879" s="198"/>
      <c r="K879" s="614"/>
      <c r="L879" s="614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41"/>
      <c r="D880" s="615"/>
      <c r="E880" s="198"/>
      <c r="F880" s="198"/>
      <c r="G880" s="198"/>
      <c r="H880" s="198"/>
      <c r="I880" s="615"/>
      <c r="J880" s="198"/>
      <c r="K880" s="614"/>
      <c r="L880" s="614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41"/>
      <c r="D881" s="615"/>
      <c r="E881" s="198"/>
      <c r="F881" s="198"/>
      <c r="G881" s="198"/>
      <c r="H881" s="198"/>
      <c r="I881" s="615"/>
      <c r="J881" s="198"/>
      <c r="K881" s="614"/>
      <c r="L881" s="614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41"/>
      <c r="D882" s="615"/>
      <c r="E882" s="198"/>
      <c r="F882" s="198"/>
      <c r="G882" s="198"/>
      <c r="H882" s="198"/>
      <c r="I882" s="615"/>
      <c r="J882" s="198"/>
      <c r="K882" s="614"/>
      <c r="L882" s="614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41"/>
      <c r="D883" s="615"/>
      <c r="E883" s="198"/>
      <c r="F883" s="198"/>
      <c r="G883" s="198"/>
      <c r="H883" s="198"/>
      <c r="I883" s="615"/>
      <c r="J883" s="198"/>
      <c r="K883" s="614"/>
      <c r="L883" s="614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41"/>
      <c r="D884" s="615"/>
      <c r="E884" s="198"/>
      <c r="F884" s="198"/>
      <c r="G884" s="198"/>
      <c r="H884" s="198"/>
      <c r="I884" s="615"/>
      <c r="J884" s="198"/>
      <c r="K884" s="614"/>
      <c r="L884" s="614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41"/>
      <c r="D885" s="615"/>
      <c r="E885" s="198"/>
      <c r="F885" s="198"/>
      <c r="G885" s="198"/>
      <c r="H885" s="198"/>
      <c r="I885" s="615"/>
      <c r="J885" s="198"/>
      <c r="K885" s="614"/>
      <c r="L885" s="614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41"/>
      <c r="D886" s="615"/>
      <c r="E886" s="198"/>
      <c r="F886" s="198"/>
      <c r="G886" s="198"/>
      <c r="H886" s="198"/>
      <c r="I886" s="615"/>
      <c r="J886" s="198"/>
      <c r="K886" s="614"/>
      <c r="L886" s="614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41"/>
      <c r="D887" s="615"/>
      <c r="E887" s="198"/>
      <c r="F887" s="198"/>
      <c r="G887" s="198"/>
      <c r="H887" s="198"/>
      <c r="I887" s="615"/>
      <c r="J887" s="198"/>
      <c r="K887" s="614"/>
      <c r="L887" s="614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41"/>
      <c r="D888" s="615"/>
      <c r="E888" s="198"/>
      <c r="F888" s="198"/>
      <c r="G888" s="198"/>
      <c r="H888" s="198"/>
      <c r="I888" s="615"/>
      <c r="J888" s="198"/>
      <c r="K888" s="614"/>
      <c r="L888" s="614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41"/>
      <c r="D889" s="615"/>
      <c r="E889" s="198"/>
      <c r="F889" s="198"/>
      <c r="G889" s="198"/>
      <c r="H889" s="198"/>
      <c r="I889" s="615"/>
      <c r="J889" s="198"/>
      <c r="K889" s="614"/>
      <c r="L889" s="614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41"/>
      <c r="D890" s="615"/>
      <c r="E890" s="198"/>
      <c r="F890" s="198"/>
      <c r="G890" s="198"/>
      <c r="H890" s="198"/>
      <c r="I890" s="615"/>
      <c r="J890" s="198"/>
      <c r="K890" s="614"/>
      <c r="L890" s="614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41"/>
      <c r="D891" s="615"/>
      <c r="E891" s="198"/>
      <c r="F891" s="198"/>
      <c r="G891" s="198"/>
      <c r="H891" s="198"/>
      <c r="I891" s="615"/>
      <c r="J891" s="198"/>
      <c r="K891" s="614"/>
      <c r="L891" s="614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41"/>
      <c r="D892" s="615"/>
      <c r="E892" s="198"/>
      <c r="F892" s="198"/>
      <c r="G892" s="198"/>
      <c r="H892" s="198"/>
      <c r="I892" s="615"/>
      <c r="J892" s="198"/>
      <c r="K892" s="614"/>
      <c r="L892" s="614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41"/>
      <c r="D893" s="615"/>
      <c r="E893" s="198"/>
      <c r="F893" s="198"/>
      <c r="G893" s="198"/>
      <c r="H893" s="198"/>
      <c r="I893" s="615"/>
      <c r="J893" s="198"/>
      <c r="K893" s="614"/>
      <c r="L893" s="614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41"/>
      <c r="D894" s="615"/>
      <c r="E894" s="198"/>
      <c r="F894" s="198"/>
      <c r="G894" s="198"/>
      <c r="H894" s="198"/>
      <c r="I894" s="615"/>
      <c r="J894" s="198"/>
      <c r="K894" s="614"/>
      <c r="L894" s="614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41"/>
      <c r="D895" s="615"/>
      <c r="E895" s="198"/>
      <c r="F895" s="198"/>
      <c r="G895" s="198"/>
      <c r="H895" s="198"/>
      <c r="I895" s="615"/>
      <c r="J895" s="198"/>
      <c r="K895" s="614"/>
      <c r="L895" s="614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41"/>
      <c r="D896" s="615"/>
      <c r="E896" s="198"/>
      <c r="F896" s="198"/>
      <c r="G896" s="198"/>
      <c r="H896" s="198"/>
      <c r="I896" s="615"/>
      <c r="J896" s="198"/>
      <c r="K896" s="614"/>
      <c r="L896" s="614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41"/>
      <c r="D897" s="615"/>
      <c r="E897" s="198"/>
      <c r="F897" s="198"/>
      <c r="G897" s="198"/>
      <c r="H897" s="198"/>
      <c r="I897" s="615"/>
      <c r="J897" s="198"/>
      <c r="K897" s="614"/>
      <c r="L897" s="614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41"/>
      <c r="D898" s="615"/>
      <c r="E898" s="198"/>
      <c r="F898" s="198"/>
      <c r="G898" s="198"/>
      <c r="H898" s="198"/>
      <c r="I898" s="615"/>
      <c r="J898" s="198"/>
      <c r="K898" s="614"/>
      <c r="L898" s="614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41"/>
      <c r="D899" s="615"/>
      <c r="E899" s="198"/>
      <c r="F899" s="198"/>
      <c r="G899" s="198"/>
      <c r="H899" s="198"/>
      <c r="I899" s="615"/>
      <c r="J899" s="198"/>
      <c r="K899" s="614"/>
      <c r="L899" s="614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41"/>
      <c r="D900" s="615"/>
      <c r="E900" s="198"/>
      <c r="F900" s="198"/>
      <c r="G900" s="198"/>
      <c r="H900" s="198"/>
      <c r="I900" s="615"/>
      <c r="J900" s="198"/>
      <c r="K900" s="614"/>
      <c r="L900" s="614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41"/>
      <c r="D901" s="615"/>
      <c r="E901" s="198"/>
      <c r="F901" s="198"/>
      <c r="G901" s="198"/>
      <c r="H901" s="198"/>
      <c r="I901" s="615"/>
      <c r="J901" s="198"/>
      <c r="K901" s="614"/>
      <c r="L901" s="614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41"/>
      <c r="D902" s="615"/>
      <c r="E902" s="198"/>
      <c r="F902" s="198"/>
      <c r="G902" s="198"/>
      <c r="H902" s="198"/>
      <c r="I902" s="615"/>
      <c r="J902" s="198"/>
      <c r="K902" s="614"/>
      <c r="L902" s="614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41"/>
      <c r="D903" s="615"/>
      <c r="E903" s="198"/>
      <c r="F903" s="198"/>
      <c r="G903" s="198"/>
      <c r="H903" s="198"/>
      <c r="I903" s="615"/>
      <c r="J903" s="198"/>
      <c r="K903" s="614"/>
      <c r="L903" s="614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41"/>
      <c r="D904" s="615"/>
      <c r="E904" s="198"/>
      <c r="F904" s="198"/>
      <c r="G904" s="198"/>
      <c r="H904" s="198"/>
      <c r="I904" s="615"/>
      <c r="J904" s="198"/>
      <c r="K904" s="614"/>
      <c r="L904" s="614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41"/>
      <c r="D905" s="615"/>
      <c r="E905" s="198"/>
      <c r="F905" s="198"/>
      <c r="G905" s="198"/>
      <c r="H905" s="198"/>
      <c r="I905" s="615"/>
      <c r="J905" s="198"/>
      <c r="K905" s="614"/>
      <c r="L905" s="614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41"/>
      <c r="D906" s="615"/>
      <c r="E906" s="198"/>
      <c r="F906" s="198"/>
      <c r="G906" s="198"/>
      <c r="H906" s="198"/>
      <c r="I906" s="615"/>
      <c r="J906" s="198"/>
      <c r="K906" s="614"/>
      <c r="L906" s="614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41"/>
      <c r="D907" s="615"/>
      <c r="E907" s="198"/>
      <c r="F907" s="198"/>
      <c r="G907" s="198"/>
      <c r="H907" s="198"/>
      <c r="I907" s="615"/>
      <c r="J907" s="198"/>
      <c r="K907" s="614"/>
      <c r="L907" s="614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41"/>
      <c r="D908" s="615"/>
      <c r="E908" s="198"/>
      <c r="F908" s="198"/>
      <c r="G908" s="198"/>
      <c r="H908" s="198"/>
      <c r="I908" s="615"/>
      <c r="J908" s="198"/>
      <c r="K908" s="614"/>
      <c r="L908" s="614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41"/>
      <c r="D909" s="615"/>
      <c r="E909" s="198"/>
      <c r="F909" s="198"/>
      <c r="G909" s="198"/>
      <c r="H909" s="198"/>
      <c r="I909" s="615"/>
      <c r="J909" s="198"/>
      <c r="K909" s="614"/>
      <c r="L909" s="614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41"/>
      <c r="D910" s="615"/>
      <c r="E910" s="198"/>
      <c r="F910" s="198"/>
      <c r="G910" s="198"/>
      <c r="H910" s="198"/>
      <c r="I910" s="615"/>
      <c r="J910" s="198"/>
      <c r="K910" s="614"/>
      <c r="L910" s="614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41"/>
      <c r="D911" s="615"/>
      <c r="E911" s="198"/>
      <c r="F911" s="198"/>
      <c r="G911" s="198"/>
      <c r="H911" s="198"/>
      <c r="I911" s="615"/>
      <c r="J911" s="198"/>
      <c r="K911" s="614"/>
      <c r="L911" s="614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41"/>
      <c r="D912" s="615"/>
      <c r="E912" s="198"/>
      <c r="F912" s="198"/>
      <c r="G912" s="198"/>
      <c r="H912" s="198"/>
      <c r="I912" s="615"/>
      <c r="J912" s="198"/>
      <c r="K912" s="614"/>
      <c r="L912" s="614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41"/>
      <c r="D913" s="615"/>
      <c r="E913" s="198"/>
      <c r="F913" s="198"/>
      <c r="G913" s="198"/>
      <c r="H913" s="198"/>
      <c r="I913" s="615"/>
      <c r="J913" s="198"/>
      <c r="K913" s="614"/>
      <c r="L913" s="614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41"/>
      <c r="D914" s="615"/>
      <c r="E914" s="198"/>
      <c r="F914" s="198"/>
      <c r="G914" s="198"/>
      <c r="H914" s="198"/>
      <c r="I914" s="615"/>
      <c r="J914" s="198"/>
      <c r="K914" s="614"/>
      <c r="L914" s="614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41"/>
      <c r="D915" s="615"/>
      <c r="E915" s="198"/>
      <c r="F915" s="198"/>
      <c r="G915" s="198"/>
      <c r="H915" s="198"/>
      <c r="I915" s="615"/>
      <c r="J915" s="198"/>
      <c r="K915" s="614"/>
      <c r="L915" s="614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41"/>
      <c r="D916" s="615"/>
      <c r="E916" s="198"/>
      <c r="F916" s="198"/>
      <c r="G916" s="198"/>
      <c r="H916" s="198"/>
      <c r="I916" s="615"/>
      <c r="J916" s="198"/>
      <c r="K916" s="614"/>
      <c r="L916" s="614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41"/>
      <c r="D917" s="615"/>
      <c r="E917" s="198"/>
      <c r="F917" s="198"/>
      <c r="G917" s="198"/>
      <c r="H917" s="198"/>
      <c r="I917" s="615"/>
      <c r="J917" s="198"/>
      <c r="K917" s="614"/>
      <c r="L917" s="614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41"/>
      <c r="D918" s="615"/>
      <c r="E918" s="198"/>
      <c r="F918" s="198"/>
      <c r="G918" s="198"/>
      <c r="H918" s="198"/>
      <c r="I918" s="615"/>
      <c r="J918" s="198"/>
      <c r="K918" s="614"/>
      <c r="L918" s="614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41"/>
      <c r="D919" s="615"/>
      <c r="E919" s="198"/>
      <c r="F919" s="198"/>
      <c r="G919" s="198"/>
      <c r="H919" s="198"/>
      <c r="I919" s="615"/>
      <c r="J919" s="198"/>
      <c r="K919" s="614"/>
      <c r="L919" s="614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41"/>
      <c r="D920" s="615"/>
      <c r="E920" s="198"/>
      <c r="F920" s="198"/>
      <c r="G920" s="198"/>
      <c r="H920" s="198"/>
      <c r="I920" s="615"/>
      <c r="J920" s="198"/>
      <c r="K920" s="614"/>
      <c r="L920" s="614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41"/>
      <c r="D921" s="615"/>
      <c r="E921" s="198"/>
      <c r="F921" s="198"/>
      <c r="G921" s="198"/>
      <c r="H921" s="198"/>
      <c r="I921" s="615"/>
      <c r="J921" s="198"/>
      <c r="K921" s="614"/>
      <c r="L921" s="614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41"/>
      <c r="D922" s="615"/>
      <c r="E922" s="198"/>
      <c r="F922" s="198"/>
      <c r="G922" s="198"/>
      <c r="H922" s="198"/>
      <c r="I922" s="615"/>
      <c r="J922" s="198"/>
      <c r="K922" s="614"/>
      <c r="L922" s="614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41"/>
      <c r="D923" s="615"/>
      <c r="E923" s="198"/>
      <c r="F923" s="198"/>
      <c r="G923" s="198"/>
      <c r="H923" s="198"/>
      <c r="I923" s="615"/>
      <c r="J923" s="198"/>
      <c r="K923" s="614"/>
      <c r="L923" s="614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41"/>
      <c r="D924" s="615"/>
      <c r="E924" s="198"/>
      <c r="F924" s="198"/>
      <c r="G924" s="198"/>
      <c r="H924" s="198"/>
      <c r="I924" s="615"/>
      <c r="J924" s="198"/>
      <c r="K924" s="614"/>
      <c r="L924" s="614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41"/>
      <c r="D925" s="615"/>
      <c r="E925" s="198"/>
      <c r="F925" s="198"/>
      <c r="G925" s="198"/>
      <c r="H925" s="198"/>
      <c r="I925" s="615"/>
      <c r="J925" s="198"/>
      <c r="K925" s="614"/>
      <c r="L925" s="614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41"/>
      <c r="D926" s="615"/>
      <c r="E926" s="198"/>
      <c r="F926" s="198"/>
      <c r="G926" s="198"/>
      <c r="H926" s="198"/>
      <c r="I926" s="615"/>
      <c r="J926" s="198"/>
      <c r="K926" s="614"/>
      <c r="L926" s="614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41"/>
      <c r="D927" s="615"/>
      <c r="E927" s="198"/>
      <c r="F927" s="198"/>
      <c r="G927" s="198"/>
      <c r="H927" s="198"/>
      <c r="I927" s="615"/>
      <c r="J927" s="198"/>
      <c r="K927" s="614"/>
      <c r="L927" s="614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41"/>
      <c r="D928" s="615"/>
      <c r="E928" s="198"/>
      <c r="F928" s="198"/>
      <c r="G928" s="198"/>
      <c r="H928" s="198"/>
      <c r="I928" s="615"/>
      <c r="J928" s="198"/>
      <c r="K928" s="614"/>
      <c r="L928" s="614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41"/>
      <c r="D929" s="615"/>
      <c r="E929" s="198"/>
      <c r="F929" s="198"/>
      <c r="G929" s="198"/>
      <c r="H929" s="198"/>
      <c r="I929" s="615"/>
      <c r="J929" s="198"/>
      <c r="K929" s="614"/>
      <c r="L929" s="614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41"/>
      <c r="D930" s="615"/>
      <c r="E930" s="198"/>
      <c r="F930" s="198"/>
      <c r="G930" s="198"/>
      <c r="H930" s="198"/>
      <c r="I930" s="615"/>
      <c r="J930" s="198"/>
      <c r="K930" s="614"/>
      <c r="L930" s="614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41"/>
      <c r="D931" s="615"/>
      <c r="E931" s="198"/>
      <c r="F931" s="198"/>
      <c r="G931" s="198"/>
      <c r="H931" s="198"/>
      <c r="I931" s="615"/>
      <c r="J931" s="198"/>
      <c r="K931" s="614"/>
      <c r="L931" s="614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41"/>
      <c r="D932" s="615"/>
      <c r="E932" s="198"/>
      <c r="F932" s="198"/>
      <c r="G932" s="198"/>
      <c r="H932" s="198"/>
      <c r="I932" s="615"/>
      <c r="J932" s="198"/>
      <c r="K932" s="614"/>
      <c r="L932" s="614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41"/>
      <c r="D933" s="615"/>
      <c r="E933" s="198"/>
      <c r="F933" s="198"/>
      <c r="G933" s="198"/>
      <c r="H933" s="198"/>
      <c r="I933" s="615"/>
      <c r="J933" s="198"/>
      <c r="K933" s="614"/>
      <c r="L933" s="614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41"/>
      <c r="D934" s="615"/>
      <c r="E934" s="198"/>
      <c r="F934" s="198"/>
      <c r="G934" s="198"/>
      <c r="H934" s="198"/>
      <c r="I934" s="615"/>
      <c r="J934" s="198"/>
      <c r="K934" s="614"/>
      <c r="L934" s="614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41"/>
      <c r="D935" s="615"/>
      <c r="E935" s="198"/>
      <c r="F935" s="198"/>
      <c r="G935" s="198"/>
      <c r="H935" s="198"/>
      <c r="I935" s="615"/>
      <c r="J935" s="198"/>
      <c r="K935" s="614"/>
      <c r="L935" s="614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41"/>
      <c r="D936" s="615"/>
      <c r="E936" s="198"/>
      <c r="F936" s="198"/>
      <c r="G936" s="198"/>
      <c r="H936" s="198"/>
      <c r="I936" s="615"/>
      <c r="J936" s="198"/>
      <c r="K936" s="614"/>
      <c r="L936" s="614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41"/>
      <c r="D937" s="615"/>
      <c r="E937" s="198"/>
      <c r="F937" s="198"/>
      <c r="G937" s="198"/>
      <c r="H937" s="198"/>
      <c r="I937" s="615"/>
      <c r="J937" s="198"/>
      <c r="K937" s="614"/>
      <c r="L937" s="614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41"/>
      <c r="D938" s="615"/>
      <c r="E938" s="198"/>
      <c r="F938" s="198"/>
      <c r="G938" s="198"/>
      <c r="H938" s="198"/>
      <c r="I938" s="615"/>
      <c r="J938" s="198"/>
      <c r="K938" s="614"/>
      <c r="L938" s="614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41"/>
      <c r="D939" s="615"/>
      <c r="E939" s="198"/>
      <c r="F939" s="198"/>
      <c r="G939" s="198"/>
      <c r="H939" s="198"/>
      <c r="I939" s="615"/>
      <c r="J939" s="198"/>
      <c r="K939" s="614"/>
      <c r="L939" s="614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41"/>
      <c r="D940" s="615"/>
      <c r="E940" s="198"/>
      <c r="F940" s="198"/>
      <c r="G940" s="198"/>
      <c r="H940" s="198"/>
      <c r="I940" s="615"/>
      <c r="J940" s="198"/>
      <c r="K940" s="614"/>
      <c r="L940" s="614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41"/>
      <c r="D941" s="615"/>
      <c r="E941" s="198"/>
      <c r="F941" s="198"/>
      <c r="G941" s="198"/>
      <c r="H941" s="198"/>
      <c r="I941" s="615"/>
      <c r="J941" s="198"/>
      <c r="K941" s="614"/>
      <c r="L941" s="614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41"/>
      <c r="D942" s="615"/>
      <c r="E942" s="198"/>
      <c r="F942" s="198"/>
      <c r="G942" s="198"/>
      <c r="H942" s="198"/>
      <c r="I942" s="615"/>
      <c r="J942" s="198"/>
      <c r="K942" s="614"/>
      <c r="L942" s="614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41"/>
      <c r="D943" s="615"/>
      <c r="E943" s="198"/>
      <c r="F943" s="198"/>
      <c r="G943" s="198"/>
      <c r="H943" s="198"/>
      <c r="I943" s="615"/>
      <c r="J943" s="198"/>
      <c r="K943" s="614"/>
      <c r="L943" s="614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41"/>
      <c r="D944" s="615"/>
      <c r="E944" s="198"/>
      <c r="F944" s="198"/>
      <c r="G944" s="198"/>
      <c r="H944" s="198"/>
      <c r="I944" s="615"/>
      <c r="J944" s="198"/>
      <c r="K944" s="614"/>
      <c r="L944" s="614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41"/>
      <c r="D945" s="615"/>
      <c r="E945" s="198"/>
      <c r="F945" s="198"/>
      <c r="G945" s="198"/>
      <c r="H945" s="198"/>
      <c r="I945" s="615"/>
      <c r="J945" s="198"/>
      <c r="K945" s="614"/>
      <c r="L945" s="614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41"/>
      <c r="D946" s="615"/>
      <c r="E946" s="198"/>
      <c r="F946" s="198"/>
      <c r="G946" s="198"/>
      <c r="H946" s="198"/>
      <c r="I946" s="615"/>
      <c r="J946" s="198"/>
      <c r="K946" s="614"/>
      <c r="L946" s="614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41"/>
      <c r="D947" s="615"/>
      <c r="E947" s="198"/>
      <c r="F947" s="198"/>
      <c r="G947" s="198"/>
      <c r="H947" s="198"/>
      <c r="I947" s="615"/>
      <c r="J947" s="198"/>
      <c r="K947" s="614"/>
      <c r="L947" s="614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41"/>
      <c r="D948" s="615"/>
      <c r="E948" s="198"/>
      <c r="F948" s="198"/>
      <c r="G948" s="198"/>
      <c r="H948" s="198"/>
      <c r="I948" s="615"/>
      <c r="J948" s="198"/>
      <c r="K948" s="614"/>
      <c r="L948" s="614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41"/>
      <c r="D949" s="615"/>
      <c r="E949" s="198"/>
      <c r="F949" s="198"/>
      <c r="G949" s="198"/>
      <c r="H949" s="198"/>
      <c r="I949" s="615"/>
      <c r="J949" s="198"/>
      <c r="K949" s="614"/>
      <c r="L949" s="614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41"/>
      <c r="D950" s="615"/>
      <c r="E950" s="198"/>
      <c r="F950" s="198"/>
      <c r="G950" s="198"/>
      <c r="H950" s="198"/>
      <c r="I950" s="615"/>
      <c r="J950" s="198"/>
      <c r="K950" s="614"/>
      <c r="L950" s="614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41"/>
      <c r="D951" s="615"/>
      <c r="E951" s="198"/>
      <c r="F951" s="198"/>
      <c r="G951" s="198"/>
      <c r="H951" s="198"/>
      <c r="I951" s="615"/>
      <c r="J951" s="198"/>
      <c r="K951" s="614"/>
      <c r="L951" s="614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41"/>
      <c r="D952" s="615"/>
      <c r="E952" s="198"/>
      <c r="F952" s="198"/>
      <c r="G952" s="198"/>
      <c r="H952" s="198"/>
      <c r="I952" s="615"/>
      <c r="J952" s="198"/>
      <c r="K952" s="614"/>
      <c r="L952" s="614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41"/>
      <c r="D953" s="615"/>
      <c r="E953" s="198"/>
      <c r="F953" s="198"/>
      <c r="G953" s="198"/>
      <c r="H953" s="198"/>
      <c r="I953" s="615"/>
      <c r="J953" s="198"/>
      <c r="K953" s="614"/>
      <c r="L953" s="614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41"/>
      <c r="D954" s="615"/>
      <c r="E954" s="198"/>
      <c r="F954" s="198"/>
      <c r="G954" s="198"/>
      <c r="H954" s="198"/>
      <c r="I954" s="615"/>
      <c r="J954" s="198"/>
      <c r="K954" s="614"/>
      <c r="L954" s="614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41"/>
      <c r="D955" s="615"/>
      <c r="E955" s="198"/>
      <c r="F955" s="198"/>
      <c r="G955" s="198"/>
      <c r="H955" s="198"/>
      <c r="I955" s="615"/>
      <c r="J955" s="198"/>
      <c r="K955" s="614"/>
      <c r="L955" s="614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41"/>
      <c r="D956" s="615"/>
      <c r="E956" s="198"/>
      <c r="F956" s="198"/>
      <c r="G956" s="198"/>
      <c r="H956" s="198"/>
      <c r="I956" s="615"/>
      <c r="J956" s="198"/>
      <c r="K956" s="614"/>
      <c r="L956" s="614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41"/>
      <c r="D957" s="615"/>
      <c r="E957" s="198"/>
      <c r="F957" s="198"/>
      <c r="G957" s="198"/>
      <c r="H957" s="198"/>
      <c r="I957" s="615"/>
      <c r="J957" s="198"/>
      <c r="K957" s="614"/>
      <c r="L957" s="614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41"/>
      <c r="D958" s="615"/>
      <c r="E958" s="198"/>
      <c r="F958" s="198"/>
      <c r="G958" s="198"/>
      <c r="H958" s="198"/>
      <c r="I958" s="615"/>
      <c r="J958" s="198"/>
      <c r="K958" s="614"/>
      <c r="L958" s="614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41"/>
      <c r="D959" s="615"/>
      <c r="E959" s="198"/>
      <c r="F959" s="198"/>
      <c r="G959" s="198"/>
      <c r="H959" s="198"/>
      <c r="I959" s="615"/>
      <c r="J959" s="198"/>
      <c r="K959" s="614"/>
      <c r="L959" s="614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41"/>
      <c r="D960" s="615"/>
      <c r="E960" s="198"/>
      <c r="F960" s="198"/>
      <c r="G960" s="198"/>
      <c r="H960" s="198"/>
      <c r="I960" s="615"/>
      <c r="J960" s="198"/>
      <c r="K960" s="614"/>
      <c r="L960" s="614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41"/>
      <c r="D961" s="615"/>
      <c r="E961" s="198"/>
      <c r="F961" s="198"/>
      <c r="G961" s="198"/>
      <c r="H961" s="198"/>
      <c r="I961" s="615"/>
      <c r="J961" s="198"/>
      <c r="K961" s="614"/>
      <c r="L961" s="614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41"/>
      <c r="D962" s="615"/>
      <c r="E962" s="198"/>
      <c r="F962" s="198"/>
      <c r="G962" s="198"/>
      <c r="H962" s="198"/>
      <c r="I962" s="615"/>
      <c r="J962" s="198"/>
      <c r="K962" s="614"/>
      <c r="L962" s="614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41"/>
      <c r="D963" s="615"/>
      <c r="E963" s="198"/>
      <c r="F963" s="198"/>
      <c r="G963" s="198"/>
      <c r="H963" s="198"/>
      <c r="I963" s="615"/>
      <c r="J963" s="198"/>
      <c r="K963" s="614"/>
      <c r="L963" s="614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41"/>
      <c r="D964" s="615"/>
      <c r="E964" s="198"/>
      <c r="F964" s="198"/>
      <c r="G964" s="198"/>
      <c r="H964" s="198"/>
      <c r="I964" s="615"/>
      <c r="J964" s="198"/>
      <c r="K964" s="614"/>
      <c r="L964" s="614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41"/>
      <c r="D965" s="615"/>
      <c r="E965" s="198"/>
      <c r="F965" s="198"/>
      <c r="G965" s="198"/>
      <c r="H965" s="198"/>
      <c r="I965" s="615"/>
      <c r="J965" s="198"/>
      <c r="K965" s="614"/>
      <c r="L965" s="614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41"/>
      <c r="D966" s="615"/>
      <c r="E966" s="198"/>
      <c r="F966" s="198"/>
      <c r="G966" s="198"/>
      <c r="H966" s="198"/>
      <c r="I966" s="615"/>
      <c r="J966" s="198"/>
      <c r="K966" s="614"/>
      <c r="L966" s="614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41"/>
      <c r="D967" s="615"/>
      <c r="E967" s="198"/>
      <c r="F967" s="198"/>
      <c r="G967" s="198"/>
      <c r="H967" s="198"/>
      <c r="I967" s="615"/>
      <c r="J967" s="198"/>
      <c r="K967" s="614"/>
      <c r="L967" s="614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41"/>
      <c r="D968" s="615"/>
      <c r="E968" s="198"/>
      <c r="F968" s="198"/>
      <c r="G968" s="198"/>
      <c r="H968" s="198"/>
      <c r="I968" s="615"/>
      <c r="J968" s="198"/>
      <c r="K968" s="614"/>
      <c r="L968" s="614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41"/>
      <c r="D969" s="615"/>
      <c r="E969" s="198"/>
      <c r="F969" s="198"/>
      <c r="G969" s="198"/>
      <c r="H969" s="198"/>
      <c r="I969" s="615"/>
      <c r="J969" s="198"/>
      <c r="K969" s="614"/>
      <c r="L969" s="614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41"/>
      <c r="D970" s="615"/>
      <c r="E970" s="198"/>
      <c r="F970" s="198"/>
      <c r="G970" s="198"/>
      <c r="H970" s="198"/>
      <c r="I970" s="615"/>
      <c r="J970" s="198"/>
      <c r="K970" s="614"/>
      <c r="L970" s="614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41"/>
      <c r="D971" s="615"/>
      <c r="E971" s="198"/>
      <c r="F971" s="198"/>
      <c r="G971" s="198"/>
      <c r="H971" s="198"/>
      <c r="I971" s="615"/>
      <c r="J971" s="198"/>
      <c r="K971" s="614"/>
      <c r="L971" s="614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41"/>
      <c r="D972" s="615"/>
      <c r="E972" s="198"/>
      <c r="F972" s="198"/>
      <c r="G972" s="198"/>
      <c r="H972" s="198"/>
      <c r="I972" s="615"/>
      <c r="J972" s="198"/>
      <c r="K972" s="614"/>
      <c r="L972" s="614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41"/>
      <c r="D973" s="615"/>
      <c r="E973" s="198"/>
      <c r="F973" s="198"/>
      <c r="G973" s="198"/>
      <c r="H973" s="198"/>
      <c r="I973" s="615"/>
      <c r="J973" s="198"/>
      <c r="K973" s="614"/>
      <c r="L973" s="614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41"/>
      <c r="D974" s="615"/>
      <c r="E974" s="198"/>
      <c r="F974" s="198"/>
      <c r="G974" s="198"/>
      <c r="H974" s="198"/>
      <c r="I974" s="615"/>
      <c r="J974" s="198"/>
      <c r="K974" s="614"/>
      <c r="L974" s="614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41"/>
      <c r="D975" s="615"/>
      <c r="E975" s="198"/>
      <c r="F975" s="198"/>
      <c r="G975" s="198"/>
      <c r="H975" s="198"/>
      <c r="I975" s="615"/>
      <c r="J975" s="198"/>
      <c r="K975" s="614"/>
      <c r="L975" s="614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41"/>
      <c r="D976" s="615"/>
      <c r="E976" s="198"/>
      <c r="F976" s="198"/>
      <c r="G976" s="198"/>
      <c r="H976" s="198"/>
      <c r="I976" s="615"/>
      <c r="J976" s="198"/>
      <c r="K976" s="614"/>
      <c r="L976" s="614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41"/>
      <c r="D977" s="615"/>
      <c r="E977" s="198"/>
      <c r="F977" s="198"/>
      <c r="G977" s="198"/>
      <c r="H977" s="198"/>
      <c r="I977" s="615"/>
      <c r="J977" s="198"/>
      <c r="K977" s="614"/>
      <c r="L977" s="614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41"/>
      <c r="D978" s="615"/>
      <c r="E978" s="198"/>
      <c r="F978" s="198"/>
      <c r="G978" s="198"/>
      <c r="H978" s="198"/>
      <c r="I978" s="615"/>
      <c r="J978" s="198"/>
      <c r="K978" s="614"/>
      <c r="L978" s="614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41"/>
      <c r="D979" s="615"/>
      <c r="E979" s="198"/>
      <c r="F979" s="198"/>
      <c r="G979" s="198"/>
      <c r="H979" s="198"/>
      <c r="I979" s="615"/>
      <c r="J979" s="198"/>
      <c r="K979" s="614"/>
      <c r="L979" s="614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41"/>
      <c r="D980" s="615"/>
      <c r="E980" s="198"/>
      <c r="F980" s="198"/>
      <c r="G980" s="198"/>
      <c r="H980" s="198"/>
      <c r="I980" s="615"/>
      <c r="J980" s="198"/>
      <c r="K980" s="614"/>
      <c r="L980" s="614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41"/>
      <c r="D981" s="615"/>
      <c r="E981" s="198"/>
      <c r="F981" s="198"/>
      <c r="G981" s="198"/>
      <c r="H981" s="198"/>
      <c r="I981" s="615"/>
      <c r="J981" s="198"/>
      <c r="K981" s="614"/>
      <c r="L981" s="614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41"/>
      <c r="D982" s="615"/>
      <c r="E982" s="198"/>
      <c r="F982" s="198"/>
      <c r="G982" s="198"/>
      <c r="H982" s="198"/>
      <c r="I982" s="615"/>
      <c r="J982" s="198"/>
      <c r="K982" s="614"/>
      <c r="L982" s="614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41"/>
      <c r="D983" s="615"/>
      <c r="E983" s="198"/>
      <c r="F983" s="198"/>
      <c r="G983" s="198"/>
      <c r="H983" s="198"/>
      <c r="I983" s="615"/>
      <c r="J983" s="198"/>
      <c r="K983" s="614"/>
      <c r="L983" s="614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41"/>
      <c r="D984" s="615"/>
      <c r="E984" s="198"/>
      <c r="F984" s="198"/>
      <c r="G984" s="198"/>
      <c r="H984" s="198"/>
      <c r="I984" s="615"/>
      <c r="J984" s="198"/>
      <c r="K984" s="614"/>
      <c r="L984" s="614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41"/>
      <c r="D985" s="615"/>
      <c r="E985" s="198"/>
      <c r="F985" s="198"/>
      <c r="G985" s="198"/>
      <c r="H985" s="198"/>
      <c r="I985" s="615"/>
      <c r="J985" s="198"/>
      <c r="K985" s="614"/>
      <c r="L985" s="614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41"/>
      <c r="D986" s="615"/>
      <c r="E986" s="198"/>
      <c r="F986" s="198"/>
      <c r="G986" s="198"/>
      <c r="H986" s="198"/>
      <c r="I986" s="615"/>
      <c r="J986" s="198"/>
      <c r="K986" s="614"/>
      <c r="L986" s="614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41"/>
      <c r="D987" s="615"/>
      <c r="E987" s="198"/>
      <c r="F987" s="198"/>
      <c r="G987" s="198"/>
      <c r="H987" s="198"/>
      <c r="I987" s="615"/>
      <c r="J987" s="198"/>
      <c r="K987" s="614"/>
      <c r="L987" s="614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41"/>
      <c r="D988" s="615"/>
      <c r="E988" s="198"/>
      <c r="F988" s="198"/>
      <c r="G988" s="198"/>
      <c r="H988" s="198"/>
      <c r="I988" s="615"/>
      <c r="J988" s="198"/>
      <c r="K988" s="614"/>
      <c r="L988" s="614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41"/>
      <c r="D989" s="615"/>
      <c r="E989" s="198"/>
      <c r="F989" s="198"/>
      <c r="G989" s="198"/>
      <c r="H989" s="198"/>
      <c r="I989" s="615"/>
      <c r="J989" s="198"/>
      <c r="K989" s="614"/>
      <c r="L989" s="614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41"/>
      <c r="D990" s="615"/>
      <c r="E990" s="198"/>
      <c r="F990" s="198"/>
      <c r="G990" s="198"/>
      <c r="H990" s="198"/>
      <c r="I990" s="615"/>
      <c r="J990" s="198"/>
      <c r="K990" s="614"/>
      <c r="L990" s="614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41"/>
      <c r="D991" s="615"/>
      <c r="E991" s="198"/>
      <c r="F991" s="198"/>
      <c r="G991" s="198"/>
      <c r="H991" s="198"/>
      <c r="I991" s="615"/>
      <c r="J991" s="198"/>
      <c r="K991" s="614"/>
      <c r="L991" s="614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41"/>
      <c r="D992" s="615"/>
      <c r="E992" s="198"/>
      <c r="F992" s="198"/>
      <c r="G992" s="198"/>
      <c r="H992" s="198"/>
      <c r="I992" s="615"/>
      <c r="J992" s="198"/>
      <c r="K992" s="614"/>
      <c r="L992" s="614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41"/>
      <c r="D993" s="615"/>
      <c r="E993" s="198"/>
      <c r="F993" s="198"/>
      <c r="G993" s="198"/>
      <c r="H993" s="198"/>
      <c r="I993" s="615"/>
      <c r="J993" s="198"/>
      <c r="K993" s="614"/>
      <c r="L993" s="614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41"/>
      <c r="D994" s="615"/>
      <c r="E994" s="198"/>
      <c r="F994" s="198"/>
      <c r="G994" s="198"/>
      <c r="H994" s="198"/>
      <c r="I994" s="615"/>
      <c r="J994" s="198"/>
      <c r="K994" s="614"/>
      <c r="L994" s="614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41"/>
      <c r="D995" s="615"/>
      <c r="E995" s="198"/>
      <c r="F995" s="198"/>
      <c r="G995" s="198"/>
      <c r="H995" s="198"/>
      <c r="I995" s="615"/>
      <c r="J995" s="198"/>
      <c r="K995" s="614"/>
      <c r="L995" s="614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41"/>
      <c r="D996" s="615"/>
      <c r="E996" s="198"/>
      <c r="F996" s="198"/>
      <c r="G996" s="198"/>
      <c r="H996" s="198"/>
      <c r="I996" s="615"/>
      <c r="J996" s="198"/>
      <c r="K996" s="614"/>
      <c r="L996" s="614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41"/>
      <c r="D997" s="615"/>
      <c r="E997" s="198"/>
      <c r="F997" s="198"/>
      <c r="G997" s="198"/>
      <c r="H997" s="198"/>
      <c r="I997" s="615"/>
      <c r="J997" s="198"/>
      <c r="K997" s="614"/>
      <c r="L997" s="614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41"/>
      <c r="D998" s="615"/>
      <c r="E998" s="198"/>
      <c r="F998" s="198"/>
      <c r="G998" s="198"/>
      <c r="H998" s="198"/>
      <c r="I998" s="615"/>
      <c r="J998" s="198"/>
      <c r="K998" s="614"/>
      <c r="L998" s="614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41"/>
      <c r="D999" s="615"/>
      <c r="E999" s="198"/>
      <c r="F999" s="198"/>
      <c r="G999" s="198"/>
      <c r="H999" s="198"/>
      <c r="I999" s="615"/>
      <c r="J999" s="198"/>
      <c r="K999" s="614"/>
      <c r="L999" s="614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41"/>
      <c r="D1000" s="615"/>
      <c r="E1000" s="198"/>
      <c r="F1000" s="198"/>
      <c r="G1000" s="198"/>
      <c r="H1000" s="198"/>
      <c r="I1000" s="615"/>
      <c r="J1000" s="198"/>
      <c r="K1000" s="614"/>
      <c r="L1000" s="614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4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57"/>
    <col customWidth="1" min="2" max="2" width="24.71"/>
    <col customWidth="1" min="3" max="3" width="23.71"/>
    <col customWidth="1" min="4" max="4" width="24.0"/>
    <col customWidth="1" min="5" max="5" width="41.29"/>
    <col customWidth="1" min="6" max="6" width="49.57"/>
    <col customWidth="1" min="7" max="7" width="13.29"/>
    <col customWidth="1" min="8" max="9" width="24.14"/>
    <col customWidth="1" min="10" max="10" width="27.0"/>
    <col customWidth="1" min="11" max="11" width="60.57"/>
    <col customWidth="1" min="12" max="12" width="65.29"/>
    <col customWidth="1" min="13" max="13" width="47.14"/>
    <col customWidth="1" min="14" max="14" width="13.29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114.0</v>
      </c>
      <c r="B2" s="426" t="s">
        <v>9607</v>
      </c>
      <c r="C2" s="426">
        <v>2012.0</v>
      </c>
      <c r="D2" s="500">
        <v>41262.0</v>
      </c>
      <c r="E2" s="426" t="s">
        <v>9608</v>
      </c>
      <c r="F2" s="426" t="s">
        <v>44</v>
      </c>
      <c r="G2" s="426" t="s">
        <v>17</v>
      </c>
      <c r="H2" s="426" t="s">
        <v>66</v>
      </c>
      <c r="I2" s="500">
        <v>41647.0</v>
      </c>
      <c r="J2" s="428">
        <v>1.0</v>
      </c>
      <c r="K2" s="635" t="s">
        <v>228</v>
      </c>
      <c r="L2" s="428" t="s">
        <v>258</v>
      </c>
      <c r="M2" s="319">
        <f t="shared" ref="M2:M9" si="1">I2-D2</f>
        <v>385</v>
      </c>
      <c r="N2" s="198"/>
      <c r="O2" s="545" t="s">
        <v>9609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214.0</v>
      </c>
      <c r="B3" s="420" t="s">
        <v>9610</v>
      </c>
      <c r="C3" s="420">
        <v>2013.0</v>
      </c>
      <c r="D3" s="497">
        <v>41318.0</v>
      </c>
      <c r="E3" s="420" t="s">
        <v>9611</v>
      </c>
      <c r="F3" s="420" t="s">
        <v>44</v>
      </c>
      <c r="G3" s="420" t="s">
        <v>17</v>
      </c>
      <c r="H3" s="420" t="s">
        <v>2509</v>
      </c>
      <c r="I3" s="497">
        <v>41647.0</v>
      </c>
      <c r="J3" s="422">
        <v>1.0</v>
      </c>
      <c r="K3" s="635" t="s">
        <v>228</v>
      </c>
      <c r="L3" s="422" t="s">
        <v>258</v>
      </c>
      <c r="M3" s="316">
        <f t="shared" si="1"/>
        <v>329</v>
      </c>
      <c r="N3" s="198"/>
      <c r="O3" s="320" t="s">
        <v>27</v>
      </c>
      <c r="P3" s="320">
        <f>COUNTIF($G$2:$G$476,"PT")</f>
        <v>0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314.0</v>
      </c>
      <c r="B4" s="426" t="s">
        <v>9612</v>
      </c>
      <c r="C4" s="426">
        <v>2013.0</v>
      </c>
      <c r="D4" s="500">
        <v>41323.0</v>
      </c>
      <c r="E4" s="426" t="s">
        <v>9613</v>
      </c>
      <c r="F4" s="426" t="s">
        <v>44</v>
      </c>
      <c r="G4" s="426" t="s">
        <v>17</v>
      </c>
      <c r="H4" s="426" t="s">
        <v>5171</v>
      </c>
      <c r="I4" s="500">
        <v>41647.0</v>
      </c>
      <c r="J4" s="428">
        <v>1.0</v>
      </c>
      <c r="K4" s="635" t="s">
        <v>228</v>
      </c>
      <c r="L4" s="428" t="s">
        <v>258</v>
      </c>
      <c r="M4" s="319">
        <f t="shared" si="1"/>
        <v>324</v>
      </c>
      <c r="N4" s="198"/>
      <c r="O4" s="321" t="s">
        <v>34</v>
      </c>
      <c r="P4" s="321">
        <f>COUNTIF($G$2:$G$476,"PTN")</f>
        <v>5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414.0</v>
      </c>
      <c r="B5" s="420" t="s">
        <v>9614</v>
      </c>
      <c r="C5" s="420">
        <v>2008.0</v>
      </c>
      <c r="D5" s="497">
        <v>39769.0</v>
      </c>
      <c r="E5" s="420" t="s">
        <v>9615</v>
      </c>
      <c r="F5" s="420" t="s">
        <v>2311</v>
      </c>
      <c r="G5" s="420" t="s">
        <v>17</v>
      </c>
      <c r="H5" s="420" t="s">
        <v>66</v>
      </c>
      <c r="I5" s="497">
        <v>41663.0</v>
      </c>
      <c r="J5" s="422">
        <v>1.0</v>
      </c>
      <c r="K5" s="638" t="s">
        <v>234</v>
      </c>
      <c r="L5" s="422" t="s">
        <v>258</v>
      </c>
      <c r="M5" s="316">
        <f t="shared" si="1"/>
        <v>1894</v>
      </c>
      <c r="N5" s="198"/>
      <c r="O5" s="322" t="s">
        <v>40</v>
      </c>
      <c r="P5" s="322">
        <f>COUNTIF($G$2:$G$476,"PTE")</f>
        <v>79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514.0</v>
      </c>
      <c r="B6" s="426" t="s">
        <v>9616</v>
      </c>
      <c r="C6" s="426">
        <v>2012.0</v>
      </c>
      <c r="D6" s="500">
        <v>41271.0</v>
      </c>
      <c r="E6" s="426" t="s">
        <v>9617</v>
      </c>
      <c r="F6" s="426" t="s">
        <v>44</v>
      </c>
      <c r="G6" s="426" t="s">
        <v>17</v>
      </c>
      <c r="H6" s="426" t="s">
        <v>1588</v>
      </c>
      <c r="I6" s="500">
        <v>41663.0</v>
      </c>
      <c r="J6" s="428">
        <v>1.0</v>
      </c>
      <c r="K6" s="635" t="s">
        <v>228</v>
      </c>
      <c r="L6" s="428" t="s">
        <v>258</v>
      </c>
      <c r="M6" s="319">
        <f t="shared" si="1"/>
        <v>392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614.0</v>
      </c>
      <c r="B7" s="420" t="s">
        <v>9618</v>
      </c>
      <c r="C7" s="420">
        <v>2012.0</v>
      </c>
      <c r="D7" s="497">
        <v>41051.0</v>
      </c>
      <c r="E7" s="420" t="s">
        <v>9619</v>
      </c>
      <c r="F7" s="420" t="s">
        <v>3078</v>
      </c>
      <c r="G7" s="420" t="s">
        <v>17</v>
      </c>
      <c r="H7" s="420" t="s">
        <v>125</v>
      </c>
      <c r="I7" s="497">
        <v>41666.0</v>
      </c>
      <c r="J7" s="422">
        <v>1.0</v>
      </c>
      <c r="K7" s="637" t="s">
        <v>238</v>
      </c>
      <c r="L7" s="422" t="s">
        <v>256</v>
      </c>
      <c r="M7" s="316">
        <f t="shared" si="1"/>
        <v>615</v>
      </c>
      <c r="N7" s="198"/>
      <c r="O7" s="322" t="s">
        <v>553</v>
      </c>
      <c r="P7" s="322">
        <f>COUNTIF($G$2:$G$476,"PF")</f>
        <v>16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714.0</v>
      </c>
      <c r="B8" s="426" t="s">
        <v>9620</v>
      </c>
      <c r="C8" s="426">
        <v>2010.0</v>
      </c>
      <c r="D8" s="500">
        <v>40344.0</v>
      </c>
      <c r="E8" s="426" t="s">
        <v>9621</v>
      </c>
      <c r="F8" s="426" t="s">
        <v>2071</v>
      </c>
      <c r="G8" s="426" t="s">
        <v>17</v>
      </c>
      <c r="H8" s="426" t="s">
        <v>50</v>
      </c>
      <c r="I8" s="500">
        <v>41666.0</v>
      </c>
      <c r="J8" s="428">
        <v>1.0</v>
      </c>
      <c r="K8" s="637" t="s">
        <v>238</v>
      </c>
      <c r="L8" s="428" t="s">
        <v>258</v>
      </c>
      <c r="M8" s="319">
        <f t="shared" si="1"/>
        <v>1322</v>
      </c>
      <c r="N8" s="198"/>
      <c r="O8" s="321" t="s">
        <v>547</v>
      </c>
      <c r="P8" s="321">
        <f>COUNTIF($G$2:$G$476,"PFN")</f>
        <v>7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814.0</v>
      </c>
      <c r="B9" s="420" t="s">
        <v>9622</v>
      </c>
      <c r="C9" s="420">
        <v>2008.0</v>
      </c>
      <c r="D9" s="497">
        <v>39533.0</v>
      </c>
      <c r="E9" s="420" t="s">
        <v>9623</v>
      </c>
      <c r="F9" s="420" t="s">
        <v>9624</v>
      </c>
      <c r="G9" s="420" t="s">
        <v>34</v>
      </c>
      <c r="H9" s="420" t="s">
        <v>1002</v>
      </c>
      <c r="I9" s="497">
        <v>41667.0</v>
      </c>
      <c r="J9" s="422">
        <v>1.0</v>
      </c>
      <c r="K9" s="635" t="s">
        <v>228</v>
      </c>
      <c r="L9" s="422" t="s">
        <v>258</v>
      </c>
      <c r="M9" s="316">
        <f t="shared" si="1"/>
        <v>2134</v>
      </c>
      <c r="N9" s="198"/>
      <c r="O9" s="322" t="s">
        <v>560</v>
      </c>
      <c r="P9" s="322">
        <f>COUNTIF($G$2:$G$476,"PF/PTE")</f>
        <v>33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914.0</v>
      </c>
      <c r="B10" s="585" t="s">
        <v>3889</v>
      </c>
      <c r="C10" s="585" t="s">
        <v>3889</v>
      </c>
      <c r="D10" s="540" t="s">
        <v>3889</v>
      </c>
      <c r="E10" s="585" t="s">
        <v>3889</v>
      </c>
      <c r="F10" s="585" t="s">
        <v>3889</v>
      </c>
      <c r="G10" s="585" t="s">
        <v>3889</v>
      </c>
      <c r="H10" s="585" t="s">
        <v>3889</v>
      </c>
      <c r="I10" s="540" t="s">
        <v>3889</v>
      </c>
      <c r="J10" s="321" t="s">
        <v>3889</v>
      </c>
      <c r="K10" s="321" t="s">
        <v>3889</v>
      </c>
      <c r="L10" s="321" t="s">
        <v>3889</v>
      </c>
      <c r="M10" s="642" t="s">
        <v>3889</v>
      </c>
      <c r="N10" s="198"/>
      <c r="O10" s="321" t="s">
        <v>565</v>
      </c>
      <c r="P10" s="321">
        <f>COUNTIF($G$2:$G$476,"Bio")</f>
        <v>1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1014.0</v>
      </c>
      <c r="B11" s="420" t="s">
        <v>9625</v>
      </c>
      <c r="C11" s="420">
        <v>2008.0</v>
      </c>
      <c r="D11" s="497">
        <v>39805.0</v>
      </c>
      <c r="E11" s="420" t="s">
        <v>9626</v>
      </c>
      <c r="F11" s="420" t="s">
        <v>6584</v>
      </c>
      <c r="G11" s="420" t="s">
        <v>17</v>
      </c>
      <c r="H11" s="420" t="s">
        <v>66</v>
      </c>
      <c r="I11" s="497">
        <v>41669.0</v>
      </c>
      <c r="J11" s="422">
        <v>1.0</v>
      </c>
      <c r="K11" s="637" t="s">
        <v>238</v>
      </c>
      <c r="L11" s="422" t="s">
        <v>256</v>
      </c>
      <c r="M11" s="316">
        <f t="shared" ref="M11:M150" si="2">I11-D11</f>
        <v>1864</v>
      </c>
      <c r="N11" s="198"/>
      <c r="O11" s="323" t="s">
        <v>569</v>
      </c>
      <c r="P11" s="323">
        <f>COUNTIF($G$2:$G$476,"Bio/Org")</f>
        <v>7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1114.0</v>
      </c>
      <c r="B12" s="426" t="s">
        <v>9627</v>
      </c>
      <c r="C12" s="426">
        <v>2009.0</v>
      </c>
      <c r="D12" s="500">
        <v>40099.0</v>
      </c>
      <c r="E12" s="426" t="s">
        <v>9628</v>
      </c>
      <c r="F12" s="426" t="s">
        <v>963</v>
      </c>
      <c r="G12" s="426" t="s">
        <v>17</v>
      </c>
      <c r="H12" s="426" t="s">
        <v>7525</v>
      </c>
      <c r="I12" s="500">
        <v>41673.0</v>
      </c>
      <c r="J12" s="428">
        <v>2.0</v>
      </c>
      <c r="K12" s="635" t="s">
        <v>228</v>
      </c>
      <c r="L12" s="428" t="s">
        <v>258</v>
      </c>
      <c r="M12" s="319">
        <f t="shared" si="2"/>
        <v>1574</v>
      </c>
      <c r="N12" s="198"/>
      <c r="O12" s="324" t="s">
        <v>51</v>
      </c>
      <c r="P12" s="325">
        <f>SUM(P3:P11)</f>
        <v>148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419">
        <v>1214.0</v>
      </c>
      <c r="B13" s="420" t="s">
        <v>9629</v>
      </c>
      <c r="C13" s="420">
        <v>2008.0</v>
      </c>
      <c r="D13" s="497">
        <v>39533.0</v>
      </c>
      <c r="E13" s="420" t="s">
        <v>9630</v>
      </c>
      <c r="F13" s="420" t="s">
        <v>9624</v>
      </c>
      <c r="G13" s="420" t="s">
        <v>547</v>
      </c>
      <c r="H13" s="420" t="s">
        <v>1002</v>
      </c>
      <c r="I13" s="497">
        <v>41673.0</v>
      </c>
      <c r="J13" s="422">
        <v>2.0</v>
      </c>
      <c r="K13" s="637" t="s">
        <v>238</v>
      </c>
      <c r="L13" s="422" t="s">
        <v>258</v>
      </c>
      <c r="M13" s="316">
        <f t="shared" si="2"/>
        <v>2140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425">
        <v>1314.0</v>
      </c>
      <c r="B14" s="426" t="s">
        <v>9631</v>
      </c>
      <c r="C14" s="426">
        <v>2009.0</v>
      </c>
      <c r="D14" s="500">
        <v>39933.0</v>
      </c>
      <c r="E14" s="426" t="s">
        <v>9632</v>
      </c>
      <c r="F14" s="426" t="s">
        <v>2311</v>
      </c>
      <c r="G14" s="426" t="s">
        <v>17</v>
      </c>
      <c r="H14" s="426" t="s">
        <v>56</v>
      </c>
      <c r="I14" s="500">
        <v>41676.0</v>
      </c>
      <c r="J14" s="428">
        <v>2.0</v>
      </c>
      <c r="K14" s="638" t="s">
        <v>234</v>
      </c>
      <c r="L14" s="428" t="s">
        <v>258</v>
      </c>
      <c r="M14" s="319">
        <f t="shared" si="2"/>
        <v>1743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419">
        <v>1414.0</v>
      </c>
      <c r="B15" s="420" t="s">
        <v>9633</v>
      </c>
      <c r="C15" s="420">
        <v>2013.0</v>
      </c>
      <c r="D15" s="497">
        <v>41297.0</v>
      </c>
      <c r="E15" s="420" t="s">
        <v>9634</v>
      </c>
      <c r="F15" s="420" t="s">
        <v>44</v>
      </c>
      <c r="G15" s="420" t="s">
        <v>17</v>
      </c>
      <c r="H15" s="420" t="s">
        <v>6529</v>
      </c>
      <c r="I15" s="497">
        <v>41676.0</v>
      </c>
      <c r="J15" s="422">
        <v>2.0</v>
      </c>
      <c r="K15" s="635" t="s">
        <v>228</v>
      </c>
      <c r="L15" s="422" t="s">
        <v>258</v>
      </c>
      <c r="M15" s="316">
        <f t="shared" si="2"/>
        <v>379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425">
        <v>1514.0</v>
      </c>
      <c r="B16" s="426" t="s">
        <v>9635</v>
      </c>
      <c r="C16" s="426">
        <v>2010.0</v>
      </c>
      <c r="D16" s="500">
        <v>40329.0</v>
      </c>
      <c r="E16" s="426" t="s">
        <v>9636</v>
      </c>
      <c r="F16" s="426" t="s">
        <v>3078</v>
      </c>
      <c r="G16" s="426" t="s">
        <v>17</v>
      </c>
      <c r="H16" s="426" t="s">
        <v>596</v>
      </c>
      <c r="I16" s="500">
        <v>41677.0</v>
      </c>
      <c r="J16" s="428">
        <v>2.0</v>
      </c>
      <c r="K16" s="637" t="s">
        <v>238</v>
      </c>
      <c r="L16" s="428" t="s">
        <v>256</v>
      </c>
      <c r="M16" s="319">
        <f t="shared" si="2"/>
        <v>1348</v>
      </c>
      <c r="N16" s="198"/>
      <c r="O16" s="331" t="s">
        <v>9637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419">
        <v>1614.0</v>
      </c>
      <c r="B17" s="420" t="s">
        <v>9638</v>
      </c>
      <c r="C17" s="420">
        <v>2008.0</v>
      </c>
      <c r="D17" s="497">
        <v>39813.0</v>
      </c>
      <c r="E17" s="420" t="s">
        <v>9639</v>
      </c>
      <c r="F17" s="420" t="s">
        <v>9640</v>
      </c>
      <c r="G17" s="420" t="s">
        <v>650</v>
      </c>
      <c r="H17" s="420" t="s">
        <v>2964</v>
      </c>
      <c r="I17" s="497">
        <v>41680.0</v>
      </c>
      <c r="J17" s="422">
        <v>2.0</v>
      </c>
      <c r="K17" s="638" t="s">
        <v>234</v>
      </c>
      <c r="L17" s="422" t="s">
        <v>256</v>
      </c>
      <c r="M17" s="316">
        <f t="shared" si="2"/>
        <v>1867</v>
      </c>
      <c r="N17" s="198"/>
      <c r="O17" s="334" t="s">
        <v>9641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425">
        <v>1714.0</v>
      </c>
      <c r="B18" s="426" t="s">
        <v>9642</v>
      </c>
      <c r="C18" s="426">
        <v>2008.0</v>
      </c>
      <c r="D18" s="500">
        <v>39736.0</v>
      </c>
      <c r="E18" s="426" t="s">
        <v>9643</v>
      </c>
      <c r="F18" s="426" t="s">
        <v>5424</v>
      </c>
      <c r="G18" s="426" t="s">
        <v>552</v>
      </c>
      <c r="H18" s="426" t="s">
        <v>18</v>
      </c>
      <c r="I18" s="500">
        <v>41680.0</v>
      </c>
      <c r="J18" s="428">
        <v>2.0</v>
      </c>
      <c r="K18" s="637" t="s">
        <v>238</v>
      </c>
      <c r="L18" s="428" t="s">
        <v>256</v>
      </c>
      <c r="M18" s="319">
        <f t="shared" si="2"/>
        <v>1944</v>
      </c>
      <c r="N18" s="198"/>
      <c r="O18" s="335" t="s">
        <v>9644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419">
        <v>1814.0</v>
      </c>
      <c r="B19" s="420" t="s">
        <v>9645</v>
      </c>
      <c r="C19" s="420">
        <v>2007.0</v>
      </c>
      <c r="D19" s="497">
        <v>39261.0</v>
      </c>
      <c r="E19" s="420" t="s">
        <v>9646</v>
      </c>
      <c r="F19" s="420" t="s">
        <v>1846</v>
      </c>
      <c r="G19" s="420" t="s">
        <v>650</v>
      </c>
      <c r="H19" s="420" t="s">
        <v>2964</v>
      </c>
      <c r="I19" s="497">
        <v>41683.0</v>
      </c>
      <c r="J19" s="422">
        <v>2.0</v>
      </c>
      <c r="K19" s="635" t="s">
        <v>228</v>
      </c>
      <c r="L19" s="422" t="s">
        <v>256</v>
      </c>
      <c r="M19" s="316">
        <f t="shared" si="2"/>
        <v>2422</v>
      </c>
      <c r="N19" s="198"/>
      <c r="O19" s="334" t="s">
        <v>9647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425">
        <v>1914.0</v>
      </c>
      <c r="B20" s="426" t="s">
        <v>9648</v>
      </c>
      <c r="C20" s="426">
        <v>2007.0</v>
      </c>
      <c r="D20" s="500">
        <v>39261.0</v>
      </c>
      <c r="E20" s="426" t="s">
        <v>9649</v>
      </c>
      <c r="F20" s="426" t="s">
        <v>1846</v>
      </c>
      <c r="G20" s="426" t="s">
        <v>552</v>
      </c>
      <c r="H20" s="426" t="s">
        <v>2964</v>
      </c>
      <c r="I20" s="500">
        <v>41683.0</v>
      </c>
      <c r="J20" s="428">
        <v>2.0</v>
      </c>
      <c r="K20" s="635" t="s">
        <v>228</v>
      </c>
      <c r="L20" s="428" t="s">
        <v>256</v>
      </c>
      <c r="M20" s="319">
        <f t="shared" si="2"/>
        <v>2422</v>
      </c>
      <c r="N20" s="198"/>
      <c r="O20" s="335" t="s">
        <v>9650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419">
        <v>2014.0</v>
      </c>
      <c r="B21" s="420" t="s">
        <v>9651</v>
      </c>
      <c r="C21" s="420">
        <v>2008.0</v>
      </c>
      <c r="D21" s="497">
        <v>39533.0</v>
      </c>
      <c r="E21" s="420" t="s">
        <v>9652</v>
      </c>
      <c r="F21" s="420" t="s">
        <v>9624</v>
      </c>
      <c r="G21" s="420" t="s">
        <v>34</v>
      </c>
      <c r="H21" s="420" t="s">
        <v>5826</v>
      </c>
      <c r="I21" s="497">
        <v>41695.0</v>
      </c>
      <c r="J21" s="422">
        <v>2.0</v>
      </c>
      <c r="K21" s="635" t="s">
        <v>228</v>
      </c>
      <c r="L21" s="422" t="s">
        <v>258</v>
      </c>
      <c r="M21" s="316">
        <f t="shared" si="2"/>
        <v>2162</v>
      </c>
      <c r="N21" s="198"/>
      <c r="O21" s="334" t="s">
        <v>9653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2114.0</v>
      </c>
      <c r="B22" s="426" t="s">
        <v>9654</v>
      </c>
      <c r="C22" s="426">
        <v>2009.0</v>
      </c>
      <c r="D22" s="500">
        <v>40108.0</v>
      </c>
      <c r="E22" s="426" t="s">
        <v>9655</v>
      </c>
      <c r="F22" s="426" t="s">
        <v>6584</v>
      </c>
      <c r="G22" s="426" t="s">
        <v>17</v>
      </c>
      <c r="H22" s="426" t="s">
        <v>8438</v>
      </c>
      <c r="I22" s="500">
        <v>41695.0</v>
      </c>
      <c r="J22" s="428">
        <v>2.0</v>
      </c>
      <c r="K22" s="637" t="s">
        <v>238</v>
      </c>
      <c r="L22" s="428" t="s">
        <v>256</v>
      </c>
      <c r="M22" s="319">
        <f t="shared" si="2"/>
        <v>1587</v>
      </c>
      <c r="N22" s="198"/>
      <c r="O22" s="335" t="s">
        <v>9656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2214.0</v>
      </c>
      <c r="B23" s="420" t="s">
        <v>9657</v>
      </c>
      <c r="C23" s="420">
        <v>2008.0</v>
      </c>
      <c r="D23" s="497">
        <v>39533.0</v>
      </c>
      <c r="E23" s="420" t="s">
        <v>9658</v>
      </c>
      <c r="F23" s="420" t="s">
        <v>9624</v>
      </c>
      <c r="G23" s="420" t="s">
        <v>547</v>
      </c>
      <c r="H23" s="420" t="s">
        <v>5826</v>
      </c>
      <c r="I23" s="497">
        <v>41696.0</v>
      </c>
      <c r="J23" s="422">
        <v>2.0</v>
      </c>
      <c r="K23" s="638" t="s">
        <v>234</v>
      </c>
      <c r="L23" s="422" t="s">
        <v>258</v>
      </c>
      <c r="M23" s="316">
        <f t="shared" si="2"/>
        <v>2163</v>
      </c>
      <c r="N23" s="198"/>
      <c r="O23" s="334" t="s">
        <v>9659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425">
        <v>2314.0</v>
      </c>
      <c r="B24" s="426" t="s">
        <v>9660</v>
      </c>
      <c r="C24" s="426">
        <v>2012.0</v>
      </c>
      <c r="D24" s="500">
        <v>40955.0</v>
      </c>
      <c r="E24" s="426" t="s">
        <v>9661</v>
      </c>
      <c r="F24" s="426" t="s">
        <v>9662</v>
      </c>
      <c r="G24" s="426" t="s">
        <v>34</v>
      </c>
      <c r="H24" s="426" t="s">
        <v>158</v>
      </c>
      <c r="I24" s="500">
        <v>41696.0</v>
      </c>
      <c r="J24" s="428">
        <v>2.0</v>
      </c>
      <c r="K24" s="638" t="s">
        <v>234</v>
      </c>
      <c r="L24" s="428" t="s">
        <v>256</v>
      </c>
      <c r="M24" s="319">
        <f t="shared" si="2"/>
        <v>741</v>
      </c>
      <c r="N24" s="198"/>
      <c r="O24" s="336" t="s">
        <v>9663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2414.0</v>
      </c>
      <c r="B25" s="420" t="s">
        <v>9664</v>
      </c>
      <c r="C25" s="420">
        <v>2011.0</v>
      </c>
      <c r="D25" s="497">
        <v>40809.0</v>
      </c>
      <c r="E25" s="420" t="s">
        <v>9665</v>
      </c>
      <c r="F25" s="420" t="s">
        <v>9662</v>
      </c>
      <c r="G25" s="420" t="s">
        <v>547</v>
      </c>
      <c r="H25" s="420" t="s">
        <v>158</v>
      </c>
      <c r="I25" s="497">
        <v>41698.0</v>
      </c>
      <c r="J25" s="422">
        <v>2.0</v>
      </c>
      <c r="K25" s="635" t="s">
        <v>228</v>
      </c>
      <c r="L25" s="422" t="s">
        <v>256</v>
      </c>
      <c r="M25" s="316">
        <f t="shared" si="2"/>
        <v>889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2514.0</v>
      </c>
      <c r="B26" s="426" t="s">
        <v>9666</v>
      </c>
      <c r="C26" s="426">
        <v>2009.0</v>
      </c>
      <c r="D26" s="500">
        <v>40031.0</v>
      </c>
      <c r="E26" s="426" t="s">
        <v>9667</v>
      </c>
      <c r="F26" s="426" t="s">
        <v>6584</v>
      </c>
      <c r="G26" s="426" t="s">
        <v>17</v>
      </c>
      <c r="H26" s="426" t="s">
        <v>8438</v>
      </c>
      <c r="I26" s="500">
        <v>41703.0</v>
      </c>
      <c r="J26" s="428">
        <v>3.0</v>
      </c>
      <c r="K26" s="637" t="s">
        <v>238</v>
      </c>
      <c r="L26" s="428" t="s">
        <v>256</v>
      </c>
      <c r="M26" s="319">
        <f t="shared" si="2"/>
        <v>1672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2614.0</v>
      </c>
      <c r="B27" s="420" t="s">
        <v>9668</v>
      </c>
      <c r="C27" s="420">
        <v>2010.0</v>
      </c>
      <c r="D27" s="497">
        <v>40512.0</v>
      </c>
      <c r="E27" s="420" t="s">
        <v>9669</v>
      </c>
      <c r="F27" s="420" t="s">
        <v>1843</v>
      </c>
      <c r="G27" s="420" t="s">
        <v>17</v>
      </c>
      <c r="H27" s="420" t="s">
        <v>163</v>
      </c>
      <c r="I27" s="497">
        <v>41705.0</v>
      </c>
      <c r="J27" s="422">
        <v>3.0</v>
      </c>
      <c r="K27" s="637" t="s">
        <v>238</v>
      </c>
      <c r="L27" s="422" t="s">
        <v>260</v>
      </c>
      <c r="M27" s="316">
        <f t="shared" si="2"/>
        <v>1193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2714.0</v>
      </c>
      <c r="B28" s="426" t="s">
        <v>9670</v>
      </c>
      <c r="C28" s="426">
        <v>2009.0</v>
      </c>
      <c r="D28" s="500">
        <v>39825.0</v>
      </c>
      <c r="E28" s="426" t="s">
        <v>9671</v>
      </c>
      <c r="F28" s="426" t="s">
        <v>65</v>
      </c>
      <c r="G28" s="426" t="s">
        <v>17</v>
      </c>
      <c r="H28" s="426" t="s">
        <v>9672</v>
      </c>
      <c r="I28" s="500">
        <v>41709.0</v>
      </c>
      <c r="J28" s="428">
        <v>3.0</v>
      </c>
      <c r="K28" s="635" t="s">
        <v>228</v>
      </c>
      <c r="L28" s="428" t="s">
        <v>254</v>
      </c>
      <c r="M28" s="319">
        <f t="shared" si="2"/>
        <v>1884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2814.0</v>
      </c>
      <c r="B29" s="420" t="s">
        <v>9673</v>
      </c>
      <c r="C29" s="420">
        <v>2010.0</v>
      </c>
      <c r="D29" s="497">
        <v>40200.0</v>
      </c>
      <c r="E29" s="420" t="s">
        <v>9674</v>
      </c>
      <c r="F29" s="420" t="s">
        <v>3078</v>
      </c>
      <c r="G29" s="420" t="s">
        <v>17</v>
      </c>
      <c r="H29" s="420" t="s">
        <v>9054</v>
      </c>
      <c r="I29" s="497">
        <v>41733.0</v>
      </c>
      <c r="J29" s="422">
        <v>4.0</v>
      </c>
      <c r="K29" s="637" t="s">
        <v>238</v>
      </c>
      <c r="L29" s="422" t="s">
        <v>256</v>
      </c>
      <c r="M29" s="316">
        <f t="shared" si="2"/>
        <v>1533</v>
      </c>
      <c r="N29" s="198"/>
      <c r="O29" s="322">
        <v>2002.0</v>
      </c>
      <c r="P29" s="342">
        <f>COUNTIF($C$2:$C$503,"2002")</f>
        <v>0</v>
      </c>
      <c r="Q29" s="332"/>
      <c r="R29" s="333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425">
        <v>2914.0</v>
      </c>
      <c r="B30" s="426" t="s">
        <v>9675</v>
      </c>
      <c r="C30" s="426">
        <v>2008.0</v>
      </c>
      <c r="D30" s="500">
        <v>39773.0</v>
      </c>
      <c r="E30" s="426" t="s">
        <v>9676</v>
      </c>
      <c r="F30" s="426" t="s">
        <v>9677</v>
      </c>
      <c r="G30" s="426" t="s">
        <v>17</v>
      </c>
      <c r="H30" s="426" t="s">
        <v>3811</v>
      </c>
      <c r="I30" s="500">
        <v>41733.0</v>
      </c>
      <c r="J30" s="428">
        <v>4.0</v>
      </c>
      <c r="K30" s="637" t="s">
        <v>238</v>
      </c>
      <c r="L30" s="428" t="s">
        <v>258</v>
      </c>
      <c r="M30" s="319">
        <f t="shared" si="2"/>
        <v>1960</v>
      </c>
      <c r="N30" s="198"/>
      <c r="O30" s="321">
        <v>2003.0</v>
      </c>
      <c r="P30" s="344">
        <f>COUNTIF($C$2:$C$503,"2003")</f>
        <v>0</v>
      </c>
      <c r="Q30" s="113"/>
      <c r="R30" s="114"/>
      <c r="S30" s="345">
        <f>(P30/P42)</f>
        <v>0</v>
      </c>
      <c r="T30" s="25"/>
      <c r="U30" s="198"/>
      <c r="V30" s="198"/>
      <c r="W30" s="198"/>
      <c r="X30" s="198"/>
      <c r="Y30" s="198"/>
      <c r="Z30" s="198"/>
    </row>
    <row r="31" ht="13.5" customHeight="1">
      <c r="A31" s="419">
        <v>3014.0</v>
      </c>
      <c r="B31" s="420" t="s">
        <v>9678</v>
      </c>
      <c r="C31" s="420">
        <v>2010.0</v>
      </c>
      <c r="D31" s="497">
        <v>40420.0</v>
      </c>
      <c r="E31" s="420" t="s">
        <v>9679</v>
      </c>
      <c r="F31" s="420" t="s">
        <v>1544</v>
      </c>
      <c r="G31" s="420" t="s">
        <v>17</v>
      </c>
      <c r="H31" s="420" t="s">
        <v>1501</v>
      </c>
      <c r="I31" s="497">
        <v>41736.0</v>
      </c>
      <c r="J31" s="422">
        <v>4.0</v>
      </c>
      <c r="K31" s="638" t="s">
        <v>234</v>
      </c>
      <c r="L31" s="422" t="s">
        <v>254</v>
      </c>
      <c r="M31" s="316">
        <f t="shared" si="2"/>
        <v>1316</v>
      </c>
      <c r="N31" s="198"/>
      <c r="O31" s="322">
        <v>2004.0</v>
      </c>
      <c r="P31" s="346">
        <f>COUNTIF($C$2:$C$503,"2004")</f>
        <v>0</v>
      </c>
      <c r="Q31" s="113"/>
      <c r="R31" s="114"/>
      <c r="S31" s="343">
        <f>(P31/P42)</f>
        <v>0</v>
      </c>
      <c r="T31" s="25"/>
      <c r="U31" s="198"/>
      <c r="V31" s="198"/>
      <c r="W31" s="198"/>
      <c r="X31" s="198"/>
      <c r="Y31" s="198"/>
      <c r="Z31" s="198"/>
    </row>
    <row r="32" ht="14.25" customHeight="1">
      <c r="A32" s="425">
        <v>3114.0</v>
      </c>
      <c r="B32" s="426" t="s">
        <v>9680</v>
      </c>
      <c r="C32" s="426">
        <v>2012.0</v>
      </c>
      <c r="D32" s="500">
        <v>41229.0</v>
      </c>
      <c r="E32" s="426" t="s">
        <v>9681</v>
      </c>
      <c r="F32" s="622" t="s">
        <v>2343</v>
      </c>
      <c r="G32" s="426" t="s">
        <v>569</v>
      </c>
      <c r="H32" s="426" t="s">
        <v>9682</v>
      </c>
      <c r="I32" s="500">
        <v>41739.0</v>
      </c>
      <c r="J32" s="428">
        <v>4.0</v>
      </c>
      <c r="K32" s="636" t="s">
        <v>244</v>
      </c>
      <c r="L32" s="428" t="s">
        <v>260</v>
      </c>
      <c r="M32" s="319">
        <f t="shared" si="2"/>
        <v>510</v>
      </c>
      <c r="N32" s="198"/>
      <c r="O32" s="321">
        <v>2005.0</v>
      </c>
      <c r="P32" s="344">
        <f>COUNTIF($C$2:$C$503,"2005")</f>
        <v>0</v>
      </c>
      <c r="Q32" s="113"/>
      <c r="R32" s="114"/>
      <c r="S32" s="345">
        <f>(P32/P42)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3214.0</v>
      </c>
      <c r="B33" s="420" t="s">
        <v>9683</v>
      </c>
      <c r="C33" s="420">
        <v>2011.0</v>
      </c>
      <c r="D33" s="497">
        <v>40730.0</v>
      </c>
      <c r="E33" s="420" t="s">
        <v>9684</v>
      </c>
      <c r="F33" s="420" t="s">
        <v>563</v>
      </c>
      <c r="G33" s="420" t="s">
        <v>552</v>
      </c>
      <c r="H33" s="420" t="s">
        <v>1178</v>
      </c>
      <c r="I33" s="497">
        <v>41740.0</v>
      </c>
      <c r="J33" s="422">
        <v>4.0</v>
      </c>
      <c r="K33" s="637" t="s">
        <v>238</v>
      </c>
      <c r="L33" s="422" t="s">
        <v>256</v>
      </c>
      <c r="M33" s="316">
        <f t="shared" si="2"/>
        <v>1010</v>
      </c>
      <c r="N33" s="198"/>
      <c r="O33" s="322">
        <v>2006.0</v>
      </c>
      <c r="P33" s="346">
        <f>COUNTIF($C$2:$C$503,"2006")</f>
        <v>0</v>
      </c>
      <c r="Q33" s="113"/>
      <c r="R33" s="114"/>
      <c r="S33" s="343">
        <f>P33/P42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3314.0</v>
      </c>
      <c r="B34" s="426" t="s">
        <v>9685</v>
      </c>
      <c r="C34" s="426">
        <v>2009.0</v>
      </c>
      <c r="D34" s="500">
        <v>39993.0</v>
      </c>
      <c r="E34" s="426" t="s">
        <v>9686</v>
      </c>
      <c r="F34" s="426" t="s">
        <v>9687</v>
      </c>
      <c r="G34" s="426" t="s">
        <v>650</v>
      </c>
      <c r="H34" s="426" t="s">
        <v>158</v>
      </c>
      <c r="I34" s="500">
        <v>41744.0</v>
      </c>
      <c r="J34" s="428">
        <v>4.0</v>
      </c>
      <c r="K34" s="635" t="s">
        <v>228</v>
      </c>
      <c r="L34" s="428" t="s">
        <v>256</v>
      </c>
      <c r="M34" s="319">
        <f t="shared" si="2"/>
        <v>1751</v>
      </c>
      <c r="N34" s="198"/>
      <c r="O34" s="321">
        <v>2007.0</v>
      </c>
      <c r="P34" s="344">
        <f>COUNTIF($C$2:$C$503,"2007")</f>
        <v>5</v>
      </c>
      <c r="Q34" s="113"/>
      <c r="R34" s="114"/>
      <c r="S34" s="345">
        <f>(P34/P42)</f>
        <v>0.03378378378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3414.0</v>
      </c>
      <c r="B35" s="420" t="s">
        <v>9688</v>
      </c>
      <c r="C35" s="420">
        <v>2011.0</v>
      </c>
      <c r="D35" s="497">
        <v>40756.0</v>
      </c>
      <c r="E35" s="420" t="s">
        <v>9689</v>
      </c>
      <c r="F35" s="420" t="s">
        <v>666</v>
      </c>
      <c r="G35" s="420" t="s">
        <v>552</v>
      </c>
      <c r="H35" s="420" t="s">
        <v>1501</v>
      </c>
      <c r="I35" s="497">
        <v>41745.0</v>
      </c>
      <c r="J35" s="422">
        <v>4.0</v>
      </c>
      <c r="K35" s="637" t="s">
        <v>238</v>
      </c>
      <c r="L35" s="422" t="s">
        <v>258</v>
      </c>
      <c r="M35" s="316">
        <f t="shared" si="2"/>
        <v>989</v>
      </c>
      <c r="N35" s="198"/>
      <c r="O35" s="322">
        <v>2008.0</v>
      </c>
      <c r="P35" s="346">
        <f>COUNTIF($C$2:$C$503,"2008")</f>
        <v>23</v>
      </c>
      <c r="Q35" s="113"/>
      <c r="R35" s="114"/>
      <c r="S35" s="343">
        <f>(P35/P42)</f>
        <v>0.1554054054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3514.0</v>
      </c>
      <c r="B36" s="426" t="s">
        <v>9690</v>
      </c>
      <c r="C36" s="426">
        <v>2009.0</v>
      </c>
      <c r="D36" s="500">
        <v>40175.0</v>
      </c>
      <c r="E36" s="426" t="s">
        <v>9691</v>
      </c>
      <c r="F36" s="426" t="s">
        <v>563</v>
      </c>
      <c r="G36" s="426" t="s">
        <v>552</v>
      </c>
      <c r="H36" s="426" t="s">
        <v>163</v>
      </c>
      <c r="I36" s="500">
        <v>41745.0</v>
      </c>
      <c r="J36" s="428">
        <v>4.0</v>
      </c>
      <c r="K36" s="638" t="s">
        <v>234</v>
      </c>
      <c r="L36" s="428" t="s">
        <v>256</v>
      </c>
      <c r="M36" s="319">
        <f t="shared" si="2"/>
        <v>1570</v>
      </c>
      <c r="N36" s="198"/>
      <c r="O36" s="321">
        <v>2009.0</v>
      </c>
      <c r="P36" s="344">
        <f>COUNTIF($C$2:$C$503,"2009")</f>
        <v>28</v>
      </c>
      <c r="Q36" s="113"/>
      <c r="R36" s="114"/>
      <c r="S36" s="345">
        <f>(P36/P42)</f>
        <v>0.1891891892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3614.0</v>
      </c>
      <c r="B37" s="420" t="s">
        <v>9692</v>
      </c>
      <c r="C37" s="420">
        <v>2009.0</v>
      </c>
      <c r="D37" s="497">
        <v>39927.0</v>
      </c>
      <c r="E37" s="420" t="s">
        <v>9693</v>
      </c>
      <c r="F37" s="420" t="s">
        <v>3078</v>
      </c>
      <c r="G37" s="420" t="s">
        <v>17</v>
      </c>
      <c r="H37" s="420" t="s">
        <v>66</v>
      </c>
      <c r="I37" s="497">
        <v>41752.0</v>
      </c>
      <c r="J37" s="422">
        <v>4.0</v>
      </c>
      <c r="K37" s="638" t="s">
        <v>234</v>
      </c>
      <c r="L37" s="422" t="s">
        <v>256</v>
      </c>
      <c r="M37" s="316">
        <f t="shared" si="2"/>
        <v>1825</v>
      </c>
      <c r="N37" s="198"/>
      <c r="O37" s="322">
        <v>2010.0</v>
      </c>
      <c r="P37" s="346">
        <f>COUNTIF($C$2:$C$503,"2010")</f>
        <v>37</v>
      </c>
      <c r="Q37" s="113"/>
      <c r="R37" s="114"/>
      <c r="S37" s="343">
        <f>(P37/P42)</f>
        <v>0.25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3714.0</v>
      </c>
      <c r="B38" s="426" t="s">
        <v>9694</v>
      </c>
      <c r="C38" s="426">
        <v>2010.0</v>
      </c>
      <c r="D38" s="500">
        <v>40203.0</v>
      </c>
      <c r="E38" s="426" t="s">
        <v>9695</v>
      </c>
      <c r="F38" s="426" t="s">
        <v>563</v>
      </c>
      <c r="G38" s="426" t="s">
        <v>552</v>
      </c>
      <c r="H38" s="426" t="s">
        <v>163</v>
      </c>
      <c r="I38" s="500">
        <v>41754.0</v>
      </c>
      <c r="J38" s="428">
        <v>4.0</v>
      </c>
      <c r="K38" s="638" t="s">
        <v>234</v>
      </c>
      <c r="L38" s="428" t="s">
        <v>256</v>
      </c>
      <c r="M38" s="319">
        <f t="shared" si="2"/>
        <v>1551</v>
      </c>
      <c r="N38" s="198"/>
      <c r="O38" s="321">
        <v>2011.0</v>
      </c>
      <c r="P38" s="344">
        <f>COUNTIF($C$2:$C$503,"2011")</f>
        <v>17</v>
      </c>
      <c r="Q38" s="113"/>
      <c r="R38" s="114"/>
      <c r="S38" s="345">
        <f>(P38/P42)</f>
        <v>0.1148648649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3814.0</v>
      </c>
      <c r="B39" s="420" t="s">
        <v>9696</v>
      </c>
      <c r="C39" s="420">
        <v>2012.0</v>
      </c>
      <c r="D39" s="497">
        <v>40968.0</v>
      </c>
      <c r="E39" s="420" t="s">
        <v>9697</v>
      </c>
      <c r="F39" s="420" t="s">
        <v>9698</v>
      </c>
      <c r="G39" s="420" t="s">
        <v>650</v>
      </c>
      <c r="H39" s="420" t="s">
        <v>143</v>
      </c>
      <c r="I39" s="497">
        <v>41754.0</v>
      </c>
      <c r="J39" s="422">
        <v>4.0</v>
      </c>
      <c r="K39" s="637" t="s">
        <v>238</v>
      </c>
      <c r="L39" s="422" t="s">
        <v>256</v>
      </c>
      <c r="M39" s="316">
        <f t="shared" si="2"/>
        <v>786</v>
      </c>
      <c r="N39" s="198"/>
      <c r="O39" s="322">
        <v>2012.0</v>
      </c>
      <c r="P39" s="346">
        <f>COUNTIF($C$2:$C$503,"2012")</f>
        <v>16</v>
      </c>
      <c r="Q39" s="113"/>
      <c r="R39" s="114"/>
      <c r="S39" s="343">
        <f>(P39/P42)</f>
        <v>0.1081081081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3914.0</v>
      </c>
      <c r="B40" s="426" t="s">
        <v>9699</v>
      </c>
      <c r="C40" s="426">
        <v>2009.0</v>
      </c>
      <c r="D40" s="500">
        <v>39974.0</v>
      </c>
      <c r="E40" s="426" t="s">
        <v>9700</v>
      </c>
      <c r="F40" s="426" t="s">
        <v>963</v>
      </c>
      <c r="G40" s="426" t="s">
        <v>650</v>
      </c>
      <c r="H40" s="426" t="s">
        <v>2964</v>
      </c>
      <c r="I40" s="500">
        <v>41754.0</v>
      </c>
      <c r="J40" s="428">
        <v>4.0</v>
      </c>
      <c r="K40" s="637" t="s">
        <v>238</v>
      </c>
      <c r="L40" s="428" t="s">
        <v>258</v>
      </c>
      <c r="M40" s="319">
        <f t="shared" si="2"/>
        <v>1780</v>
      </c>
      <c r="N40" s="198"/>
      <c r="O40" s="321">
        <v>2013.0</v>
      </c>
      <c r="P40" s="344">
        <f>COUNTIF($C$2:$C$503,"2013")</f>
        <v>12</v>
      </c>
      <c r="Q40" s="113"/>
      <c r="R40" s="114"/>
      <c r="S40" s="345">
        <f>(P40/P42)</f>
        <v>0.08108108108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419">
        <v>4014.0</v>
      </c>
      <c r="B41" s="420" t="s">
        <v>9701</v>
      </c>
      <c r="C41" s="420">
        <v>2009.0</v>
      </c>
      <c r="D41" s="497">
        <v>39951.0</v>
      </c>
      <c r="E41" s="420" t="s">
        <v>9702</v>
      </c>
      <c r="F41" s="420" t="s">
        <v>719</v>
      </c>
      <c r="G41" s="420" t="s">
        <v>17</v>
      </c>
      <c r="H41" s="420" t="s">
        <v>5732</v>
      </c>
      <c r="I41" s="497">
        <v>41757.0</v>
      </c>
      <c r="J41" s="422">
        <v>4.0</v>
      </c>
      <c r="K41" s="637" t="s">
        <v>238</v>
      </c>
      <c r="L41" s="422" t="s">
        <v>258</v>
      </c>
      <c r="M41" s="316">
        <f t="shared" si="2"/>
        <v>1806</v>
      </c>
      <c r="N41" s="198"/>
      <c r="O41" s="322">
        <v>2014.0</v>
      </c>
      <c r="P41" s="346">
        <f>COUNTIF($C$2:$C$503,"2014")</f>
        <v>10</v>
      </c>
      <c r="Q41" s="113"/>
      <c r="R41" s="114"/>
      <c r="S41" s="343">
        <f>(P41/P42)</f>
        <v>0.06756756757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425">
        <v>4114.0</v>
      </c>
      <c r="B42" s="426" t="s">
        <v>9703</v>
      </c>
      <c r="C42" s="426">
        <v>2011.0</v>
      </c>
      <c r="D42" s="500">
        <v>40725.0</v>
      </c>
      <c r="E42" s="426" t="s">
        <v>9704</v>
      </c>
      <c r="F42" s="426" t="s">
        <v>25</v>
      </c>
      <c r="G42" s="426" t="s">
        <v>552</v>
      </c>
      <c r="H42" s="426" t="s">
        <v>5171</v>
      </c>
      <c r="I42" s="500">
        <v>41774.0</v>
      </c>
      <c r="J42" s="428">
        <v>5.0</v>
      </c>
      <c r="K42" s="638" t="s">
        <v>234</v>
      </c>
      <c r="L42" s="428" t="s">
        <v>256</v>
      </c>
      <c r="M42" s="319">
        <f t="shared" si="2"/>
        <v>1049</v>
      </c>
      <c r="N42" s="198"/>
      <c r="O42" s="348" t="s">
        <v>179</v>
      </c>
      <c r="P42" s="349">
        <f>SUM(P29:R41)</f>
        <v>148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3.5" customHeight="1">
      <c r="A43" s="419">
        <v>4214.0</v>
      </c>
      <c r="B43" s="420" t="s">
        <v>9705</v>
      </c>
      <c r="C43" s="420">
        <v>2009.0</v>
      </c>
      <c r="D43" s="497">
        <v>39855.0</v>
      </c>
      <c r="E43" s="420" t="s">
        <v>9706</v>
      </c>
      <c r="F43" s="420" t="s">
        <v>9707</v>
      </c>
      <c r="G43" s="420" t="s">
        <v>552</v>
      </c>
      <c r="H43" s="420" t="s">
        <v>929</v>
      </c>
      <c r="I43" s="497">
        <v>41781.0</v>
      </c>
      <c r="J43" s="422">
        <v>5.0</v>
      </c>
      <c r="K43" s="637" t="s">
        <v>238</v>
      </c>
      <c r="L43" s="422" t="s">
        <v>258</v>
      </c>
      <c r="M43" s="316">
        <f t="shared" si="2"/>
        <v>1926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425">
        <v>4314.0</v>
      </c>
      <c r="B44" s="426" t="s">
        <v>9708</v>
      </c>
      <c r="C44" s="426">
        <v>2009.0</v>
      </c>
      <c r="D44" s="500">
        <v>39898.0</v>
      </c>
      <c r="E44" s="426" t="s">
        <v>9709</v>
      </c>
      <c r="F44" s="426" t="s">
        <v>9710</v>
      </c>
      <c r="G44" s="426" t="s">
        <v>34</v>
      </c>
      <c r="H44" s="426" t="s">
        <v>2964</v>
      </c>
      <c r="I44" s="500">
        <v>41782.0</v>
      </c>
      <c r="J44" s="428">
        <v>5.0</v>
      </c>
      <c r="K44" s="637" t="s">
        <v>238</v>
      </c>
      <c r="L44" s="428" t="s">
        <v>258</v>
      </c>
      <c r="M44" s="319">
        <f t="shared" si="2"/>
        <v>1884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4414.0</v>
      </c>
      <c r="B45" s="420" t="s">
        <v>9711</v>
      </c>
      <c r="C45" s="420">
        <v>2010.0</v>
      </c>
      <c r="D45" s="497">
        <v>40539.0</v>
      </c>
      <c r="E45" s="420" t="s">
        <v>9712</v>
      </c>
      <c r="F45" s="420" t="s">
        <v>9710</v>
      </c>
      <c r="G45" s="420" t="s">
        <v>547</v>
      </c>
      <c r="H45" s="420" t="s">
        <v>2964</v>
      </c>
      <c r="I45" s="497">
        <v>41782.0</v>
      </c>
      <c r="J45" s="422">
        <v>5.0</v>
      </c>
      <c r="K45" s="635" t="s">
        <v>228</v>
      </c>
      <c r="L45" s="422" t="s">
        <v>258</v>
      </c>
      <c r="M45" s="316">
        <f t="shared" si="2"/>
        <v>1243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4514.0</v>
      </c>
      <c r="B46" s="426" t="s">
        <v>9713</v>
      </c>
      <c r="C46" s="426">
        <v>2009.0</v>
      </c>
      <c r="D46" s="500">
        <v>40043.0</v>
      </c>
      <c r="E46" s="426" t="s">
        <v>9714</v>
      </c>
      <c r="F46" s="426" t="s">
        <v>1232</v>
      </c>
      <c r="G46" s="426" t="s">
        <v>552</v>
      </c>
      <c r="H46" s="426" t="s">
        <v>1749</v>
      </c>
      <c r="I46" s="500">
        <v>41786.0</v>
      </c>
      <c r="J46" s="428">
        <v>5.0</v>
      </c>
      <c r="K46" s="635" t="s">
        <v>228</v>
      </c>
      <c r="L46" s="428" t="s">
        <v>256</v>
      </c>
      <c r="M46" s="319">
        <f t="shared" si="2"/>
        <v>1743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4614.0</v>
      </c>
      <c r="B47" s="420" t="s">
        <v>9715</v>
      </c>
      <c r="C47" s="420">
        <v>2008.0</v>
      </c>
      <c r="D47" s="497">
        <v>39777.0</v>
      </c>
      <c r="E47" s="420" t="s">
        <v>9716</v>
      </c>
      <c r="F47" s="420" t="s">
        <v>963</v>
      </c>
      <c r="G47" s="420" t="s">
        <v>650</v>
      </c>
      <c r="H47" s="420" t="s">
        <v>2325</v>
      </c>
      <c r="I47" s="497">
        <v>41787.0</v>
      </c>
      <c r="J47" s="422">
        <v>5.0</v>
      </c>
      <c r="K47" s="637" t="s">
        <v>238</v>
      </c>
      <c r="L47" s="422" t="s">
        <v>258</v>
      </c>
      <c r="M47" s="316">
        <f t="shared" si="2"/>
        <v>2010</v>
      </c>
      <c r="N47" s="198"/>
      <c r="O47" s="353" t="s">
        <v>195</v>
      </c>
      <c r="P47" s="342">
        <f>COUNTIF($J$2:$J$476,"1")</f>
        <v>9</v>
      </c>
      <c r="Q47" s="332"/>
      <c r="R47" s="333"/>
      <c r="S47" s="354">
        <f>(P47/P59)</f>
        <v>0.06081081081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4714.0</v>
      </c>
      <c r="B48" s="426" t="s">
        <v>9717</v>
      </c>
      <c r="C48" s="426">
        <v>2008.0</v>
      </c>
      <c r="D48" s="500">
        <v>39777.0</v>
      </c>
      <c r="E48" s="426" t="s">
        <v>9718</v>
      </c>
      <c r="F48" s="426" t="s">
        <v>963</v>
      </c>
      <c r="G48" s="426" t="s">
        <v>650</v>
      </c>
      <c r="H48" s="426" t="s">
        <v>2325</v>
      </c>
      <c r="I48" s="500">
        <v>41787.0</v>
      </c>
      <c r="J48" s="428">
        <v>5.0</v>
      </c>
      <c r="K48" s="637" t="s">
        <v>238</v>
      </c>
      <c r="L48" s="428" t="s">
        <v>258</v>
      </c>
      <c r="M48" s="319">
        <f t="shared" si="2"/>
        <v>2010</v>
      </c>
      <c r="N48" s="198"/>
      <c r="O48" s="321" t="s">
        <v>197</v>
      </c>
      <c r="P48" s="344">
        <f>COUNTIF($J$2:$J$476,"2")</f>
        <v>14</v>
      </c>
      <c r="Q48" s="113"/>
      <c r="R48" s="114"/>
      <c r="S48" s="345">
        <f>(P48/P59)</f>
        <v>0.09459459459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4814.0</v>
      </c>
      <c r="B49" s="420" t="s">
        <v>9719</v>
      </c>
      <c r="C49" s="420">
        <v>2008.0</v>
      </c>
      <c r="D49" s="497">
        <v>39777.0</v>
      </c>
      <c r="E49" s="420" t="s">
        <v>9720</v>
      </c>
      <c r="F49" s="420" t="s">
        <v>963</v>
      </c>
      <c r="G49" s="420" t="s">
        <v>650</v>
      </c>
      <c r="H49" s="420" t="s">
        <v>2325</v>
      </c>
      <c r="I49" s="497">
        <v>41787.0</v>
      </c>
      <c r="J49" s="422">
        <v>5.0</v>
      </c>
      <c r="K49" s="637" t="s">
        <v>238</v>
      </c>
      <c r="L49" s="422" t="s">
        <v>258</v>
      </c>
      <c r="M49" s="316">
        <f t="shared" si="2"/>
        <v>2010</v>
      </c>
      <c r="N49" s="198"/>
      <c r="O49" s="322" t="s">
        <v>199</v>
      </c>
      <c r="P49" s="346">
        <f>COUNTIF($J$2:$J$476,"3")</f>
        <v>3</v>
      </c>
      <c r="Q49" s="113"/>
      <c r="R49" s="114"/>
      <c r="S49" s="343">
        <f>(P49/P59)</f>
        <v>0.02027027027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4914.0</v>
      </c>
      <c r="B50" s="426" t="s">
        <v>9721</v>
      </c>
      <c r="C50" s="426">
        <v>2009.0</v>
      </c>
      <c r="D50" s="500">
        <v>40009.0</v>
      </c>
      <c r="E50" s="426" t="s">
        <v>9722</v>
      </c>
      <c r="F50" s="426" t="s">
        <v>885</v>
      </c>
      <c r="G50" s="426" t="s">
        <v>17</v>
      </c>
      <c r="H50" s="426" t="s">
        <v>929</v>
      </c>
      <c r="I50" s="500">
        <v>41800.0</v>
      </c>
      <c r="J50" s="428">
        <v>6.0</v>
      </c>
      <c r="K50" s="637" t="s">
        <v>238</v>
      </c>
      <c r="L50" s="428" t="s">
        <v>256</v>
      </c>
      <c r="M50" s="319">
        <f t="shared" si="2"/>
        <v>1791</v>
      </c>
      <c r="N50" s="198"/>
      <c r="O50" s="321" t="s">
        <v>201</v>
      </c>
      <c r="P50" s="344">
        <f>COUNTIF($J$2:$J$476,"4")</f>
        <v>13</v>
      </c>
      <c r="Q50" s="113"/>
      <c r="R50" s="114"/>
      <c r="S50" s="345">
        <f>(P50/P59)</f>
        <v>0.08783783784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5014.0</v>
      </c>
      <c r="B51" s="420" t="s">
        <v>9723</v>
      </c>
      <c r="C51" s="420">
        <v>2010.0</v>
      </c>
      <c r="D51" s="497">
        <v>40318.0</v>
      </c>
      <c r="E51" s="420" t="s">
        <v>9724</v>
      </c>
      <c r="F51" s="420" t="s">
        <v>3078</v>
      </c>
      <c r="G51" s="420" t="s">
        <v>17</v>
      </c>
      <c r="H51" s="420" t="s">
        <v>1749</v>
      </c>
      <c r="I51" s="497">
        <v>41802.0</v>
      </c>
      <c r="J51" s="422">
        <v>6.0</v>
      </c>
      <c r="K51" s="637" t="s">
        <v>238</v>
      </c>
      <c r="L51" s="422" t="s">
        <v>256</v>
      </c>
      <c r="M51" s="316">
        <f t="shared" si="2"/>
        <v>1484</v>
      </c>
      <c r="N51" s="198"/>
      <c r="O51" s="322" t="s">
        <v>203</v>
      </c>
      <c r="P51" s="346">
        <f>COUNTIF($J$2:$J$476,"5")</f>
        <v>8</v>
      </c>
      <c r="Q51" s="113"/>
      <c r="R51" s="114"/>
      <c r="S51" s="343">
        <f>(P51/P59)</f>
        <v>0.05405405405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5114.0</v>
      </c>
      <c r="B52" s="426" t="s">
        <v>9725</v>
      </c>
      <c r="C52" s="426">
        <v>2010.0</v>
      </c>
      <c r="D52" s="500">
        <v>40325.0</v>
      </c>
      <c r="E52" s="426" t="s">
        <v>9726</v>
      </c>
      <c r="F52" s="426" t="s">
        <v>9727</v>
      </c>
      <c r="G52" s="426" t="s">
        <v>17</v>
      </c>
      <c r="H52" s="426" t="s">
        <v>9033</v>
      </c>
      <c r="I52" s="500">
        <v>41802.0</v>
      </c>
      <c r="J52" s="428">
        <v>6.0</v>
      </c>
      <c r="K52" s="635" t="s">
        <v>228</v>
      </c>
      <c r="L52" s="428" t="s">
        <v>256</v>
      </c>
      <c r="M52" s="319">
        <f t="shared" si="2"/>
        <v>1477</v>
      </c>
      <c r="N52" s="198"/>
      <c r="O52" s="321" t="s">
        <v>205</v>
      </c>
      <c r="P52" s="344">
        <f>COUNTIF($J$2:$J$476,"6")</f>
        <v>12</v>
      </c>
      <c r="Q52" s="113"/>
      <c r="R52" s="114"/>
      <c r="S52" s="345">
        <f>(P52/P59)</f>
        <v>0.08108108108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419">
        <v>5214.0</v>
      </c>
      <c r="B53" s="420" t="s">
        <v>9728</v>
      </c>
      <c r="C53" s="420">
        <v>2010.0</v>
      </c>
      <c r="D53" s="497">
        <v>40435.0</v>
      </c>
      <c r="E53" s="420" t="s">
        <v>9729</v>
      </c>
      <c r="F53" s="420" t="s">
        <v>9730</v>
      </c>
      <c r="G53" s="420" t="s">
        <v>17</v>
      </c>
      <c r="H53" s="420" t="s">
        <v>8438</v>
      </c>
      <c r="I53" s="497">
        <v>41802.0</v>
      </c>
      <c r="J53" s="422">
        <v>6.0</v>
      </c>
      <c r="K53" s="637" t="s">
        <v>238</v>
      </c>
      <c r="L53" s="422" t="s">
        <v>256</v>
      </c>
      <c r="M53" s="316">
        <f t="shared" si="2"/>
        <v>1367</v>
      </c>
      <c r="N53" s="198"/>
      <c r="O53" s="322" t="s">
        <v>207</v>
      </c>
      <c r="P53" s="346">
        <f>COUNTIF($J$2:$J$476,"7")</f>
        <v>2</v>
      </c>
      <c r="Q53" s="113"/>
      <c r="R53" s="114"/>
      <c r="S53" s="343">
        <f>(P53/P59)</f>
        <v>0.01351351351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5314.0</v>
      </c>
      <c r="B54" s="426" t="s">
        <v>9731</v>
      </c>
      <c r="C54" s="426">
        <v>2008.0</v>
      </c>
      <c r="D54" s="500">
        <v>39665.0</v>
      </c>
      <c r="E54" s="426" t="s">
        <v>9732</v>
      </c>
      <c r="F54" s="426" t="s">
        <v>9733</v>
      </c>
      <c r="G54" s="426" t="s">
        <v>650</v>
      </c>
      <c r="H54" s="426" t="s">
        <v>601</v>
      </c>
      <c r="I54" s="500">
        <v>41802.0</v>
      </c>
      <c r="J54" s="428">
        <v>6.0</v>
      </c>
      <c r="K54" s="635" t="s">
        <v>228</v>
      </c>
      <c r="L54" s="428" t="s">
        <v>256</v>
      </c>
      <c r="M54" s="319">
        <f t="shared" si="2"/>
        <v>2137</v>
      </c>
      <c r="N54" s="198"/>
      <c r="O54" s="321" t="s">
        <v>209</v>
      </c>
      <c r="P54" s="344">
        <f>COUNTIF($J$2:$J$476,"8")</f>
        <v>13</v>
      </c>
      <c r="Q54" s="113"/>
      <c r="R54" s="114"/>
      <c r="S54" s="345">
        <f>(P54/P59)</f>
        <v>0.08783783784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5414.0</v>
      </c>
      <c r="B55" s="420" t="s">
        <v>9734</v>
      </c>
      <c r="C55" s="420">
        <v>2010.0</v>
      </c>
      <c r="D55" s="497">
        <v>40308.0</v>
      </c>
      <c r="E55" s="420" t="s">
        <v>9735</v>
      </c>
      <c r="F55" s="420" t="s">
        <v>711</v>
      </c>
      <c r="G55" s="420" t="s">
        <v>17</v>
      </c>
      <c r="H55" s="420" t="s">
        <v>5016</v>
      </c>
      <c r="I55" s="497">
        <v>41805.0</v>
      </c>
      <c r="J55" s="422">
        <v>6.0</v>
      </c>
      <c r="K55" s="638" t="s">
        <v>234</v>
      </c>
      <c r="L55" s="422" t="s">
        <v>256</v>
      </c>
      <c r="M55" s="316">
        <f t="shared" si="2"/>
        <v>1497</v>
      </c>
      <c r="N55" s="198"/>
      <c r="O55" s="322" t="s">
        <v>211</v>
      </c>
      <c r="P55" s="346">
        <f>COUNTIF($J$2:$J$476,"9")</f>
        <v>10</v>
      </c>
      <c r="Q55" s="113"/>
      <c r="R55" s="114"/>
      <c r="S55" s="343">
        <f>(P55/P59)</f>
        <v>0.06756756757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5514.0</v>
      </c>
      <c r="B56" s="426" t="s">
        <v>9736</v>
      </c>
      <c r="C56" s="426">
        <v>2010.0</v>
      </c>
      <c r="D56" s="500">
        <v>40303.0</v>
      </c>
      <c r="E56" s="426" t="s">
        <v>9737</v>
      </c>
      <c r="F56" s="426" t="s">
        <v>1170</v>
      </c>
      <c r="G56" s="426" t="s">
        <v>552</v>
      </c>
      <c r="H56" s="426" t="s">
        <v>1178</v>
      </c>
      <c r="I56" s="500">
        <v>41807.0</v>
      </c>
      <c r="J56" s="428">
        <v>6.0</v>
      </c>
      <c r="K56" s="637" t="s">
        <v>238</v>
      </c>
      <c r="L56" s="428" t="s">
        <v>256</v>
      </c>
      <c r="M56" s="319">
        <f t="shared" si="2"/>
        <v>1504</v>
      </c>
      <c r="N56" s="198"/>
      <c r="O56" s="321" t="s">
        <v>213</v>
      </c>
      <c r="P56" s="344">
        <f>COUNTIF($J$2:$J$476,"10")</f>
        <v>32</v>
      </c>
      <c r="Q56" s="113"/>
      <c r="R56" s="114"/>
      <c r="S56" s="345">
        <f>(P56/P59)</f>
        <v>0.2162162162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5614.0</v>
      </c>
      <c r="B57" s="420" t="s">
        <v>9738</v>
      </c>
      <c r="C57" s="420">
        <v>2010.0</v>
      </c>
      <c r="D57" s="497">
        <v>40350.0</v>
      </c>
      <c r="E57" s="420" t="s">
        <v>9739</v>
      </c>
      <c r="F57" s="420" t="s">
        <v>44</v>
      </c>
      <c r="G57" s="420" t="s">
        <v>552</v>
      </c>
      <c r="H57" s="420" t="s">
        <v>1178</v>
      </c>
      <c r="I57" s="497">
        <v>41808.0</v>
      </c>
      <c r="J57" s="422">
        <v>6.0</v>
      </c>
      <c r="K57" s="635" t="s">
        <v>228</v>
      </c>
      <c r="L57" s="422" t="s">
        <v>258</v>
      </c>
      <c r="M57" s="316">
        <f t="shared" si="2"/>
        <v>1458</v>
      </c>
      <c r="N57" s="198"/>
      <c r="O57" s="322" t="s">
        <v>215</v>
      </c>
      <c r="P57" s="346">
        <f>COUNTIF($J$2:$J$476,"11")</f>
        <v>15</v>
      </c>
      <c r="Q57" s="113"/>
      <c r="R57" s="114"/>
      <c r="S57" s="343">
        <f>(P57/P59)</f>
        <v>0.1013513514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5714.0</v>
      </c>
      <c r="B58" s="426" t="s">
        <v>9740</v>
      </c>
      <c r="C58" s="426">
        <v>2011.0</v>
      </c>
      <c r="D58" s="500">
        <v>40724.0</v>
      </c>
      <c r="E58" s="426" t="s">
        <v>9741</v>
      </c>
      <c r="F58" s="426" t="s">
        <v>9742</v>
      </c>
      <c r="G58" s="426" t="s">
        <v>552</v>
      </c>
      <c r="H58" s="426" t="s">
        <v>1178</v>
      </c>
      <c r="I58" s="500">
        <v>41808.0</v>
      </c>
      <c r="J58" s="428">
        <v>6.0</v>
      </c>
      <c r="K58" s="638" t="s">
        <v>234</v>
      </c>
      <c r="L58" s="428" t="s">
        <v>256</v>
      </c>
      <c r="M58" s="319">
        <f t="shared" si="2"/>
        <v>1084</v>
      </c>
      <c r="N58" s="198"/>
      <c r="O58" s="355" t="s">
        <v>217</v>
      </c>
      <c r="P58" s="344">
        <f>COUNTIF($J$2:$J$476,"12")</f>
        <v>17</v>
      </c>
      <c r="Q58" s="113"/>
      <c r="R58" s="114"/>
      <c r="S58" s="356">
        <f>(P58/P59)</f>
        <v>0.1148648649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5814.0</v>
      </c>
      <c r="B59" s="420" t="s">
        <v>9743</v>
      </c>
      <c r="C59" s="420">
        <v>2010.0</v>
      </c>
      <c r="D59" s="497">
        <v>40340.0</v>
      </c>
      <c r="E59" s="420" t="s">
        <v>9744</v>
      </c>
      <c r="F59" s="420" t="s">
        <v>2054</v>
      </c>
      <c r="G59" s="420" t="s">
        <v>552</v>
      </c>
      <c r="H59" s="420" t="s">
        <v>7777</v>
      </c>
      <c r="I59" s="497">
        <v>41808.0</v>
      </c>
      <c r="J59" s="422">
        <v>6.0</v>
      </c>
      <c r="K59" s="637" t="s">
        <v>238</v>
      </c>
      <c r="L59" s="422" t="s">
        <v>256</v>
      </c>
      <c r="M59" s="316">
        <f t="shared" si="2"/>
        <v>1468</v>
      </c>
      <c r="N59" s="198"/>
      <c r="O59" s="348" t="s">
        <v>219</v>
      </c>
      <c r="P59" s="349">
        <f>SUM(P47:R58)</f>
        <v>148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5914.0</v>
      </c>
      <c r="B60" s="426" t="s">
        <v>9745</v>
      </c>
      <c r="C60" s="426">
        <v>2008.0</v>
      </c>
      <c r="D60" s="500">
        <v>39797.0</v>
      </c>
      <c r="E60" s="426" t="s">
        <v>9746</v>
      </c>
      <c r="F60" s="426" t="s">
        <v>1926</v>
      </c>
      <c r="G60" s="426" t="s">
        <v>552</v>
      </c>
      <c r="H60" s="426" t="s">
        <v>9672</v>
      </c>
      <c r="I60" s="500">
        <v>41815.0</v>
      </c>
      <c r="J60" s="428">
        <v>6.0</v>
      </c>
      <c r="K60" s="635" t="s">
        <v>228</v>
      </c>
      <c r="L60" s="428" t="s">
        <v>256</v>
      </c>
      <c r="M60" s="319">
        <f t="shared" si="2"/>
        <v>2018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6014.0</v>
      </c>
      <c r="B61" s="420" t="s">
        <v>9747</v>
      </c>
      <c r="C61" s="420">
        <v>2008.0</v>
      </c>
      <c r="D61" s="497">
        <v>39772.0</v>
      </c>
      <c r="E61" s="420" t="s">
        <v>9748</v>
      </c>
      <c r="F61" s="420" t="s">
        <v>2311</v>
      </c>
      <c r="G61" s="420" t="s">
        <v>17</v>
      </c>
      <c r="H61" s="420" t="s">
        <v>5732</v>
      </c>
      <c r="I61" s="497">
        <v>41817.0</v>
      </c>
      <c r="J61" s="422">
        <v>6.0</v>
      </c>
      <c r="K61" s="638" t="s">
        <v>234</v>
      </c>
      <c r="L61" s="422" t="s">
        <v>256</v>
      </c>
      <c r="M61" s="316">
        <f t="shared" si="2"/>
        <v>2045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3.5" customHeight="1">
      <c r="A62" s="425">
        <v>6114.0</v>
      </c>
      <c r="B62" s="426" t="s">
        <v>9749</v>
      </c>
      <c r="C62" s="426">
        <v>2009.0</v>
      </c>
      <c r="D62" s="500">
        <v>39864.0</v>
      </c>
      <c r="E62" s="426" t="s">
        <v>9750</v>
      </c>
      <c r="F62" s="426" t="s">
        <v>9751</v>
      </c>
      <c r="G62" s="426" t="s">
        <v>552</v>
      </c>
      <c r="H62" s="426" t="s">
        <v>601</v>
      </c>
      <c r="I62" s="500">
        <v>41821.0</v>
      </c>
      <c r="J62" s="428">
        <v>7.0</v>
      </c>
      <c r="K62" s="635" t="s">
        <v>228</v>
      </c>
      <c r="L62" s="428" t="s">
        <v>256</v>
      </c>
      <c r="M62" s="319">
        <f t="shared" si="2"/>
        <v>1957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3.5" customHeight="1">
      <c r="A63" s="419">
        <v>6214.0</v>
      </c>
      <c r="B63" s="420" t="s">
        <v>9752</v>
      </c>
      <c r="C63" s="420">
        <v>2010.0</v>
      </c>
      <c r="D63" s="497">
        <v>40501.0</v>
      </c>
      <c r="E63" s="420" t="s">
        <v>9753</v>
      </c>
      <c r="F63" s="420" t="s">
        <v>6610</v>
      </c>
      <c r="G63" s="420" t="s">
        <v>552</v>
      </c>
      <c r="H63" s="420" t="s">
        <v>9754</v>
      </c>
      <c r="I63" s="497">
        <v>41831.0</v>
      </c>
      <c r="J63" s="422">
        <v>7.0</v>
      </c>
      <c r="K63" s="635" t="s">
        <v>228</v>
      </c>
      <c r="L63" s="422" t="s">
        <v>256</v>
      </c>
      <c r="M63" s="316">
        <f t="shared" si="2"/>
        <v>1330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3.5" customHeight="1">
      <c r="A64" s="425">
        <v>6314.0</v>
      </c>
      <c r="B64" s="426" t="s">
        <v>9755</v>
      </c>
      <c r="C64" s="426">
        <v>2009.0</v>
      </c>
      <c r="D64" s="500">
        <v>40123.0</v>
      </c>
      <c r="E64" s="426" t="s">
        <v>9756</v>
      </c>
      <c r="F64" s="426" t="s">
        <v>1232</v>
      </c>
      <c r="G64" s="426" t="s">
        <v>17</v>
      </c>
      <c r="H64" s="426" t="s">
        <v>1907</v>
      </c>
      <c r="I64" s="500">
        <v>41858.0</v>
      </c>
      <c r="J64" s="428">
        <v>8.0</v>
      </c>
      <c r="K64" s="635" t="s">
        <v>228</v>
      </c>
      <c r="L64" s="428" t="s">
        <v>256</v>
      </c>
      <c r="M64" s="319">
        <f t="shared" si="2"/>
        <v>1735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59</v>
      </c>
      <c r="T64" s="366">
        <f>(S64/S76)</f>
        <v>0.3986486486</v>
      </c>
      <c r="U64" s="198"/>
      <c r="V64" s="198"/>
      <c r="W64" s="198"/>
      <c r="X64" s="198"/>
      <c r="Y64" s="198"/>
      <c r="Z64" s="198"/>
    </row>
    <row r="65" ht="12.75" customHeight="1">
      <c r="A65" s="419">
        <v>6414.0</v>
      </c>
      <c r="B65" s="420" t="s">
        <v>9757</v>
      </c>
      <c r="C65" s="420">
        <v>2009.0</v>
      </c>
      <c r="D65" s="497">
        <v>40171.0</v>
      </c>
      <c r="E65" s="420" t="s">
        <v>9758</v>
      </c>
      <c r="F65" s="420" t="s">
        <v>711</v>
      </c>
      <c r="G65" s="420" t="s">
        <v>17</v>
      </c>
      <c r="H65" s="420" t="s">
        <v>740</v>
      </c>
      <c r="I65" s="497">
        <v>41858.0</v>
      </c>
      <c r="J65" s="422">
        <v>8.0</v>
      </c>
      <c r="K65" s="638" t="s">
        <v>234</v>
      </c>
      <c r="L65" s="422" t="s">
        <v>256</v>
      </c>
      <c r="M65" s="316">
        <f t="shared" si="2"/>
        <v>1687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6514.0</v>
      </c>
      <c r="B66" s="426" t="s">
        <v>9759</v>
      </c>
      <c r="C66" s="426">
        <v>2011.0</v>
      </c>
      <c r="D66" s="500">
        <v>40758.0</v>
      </c>
      <c r="E66" s="426" t="s">
        <v>9760</v>
      </c>
      <c r="F66" s="426" t="s">
        <v>3078</v>
      </c>
      <c r="G66" s="426" t="s">
        <v>17</v>
      </c>
      <c r="H66" s="426" t="s">
        <v>50</v>
      </c>
      <c r="I66" s="500">
        <v>41858.0</v>
      </c>
      <c r="J66" s="428">
        <v>8.0</v>
      </c>
      <c r="K66" s="637" t="s">
        <v>238</v>
      </c>
      <c r="L66" s="428" t="s">
        <v>256</v>
      </c>
      <c r="M66" s="319">
        <f t="shared" si="2"/>
        <v>1100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6614.0</v>
      </c>
      <c r="B67" s="420" t="s">
        <v>9761</v>
      </c>
      <c r="C67" s="420">
        <v>2009.0</v>
      </c>
      <c r="D67" s="497">
        <v>39911.0</v>
      </c>
      <c r="E67" s="420" t="s">
        <v>9762</v>
      </c>
      <c r="F67" s="420" t="s">
        <v>9763</v>
      </c>
      <c r="G67" s="420" t="s">
        <v>650</v>
      </c>
      <c r="H67" s="420" t="s">
        <v>601</v>
      </c>
      <c r="I67" s="497">
        <v>41863.0</v>
      </c>
      <c r="J67" s="422">
        <v>8.0</v>
      </c>
      <c r="K67" s="637" t="s">
        <v>238</v>
      </c>
      <c r="L67" s="422" t="s">
        <v>256</v>
      </c>
      <c r="M67" s="316">
        <f t="shared" si="2"/>
        <v>1952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22</v>
      </c>
      <c r="T67" s="374">
        <f>(S67/S76)</f>
        <v>0.1486486486</v>
      </c>
      <c r="U67" s="198"/>
      <c r="V67" s="198"/>
      <c r="W67" s="198"/>
      <c r="X67" s="198"/>
      <c r="Y67" s="198"/>
      <c r="Z67" s="198"/>
    </row>
    <row r="68" ht="12.75" customHeight="1">
      <c r="A68" s="425">
        <v>6714.0</v>
      </c>
      <c r="B68" s="426" t="s">
        <v>9764</v>
      </c>
      <c r="C68" s="426">
        <v>2009.0</v>
      </c>
      <c r="D68" s="500">
        <v>39911.0</v>
      </c>
      <c r="E68" s="426" t="s">
        <v>9765</v>
      </c>
      <c r="F68" s="426" t="s">
        <v>9763</v>
      </c>
      <c r="G68" s="426" t="s">
        <v>650</v>
      </c>
      <c r="H68" s="426" t="s">
        <v>601</v>
      </c>
      <c r="I68" s="500">
        <v>41863.0</v>
      </c>
      <c r="J68" s="428">
        <v>8.0</v>
      </c>
      <c r="K68" s="637" t="s">
        <v>238</v>
      </c>
      <c r="L68" s="428" t="s">
        <v>256</v>
      </c>
      <c r="M68" s="319">
        <f t="shared" si="2"/>
        <v>1952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419">
        <v>6814.0</v>
      </c>
      <c r="B69" s="420" t="s">
        <v>9766</v>
      </c>
      <c r="C69" s="420">
        <v>2010.0</v>
      </c>
      <c r="D69" s="497">
        <v>40280.0</v>
      </c>
      <c r="E69" s="420" t="s">
        <v>9767</v>
      </c>
      <c r="F69" s="420" t="s">
        <v>1150</v>
      </c>
      <c r="G69" s="420" t="s">
        <v>552</v>
      </c>
      <c r="H69" s="420" t="s">
        <v>740</v>
      </c>
      <c r="I69" s="497">
        <v>41869.0</v>
      </c>
      <c r="J69" s="422">
        <v>8.0</v>
      </c>
      <c r="K69" s="635" t="s">
        <v>228</v>
      </c>
      <c r="L69" s="422" t="s">
        <v>256</v>
      </c>
      <c r="M69" s="316">
        <f t="shared" si="2"/>
        <v>1589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60</v>
      </c>
      <c r="T69" s="377">
        <f>(S69/S76)</f>
        <v>0.4054054054</v>
      </c>
      <c r="U69" s="198"/>
      <c r="V69" s="198"/>
      <c r="W69" s="198"/>
      <c r="X69" s="198"/>
      <c r="Y69" s="198"/>
      <c r="Z69" s="198"/>
    </row>
    <row r="70" ht="12.75" customHeight="1">
      <c r="A70" s="425">
        <v>6914.0</v>
      </c>
      <c r="B70" s="426" t="s">
        <v>9768</v>
      </c>
      <c r="C70" s="426">
        <v>2009.0</v>
      </c>
      <c r="D70" s="500">
        <v>39933.0</v>
      </c>
      <c r="E70" s="426" t="s">
        <v>9769</v>
      </c>
      <c r="F70" s="426" t="s">
        <v>1150</v>
      </c>
      <c r="G70" s="426" t="s">
        <v>552</v>
      </c>
      <c r="H70" s="426" t="s">
        <v>740</v>
      </c>
      <c r="I70" s="500">
        <v>41869.0</v>
      </c>
      <c r="J70" s="428">
        <v>8.0</v>
      </c>
      <c r="K70" s="635" t="s">
        <v>228</v>
      </c>
      <c r="L70" s="428" t="s">
        <v>256</v>
      </c>
      <c r="M70" s="319">
        <f t="shared" si="2"/>
        <v>1936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7014.0</v>
      </c>
      <c r="B71" s="420" t="s">
        <v>9770</v>
      </c>
      <c r="C71" s="420">
        <v>2007.0</v>
      </c>
      <c r="D71" s="497">
        <v>39412.0</v>
      </c>
      <c r="E71" s="420" t="s">
        <v>9771</v>
      </c>
      <c r="F71" s="420" t="s">
        <v>1926</v>
      </c>
      <c r="G71" s="420" t="s">
        <v>650</v>
      </c>
      <c r="H71" s="420" t="s">
        <v>2964</v>
      </c>
      <c r="I71" s="497">
        <v>41871.0</v>
      </c>
      <c r="J71" s="422">
        <v>8.0</v>
      </c>
      <c r="K71" s="635" t="s">
        <v>228</v>
      </c>
      <c r="L71" s="422" t="s">
        <v>258</v>
      </c>
      <c r="M71" s="316">
        <f t="shared" si="2"/>
        <v>2459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7114.0</v>
      </c>
      <c r="B72" s="426" t="s">
        <v>9772</v>
      </c>
      <c r="C72" s="426">
        <v>2013.0</v>
      </c>
      <c r="D72" s="500">
        <v>41285.0</v>
      </c>
      <c r="E72" s="426" t="s">
        <v>9773</v>
      </c>
      <c r="F72" s="622" t="s">
        <v>5332</v>
      </c>
      <c r="G72" s="426" t="s">
        <v>569</v>
      </c>
      <c r="H72" s="426" t="s">
        <v>9774</v>
      </c>
      <c r="I72" s="500">
        <v>41872.0</v>
      </c>
      <c r="J72" s="428">
        <v>8.0</v>
      </c>
      <c r="K72" s="636" t="s">
        <v>850</v>
      </c>
      <c r="L72" s="428" t="s">
        <v>260</v>
      </c>
      <c r="M72" s="319">
        <f t="shared" si="2"/>
        <v>587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2</v>
      </c>
      <c r="T72" s="380">
        <f>(S72/S76)</f>
        <v>0.01351351351</v>
      </c>
      <c r="U72" s="198"/>
      <c r="V72" s="198"/>
      <c r="W72" s="198"/>
      <c r="X72" s="198"/>
      <c r="Y72" s="198"/>
      <c r="Z72" s="198"/>
    </row>
    <row r="73" ht="14.25" customHeight="1">
      <c r="A73" s="419">
        <v>7214.0</v>
      </c>
      <c r="B73" s="420" t="s">
        <v>9775</v>
      </c>
      <c r="C73" s="420">
        <v>2013.0</v>
      </c>
      <c r="D73" s="497">
        <v>41507.0</v>
      </c>
      <c r="E73" s="420" t="s">
        <v>9776</v>
      </c>
      <c r="F73" s="623" t="s">
        <v>5332</v>
      </c>
      <c r="G73" s="420" t="s">
        <v>569</v>
      </c>
      <c r="H73" s="420" t="s">
        <v>9777</v>
      </c>
      <c r="I73" s="497">
        <v>41872.0</v>
      </c>
      <c r="J73" s="422">
        <v>8.0</v>
      </c>
      <c r="K73" s="636" t="s">
        <v>850</v>
      </c>
      <c r="L73" s="422" t="s">
        <v>260</v>
      </c>
      <c r="M73" s="316">
        <f t="shared" si="2"/>
        <v>365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3.5" customHeight="1">
      <c r="A74" s="425">
        <v>7314.0</v>
      </c>
      <c r="B74" s="426" t="s">
        <v>9778</v>
      </c>
      <c r="C74" s="426">
        <v>2010.0</v>
      </c>
      <c r="D74" s="500">
        <v>40232.0</v>
      </c>
      <c r="E74" s="426" t="s">
        <v>9779</v>
      </c>
      <c r="F74" s="426" t="s">
        <v>44</v>
      </c>
      <c r="G74" s="426" t="s">
        <v>17</v>
      </c>
      <c r="H74" s="426" t="s">
        <v>5732</v>
      </c>
      <c r="I74" s="500">
        <v>41872.0</v>
      </c>
      <c r="J74" s="428">
        <v>8.0</v>
      </c>
      <c r="K74" s="635" t="s">
        <v>228</v>
      </c>
      <c r="L74" s="428" t="s">
        <v>258</v>
      </c>
      <c r="M74" s="319">
        <f t="shared" si="2"/>
        <v>1640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5</v>
      </c>
      <c r="T74" s="380">
        <f>(S74/S76)</f>
        <v>0.03378378378</v>
      </c>
      <c r="U74" s="198"/>
      <c r="V74" s="198"/>
      <c r="W74" s="198"/>
      <c r="X74" s="198"/>
      <c r="Y74" s="198"/>
      <c r="Z74" s="198"/>
    </row>
    <row r="75" ht="12.75" customHeight="1">
      <c r="A75" s="419">
        <v>7414.0</v>
      </c>
      <c r="B75" s="420" t="s">
        <v>9780</v>
      </c>
      <c r="C75" s="420">
        <v>2013.0</v>
      </c>
      <c r="D75" s="497">
        <v>41512.0</v>
      </c>
      <c r="E75" s="420" t="s">
        <v>9781</v>
      </c>
      <c r="F75" s="420" t="s">
        <v>9710</v>
      </c>
      <c r="G75" s="420" t="s">
        <v>547</v>
      </c>
      <c r="H75" s="420" t="s">
        <v>2964</v>
      </c>
      <c r="I75" s="497">
        <v>41873.0</v>
      </c>
      <c r="J75" s="422">
        <v>8.0</v>
      </c>
      <c r="K75" s="635" t="s">
        <v>228</v>
      </c>
      <c r="L75" s="422" t="s">
        <v>258</v>
      </c>
      <c r="M75" s="316">
        <f t="shared" si="2"/>
        <v>361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7514.0</v>
      </c>
      <c r="B76" s="426" t="s">
        <v>9782</v>
      </c>
      <c r="C76" s="426">
        <v>2010.0</v>
      </c>
      <c r="D76" s="500">
        <v>40422.0</v>
      </c>
      <c r="E76" s="426" t="s">
        <v>9783</v>
      </c>
      <c r="F76" s="426" t="s">
        <v>3078</v>
      </c>
      <c r="G76" s="426" t="s">
        <v>552</v>
      </c>
      <c r="H76" s="426" t="s">
        <v>740</v>
      </c>
      <c r="I76" s="500">
        <v>41873.0</v>
      </c>
      <c r="J76" s="428">
        <v>8.0</v>
      </c>
      <c r="K76" s="638" t="s">
        <v>234</v>
      </c>
      <c r="L76" s="428" t="s">
        <v>256</v>
      </c>
      <c r="M76" s="319">
        <f t="shared" si="2"/>
        <v>1451</v>
      </c>
      <c r="N76" s="198"/>
      <c r="O76" s="386" t="s">
        <v>219</v>
      </c>
      <c r="P76" s="332"/>
      <c r="Q76" s="332"/>
      <c r="R76" s="387"/>
      <c r="S76" s="388">
        <f>SUM(S64:S75)</f>
        <v>148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7614.0</v>
      </c>
      <c r="B77" s="420" t="s">
        <v>9784</v>
      </c>
      <c r="C77" s="420">
        <v>2008.0</v>
      </c>
      <c r="D77" s="497">
        <v>39507.0</v>
      </c>
      <c r="E77" s="420" t="s">
        <v>9785</v>
      </c>
      <c r="F77" s="420" t="s">
        <v>9351</v>
      </c>
      <c r="G77" s="420" t="s">
        <v>17</v>
      </c>
      <c r="H77" s="420" t="s">
        <v>8274</v>
      </c>
      <c r="I77" s="497">
        <v>41886.0</v>
      </c>
      <c r="J77" s="422">
        <v>9.0</v>
      </c>
      <c r="K77" s="635" t="s">
        <v>228</v>
      </c>
      <c r="L77" s="422" t="s">
        <v>256</v>
      </c>
      <c r="M77" s="316">
        <f t="shared" si="2"/>
        <v>2379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7714.0</v>
      </c>
      <c r="B78" s="426" t="s">
        <v>9786</v>
      </c>
      <c r="C78" s="426">
        <v>2009.0</v>
      </c>
      <c r="D78" s="500">
        <v>39945.0</v>
      </c>
      <c r="E78" s="426" t="s">
        <v>9787</v>
      </c>
      <c r="F78" s="426" t="s">
        <v>1255</v>
      </c>
      <c r="G78" s="426" t="s">
        <v>552</v>
      </c>
      <c r="H78" s="426" t="s">
        <v>66</v>
      </c>
      <c r="I78" s="500">
        <v>41894.0</v>
      </c>
      <c r="J78" s="428">
        <v>9.0</v>
      </c>
      <c r="K78" s="638" t="s">
        <v>234</v>
      </c>
      <c r="L78" s="428" t="s">
        <v>256</v>
      </c>
      <c r="M78" s="319">
        <f t="shared" si="2"/>
        <v>1949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3.5" customHeight="1">
      <c r="A79" s="419">
        <v>7814.0</v>
      </c>
      <c r="B79" s="420" t="s">
        <v>9788</v>
      </c>
      <c r="C79" s="420">
        <v>2007.0</v>
      </c>
      <c r="D79" s="497">
        <v>39427.0</v>
      </c>
      <c r="E79" s="420" t="s">
        <v>8780</v>
      </c>
      <c r="F79" s="420" t="s">
        <v>2043</v>
      </c>
      <c r="G79" s="420" t="s">
        <v>650</v>
      </c>
      <c r="H79" s="420" t="s">
        <v>651</v>
      </c>
      <c r="I79" s="497">
        <v>41894.0</v>
      </c>
      <c r="J79" s="422">
        <v>9.0</v>
      </c>
      <c r="K79" s="635" t="s">
        <v>228</v>
      </c>
      <c r="L79" s="422" t="s">
        <v>258</v>
      </c>
      <c r="M79" s="316">
        <f t="shared" si="2"/>
        <v>2467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7914.0</v>
      </c>
      <c r="B80" s="426" t="s">
        <v>9789</v>
      </c>
      <c r="C80" s="426">
        <v>2008.0</v>
      </c>
      <c r="D80" s="500">
        <v>39710.0</v>
      </c>
      <c r="E80" s="426" t="s">
        <v>9790</v>
      </c>
      <c r="F80" s="426" t="s">
        <v>1926</v>
      </c>
      <c r="G80" s="426" t="s">
        <v>650</v>
      </c>
      <c r="H80" s="426" t="s">
        <v>2964</v>
      </c>
      <c r="I80" s="500">
        <v>41898.0</v>
      </c>
      <c r="J80" s="428">
        <v>9.0</v>
      </c>
      <c r="K80" s="635" t="s">
        <v>228</v>
      </c>
      <c r="L80" s="428" t="s">
        <v>258</v>
      </c>
      <c r="M80" s="319">
        <f t="shared" si="2"/>
        <v>2188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8014.0</v>
      </c>
      <c r="B81" s="420" t="s">
        <v>9791</v>
      </c>
      <c r="C81" s="420">
        <v>2008.0</v>
      </c>
      <c r="D81" s="497">
        <v>39713.0</v>
      </c>
      <c r="E81" s="420" t="s">
        <v>9792</v>
      </c>
      <c r="F81" s="420" t="s">
        <v>1926</v>
      </c>
      <c r="G81" s="420" t="s">
        <v>650</v>
      </c>
      <c r="H81" s="420" t="s">
        <v>2964</v>
      </c>
      <c r="I81" s="497">
        <v>41898.0</v>
      </c>
      <c r="J81" s="422">
        <v>9.0</v>
      </c>
      <c r="K81" s="635" t="s">
        <v>228</v>
      </c>
      <c r="L81" s="422" t="s">
        <v>258</v>
      </c>
      <c r="M81" s="316">
        <f t="shared" si="2"/>
        <v>2185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3</v>
      </c>
      <c r="T81" s="395">
        <f>(S81/S85)</f>
        <v>0.02027027027</v>
      </c>
      <c r="U81" s="198"/>
      <c r="V81" s="198"/>
      <c r="W81" s="198"/>
      <c r="X81" s="198"/>
      <c r="Y81" s="198"/>
      <c r="Z81" s="198"/>
    </row>
    <row r="82" ht="13.5" customHeight="1">
      <c r="A82" s="425">
        <v>8114.0</v>
      </c>
      <c r="B82" s="426" t="s">
        <v>9793</v>
      </c>
      <c r="C82" s="426">
        <v>2008.0</v>
      </c>
      <c r="D82" s="500">
        <v>39617.0</v>
      </c>
      <c r="E82" s="426" t="s">
        <v>9794</v>
      </c>
      <c r="F82" s="426" t="s">
        <v>9795</v>
      </c>
      <c r="G82" s="426" t="s">
        <v>34</v>
      </c>
      <c r="H82" s="426" t="s">
        <v>2964</v>
      </c>
      <c r="I82" s="500">
        <v>41906.0</v>
      </c>
      <c r="J82" s="428">
        <v>9.0</v>
      </c>
      <c r="K82" s="637" t="s">
        <v>238</v>
      </c>
      <c r="L82" s="428" t="s">
        <v>256</v>
      </c>
      <c r="M82" s="319">
        <f t="shared" si="2"/>
        <v>2289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65</v>
      </c>
      <c r="T82" s="398">
        <f>(S82/S85)</f>
        <v>0.4391891892</v>
      </c>
      <c r="U82" s="198"/>
      <c r="V82" s="198"/>
      <c r="W82" s="198"/>
      <c r="X82" s="198"/>
      <c r="Y82" s="198"/>
      <c r="Z82" s="198"/>
    </row>
    <row r="83" ht="13.5" customHeight="1">
      <c r="A83" s="419">
        <v>8214.0</v>
      </c>
      <c r="B83" s="420" t="s">
        <v>9796</v>
      </c>
      <c r="C83" s="420">
        <v>2008.0</v>
      </c>
      <c r="D83" s="497">
        <v>39805.0</v>
      </c>
      <c r="E83" s="420" t="s">
        <v>9797</v>
      </c>
      <c r="F83" s="420" t="s">
        <v>2311</v>
      </c>
      <c r="G83" s="420" t="s">
        <v>552</v>
      </c>
      <c r="H83" s="420" t="s">
        <v>66</v>
      </c>
      <c r="I83" s="497">
        <v>41906.0</v>
      </c>
      <c r="J83" s="422">
        <v>9.0</v>
      </c>
      <c r="K83" s="637" t="s">
        <v>238</v>
      </c>
      <c r="L83" s="422" t="s">
        <v>256</v>
      </c>
      <c r="M83" s="316">
        <f t="shared" si="2"/>
        <v>2101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70</v>
      </c>
      <c r="T83" s="395">
        <f>(S83/S85)</f>
        <v>0.472972973</v>
      </c>
      <c r="U83" s="198"/>
      <c r="V83" s="198"/>
      <c r="W83" s="198"/>
      <c r="X83" s="198"/>
      <c r="Y83" s="198"/>
      <c r="Z83" s="198"/>
    </row>
    <row r="84" ht="14.25" customHeight="1">
      <c r="A84" s="425">
        <v>8314.0</v>
      </c>
      <c r="B84" s="426" t="s">
        <v>9798</v>
      </c>
      <c r="C84" s="426">
        <v>2010.0</v>
      </c>
      <c r="D84" s="500">
        <v>40361.0</v>
      </c>
      <c r="E84" s="426" t="s">
        <v>9799</v>
      </c>
      <c r="F84" s="426" t="s">
        <v>8841</v>
      </c>
      <c r="G84" s="426" t="s">
        <v>17</v>
      </c>
      <c r="H84" s="426" t="s">
        <v>87</v>
      </c>
      <c r="I84" s="500">
        <v>41907.0</v>
      </c>
      <c r="J84" s="428">
        <v>9.0</v>
      </c>
      <c r="K84" s="635" t="s">
        <v>228</v>
      </c>
      <c r="L84" s="428" t="s">
        <v>256</v>
      </c>
      <c r="M84" s="319">
        <f t="shared" si="2"/>
        <v>1546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10</v>
      </c>
      <c r="T84" s="398">
        <f>(S84/S85)</f>
        <v>0.06756756757</v>
      </c>
      <c r="U84" s="198"/>
      <c r="V84" s="198"/>
      <c r="W84" s="198"/>
      <c r="X84" s="198"/>
      <c r="Y84" s="198"/>
      <c r="Z84" s="198"/>
    </row>
    <row r="85" ht="12.75" customHeight="1">
      <c r="A85" s="419">
        <v>8414.0</v>
      </c>
      <c r="B85" s="420" t="s">
        <v>9800</v>
      </c>
      <c r="C85" s="420">
        <v>2010.0</v>
      </c>
      <c r="D85" s="497">
        <v>40198.0</v>
      </c>
      <c r="E85" s="420" t="s">
        <v>9801</v>
      </c>
      <c r="F85" s="420" t="s">
        <v>65</v>
      </c>
      <c r="G85" s="420" t="s">
        <v>17</v>
      </c>
      <c r="H85" s="420" t="s">
        <v>1907</v>
      </c>
      <c r="I85" s="497">
        <v>41907.0</v>
      </c>
      <c r="J85" s="422">
        <v>9.0</v>
      </c>
      <c r="K85" s="635" t="s">
        <v>228</v>
      </c>
      <c r="L85" s="422" t="s">
        <v>254</v>
      </c>
      <c r="M85" s="316">
        <f t="shared" si="2"/>
        <v>1709</v>
      </c>
      <c r="N85" s="198"/>
      <c r="O85" s="358" t="s">
        <v>219</v>
      </c>
      <c r="P85" s="359"/>
      <c r="Q85" s="359"/>
      <c r="R85" s="360"/>
      <c r="S85" s="388">
        <f>SUM(S81:S84)</f>
        <v>148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425">
        <v>8514.0</v>
      </c>
      <c r="B86" s="426" t="s">
        <v>9802</v>
      </c>
      <c r="C86" s="426">
        <v>2012.0</v>
      </c>
      <c r="D86" s="500">
        <v>41269.0</v>
      </c>
      <c r="E86" s="426" t="s">
        <v>9803</v>
      </c>
      <c r="F86" s="426" t="s">
        <v>963</v>
      </c>
      <c r="G86" s="426" t="s">
        <v>552</v>
      </c>
      <c r="H86" s="426" t="s">
        <v>5732</v>
      </c>
      <c r="I86" s="500">
        <v>41911.0</v>
      </c>
      <c r="J86" s="428">
        <v>9.0</v>
      </c>
      <c r="K86" s="638" t="s">
        <v>234</v>
      </c>
      <c r="L86" s="428" t="s">
        <v>258</v>
      </c>
      <c r="M86" s="319">
        <f t="shared" si="2"/>
        <v>642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419">
        <v>8614.0</v>
      </c>
      <c r="B87" s="420" t="s">
        <v>9804</v>
      </c>
      <c r="C87" s="420">
        <v>2009.0</v>
      </c>
      <c r="D87" s="497">
        <v>40011.0</v>
      </c>
      <c r="E87" s="420" t="s">
        <v>9805</v>
      </c>
      <c r="F87" s="420" t="s">
        <v>9707</v>
      </c>
      <c r="G87" s="420" t="s">
        <v>17</v>
      </c>
      <c r="H87" s="420" t="s">
        <v>3662</v>
      </c>
      <c r="I87" s="497">
        <v>41913.0</v>
      </c>
      <c r="J87" s="422">
        <v>10.0</v>
      </c>
      <c r="K87" s="637" t="s">
        <v>238</v>
      </c>
      <c r="L87" s="422" t="s">
        <v>258</v>
      </c>
      <c r="M87" s="316">
        <f t="shared" si="2"/>
        <v>1902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3.5" customHeight="1">
      <c r="A88" s="425">
        <v>8714.0</v>
      </c>
      <c r="B88" s="426" t="s">
        <v>9806</v>
      </c>
      <c r="C88" s="426">
        <v>2010.0</v>
      </c>
      <c r="D88" s="500">
        <v>40301.0</v>
      </c>
      <c r="E88" s="426" t="s">
        <v>9807</v>
      </c>
      <c r="F88" s="426" t="s">
        <v>2222</v>
      </c>
      <c r="G88" s="426" t="s">
        <v>17</v>
      </c>
      <c r="H88" s="426" t="s">
        <v>143</v>
      </c>
      <c r="I88" s="500">
        <v>41913.0</v>
      </c>
      <c r="J88" s="428">
        <v>10.0</v>
      </c>
      <c r="K88" s="638" t="s">
        <v>234</v>
      </c>
      <c r="L88" s="428" t="s">
        <v>258</v>
      </c>
      <c r="M88" s="319">
        <f t="shared" si="2"/>
        <v>1612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419">
        <v>8814.0</v>
      </c>
      <c r="B89" s="420" t="s">
        <v>9808</v>
      </c>
      <c r="C89" s="420">
        <v>2010.0</v>
      </c>
      <c r="D89" s="497">
        <v>40375.0</v>
      </c>
      <c r="E89" s="420" t="s">
        <v>9809</v>
      </c>
      <c r="F89" s="420" t="s">
        <v>2071</v>
      </c>
      <c r="G89" s="420" t="s">
        <v>17</v>
      </c>
      <c r="H89" s="420" t="s">
        <v>934</v>
      </c>
      <c r="I89" s="497">
        <v>41913.0</v>
      </c>
      <c r="J89" s="422">
        <v>10.0</v>
      </c>
      <c r="K89" s="637" t="s">
        <v>238</v>
      </c>
      <c r="L89" s="422" t="s">
        <v>258</v>
      </c>
      <c r="M89" s="316">
        <f t="shared" si="2"/>
        <v>1538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425">
        <v>8914.0</v>
      </c>
      <c r="B90" s="426" t="s">
        <v>9810</v>
      </c>
      <c r="C90" s="426">
        <v>2010.0</v>
      </c>
      <c r="D90" s="500">
        <v>40444.0</v>
      </c>
      <c r="E90" s="426" t="s">
        <v>9811</v>
      </c>
      <c r="F90" s="426" t="s">
        <v>8841</v>
      </c>
      <c r="G90" s="426" t="s">
        <v>17</v>
      </c>
      <c r="H90" s="426" t="s">
        <v>5016</v>
      </c>
      <c r="I90" s="500">
        <v>41913.0</v>
      </c>
      <c r="J90" s="428">
        <v>10.0</v>
      </c>
      <c r="K90" s="635" t="s">
        <v>228</v>
      </c>
      <c r="L90" s="428" t="s">
        <v>256</v>
      </c>
      <c r="M90" s="319">
        <f t="shared" si="2"/>
        <v>1469</v>
      </c>
      <c r="N90" s="198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9014.0</v>
      </c>
      <c r="B91" s="420" t="s">
        <v>9812</v>
      </c>
      <c r="C91" s="420">
        <v>2011.0</v>
      </c>
      <c r="D91" s="497">
        <v>40697.0</v>
      </c>
      <c r="E91" s="420" t="s">
        <v>9813</v>
      </c>
      <c r="F91" s="420" t="s">
        <v>1464</v>
      </c>
      <c r="G91" s="420" t="s">
        <v>17</v>
      </c>
      <c r="H91" s="420" t="s">
        <v>1501</v>
      </c>
      <c r="I91" s="497">
        <v>41913.0</v>
      </c>
      <c r="J91" s="422">
        <v>10.0</v>
      </c>
      <c r="K91" s="637" t="s">
        <v>238</v>
      </c>
      <c r="L91" s="422" t="s">
        <v>256</v>
      </c>
      <c r="M91" s="316">
        <f t="shared" si="2"/>
        <v>1216</v>
      </c>
      <c r="N91" s="198"/>
      <c r="O91" s="414" t="s">
        <v>34</v>
      </c>
      <c r="P91" s="415">
        <f>AVERAGEIF(G2:G477,"PTN",M2:M477)</f>
        <v>1842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9114.0</v>
      </c>
      <c r="B92" s="426" t="s">
        <v>9814</v>
      </c>
      <c r="C92" s="426">
        <v>2011.0</v>
      </c>
      <c r="D92" s="500">
        <v>40871.0</v>
      </c>
      <c r="E92" s="426" t="s">
        <v>9815</v>
      </c>
      <c r="F92" s="426" t="s">
        <v>660</v>
      </c>
      <c r="G92" s="426" t="s">
        <v>17</v>
      </c>
      <c r="H92" s="426" t="s">
        <v>158</v>
      </c>
      <c r="I92" s="500">
        <v>41913.0</v>
      </c>
      <c r="J92" s="428">
        <v>10.0</v>
      </c>
      <c r="K92" s="635" t="s">
        <v>228</v>
      </c>
      <c r="L92" s="428" t="s">
        <v>258</v>
      </c>
      <c r="M92" s="319">
        <f t="shared" si="2"/>
        <v>1042</v>
      </c>
      <c r="N92" s="198"/>
      <c r="O92" s="412" t="s">
        <v>17</v>
      </c>
      <c r="P92" s="413">
        <f>AVERAGEIF(G2:G476,"PTE",M2:M476)</f>
        <v>1250.810127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9214.0</v>
      </c>
      <c r="B93" s="420" t="s">
        <v>9816</v>
      </c>
      <c r="C93" s="420">
        <v>2012.0</v>
      </c>
      <c r="D93" s="497">
        <v>40953.0</v>
      </c>
      <c r="E93" s="420" t="s">
        <v>9817</v>
      </c>
      <c r="F93" s="420" t="s">
        <v>8841</v>
      </c>
      <c r="G93" s="420" t="s">
        <v>17</v>
      </c>
      <c r="H93" s="420" t="s">
        <v>7907</v>
      </c>
      <c r="I93" s="497">
        <v>41913.0</v>
      </c>
      <c r="J93" s="422">
        <v>10.0</v>
      </c>
      <c r="K93" s="635" t="s">
        <v>228</v>
      </c>
      <c r="L93" s="422" t="s">
        <v>256</v>
      </c>
      <c r="M93" s="316">
        <f t="shared" si="2"/>
        <v>960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9314.0</v>
      </c>
      <c r="B94" s="426" t="s">
        <v>9818</v>
      </c>
      <c r="C94" s="426">
        <v>2011.0</v>
      </c>
      <c r="D94" s="500">
        <v>40784.0</v>
      </c>
      <c r="E94" s="426" t="s">
        <v>9819</v>
      </c>
      <c r="F94" s="426" t="s">
        <v>8841</v>
      </c>
      <c r="G94" s="426" t="s">
        <v>17</v>
      </c>
      <c r="H94" s="426" t="s">
        <v>583</v>
      </c>
      <c r="I94" s="500">
        <v>41913.0</v>
      </c>
      <c r="J94" s="428">
        <v>10.0</v>
      </c>
      <c r="K94" s="635" t="s">
        <v>228</v>
      </c>
      <c r="L94" s="428" t="s">
        <v>256</v>
      </c>
      <c r="M94" s="319">
        <f t="shared" si="2"/>
        <v>1129</v>
      </c>
      <c r="N94" s="198"/>
      <c r="O94" s="412" t="s">
        <v>650</v>
      </c>
      <c r="P94" s="413">
        <f>AVERAGEIF(G2:G476,"PF",M2:M476)</f>
        <v>2031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9414.0</v>
      </c>
      <c r="B95" s="420" t="s">
        <v>9820</v>
      </c>
      <c r="C95" s="420">
        <v>2007.0</v>
      </c>
      <c r="D95" s="497">
        <v>39394.0</v>
      </c>
      <c r="E95" s="420" t="s">
        <v>9821</v>
      </c>
      <c r="F95" s="420" t="s">
        <v>9822</v>
      </c>
      <c r="G95" s="420" t="s">
        <v>650</v>
      </c>
      <c r="H95" s="420" t="s">
        <v>158</v>
      </c>
      <c r="I95" s="497">
        <v>41914.0</v>
      </c>
      <c r="J95" s="422">
        <v>10.0</v>
      </c>
      <c r="K95" s="637" t="s">
        <v>238</v>
      </c>
      <c r="L95" s="422" t="s">
        <v>258</v>
      </c>
      <c r="M95" s="316">
        <f t="shared" si="2"/>
        <v>2520</v>
      </c>
      <c r="N95" s="198"/>
      <c r="O95" s="414" t="s">
        <v>547</v>
      </c>
      <c r="P95" s="415">
        <f>AVERAGEIF(G2:G476,"PFN",M2:M476)</f>
        <v>1642.285714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9514.0</v>
      </c>
      <c r="B96" s="426" t="s">
        <v>9823</v>
      </c>
      <c r="C96" s="426">
        <v>2012.0</v>
      </c>
      <c r="D96" s="500">
        <v>41235.0</v>
      </c>
      <c r="E96" s="426" t="s">
        <v>9824</v>
      </c>
      <c r="F96" s="426" t="s">
        <v>660</v>
      </c>
      <c r="G96" s="426" t="s">
        <v>17</v>
      </c>
      <c r="H96" s="426" t="s">
        <v>596</v>
      </c>
      <c r="I96" s="500">
        <v>41914.0</v>
      </c>
      <c r="J96" s="428">
        <v>10.0</v>
      </c>
      <c r="K96" s="635" t="s">
        <v>228</v>
      </c>
      <c r="L96" s="428" t="s">
        <v>258</v>
      </c>
      <c r="M96" s="319">
        <f t="shared" si="2"/>
        <v>679</v>
      </c>
      <c r="N96" s="198"/>
      <c r="O96" s="412" t="s">
        <v>552</v>
      </c>
      <c r="P96" s="413">
        <f>AVERAGEIF(G2:G476,"PF/PTE",M2:M476)</f>
        <v>1531.333333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9614.0</v>
      </c>
      <c r="B97" s="420" t="s">
        <v>9825</v>
      </c>
      <c r="C97" s="420">
        <v>2013.0</v>
      </c>
      <c r="D97" s="497">
        <v>41382.0</v>
      </c>
      <c r="E97" s="420" t="s">
        <v>9826</v>
      </c>
      <c r="F97" s="420" t="s">
        <v>660</v>
      </c>
      <c r="G97" s="420" t="s">
        <v>17</v>
      </c>
      <c r="H97" s="420" t="s">
        <v>66</v>
      </c>
      <c r="I97" s="497">
        <v>41914.0</v>
      </c>
      <c r="J97" s="422">
        <v>10.0</v>
      </c>
      <c r="K97" s="635" t="s">
        <v>228</v>
      </c>
      <c r="L97" s="422" t="s">
        <v>258</v>
      </c>
      <c r="M97" s="316">
        <f t="shared" si="2"/>
        <v>532</v>
      </c>
      <c r="N97" s="198"/>
      <c r="O97" s="414" t="s">
        <v>565</v>
      </c>
      <c r="P97" s="415">
        <f>AVERAGEIF(G2:G476,"Bio",M2:M476)</f>
        <v>929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9714.0</v>
      </c>
      <c r="B98" s="426" t="s">
        <v>9827</v>
      </c>
      <c r="C98" s="426">
        <v>2012.0</v>
      </c>
      <c r="D98" s="500">
        <v>41046.0</v>
      </c>
      <c r="E98" s="426" t="s">
        <v>9828</v>
      </c>
      <c r="F98" s="426" t="s">
        <v>9829</v>
      </c>
      <c r="G98" s="426" t="s">
        <v>17</v>
      </c>
      <c r="H98" s="426" t="s">
        <v>775</v>
      </c>
      <c r="I98" s="500">
        <v>41914.0</v>
      </c>
      <c r="J98" s="428">
        <v>10.0</v>
      </c>
      <c r="K98" s="637" t="s">
        <v>238</v>
      </c>
      <c r="L98" s="428" t="s">
        <v>258</v>
      </c>
      <c r="M98" s="319">
        <f t="shared" si="2"/>
        <v>868</v>
      </c>
      <c r="N98" s="198"/>
      <c r="O98" s="412" t="s">
        <v>569</v>
      </c>
      <c r="P98" s="413">
        <f>AVERAGEIF(G2:G476,"Bio/Org",M2:M476)</f>
        <v>456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9814.0</v>
      </c>
      <c r="B99" s="420" t="s">
        <v>9830</v>
      </c>
      <c r="C99" s="420">
        <v>2012.0</v>
      </c>
      <c r="D99" s="497">
        <v>41061.0</v>
      </c>
      <c r="E99" s="420" t="s">
        <v>9831</v>
      </c>
      <c r="F99" s="420" t="s">
        <v>8841</v>
      </c>
      <c r="G99" s="420" t="s">
        <v>17</v>
      </c>
      <c r="H99" s="420" t="s">
        <v>66</v>
      </c>
      <c r="I99" s="497">
        <v>41914.0</v>
      </c>
      <c r="J99" s="422">
        <v>10.0</v>
      </c>
      <c r="K99" s="635" t="s">
        <v>228</v>
      </c>
      <c r="L99" s="422" t="s">
        <v>256</v>
      </c>
      <c r="M99" s="316">
        <f t="shared" si="2"/>
        <v>853</v>
      </c>
      <c r="N99" s="198"/>
      <c r="O99" s="416" t="s">
        <v>275</v>
      </c>
      <c r="P99" s="417">
        <f>AVERAGE(M2:M494)</f>
        <v>1396.425676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9914.0</v>
      </c>
      <c r="B100" s="426" t="s">
        <v>9832</v>
      </c>
      <c r="C100" s="426">
        <v>2014.0</v>
      </c>
      <c r="D100" s="500">
        <v>41766.0</v>
      </c>
      <c r="E100" s="426" t="s">
        <v>9833</v>
      </c>
      <c r="F100" s="426" t="s">
        <v>660</v>
      </c>
      <c r="G100" s="426" t="s">
        <v>17</v>
      </c>
      <c r="H100" s="426" t="s">
        <v>583</v>
      </c>
      <c r="I100" s="500">
        <v>41915.0</v>
      </c>
      <c r="J100" s="428">
        <v>10.0</v>
      </c>
      <c r="K100" s="635" t="s">
        <v>228</v>
      </c>
      <c r="L100" s="428" t="s">
        <v>258</v>
      </c>
      <c r="M100" s="319">
        <f t="shared" si="2"/>
        <v>149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10014.0</v>
      </c>
      <c r="B101" s="420" t="s">
        <v>9834</v>
      </c>
      <c r="C101" s="420">
        <v>2014.0</v>
      </c>
      <c r="D101" s="497">
        <v>41772.0</v>
      </c>
      <c r="E101" s="420" t="s">
        <v>9835</v>
      </c>
      <c r="F101" s="420" t="s">
        <v>660</v>
      </c>
      <c r="G101" s="420" t="s">
        <v>17</v>
      </c>
      <c r="H101" s="420" t="s">
        <v>596</v>
      </c>
      <c r="I101" s="497">
        <v>41915.0</v>
      </c>
      <c r="J101" s="422">
        <v>10.0</v>
      </c>
      <c r="K101" s="635" t="s">
        <v>228</v>
      </c>
      <c r="L101" s="422" t="s">
        <v>258</v>
      </c>
      <c r="M101" s="316">
        <f t="shared" si="2"/>
        <v>143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10114.0</v>
      </c>
      <c r="B102" s="426" t="s">
        <v>9836</v>
      </c>
      <c r="C102" s="426">
        <v>2014.0</v>
      </c>
      <c r="D102" s="500">
        <v>41772.0</v>
      </c>
      <c r="E102" s="426" t="s">
        <v>9837</v>
      </c>
      <c r="F102" s="426" t="s">
        <v>660</v>
      </c>
      <c r="G102" s="426" t="s">
        <v>17</v>
      </c>
      <c r="H102" s="426" t="s">
        <v>5989</v>
      </c>
      <c r="I102" s="500">
        <v>41915.0</v>
      </c>
      <c r="J102" s="428">
        <v>10.0</v>
      </c>
      <c r="K102" s="635" t="s">
        <v>228</v>
      </c>
      <c r="L102" s="428" t="s">
        <v>258</v>
      </c>
      <c r="M102" s="319">
        <f t="shared" si="2"/>
        <v>143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10214.0</v>
      </c>
      <c r="B103" s="420" t="s">
        <v>9838</v>
      </c>
      <c r="C103" s="420">
        <v>2014.0</v>
      </c>
      <c r="D103" s="497">
        <v>41778.0</v>
      </c>
      <c r="E103" s="420" t="s">
        <v>9839</v>
      </c>
      <c r="F103" s="420" t="s">
        <v>660</v>
      </c>
      <c r="G103" s="420" t="s">
        <v>17</v>
      </c>
      <c r="H103" s="420" t="s">
        <v>158</v>
      </c>
      <c r="I103" s="497">
        <v>41915.0</v>
      </c>
      <c r="J103" s="422">
        <v>10.0</v>
      </c>
      <c r="K103" s="635" t="s">
        <v>228</v>
      </c>
      <c r="L103" s="422" t="s">
        <v>258</v>
      </c>
      <c r="M103" s="316">
        <f t="shared" si="2"/>
        <v>137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10314.0</v>
      </c>
      <c r="B104" s="426" t="s">
        <v>9840</v>
      </c>
      <c r="C104" s="426">
        <v>2014.0</v>
      </c>
      <c r="D104" s="500">
        <v>41786.0</v>
      </c>
      <c r="E104" s="426" t="s">
        <v>9841</v>
      </c>
      <c r="F104" s="426" t="s">
        <v>660</v>
      </c>
      <c r="G104" s="426" t="s">
        <v>17</v>
      </c>
      <c r="H104" s="426" t="s">
        <v>66</v>
      </c>
      <c r="I104" s="500">
        <v>41915.0</v>
      </c>
      <c r="J104" s="428">
        <v>10.0</v>
      </c>
      <c r="K104" s="635" t="s">
        <v>228</v>
      </c>
      <c r="L104" s="428" t="s">
        <v>258</v>
      </c>
      <c r="M104" s="319">
        <f t="shared" si="2"/>
        <v>129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10414.0</v>
      </c>
      <c r="B105" s="420" t="s">
        <v>9842</v>
      </c>
      <c r="C105" s="420">
        <v>2011.0</v>
      </c>
      <c r="D105" s="497">
        <v>40672.0</v>
      </c>
      <c r="E105" s="420" t="s">
        <v>9843</v>
      </c>
      <c r="F105" s="420" t="s">
        <v>563</v>
      </c>
      <c r="G105" s="420" t="s">
        <v>552</v>
      </c>
      <c r="H105" s="420" t="s">
        <v>8160</v>
      </c>
      <c r="I105" s="497">
        <v>41919.0</v>
      </c>
      <c r="J105" s="422">
        <v>10.0</v>
      </c>
      <c r="K105" s="635" t="s">
        <v>228</v>
      </c>
      <c r="L105" s="422" t="s">
        <v>256</v>
      </c>
      <c r="M105" s="316">
        <f t="shared" si="2"/>
        <v>1247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10514.0</v>
      </c>
      <c r="B106" s="426" t="s">
        <v>9844</v>
      </c>
      <c r="C106" s="426">
        <v>2014.0</v>
      </c>
      <c r="D106" s="500">
        <v>41766.0</v>
      </c>
      <c r="E106" s="426" t="s">
        <v>9845</v>
      </c>
      <c r="F106" s="426" t="s">
        <v>660</v>
      </c>
      <c r="G106" s="426" t="s">
        <v>17</v>
      </c>
      <c r="H106" s="426" t="s">
        <v>50</v>
      </c>
      <c r="I106" s="500">
        <v>41920.0</v>
      </c>
      <c r="J106" s="428">
        <v>10.0</v>
      </c>
      <c r="K106" s="635" t="s">
        <v>228</v>
      </c>
      <c r="L106" s="428" t="s">
        <v>258</v>
      </c>
      <c r="M106" s="319">
        <f t="shared" si="2"/>
        <v>154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10614.0</v>
      </c>
      <c r="B107" s="420" t="s">
        <v>9846</v>
      </c>
      <c r="C107" s="420">
        <v>2010.0</v>
      </c>
      <c r="D107" s="497">
        <v>40519.0</v>
      </c>
      <c r="E107" s="420" t="s">
        <v>9847</v>
      </c>
      <c r="F107" s="420" t="s">
        <v>563</v>
      </c>
      <c r="G107" s="420" t="s">
        <v>17</v>
      </c>
      <c r="H107" s="420" t="s">
        <v>26</v>
      </c>
      <c r="I107" s="497">
        <v>41920.0</v>
      </c>
      <c r="J107" s="422">
        <v>10.0</v>
      </c>
      <c r="K107" s="638" t="s">
        <v>234</v>
      </c>
      <c r="L107" s="422" t="s">
        <v>256</v>
      </c>
      <c r="M107" s="316">
        <f t="shared" si="2"/>
        <v>1401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10714.0</v>
      </c>
      <c r="B108" s="426" t="s">
        <v>9848</v>
      </c>
      <c r="C108" s="426">
        <v>2009.0</v>
      </c>
      <c r="D108" s="500">
        <v>40010.0</v>
      </c>
      <c r="E108" s="426" t="s">
        <v>9849</v>
      </c>
      <c r="F108" s="426" t="s">
        <v>963</v>
      </c>
      <c r="G108" s="426" t="s">
        <v>17</v>
      </c>
      <c r="H108" s="426" t="s">
        <v>26</v>
      </c>
      <c r="I108" s="500">
        <v>41925.0</v>
      </c>
      <c r="J108" s="428">
        <v>10.0</v>
      </c>
      <c r="K108" s="635" t="s">
        <v>228</v>
      </c>
      <c r="L108" s="428" t="s">
        <v>258</v>
      </c>
      <c r="M108" s="319">
        <f t="shared" si="2"/>
        <v>1915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10814.0</v>
      </c>
      <c r="B109" s="420" t="s">
        <v>9850</v>
      </c>
      <c r="C109" s="420">
        <v>2013.0</v>
      </c>
      <c r="D109" s="497">
        <v>41509.0</v>
      </c>
      <c r="E109" s="420" t="s">
        <v>9851</v>
      </c>
      <c r="F109" s="623" t="s">
        <v>2614</v>
      </c>
      <c r="G109" s="420" t="s">
        <v>569</v>
      </c>
      <c r="H109" s="420" t="s">
        <v>9307</v>
      </c>
      <c r="I109" s="497">
        <v>41925.0</v>
      </c>
      <c r="J109" s="422">
        <v>10.0</v>
      </c>
      <c r="K109" s="636" t="s">
        <v>244</v>
      </c>
      <c r="L109" s="422" t="s">
        <v>260</v>
      </c>
      <c r="M109" s="316">
        <f t="shared" si="2"/>
        <v>416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10914.0</v>
      </c>
      <c r="B110" s="426" t="s">
        <v>9852</v>
      </c>
      <c r="C110" s="426">
        <v>2013.0</v>
      </c>
      <c r="D110" s="500">
        <v>41569.0</v>
      </c>
      <c r="E110" s="426" t="s">
        <v>9853</v>
      </c>
      <c r="F110" s="622" t="s">
        <v>5332</v>
      </c>
      <c r="G110" s="426" t="s">
        <v>569</v>
      </c>
      <c r="H110" s="426" t="s">
        <v>8710</v>
      </c>
      <c r="I110" s="500">
        <v>41926.0</v>
      </c>
      <c r="J110" s="428">
        <v>10.0</v>
      </c>
      <c r="K110" s="636" t="s">
        <v>850</v>
      </c>
      <c r="L110" s="428" t="s">
        <v>260</v>
      </c>
      <c r="M110" s="319">
        <f t="shared" si="2"/>
        <v>357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11014.0</v>
      </c>
      <c r="B111" s="420" t="s">
        <v>9854</v>
      </c>
      <c r="C111" s="420">
        <v>2013.0</v>
      </c>
      <c r="D111" s="497">
        <v>41556.0</v>
      </c>
      <c r="E111" s="420" t="s">
        <v>9855</v>
      </c>
      <c r="F111" s="623" t="s">
        <v>5332</v>
      </c>
      <c r="G111" s="420" t="s">
        <v>569</v>
      </c>
      <c r="H111" s="420" t="s">
        <v>9856</v>
      </c>
      <c r="I111" s="497">
        <v>41926.0</v>
      </c>
      <c r="J111" s="422">
        <v>10.0</v>
      </c>
      <c r="K111" s="636" t="s">
        <v>850</v>
      </c>
      <c r="L111" s="422" t="s">
        <v>260</v>
      </c>
      <c r="M111" s="316">
        <f t="shared" si="2"/>
        <v>370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11114.0</v>
      </c>
      <c r="B112" s="426" t="s">
        <v>9857</v>
      </c>
      <c r="C112" s="426">
        <v>2009.0</v>
      </c>
      <c r="D112" s="500">
        <v>40010.0</v>
      </c>
      <c r="E112" s="426" t="s">
        <v>9858</v>
      </c>
      <c r="F112" s="426" t="s">
        <v>9707</v>
      </c>
      <c r="G112" s="426" t="s">
        <v>17</v>
      </c>
      <c r="H112" s="426" t="s">
        <v>5171</v>
      </c>
      <c r="I112" s="500">
        <v>41926.0</v>
      </c>
      <c r="J112" s="428">
        <v>10.0</v>
      </c>
      <c r="K112" s="637" t="s">
        <v>238</v>
      </c>
      <c r="L112" s="428" t="s">
        <v>258</v>
      </c>
      <c r="M112" s="319">
        <f t="shared" si="2"/>
        <v>1916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11214.0</v>
      </c>
      <c r="B113" s="420" t="s">
        <v>9859</v>
      </c>
      <c r="C113" s="420">
        <v>2013.0</v>
      </c>
      <c r="D113" s="497">
        <v>41339.0</v>
      </c>
      <c r="E113" s="420" t="s">
        <v>9860</v>
      </c>
      <c r="F113" s="623" t="s">
        <v>5332</v>
      </c>
      <c r="G113" s="420" t="s">
        <v>569</v>
      </c>
      <c r="H113" s="420" t="s">
        <v>8877</v>
      </c>
      <c r="I113" s="497">
        <v>41926.0</v>
      </c>
      <c r="J113" s="422">
        <v>10.0</v>
      </c>
      <c r="K113" s="636" t="s">
        <v>850</v>
      </c>
      <c r="L113" s="422" t="s">
        <v>260</v>
      </c>
      <c r="M113" s="316">
        <f t="shared" si="2"/>
        <v>587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11314.0</v>
      </c>
      <c r="B114" s="426" t="s">
        <v>9861</v>
      </c>
      <c r="C114" s="426">
        <v>2014.0</v>
      </c>
      <c r="D114" s="500">
        <v>41772.0</v>
      </c>
      <c r="E114" s="426" t="s">
        <v>9862</v>
      </c>
      <c r="F114" s="426" t="s">
        <v>660</v>
      </c>
      <c r="G114" s="426" t="s">
        <v>17</v>
      </c>
      <c r="H114" s="426" t="s">
        <v>1749</v>
      </c>
      <c r="I114" s="500">
        <v>41928.0</v>
      </c>
      <c r="J114" s="428">
        <v>10.0</v>
      </c>
      <c r="K114" s="635" t="s">
        <v>228</v>
      </c>
      <c r="L114" s="428" t="s">
        <v>258</v>
      </c>
      <c r="M114" s="319">
        <f t="shared" si="2"/>
        <v>156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11414.0</v>
      </c>
      <c r="B115" s="420" t="s">
        <v>9863</v>
      </c>
      <c r="C115" s="420">
        <v>2013.0</v>
      </c>
      <c r="D115" s="497">
        <v>41323.0</v>
      </c>
      <c r="E115" s="420" t="s">
        <v>9864</v>
      </c>
      <c r="F115" s="420" t="s">
        <v>9829</v>
      </c>
      <c r="G115" s="420" t="s">
        <v>17</v>
      </c>
      <c r="H115" s="420" t="s">
        <v>130</v>
      </c>
      <c r="I115" s="497">
        <v>41928.0</v>
      </c>
      <c r="J115" s="422">
        <v>10.0</v>
      </c>
      <c r="K115" s="637" t="s">
        <v>238</v>
      </c>
      <c r="L115" s="422" t="s">
        <v>258</v>
      </c>
      <c r="M115" s="316">
        <f t="shared" si="2"/>
        <v>605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11514.0</v>
      </c>
      <c r="B116" s="426" t="s">
        <v>9865</v>
      </c>
      <c r="C116" s="426">
        <v>2010.0</v>
      </c>
      <c r="D116" s="500">
        <v>40193.0</v>
      </c>
      <c r="E116" s="426" t="s">
        <v>9866</v>
      </c>
      <c r="F116" s="426" t="s">
        <v>1255</v>
      </c>
      <c r="G116" s="426" t="s">
        <v>552</v>
      </c>
      <c r="H116" s="426" t="s">
        <v>1178</v>
      </c>
      <c r="I116" s="500">
        <v>41928.0</v>
      </c>
      <c r="J116" s="428">
        <v>10.0</v>
      </c>
      <c r="K116" s="637" t="s">
        <v>238</v>
      </c>
      <c r="L116" s="428" t="s">
        <v>258</v>
      </c>
      <c r="M116" s="319">
        <f t="shared" si="2"/>
        <v>1735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11614.0</v>
      </c>
      <c r="B117" s="420" t="s">
        <v>9867</v>
      </c>
      <c r="C117" s="420">
        <v>2014.0</v>
      </c>
      <c r="D117" s="497">
        <v>41772.0</v>
      </c>
      <c r="E117" s="420" t="s">
        <v>9868</v>
      </c>
      <c r="F117" s="420" t="s">
        <v>660</v>
      </c>
      <c r="G117" s="420" t="s">
        <v>17</v>
      </c>
      <c r="H117" s="420" t="s">
        <v>5016</v>
      </c>
      <c r="I117" s="497">
        <v>41933.0</v>
      </c>
      <c r="J117" s="422">
        <v>10.0</v>
      </c>
      <c r="K117" s="635" t="s">
        <v>228</v>
      </c>
      <c r="L117" s="422" t="s">
        <v>258</v>
      </c>
      <c r="M117" s="316">
        <f t="shared" si="2"/>
        <v>161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11714.0</v>
      </c>
      <c r="B118" s="426" t="s">
        <v>9869</v>
      </c>
      <c r="C118" s="426">
        <v>2014.0</v>
      </c>
      <c r="D118" s="500">
        <v>41788.0</v>
      </c>
      <c r="E118" s="426" t="s">
        <v>9870</v>
      </c>
      <c r="F118" s="426" t="s">
        <v>660</v>
      </c>
      <c r="G118" s="426" t="s">
        <v>17</v>
      </c>
      <c r="H118" s="426" t="s">
        <v>8160</v>
      </c>
      <c r="I118" s="500">
        <v>41933.0</v>
      </c>
      <c r="J118" s="428">
        <v>10.0</v>
      </c>
      <c r="K118" s="635" t="s">
        <v>228</v>
      </c>
      <c r="L118" s="428" t="s">
        <v>258</v>
      </c>
      <c r="M118" s="319">
        <f t="shared" si="2"/>
        <v>145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11814.0</v>
      </c>
      <c r="B119" s="420" t="s">
        <v>9871</v>
      </c>
      <c r="C119" s="420">
        <v>2010.0</v>
      </c>
      <c r="D119" s="497">
        <v>40210.0</v>
      </c>
      <c r="E119" s="420" t="s">
        <v>9872</v>
      </c>
      <c r="F119" s="420" t="s">
        <v>9873</v>
      </c>
      <c r="G119" s="420" t="s">
        <v>17</v>
      </c>
      <c r="H119" s="420" t="s">
        <v>596</v>
      </c>
      <c r="I119" s="497">
        <v>41950.0</v>
      </c>
      <c r="J119" s="422">
        <v>11.0</v>
      </c>
      <c r="K119" s="637" t="s">
        <v>238</v>
      </c>
      <c r="L119" s="422" t="s">
        <v>258</v>
      </c>
      <c r="M119" s="316">
        <f t="shared" si="2"/>
        <v>1740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11914.0</v>
      </c>
      <c r="B120" s="426" t="s">
        <v>9874</v>
      </c>
      <c r="C120" s="426">
        <v>2010.0</v>
      </c>
      <c r="D120" s="500">
        <v>40210.0</v>
      </c>
      <c r="E120" s="426" t="s">
        <v>9875</v>
      </c>
      <c r="F120" s="426" t="s">
        <v>9873</v>
      </c>
      <c r="G120" s="426" t="s">
        <v>17</v>
      </c>
      <c r="H120" s="426" t="s">
        <v>1749</v>
      </c>
      <c r="I120" s="500">
        <v>41953.0</v>
      </c>
      <c r="J120" s="428">
        <v>11.0</v>
      </c>
      <c r="K120" s="637" t="s">
        <v>238</v>
      </c>
      <c r="L120" s="428" t="s">
        <v>258</v>
      </c>
      <c r="M120" s="319">
        <f t="shared" si="2"/>
        <v>1743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12014.0</v>
      </c>
      <c r="B121" s="420" t="s">
        <v>9876</v>
      </c>
      <c r="C121" s="420">
        <v>2010.0</v>
      </c>
      <c r="D121" s="497">
        <v>40252.0</v>
      </c>
      <c r="E121" s="420" t="s">
        <v>9877</v>
      </c>
      <c r="F121" s="420" t="s">
        <v>1203</v>
      </c>
      <c r="G121" s="420" t="s">
        <v>552</v>
      </c>
      <c r="H121" s="420" t="s">
        <v>1501</v>
      </c>
      <c r="I121" s="497">
        <v>41953.0</v>
      </c>
      <c r="J121" s="422">
        <v>11.0</v>
      </c>
      <c r="K121" s="637" t="s">
        <v>238</v>
      </c>
      <c r="L121" s="422" t="s">
        <v>256</v>
      </c>
      <c r="M121" s="316">
        <f t="shared" si="2"/>
        <v>1701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12114.0</v>
      </c>
      <c r="B122" s="426" t="s">
        <v>9878</v>
      </c>
      <c r="C122" s="426">
        <v>2010.0</v>
      </c>
      <c r="D122" s="500">
        <v>40455.0</v>
      </c>
      <c r="E122" s="426" t="s">
        <v>9879</v>
      </c>
      <c r="F122" s="426" t="s">
        <v>9730</v>
      </c>
      <c r="G122" s="426" t="s">
        <v>552</v>
      </c>
      <c r="H122" s="426" t="s">
        <v>1907</v>
      </c>
      <c r="I122" s="500">
        <v>41954.0</v>
      </c>
      <c r="J122" s="428">
        <v>11.0</v>
      </c>
      <c r="K122" s="637" t="s">
        <v>238</v>
      </c>
      <c r="L122" s="428" t="s">
        <v>256</v>
      </c>
      <c r="M122" s="319">
        <f t="shared" si="2"/>
        <v>1499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12214.0</v>
      </c>
      <c r="B123" s="420" t="s">
        <v>9880</v>
      </c>
      <c r="C123" s="420">
        <v>2010.0</v>
      </c>
      <c r="D123" s="497">
        <v>40268.0</v>
      </c>
      <c r="E123" s="420" t="s">
        <v>9881</v>
      </c>
      <c r="F123" s="420" t="s">
        <v>9873</v>
      </c>
      <c r="G123" s="420" t="s">
        <v>17</v>
      </c>
      <c r="H123" s="420" t="s">
        <v>740</v>
      </c>
      <c r="I123" s="497">
        <v>41954.0</v>
      </c>
      <c r="J123" s="422">
        <v>11.0</v>
      </c>
      <c r="K123" s="637" t="s">
        <v>238</v>
      </c>
      <c r="L123" s="422" t="s">
        <v>258</v>
      </c>
      <c r="M123" s="316">
        <f t="shared" si="2"/>
        <v>1686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12314.0</v>
      </c>
      <c r="B124" s="426" t="s">
        <v>9882</v>
      </c>
      <c r="C124" s="426">
        <v>2010.0</v>
      </c>
      <c r="D124" s="500">
        <v>40540.0</v>
      </c>
      <c r="E124" s="426" t="s">
        <v>9883</v>
      </c>
      <c r="F124" s="426" t="s">
        <v>9873</v>
      </c>
      <c r="G124" s="426" t="s">
        <v>17</v>
      </c>
      <c r="H124" s="426" t="s">
        <v>130</v>
      </c>
      <c r="I124" s="500">
        <v>41955.0</v>
      </c>
      <c r="J124" s="428">
        <v>11.0</v>
      </c>
      <c r="K124" s="637" t="s">
        <v>238</v>
      </c>
      <c r="L124" s="428" t="s">
        <v>258</v>
      </c>
      <c r="M124" s="319">
        <f t="shared" si="2"/>
        <v>1415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12414.0</v>
      </c>
      <c r="B125" s="420" t="s">
        <v>9884</v>
      </c>
      <c r="C125" s="420">
        <v>2011.0</v>
      </c>
      <c r="D125" s="497">
        <v>40729.0</v>
      </c>
      <c r="E125" s="420" t="s">
        <v>9885</v>
      </c>
      <c r="F125" s="420" t="s">
        <v>8841</v>
      </c>
      <c r="G125" s="420" t="s">
        <v>17</v>
      </c>
      <c r="H125" s="420" t="s">
        <v>1178</v>
      </c>
      <c r="I125" s="497">
        <v>41955.0</v>
      </c>
      <c r="J125" s="422">
        <v>11.0</v>
      </c>
      <c r="K125" s="635" t="s">
        <v>228</v>
      </c>
      <c r="L125" s="422" t="s">
        <v>256</v>
      </c>
      <c r="M125" s="316">
        <f t="shared" si="2"/>
        <v>1226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12514.0</v>
      </c>
      <c r="B126" s="426" t="s">
        <v>9886</v>
      </c>
      <c r="C126" s="426">
        <v>2011.0</v>
      </c>
      <c r="D126" s="500">
        <v>40766.0</v>
      </c>
      <c r="E126" s="426" t="s">
        <v>9887</v>
      </c>
      <c r="F126" s="426" t="s">
        <v>9873</v>
      </c>
      <c r="G126" s="426" t="s">
        <v>17</v>
      </c>
      <c r="H126" s="426" t="s">
        <v>5016</v>
      </c>
      <c r="I126" s="500">
        <v>41960.0</v>
      </c>
      <c r="J126" s="428">
        <v>11.0</v>
      </c>
      <c r="K126" s="637" t="s">
        <v>238</v>
      </c>
      <c r="L126" s="428" t="s">
        <v>258</v>
      </c>
      <c r="M126" s="319">
        <f t="shared" si="2"/>
        <v>1194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12614.0</v>
      </c>
      <c r="B127" s="420" t="s">
        <v>9888</v>
      </c>
      <c r="C127" s="420">
        <v>2010.0</v>
      </c>
      <c r="D127" s="497">
        <v>40498.0</v>
      </c>
      <c r="E127" s="420" t="s">
        <v>9889</v>
      </c>
      <c r="F127" s="420" t="s">
        <v>9873</v>
      </c>
      <c r="G127" s="420" t="s">
        <v>17</v>
      </c>
      <c r="H127" s="420" t="s">
        <v>1178</v>
      </c>
      <c r="I127" s="497">
        <v>41960.0</v>
      </c>
      <c r="J127" s="422">
        <v>11.0</v>
      </c>
      <c r="K127" s="637" t="s">
        <v>238</v>
      </c>
      <c r="L127" s="422" t="s">
        <v>258</v>
      </c>
      <c r="M127" s="316">
        <f t="shared" si="2"/>
        <v>1462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12714.0</v>
      </c>
      <c r="B128" s="426" t="s">
        <v>9890</v>
      </c>
      <c r="C128" s="426">
        <v>2014.0</v>
      </c>
      <c r="D128" s="500">
        <v>41821.0</v>
      </c>
      <c r="E128" s="426" t="s">
        <v>9891</v>
      </c>
      <c r="F128" s="426" t="s">
        <v>660</v>
      </c>
      <c r="G128" s="426" t="s">
        <v>17</v>
      </c>
      <c r="H128" s="426" t="s">
        <v>740</v>
      </c>
      <c r="I128" s="500">
        <v>41962.0</v>
      </c>
      <c r="J128" s="428">
        <v>11.0</v>
      </c>
      <c r="K128" s="635" t="s">
        <v>228</v>
      </c>
      <c r="L128" s="428" t="s">
        <v>258</v>
      </c>
      <c r="M128" s="319">
        <f t="shared" si="2"/>
        <v>141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12814.0</v>
      </c>
      <c r="B129" s="420" t="s">
        <v>9892</v>
      </c>
      <c r="C129" s="420">
        <v>2012.0</v>
      </c>
      <c r="D129" s="497">
        <v>41008.0</v>
      </c>
      <c r="E129" s="420" t="s">
        <v>9893</v>
      </c>
      <c r="F129" s="420" t="s">
        <v>9707</v>
      </c>
      <c r="G129" s="420" t="s">
        <v>17</v>
      </c>
      <c r="H129" s="420" t="s">
        <v>56</v>
      </c>
      <c r="I129" s="497">
        <v>41964.0</v>
      </c>
      <c r="J129" s="422">
        <v>11.0</v>
      </c>
      <c r="K129" s="637" t="s">
        <v>238</v>
      </c>
      <c r="L129" s="422" t="s">
        <v>258</v>
      </c>
      <c r="M129" s="316">
        <f t="shared" si="2"/>
        <v>956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12914.0</v>
      </c>
      <c r="B130" s="426" t="s">
        <v>9894</v>
      </c>
      <c r="C130" s="426">
        <v>2010.0</v>
      </c>
      <c r="D130" s="500">
        <v>40255.0</v>
      </c>
      <c r="E130" s="426" t="s">
        <v>9895</v>
      </c>
      <c r="F130" s="426" t="s">
        <v>1136</v>
      </c>
      <c r="G130" s="426" t="s">
        <v>552</v>
      </c>
      <c r="H130" s="426" t="s">
        <v>9896</v>
      </c>
      <c r="I130" s="500">
        <v>41964.0</v>
      </c>
      <c r="J130" s="428">
        <v>11.0</v>
      </c>
      <c r="K130" s="637" t="s">
        <v>238</v>
      </c>
      <c r="L130" s="428" t="s">
        <v>260</v>
      </c>
      <c r="M130" s="319">
        <f t="shared" si="2"/>
        <v>1709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13014.0</v>
      </c>
      <c r="B131" s="420" t="s">
        <v>9897</v>
      </c>
      <c r="C131" s="420">
        <v>2010.0</v>
      </c>
      <c r="D131" s="497">
        <v>40326.0</v>
      </c>
      <c r="E131" s="420" t="s">
        <v>9898</v>
      </c>
      <c r="F131" s="420" t="s">
        <v>2311</v>
      </c>
      <c r="G131" s="420" t="s">
        <v>17</v>
      </c>
      <c r="H131" s="420" t="s">
        <v>7907</v>
      </c>
      <c r="I131" s="497">
        <v>41967.0</v>
      </c>
      <c r="J131" s="422">
        <v>11.0</v>
      </c>
      <c r="K131" s="635" t="s">
        <v>228</v>
      </c>
      <c r="L131" s="422" t="s">
        <v>256</v>
      </c>
      <c r="M131" s="316">
        <f t="shared" si="2"/>
        <v>1641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13114.0</v>
      </c>
      <c r="B132" s="426" t="s">
        <v>9899</v>
      </c>
      <c r="C132" s="426">
        <v>2011.0</v>
      </c>
      <c r="D132" s="500">
        <v>40709.0</v>
      </c>
      <c r="E132" s="426" t="s">
        <v>9900</v>
      </c>
      <c r="F132" s="426" t="s">
        <v>963</v>
      </c>
      <c r="G132" s="426" t="s">
        <v>552</v>
      </c>
      <c r="H132" s="426" t="s">
        <v>130</v>
      </c>
      <c r="I132" s="500">
        <v>41969.0</v>
      </c>
      <c r="J132" s="428">
        <v>11.0</v>
      </c>
      <c r="K132" s="637" t="s">
        <v>238</v>
      </c>
      <c r="L132" s="428" t="s">
        <v>258</v>
      </c>
      <c r="M132" s="319">
        <f t="shared" si="2"/>
        <v>1260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13214.0</v>
      </c>
      <c r="B133" s="420" t="s">
        <v>9901</v>
      </c>
      <c r="C133" s="420">
        <v>2009.0</v>
      </c>
      <c r="D133" s="497">
        <v>40163.0</v>
      </c>
      <c r="E133" s="420" t="s">
        <v>9902</v>
      </c>
      <c r="F133" s="420" t="s">
        <v>44</v>
      </c>
      <c r="G133" s="420" t="s">
        <v>17</v>
      </c>
      <c r="H133" s="420" t="s">
        <v>1749</v>
      </c>
      <c r="I133" s="497">
        <v>41970.0</v>
      </c>
      <c r="J133" s="422">
        <v>11.0</v>
      </c>
      <c r="K133" s="635" t="s">
        <v>228</v>
      </c>
      <c r="L133" s="422" t="s">
        <v>258</v>
      </c>
      <c r="M133" s="316">
        <f t="shared" si="2"/>
        <v>1807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13314.0</v>
      </c>
      <c r="B134" s="426" t="s">
        <v>9903</v>
      </c>
      <c r="C134" s="426">
        <v>2009.0</v>
      </c>
      <c r="D134" s="500">
        <v>40109.0</v>
      </c>
      <c r="E134" s="426" t="s">
        <v>9904</v>
      </c>
      <c r="F134" s="426" t="s">
        <v>719</v>
      </c>
      <c r="G134" s="426" t="s">
        <v>17</v>
      </c>
      <c r="H134" s="426" t="s">
        <v>596</v>
      </c>
      <c r="I134" s="500">
        <v>41975.0</v>
      </c>
      <c r="J134" s="428">
        <v>12.0</v>
      </c>
      <c r="K134" s="637" t="s">
        <v>238</v>
      </c>
      <c r="L134" s="428" t="s">
        <v>256</v>
      </c>
      <c r="M134" s="319">
        <f t="shared" si="2"/>
        <v>1866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13414.0</v>
      </c>
      <c r="B135" s="420" t="s">
        <v>9905</v>
      </c>
      <c r="C135" s="420">
        <v>2009.0</v>
      </c>
      <c r="D135" s="497">
        <v>40116.0</v>
      </c>
      <c r="E135" s="420" t="s">
        <v>9906</v>
      </c>
      <c r="F135" s="420" t="s">
        <v>1170</v>
      </c>
      <c r="G135" s="420" t="s">
        <v>17</v>
      </c>
      <c r="H135" s="420" t="s">
        <v>1501</v>
      </c>
      <c r="I135" s="497">
        <v>41976.0</v>
      </c>
      <c r="J135" s="422">
        <v>12.0</v>
      </c>
      <c r="K135" s="638" t="s">
        <v>234</v>
      </c>
      <c r="L135" s="422" t="s">
        <v>256</v>
      </c>
      <c r="M135" s="316">
        <f t="shared" si="2"/>
        <v>1860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13514.0</v>
      </c>
      <c r="B136" s="426" t="s">
        <v>9907</v>
      </c>
      <c r="C136" s="426">
        <v>2012.0</v>
      </c>
      <c r="D136" s="500">
        <v>41047.0</v>
      </c>
      <c r="E136" s="426" t="s">
        <v>9908</v>
      </c>
      <c r="F136" s="426" t="s">
        <v>9909</v>
      </c>
      <c r="G136" s="426" t="s">
        <v>565</v>
      </c>
      <c r="H136" s="426" t="s">
        <v>2539</v>
      </c>
      <c r="I136" s="500">
        <v>41976.0</v>
      </c>
      <c r="J136" s="428">
        <v>12.0</v>
      </c>
      <c r="K136" s="635" t="s">
        <v>228</v>
      </c>
      <c r="L136" s="428" t="s">
        <v>260</v>
      </c>
      <c r="M136" s="319">
        <f t="shared" si="2"/>
        <v>929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13614.0</v>
      </c>
      <c r="B137" s="420" t="s">
        <v>9910</v>
      </c>
      <c r="C137" s="420">
        <v>2012.0</v>
      </c>
      <c r="D137" s="497">
        <v>41095.0</v>
      </c>
      <c r="E137" s="420" t="s">
        <v>9911</v>
      </c>
      <c r="F137" s="420" t="s">
        <v>963</v>
      </c>
      <c r="G137" s="420" t="s">
        <v>552</v>
      </c>
      <c r="H137" s="420" t="s">
        <v>130</v>
      </c>
      <c r="I137" s="497">
        <v>41977.0</v>
      </c>
      <c r="J137" s="422">
        <v>12.0</v>
      </c>
      <c r="K137" s="637" t="s">
        <v>238</v>
      </c>
      <c r="L137" s="422" t="s">
        <v>258</v>
      </c>
      <c r="M137" s="316">
        <f t="shared" si="2"/>
        <v>882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13714.0</v>
      </c>
      <c r="B138" s="426" t="s">
        <v>9912</v>
      </c>
      <c r="C138" s="426">
        <v>2012.0</v>
      </c>
      <c r="D138" s="500">
        <v>41095.0</v>
      </c>
      <c r="E138" s="426" t="s">
        <v>9913</v>
      </c>
      <c r="F138" s="426" t="s">
        <v>963</v>
      </c>
      <c r="G138" s="426" t="s">
        <v>552</v>
      </c>
      <c r="H138" s="426" t="s">
        <v>130</v>
      </c>
      <c r="I138" s="500">
        <v>41977.0</v>
      </c>
      <c r="J138" s="428">
        <v>12.0</v>
      </c>
      <c r="K138" s="637" t="s">
        <v>238</v>
      </c>
      <c r="L138" s="428" t="s">
        <v>258</v>
      </c>
      <c r="M138" s="319">
        <f t="shared" si="2"/>
        <v>882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13814.0</v>
      </c>
      <c r="B139" s="420" t="s">
        <v>9914</v>
      </c>
      <c r="C139" s="420">
        <v>2008.0</v>
      </c>
      <c r="D139" s="497">
        <v>39752.0</v>
      </c>
      <c r="E139" s="420" t="s">
        <v>9915</v>
      </c>
      <c r="F139" s="420" t="s">
        <v>947</v>
      </c>
      <c r="G139" s="420" t="s">
        <v>552</v>
      </c>
      <c r="H139" s="420" t="s">
        <v>50</v>
      </c>
      <c r="I139" s="497">
        <v>41977.0</v>
      </c>
      <c r="J139" s="422">
        <v>12.0</v>
      </c>
      <c r="K139" s="637" t="s">
        <v>238</v>
      </c>
      <c r="L139" s="422" t="s">
        <v>258</v>
      </c>
      <c r="M139" s="316">
        <f t="shared" si="2"/>
        <v>2225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425">
        <v>13914.0</v>
      </c>
      <c r="B140" s="426" t="s">
        <v>9916</v>
      </c>
      <c r="C140" s="426">
        <v>2009.0</v>
      </c>
      <c r="D140" s="500">
        <v>40163.0</v>
      </c>
      <c r="E140" s="426" t="s">
        <v>9917</v>
      </c>
      <c r="F140" s="426" t="s">
        <v>44</v>
      </c>
      <c r="G140" s="426" t="s">
        <v>17</v>
      </c>
      <c r="H140" s="426" t="s">
        <v>596</v>
      </c>
      <c r="I140" s="500">
        <v>41981.0</v>
      </c>
      <c r="J140" s="428">
        <v>12.0</v>
      </c>
      <c r="K140" s="635" t="s">
        <v>228</v>
      </c>
      <c r="L140" s="428" t="s">
        <v>258</v>
      </c>
      <c r="M140" s="319">
        <f t="shared" si="2"/>
        <v>1818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419">
        <v>14014.0</v>
      </c>
      <c r="B141" s="420" t="s">
        <v>9918</v>
      </c>
      <c r="C141" s="420">
        <v>2011.0</v>
      </c>
      <c r="D141" s="497">
        <v>40716.0</v>
      </c>
      <c r="E141" s="420" t="s">
        <v>9919</v>
      </c>
      <c r="F141" s="420" t="s">
        <v>44</v>
      </c>
      <c r="G141" s="420" t="s">
        <v>17</v>
      </c>
      <c r="H141" s="420" t="s">
        <v>583</v>
      </c>
      <c r="I141" s="497">
        <v>41981.0</v>
      </c>
      <c r="J141" s="422">
        <v>12.0</v>
      </c>
      <c r="K141" s="635" t="s">
        <v>228</v>
      </c>
      <c r="L141" s="422" t="s">
        <v>258</v>
      </c>
      <c r="M141" s="316">
        <f t="shared" si="2"/>
        <v>1265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425">
        <v>14114.0</v>
      </c>
      <c r="B142" s="426" t="s">
        <v>9920</v>
      </c>
      <c r="C142" s="426">
        <v>2010.0</v>
      </c>
      <c r="D142" s="500">
        <v>40301.0</v>
      </c>
      <c r="E142" s="426" t="s">
        <v>9921</v>
      </c>
      <c r="F142" s="426" t="s">
        <v>1232</v>
      </c>
      <c r="G142" s="426" t="s">
        <v>17</v>
      </c>
      <c r="H142" s="426" t="s">
        <v>1178</v>
      </c>
      <c r="I142" s="500">
        <v>41981.0</v>
      </c>
      <c r="J142" s="428">
        <v>12.0</v>
      </c>
      <c r="K142" s="635" t="s">
        <v>228</v>
      </c>
      <c r="L142" s="428" t="s">
        <v>256</v>
      </c>
      <c r="M142" s="319">
        <f t="shared" si="2"/>
        <v>1680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419">
        <v>14214.0</v>
      </c>
      <c r="B143" s="420" t="s">
        <v>9922</v>
      </c>
      <c r="C143" s="420">
        <v>2011.0</v>
      </c>
      <c r="D143" s="497">
        <v>40612.0</v>
      </c>
      <c r="E143" s="420" t="s">
        <v>9923</v>
      </c>
      <c r="F143" s="420" t="s">
        <v>947</v>
      </c>
      <c r="G143" s="420" t="s">
        <v>17</v>
      </c>
      <c r="H143" s="420" t="s">
        <v>5732</v>
      </c>
      <c r="I143" s="497">
        <v>41983.0</v>
      </c>
      <c r="J143" s="422">
        <v>12.0</v>
      </c>
      <c r="K143" s="637" t="s">
        <v>238</v>
      </c>
      <c r="L143" s="422" t="s">
        <v>258</v>
      </c>
      <c r="M143" s="316">
        <f t="shared" si="2"/>
        <v>1371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425">
        <v>14314.0</v>
      </c>
      <c r="B144" s="426" t="s">
        <v>9924</v>
      </c>
      <c r="C144" s="426">
        <v>2008.0</v>
      </c>
      <c r="D144" s="500">
        <v>39633.0</v>
      </c>
      <c r="E144" s="426" t="s">
        <v>9925</v>
      </c>
      <c r="F144" s="426" t="s">
        <v>9795</v>
      </c>
      <c r="G144" s="426" t="s">
        <v>547</v>
      </c>
      <c r="H144" s="426" t="s">
        <v>2964</v>
      </c>
      <c r="I144" s="500">
        <v>41983.0</v>
      </c>
      <c r="J144" s="428">
        <v>12.0</v>
      </c>
      <c r="K144" s="637" t="s">
        <v>238</v>
      </c>
      <c r="L144" s="428" t="s">
        <v>256</v>
      </c>
      <c r="M144" s="319">
        <f t="shared" si="2"/>
        <v>2350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419">
        <v>14414.0</v>
      </c>
      <c r="B145" s="420" t="s">
        <v>9926</v>
      </c>
      <c r="C145" s="420">
        <v>2008.0</v>
      </c>
      <c r="D145" s="497">
        <v>39633.0</v>
      </c>
      <c r="E145" s="420" t="s">
        <v>9927</v>
      </c>
      <c r="F145" s="420" t="s">
        <v>9795</v>
      </c>
      <c r="G145" s="420" t="s">
        <v>547</v>
      </c>
      <c r="H145" s="420" t="s">
        <v>2964</v>
      </c>
      <c r="I145" s="497">
        <v>41983.0</v>
      </c>
      <c r="J145" s="422">
        <v>12.0</v>
      </c>
      <c r="K145" s="637" t="s">
        <v>238</v>
      </c>
      <c r="L145" s="422" t="s">
        <v>256</v>
      </c>
      <c r="M145" s="316">
        <f t="shared" si="2"/>
        <v>2350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425">
        <v>14514.0</v>
      </c>
      <c r="B146" s="426" t="s">
        <v>9928</v>
      </c>
      <c r="C146" s="426">
        <v>2010.0</v>
      </c>
      <c r="D146" s="500">
        <v>40336.0</v>
      </c>
      <c r="E146" s="426" t="s">
        <v>9929</v>
      </c>
      <c r="F146" s="426" t="s">
        <v>9730</v>
      </c>
      <c r="G146" s="426" t="s">
        <v>552</v>
      </c>
      <c r="H146" s="426" t="s">
        <v>1907</v>
      </c>
      <c r="I146" s="500">
        <v>41984.0</v>
      </c>
      <c r="J146" s="428">
        <v>12.0</v>
      </c>
      <c r="K146" s="637" t="s">
        <v>238</v>
      </c>
      <c r="L146" s="428" t="s">
        <v>256</v>
      </c>
      <c r="M146" s="319">
        <f t="shared" si="2"/>
        <v>1648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419">
        <v>14614.0</v>
      </c>
      <c r="B147" s="420" t="s">
        <v>9930</v>
      </c>
      <c r="C147" s="420">
        <v>2010.0</v>
      </c>
      <c r="D147" s="497">
        <v>40200.0</v>
      </c>
      <c r="E147" s="420" t="s">
        <v>9931</v>
      </c>
      <c r="F147" s="420" t="s">
        <v>719</v>
      </c>
      <c r="G147" s="420" t="s">
        <v>17</v>
      </c>
      <c r="H147" s="420" t="s">
        <v>5016</v>
      </c>
      <c r="I147" s="497">
        <v>41984.0</v>
      </c>
      <c r="J147" s="422">
        <v>12.0</v>
      </c>
      <c r="K147" s="638" t="s">
        <v>234</v>
      </c>
      <c r="L147" s="422" t="s">
        <v>256</v>
      </c>
      <c r="M147" s="316">
        <f t="shared" si="2"/>
        <v>1784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425">
        <v>14714.0</v>
      </c>
      <c r="B148" s="426" t="s">
        <v>9932</v>
      </c>
      <c r="C148" s="426">
        <v>2011.0</v>
      </c>
      <c r="D148" s="500">
        <v>40555.0</v>
      </c>
      <c r="E148" s="426" t="s">
        <v>9933</v>
      </c>
      <c r="F148" s="426" t="s">
        <v>947</v>
      </c>
      <c r="G148" s="426" t="s">
        <v>17</v>
      </c>
      <c r="H148" s="426" t="s">
        <v>9033</v>
      </c>
      <c r="I148" s="500">
        <v>41985.0</v>
      </c>
      <c r="J148" s="428">
        <v>12.0</v>
      </c>
      <c r="K148" s="637" t="s">
        <v>238</v>
      </c>
      <c r="L148" s="428" t="s">
        <v>258</v>
      </c>
      <c r="M148" s="319">
        <f t="shared" si="2"/>
        <v>1430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419">
        <v>14814.0</v>
      </c>
      <c r="B149" s="420" t="s">
        <v>9934</v>
      </c>
      <c r="C149" s="420">
        <v>2012.0</v>
      </c>
      <c r="D149" s="497">
        <v>40935.0</v>
      </c>
      <c r="E149" s="420" t="s">
        <v>9935</v>
      </c>
      <c r="F149" s="420" t="s">
        <v>711</v>
      </c>
      <c r="G149" s="420" t="s">
        <v>552</v>
      </c>
      <c r="H149" s="420" t="s">
        <v>740</v>
      </c>
      <c r="I149" s="497">
        <v>41990.0</v>
      </c>
      <c r="J149" s="422">
        <v>12.0</v>
      </c>
      <c r="K149" s="637" t="s">
        <v>238</v>
      </c>
      <c r="L149" s="422" t="s">
        <v>258</v>
      </c>
      <c r="M149" s="316">
        <f t="shared" si="2"/>
        <v>1055</v>
      </c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425">
        <v>14914.0</v>
      </c>
      <c r="B150" s="426" t="s">
        <v>9936</v>
      </c>
      <c r="C150" s="426">
        <v>2011.0</v>
      </c>
      <c r="D150" s="500">
        <v>40626.0</v>
      </c>
      <c r="E150" s="426" t="s">
        <v>9937</v>
      </c>
      <c r="F150" s="426" t="s">
        <v>563</v>
      </c>
      <c r="G150" s="426" t="s">
        <v>17</v>
      </c>
      <c r="H150" s="426" t="s">
        <v>5016</v>
      </c>
      <c r="I150" s="500">
        <v>41999.0</v>
      </c>
      <c r="J150" s="428">
        <v>12.0</v>
      </c>
      <c r="K150" s="638" t="s">
        <v>234</v>
      </c>
      <c r="L150" s="428" t="s">
        <v>256</v>
      </c>
      <c r="M150" s="319">
        <f t="shared" si="2"/>
        <v>1373</v>
      </c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198"/>
      <c r="C151" s="198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hidden="1" customHeight="1">
      <c r="A152" s="640"/>
      <c r="B152" s="613"/>
      <c r="C152" s="613"/>
      <c r="D152" s="615"/>
      <c r="E152" s="198"/>
      <c r="F152" s="198"/>
      <c r="G152" s="198"/>
      <c r="H152" s="198"/>
      <c r="I152" s="615"/>
      <c r="J152" s="198"/>
      <c r="K152" s="643"/>
      <c r="L152" s="643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hidden="1" customHeight="1">
      <c r="A153" s="640"/>
      <c r="B153" s="613"/>
      <c r="C153" s="613"/>
      <c r="D153" s="615"/>
      <c r="E153" s="198"/>
      <c r="F153" s="198"/>
      <c r="G153" s="198"/>
      <c r="H153" s="198"/>
      <c r="I153" s="615"/>
      <c r="J153" s="198"/>
      <c r="K153" s="643"/>
      <c r="L153" s="643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hidden="1" customHeight="1">
      <c r="A154" s="640"/>
      <c r="B154" s="613"/>
      <c r="C154" s="613"/>
      <c r="D154" s="615"/>
      <c r="E154" s="198"/>
      <c r="F154" s="198"/>
      <c r="G154" s="198"/>
      <c r="H154" s="198"/>
      <c r="I154" s="615"/>
      <c r="J154" s="198"/>
      <c r="K154" s="643"/>
      <c r="L154" s="643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hidden="1" customHeight="1">
      <c r="A155" s="640"/>
      <c r="B155" s="613"/>
      <c r="C155" s="613"/>
      <c r="D155" s="615"/>
      <c r="E155" s="198"/>
      <c r="F155" s="198"/>
      <c r="G155" s="198"/>
      <c r="H155" s="198"/>
      <c r="I155" s="615"/>
      <c r="J155" s="198"/>
      <c r="K155" s="643"/>
      <c r="L155" s="643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hidden="1" customHeight="1">
      <c r="A156" s="640"/>
      <c r="B156" s="613"/>
      <c r="C156" s="613"/>
      <c r="D156" s="615"/>
      <c r="E156" s="198"/>
      <c r="F156" s="198"/>
      <c r="G156" s="198"/>
      <c r="H156" s="198"/>
      <c r="I156" s="615"/>
      <c r="J156" s="198"/>
      <c r="K156" s="643"/>
      <c r="L156" s="643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hidden="1" customHeight="1">
      <c r="A157" s="640"/>
      <c r="B157" s="613"/>
      <c r="C157" s="613"/>
      <c r="D157" s="615"/>
      <c r="E157" s="198"/>
      <c r="F157" s="198"/>
      <c r="G157" s="198"/>
      <c r="H157" s="198"/>
      <c r="I157" s="615"/>
      <c r="J157" s="198"/>
      <c r="K157" s="643"/>
      <c r="L157" s="643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hidden="1" customHeight="1">
      <c r="A158" s="640"/>
      <c r="B158" s="613"/>
      <c r="C158" s="613"/>
      <c r="D158" s="615"/>
      <c r="E158" s="198"/>
      <c r="F158" s="198"/>
      <c r="G158" s="198"/>
      <c r="H158" s="198"/>
      <c r="I158" s="615"/>
      <c r="J158" s="198"/>
      <c r="K158" s="643"/>
      <c r="L158" s="643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hidden="1" customHeight="1">
      <c r="A159" s="640"/>
      <c r="B159" s="613"/>
      <c r="C159" s="613"/>
      <c r="D159" s="615"/>
      <c r="E159" s="198"/>
      <c r="F159" s="198"/>
      <c r="G159" s="198"/>
      <c r="H159" s="198"/>
      <c r="I159" s="615"/>
      <c r="J159" s="198"/>
      <c r="K159" s="643"/>
      <c r="L159" s="643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hidden="1" customHeight="1">
      <c r="A160" s="640"/>
      <c r="B160" s="613"/>
      <c r="C160" s="613"/>
      <c r="D160" s="615"/>
      <c r="E160" s="198"/>
      <c r="F160" s="198"/>
      <c r="G160" s="198"/>
      <c r="H160" s="198"/>
      <c r="I160" s="615"/>
      <c r="J160" s="198"/>
      <c r="K160" s="643"/>
      <c r="L160" s="643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hidden="1" customHeight="1">
      <c r="A161" s="640"/>
      <c r="B161" s="613"/>
      <c r="C161" s="613"/>
      <c r="D161" s="615"/>
      <c r="E161" s="198"/>
      <c r="F161" s="198"/>
      <c r="G161" s="198"/>
      <c r="H161" s="198"/>
      <c r="I161" s="615"/>
      <c r="J161" s="198"/>
      <c r="K161" s="643"/>
      <c r="L161" s="643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hidden="1" customHeight="1">
      <c r="A162" s="640"/>
      <c r="B162" s="613"/>
      <c r="C162" s="613"/>
      <c r="D162" s="615"/>
      <c r="E162" s="198"/>
      <c r="F162" s="198"/>
      <c r="G162" s="198"/>
      <c r="H162" s="198"/>
      <c r="I162" s="615"/>
      <c r="J162" s="198"/>
      <c r="K162" s="643"/>
      <c r="L162" s="643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hidden="1" customHeight="1">
      <c r="A163" s="640"/>
      <c r="B163" s="613"/>
      <c r="C163" s="613"/>
      <c r="D163" s="615"/>
      <c r="E163" s="198"/>
      <c r="F163" s="198"/>
      <c r="G163" s="198"/>
      <c r="H163" s="198"/>
      <c r="I163" s="615"/>
      <c r="J163" s="198"/>
      <c r="K163" s="643"/>
      <c r="L163" s="643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hidden="1" customHeight="1">
      <c r="A164" s="640"/>
      <c r="B164" s="613"/>
      <c r="C164" s="613"/>
      <c r="D164" s="615"/>
      <c r="E164" s="198"/>
      <c r="F164" s="198"/>
      <c r="G164" s="198"/>
      <c r="H164" s="198"/>
      <c r="I164" s="615"/>
      <c r="J164" s="198"/>
      <c r="K164" s="643"/>
      <c r="L164" s="643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hidden="1" customHeight="1">
      <c r="A165" s="640"/>
      <c r="B165" s="613"/>
      <c r="C165" s="613"/>
      <c r="D165" s="615"/>
      <c r="E165" s="198"/>
      <c r="F165" s="198"/>
      <c r="G165" s="198"/>
      <c r="H165" s="198"/>
      <c r="I165" s="615"/>
      <c r="J165" s="198"/>
      <c r="K165" s="643"/>
      <c r="L165" s="643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hidden="1" customHeight="1">
      <c r="A166" s="640"/>
      <c r="B166" s="613"/>
      <c r="C166" s="613"/>
      <c r="D166" s="615"/>
      <c r="E166" s="198"/>
      <c r="F166" s="198"/>
      <c r="G166" s="198"/>
      <c r="H166" s="198"/>
      <c r="I166" s="615"/>
      <c r="J166" s="198"/>
      <c r="K166" s="643"/>
      <c r="L166" s="643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hidden="1" customHeight="1">
      <c r="A167" s="640"/>
      <c r="B167" s="613"/>
      <c r="C167" s="613"/>
      <c r="D167" s="615"/>
      <c r="E167" s="198"/>
      <c r="F167" s="198"/>
      <c r="G167" s="198"/>
      <c r="H167" s="198"/>
      <c r="I167" s="615"/>
      <c r="J167" s="198"/>
      <c r="K167" s="643"/>
      <c r="L167" s="643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hidden="1" customHeight="1">
      <c r="A168" s="640"/>
      <c r="B168" s="613"/>
      <c r="C168" s="613"/>
      <c r="D168" s="615"/>
      <c r="E168" s="198"/>
      <c r="F168" s="198"/>
      <c r="G168" s="198"/>
      <c r="H168" s="198"/>
      <c r="I168" s="615"/>
      <c r="J168" s="198"/>
      <c r="K168" s="643"/>
      <c r="L168" s="643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hidden="1" customHeight="1">
      <c r="A169" s="640"/>
      <c r="B169" s="613"/>
      <c r="C169" s="613"/>
      <c r="D169" s="615"/>
      <c r="E169" s="198"/>
      <c r="F169" s="198"/>
      <c r="G169" s="198"/>
      <c r="H169" s="198"/>
      <c r="I169" s="615"/>
      <c r="J169" s="198"/>
      <c r="K169" s="643"/>
      <c r="L169" s="643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hidden="1" customHeight="1">
      <c r="A170" s="640"/>
      <c r="B170" s="613"/>
      <c r="C170" s="613"/>
      <c r="D170" s="615"/>
      <c r="E170" s="198"/>
      <c r="F170" s="198"/>
      <c r="G170" s="198"/>
      <c r="H170" s="198"/>
      <c r="I170" s="615"/>
      <c r="J170" s="198"/>
      <c r="K170" s="643"/>
      <c r="L170" s="643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40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40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40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40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40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40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40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40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40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40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40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40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40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40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40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40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40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40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40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40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40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40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40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40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40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40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40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40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40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40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40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40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40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40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40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40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40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40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40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40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40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40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40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40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40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40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40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40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40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40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40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40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40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40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40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40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40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40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40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40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40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40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40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40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40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40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40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40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40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40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40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40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40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40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40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40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40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40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40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40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40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40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40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40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40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40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40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40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40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40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40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40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40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40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40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40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40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40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40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40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40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40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40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40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40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40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40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40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40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40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40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40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40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40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40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40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40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40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40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40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40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40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40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40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40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40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40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40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40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40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40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40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40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40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40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40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40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40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40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40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40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40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40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40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40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40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40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40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40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40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40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40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40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40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40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40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40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40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40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40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40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40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40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40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40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40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40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40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40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40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40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40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40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40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40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40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40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40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40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40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40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40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40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40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40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40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40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40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40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40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40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40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40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40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40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40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40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40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40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40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40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40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40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40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40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40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40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40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40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40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40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40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40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40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40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40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40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40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40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40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40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40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40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40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40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40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40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40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40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40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40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40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40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40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40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40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40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40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40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40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40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40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40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40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40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40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40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40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40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40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40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40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40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40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40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40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40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40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40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40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40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40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40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40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40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40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40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40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40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40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40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40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40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40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40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40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40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40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40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40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40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40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40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40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40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40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40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40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40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40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40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40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40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40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40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40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40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40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40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40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40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40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40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40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40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40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40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40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40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40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40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40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40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40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40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40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40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40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40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40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40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40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40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40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40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40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40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40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40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40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40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40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40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40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40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40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40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40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40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40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40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40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40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40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40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40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40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40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40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40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40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40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40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40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40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40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40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40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40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40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40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40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40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40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40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40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40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40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40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40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40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40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40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40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40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40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40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40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40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40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40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40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40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40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40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40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40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40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40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40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40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40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40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40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40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40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40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40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40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40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40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40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40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40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40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40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40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40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40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40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40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40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40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40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40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40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40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40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40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40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40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40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40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40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40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40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40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40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40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40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40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40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40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40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40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40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40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40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40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40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40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40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40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40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40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40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40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40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40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40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40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40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40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40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40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40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40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40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40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40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40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40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40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40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40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40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40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40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40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40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40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40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40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40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40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40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40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40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40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40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40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40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40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40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40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40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40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40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40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40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40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40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40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40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40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40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40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40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40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40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40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40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40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40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40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40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40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40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40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40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40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40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40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40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40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40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40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40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40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40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40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40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40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40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40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40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40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40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40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40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40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40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40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40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40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40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40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40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40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40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40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40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40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40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40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40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40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40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40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40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40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40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40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40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40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40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40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40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40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40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40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40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40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40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40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40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40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40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40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40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40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40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40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40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40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40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40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40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40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40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40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40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40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40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40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40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40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40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40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40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40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40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40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40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40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40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40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40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40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40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40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40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40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40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40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40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40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40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40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40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40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40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40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40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40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40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40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40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40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40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40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40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40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40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40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40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40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40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40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40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40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40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40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40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40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40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40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40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40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40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40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40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40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40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40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40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40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40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40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40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40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40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40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40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40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40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40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40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40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40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40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40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40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40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40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40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40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40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40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40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40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40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40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40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40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40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40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40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40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40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40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40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40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40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40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40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40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40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40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40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40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40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40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40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40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40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40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40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40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40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40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40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40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40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40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40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40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40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40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40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40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40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40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40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40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40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40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40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40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40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40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40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40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40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40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40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40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40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40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40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40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40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40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40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40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40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40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40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40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40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40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40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40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40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40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40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40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40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40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40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40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40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40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40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40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40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40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40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40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40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40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40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40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40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40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40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40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40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40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40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40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40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40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40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40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40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40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40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40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40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40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40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40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40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40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40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40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40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40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40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40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40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40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40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40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40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40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40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40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40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40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40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40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40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40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40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40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40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40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40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40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40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40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40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40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40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40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40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40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40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40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40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40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40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40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40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40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40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40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40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5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57"/>
    <col customWidth="1" min="2" max="2" width="24.71"/>
    <col customWidth="1" min="3" max="3" width="21.71"/>
    <col customWidth="1" min="4" max="4" width="22.0"/>
    <col customWidth="1" min="5" max="5" width="38.29"/>
    <col customWidth="1" min="6" max="6" width="51.86"/>
    <col customWidth="1" min="7" max="7" width="13.29"/>
    <col customWidth="1" min="8" max="8" width="17.14"/>
    <col customWidth="1" min="9" max="9" width="25.57"/>
    <col customWidth="1" min="10" max="10" width="28.29"/>
    <col customWidth="1" min="11" max="11" width="60.57"/>
    <col customWidth="1" min="12" max="12" width="76.43"/>
    <col customWidth="1" min="13" max="13" width="53.43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9.14"/>
    <col customWidth="1" hidden="1" min="22" max="25" width="9.14"/>
    <col customWidth="1" min="26" max="26" width="8.71"/>
  </cols>
  <sheetData>
    <row r="1" ht="12.75" customHeight="1">
      <c r="A1" s="566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113.0</v>
      </c>
      <c r="B2" s="426" t="s">
        <v>9938</v>
      </c>
      <c r="C2" s="426">
        <v>2009.0</v>
      </c>
      <c r="D2" s="500">
        <v>39826.0</v>
      </c>
      <c r="E2" s="426" t="s">
        <v>9939</v>
      </c>
      <c r="F2" s="426" t="s">
        <v>963</v>
      </c>
      <c r="G2" s="426" t="s">
        <v>17</v>
      </c>
      <c r="H2" s="426" t="s">
        <v>9940</v>
      </c>
      <c r="I2" s="500">
        <v>41277.0</v>
      </c>
      <c r="J2" s="428">
        <v>1.0</v>
      </c>
      <c r="K2" s="635" t="s">
        <v>228</v>
      </c>
      <c r="L2" s="428" t="s">
        <v>258</v>
      </c>
      <c r="M2" s="319">
        <f t="shared" ref="M2:M111" si="1">I2-D2</f>
        <v>1451</v>
      </c>
      <c r="N2" s="198"/>
      <c r="O2" s="545" t="s">
        <v>9941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213.0</v>
      </c>
      <c r="B3" s="420" t="s">
        <v>9942</v>
      </c>
      <c r="C3" s="420">
        <v>2011.0</v>
      </c>
      <c r="D3" s="497">
        <v>40772.0</v>
      </c>
      <c r="E3" s="420" t="s">
        <v>9943</v>
      </c>
      <c r="F3" s="420" t="s">
        <v>1255</v>
      </c>
      <c r="G3" s="420" t="s">
        <v>17</v>
      </c>
      <c r="H3" s="420" t="s">
        <v>596</v>
      </c>
      <c r="I3" s="497">
        <v>41283.0</v>
      </c>
      <c r="J3" s="422">
        <v>1.0</v>
      </c>
      <c r="K3" s="637" t="s">
        <v>238</v>
      </c>
      <c r="L3" s="420" t="s">
        <v>256</v>
      </c>
      <c r="M3" s="316">
        <f t="shared" si="1"/>
        <v>511</v>
      </c>
      <c r="N3" s="198"/>
      <c r="O3" s="320" t="s">
        <v>27</v>
      </c>
      <c r="P3" s="320">
        <f>COUNTIF($G$2:$G$476,"PT")</f>
        <v>1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313.0</v>
      </c>
      <c r="B4" s="426" t="s">
        <v>9944</v>
      </c>
      <c r="C4" s="426">
        <v>2009.0</v>
      </c>
      <c r="D4" s="500">
        <v>40147.0</v>
      </c>
      <c r="E4" s="426" t="s">
        <v>9945</v>
      </c>
      <c r="F4" s="426" t="s">
        <v>1255</v>
      </c>
      <c r="G4" s="426" t="s">
        <v>17</v>
      </c>
      <c r="H4" s="426" t="s">
        <v>1178</v>
      </c>
      <c r="I4" s="500">
        <v>41284.0</v>
      </c>
      <c r="J4" s="428">
        <v>1.0</v>
      </c>
      <c r="K4" s="637" t="s">
        <v>238</v>
      </c>
      <c r="L4" s="428" t="s">
        <v>256</v>
      </c>
      <c r="M4" s="319">
        <f t="shared" si="1"/>
        <v>1137</v>
      </c>
      <c r="N4" s="198"/>
      <c r="O4" s="321" t="s">
        <v>34</v>
      </c>
      <c r="P4" s="321">
        <f>COUNTIF($G$2:$G$476,"PTN")</f>
        <v>2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413.0</v>
      </c>
      <c r="B5" s="420" t="s">
        <v>9946</v>
      </c>
      <c r="C5" s="420">
        <v>2010.0</v>
      </c>
      <c r="D5" s="497">
        <v>40419.0</v>
      </c>
      <c r="E5" s="420" t="s">
        <v>9947</v>
      </c>
      <c r="F5" s="420" t="s">
        <v>4263</v>
      </c>
      <c r="G5" s="420" t="s">
        <v>552</v>
      </c>
      <c r="H5" s="420" t="s">
        <v>5989</v>
      </c>
      <c r="I5" s="497">
        <v>41285.0</v>
      </c>
      <c r="J5" s="422">
        <v>1.0</v>
      </c>
      <c r="K5" s="635" t="s">
        <v>228</v>
      </c>
      <c r="L5" s="420" t="s">
        <v>256</v>
      </c>
      <c r="M5" s="316">
        <f t="shared" si="1"/>
        <v>866</v>
      </c>
      <c r="N5" s="198"/>
      <c r="O5" s="322" t="s">
        <v>40</v>
      </c>
      <c r="P5" s="322">
        <f>COUNTIF($G$2:$G$476,"PTE")</f>
        <v>45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513.0</v>
      </c>
      <c r="B6" s="426" t="s">
        <v>9948</v>
      </c>
      <c r="C6" s="426">
        <v>2008.0</v>
      </c>
      <c r="D6" s="500">
        <v>39695.0</v>
      </c>
      <c r="E6" s="426" t="s">
        <v>9949</v>
      </c>
      <c r="F6" s="426" t="s">
        <v>963</v>
      </c>
      <c r="G6" s="426" t="s">
        <v>650</v>
      </c>
      <c r="H6" s="426" t="s">
        <v>2325</v>
      </c>
      <c r="I6" s="500">
        <v>41291.0</v>
      </c>
      <c r="J6" s="428">
        <v>1.0</v>
      </c>
      <c r="K6" s="638" t="s">
        <v>234</v>
      </c>
      <c r="L6" s="428" t="s">
        <v>258</v>
      </c>
      <c r="M6" s="319">
        <f t="shared" si="1"/>
        <v>1596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613.0</v>
      </c>
      <c r="B7" s="420" t="s">
        <v>9950</v>
      </c>
      <c r="C7" s="420">
        <v>2012.0</v>
      </c>
      <c r="D7" s="497">
        <v>41079.0</v>
      </c>
      <c r="E7" s="420" t="s">
        <v>9951</v>
      </c>
      <c r="F7" s="623" t="s">
        <v>2343</v>
      </c>
      <c r="G7" s="420" t="s">
        <v>569</v>
      </c>
      <c r="H7" s="420" t="s">
        <v>3892</v>
      </c>
      <c r="I7" s="497">
        <v>41292.0</v>
      </c>
      <c r="J7" s="422">
        <v>1.0</v>
      </c>
      <c r="K7" s="636" t="s">
        <v>244</v>
      </c>
      <c r="L7" s="420" t="s">
        <v>260</v>
      </c>
      <c r="M7" s="316">
        <f t="shared" si="1"/>
        <v>213</v>
      </c>
      <c r="N7" s="198"/>
      <c r="O7" s="322" t="s">
        <v>553</v>
      </c>
      <c r="P7" s="322">
        <f>COUNTIF($G$2:$G$476,"PF")</f>
        <v>18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713.0</v>
      </c>
      <c r="B8" s="426" t="s">
        <v>9952</v>
      </c>
      <c r="C8" s="426">
        <v>2012.0</v>
      </c>
      <c r="D8" s="500">
        <v>41226.0</v>
      </c>
      <c r="E8" s="426" t="s">
        <v>9953</v>
      </c>
      <c r="F8" s="622" t="s">
        <v>5332</v>
      </c>
      <c r="G8" s="426" t="s">
        <v>569</v>
      </c>
      <c r="H8" s="426" t="s">
        <v>9954</v>
      </c>
      <c r="I8" s="500">
        <v>41292.0</v>
      </c>
      <c r="J8" s="428">
        <v>1.0</v>
      </c>
      <c r="K8" s="636" t="s">
        <v>850</v>
      </c>
      <c r="L8" s="428" t="s">
        <v>260</v>
      </c>
      <c r="M8" s="319">
        <f t="shared" si="1"/>
        <v>66</v>
      </c>
      <c r="N8" s="198"/>
      <c r="O8" s="321" t="s">
        <v>547</v>
      </c>
      <c r="P8" s="321">
        <f>COUNTIF($G$2:$G$476,"PFN")</f>
        <v>3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813.0</v>
      </c>
      <c r="B9" s="420" t="s">
        <v>9955</v>
      </c>
      <c r="C9" s="420">
        <v>2009.0</v>
      </c>
      <c r="D9" s="497">
        <v>39843.0</v>
      </c>
      <c r="E9" s="420" t="s">
        <v>9956</v>
      </c>
      <c r="F9" s="420" t="s">
        <v>25</v>
      </c>
      <c r="G9" s="420" t="s">
        <v>17</v>
      </c>
      <c r="H9" s="420" t="s">
        <v>9940</v>
      </c>
      <c r="I9" s="497">
        <v>41292.0</v>
      </c>
      <c r="J9" s="422">
        <v>1.0</v>
      </c>
      <c r="K9" s="637" t="s">
        <v>238</v>
      </c>
      <c r="L9" s="420" t="s">
        <v>256</v>
      </c>
      <c r="M9" s="316">
        <f t="shared" si="1"/>
        <v>1449</v>
      </c>
      <c r="N9" s="198"/>
      <c r="O9" s="322" t="s">
        <v>560</v>
      </c>
      <c r="P9" s="322">
        <f>COUNTIF($G$2:$G$476,"PF/PTE")</f>
        <v>30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913.0</v>
      </c>
      <c r="B10" s="426" t="s">
        <v>9957</v>
      </c>
      <c r="C10" s="426">
        <v>2011.0</v>
      </c>
      <c r="D10" s="500">
        <v>40574.0</v>
      </c>
      <c r="E10" s="426" t="s">
        <v>9958</v>
      </c>
      <c r="F10" s="426" t="s">
        <v>2071</v>
      </c>
      <c r="G10" s="426" t="s">
        <v>17</v>
      </c>
      <c r="H10" s="426" t="s">
        <v>775</v>
      </c>
      <c r="I10" s="500">
        <v>41292.0</v>
      </c>
      <c r="J10" s="428">
        <v>1.0</v>
      </c>
      <c r="K10" s="637" t="s">
        <v>238</v>
      </c>
      <c r="L10" s="428" t="s">
        <v>258</v>
      </c>
      <c r="M10" s="319">
        <f t="shared" si="1"/>
        <v>718</v>
      </c>
      <c r="N10" s="198"/>
      <c r="O10" s="321" t="s">
        <v>565</v>
      </c>
      <c r="P10" s="321">
        <f>COUNTIF($G$2:$G$476,"Bio")</f>
        <v>6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1013.0</v>
      </c>
      <c r="B11" s="420" t="s">
        <v>9959</v>
      </c>
      <c r="C11" s="420">
        <v>2008.0</v>
      </c>
      <c r="D11" s="497">
        <v>39771.0</v>
      </c>
      <c r="E11" s="420" t="s">
        <v>9960</v>
      </c>
      <c r="F11" s="420" t="s">
        <v>7706</v>
      </c>
      <c r="G11" s="420" t="s">
        <v>547</v>
      </c>
      <c r="H11" s="420" t="s">
        <v>651</v>
      </c>
      <c r="I11" s="497">
        <v>41302.0</v>
      </c>
      <c r="J11" s="422">
        <v>1.0</v>
      </c>
      <c r="K11" s="637" t="s">
        <v>238</v>
      </c>
      <c r="L11" s="420" t="s">
        <v>258</v>
      </c>
      <c r="M11" s="316">
        <f t="shared" si="1"/>
        <v>1531</v>
      </c>
      <c r="N11" s="198"/>
      <c r="O11" s="323" t="s">
        <v>569</v>
      </c>
      <c r="P11" s="323">
        <f>COUNTIF($G$2:$G$476,"Bio/Org")</f>
        <v>5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1113.0</v>
      </c>
      <c r="B12" s="426" t="s">
        <v>9961</v>
      </c>
      <c r="C12" s="426">
        <v>2011.0</v>
      </c>
      <c r="D12" s="500">
        <v>40836.0</v>
      </c>
      <c r="E12" s="426" t="s">
        <v>9962</v>
      </c>
      <c r="F12" s="622" t="s">
        <v>5332</v>
      </c>
      <c r="G12" s="426" t="s">
        <v>569</v>
      </c>
      <c r="H12" s="426" t="s">
        <v>9963</v>
      </c>
      <c r="I12" s="500">
        <v>41303.0</v>
      </c>
      <c r="J12" s="428">
        <v>1.0</v>
      </c>
      <c r="K12" s="636" t="s">
        <v>850</v>
      </c>
      <c r="L12" s="428" t="s">
        <v>260</v>
      </c>
      <c r="M12" s="319">
        <f t="shared" si="1"/>
        <v>467</v>
      </c>
      <c r="N12" s="198"/>
      <c r="O12" s="324" t="s">
        <v>51</v>
      </c>
      <c r="P12" s="325">
        <f>SUM(P3:P11)</f>
        <v>110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419">
        <v>1213.0</v>
      </c>
      <c r="B13" s="420" t="s">
        <v>9964</v>
      </c>
      <c r="C13" s="420">
        <v>2010.0</v>
      </c>
      <c r="D13" s="497">
        <v>40186.0</v>
      </c>
      <c r="E13" s="420" t="s">
        <v>9965</v>
      </c>
      <c r="F13" s="420" t="s">
        <v>963</v>
      </c>
      <c r="G13" s="420" t="s">
        <v>17</v>
      </c>
      <c r="H13" s="420" t="s">
        <v>130</v>
      </c>
      <c r="I13" s="497">
        <v>41311.0</v>
      </c>
      <c r="J13" s="422">
        <v>2.0</v>
      </c>
      <c r="K13" s="635" t="s">
        <v>228</v>
      </c>
      <c r="L13" s="420" t="s">
        <v>258</v>
      </c>
      <c r="M13" s="316">
        <f t="shared" si="1"/>
        <v>1125</v>
      </c>
      <c r="N13" s="198"/>
      <c r="O13" s="25"/>
      <c r="P13" s="25"/>
      <c r="Q13" s="25"/>
      <c r="R13" s="326"/>
      <c r="S13" s="326"/>
      <c r="T13" s="25"/>
      <c r="U13" s="198"/>
      <c r="V13" s="644"/>
      <c r="W13" s="644"/>
      <c r="X13" s="644"/>
      <c r="Y13" s="645"/>
      <c r="Z13" s="198"/>
    </row>
    <row r="14" ht="13.5" customHeight="1">
      <c r="A14" s="425">
        <v>1313.0</v>
      </c>
      <c r="B14" s="426" t="s">
        <v>9966</v>
      </c>
      <c r="C14" s="426">
        <v>2011.0</v>
      </c>
      <c r="D14" s="500">
        <v>40765.0</v>
      </c>
      <c r="E14" s="426" t="s">
        <v>9967</v>
      </c>
      <c r="F14" s="426" t="s">
        <v>563</v>
      </c>
      <c r="G14" s="426" t="s">
        <v>552</v>
      </c>
      <c r="H14" s="426" t="s">
        <v>9940</v>
      </c>
      <c r="I14" s="500">
        <v>41319.0</v>
      </c>
      <c r="J14" s="428">
        <v>2.0</v>
      </c>
      <c r="K14" s="638" t="s">
        <v>234</v>
      </c>
      <c r="L14" s="428" t="s">
        <v>256</v>
      </c>
      <c r="M14" s="319">
        <f t="shared" si="1"/>
        <v>554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646"/>
      <c r="W14" s="646"/>
      <c r="X14" s="646"/>
      <c r="Y14" s="647"/>
      <c r="Z14" s="198"/>
    </row>
    <row r="15" ht="14.25" customHeight="1">
      <c r="A15" s="419">
        <v>1413.0</v>
      </c>
      <c r="B15" s="420" t="s">
        <v>9968</v>
      </c>
      <c r="C15" s="420">
        <v>2010.0</v>
      </c>
      <c r="D15" s="497">
        <v>40315.0</v>
      </c>
      <c r="E15" s="420" t="s">
        <v>9969</v>
      </c>
      <c r="F15" s="420" t="s">
        <v>1255</v>
      </c>
      <c r="G15" s="420" t="s">
        <v>17</v>
      </c>
      <c r="H15" s="420" t="s">
        <v>1501</v>
      </c>
      <c r="I15" s="497">
        <v>41320.0</v>
      </c>
      <c r="J15" s="422">
        <v>2.0</v>
      </c>
      <c r="K15" s="637" t="s">
        <v>238</v>
      </c>
      <c r="L15" s="420" t="s">
        <v>256</v>
      </c>
      <c r="M15" s="316">
        <f t="shared" si="1"/>
        <v>1005</v>
      </c>
      <c r="N15" s="198"/>
      <c r="O15" s="328"/>
      <c r="P15" s="329"/>
      <c r="Q15" s="329"/>
      <c r="R15" s="329"/>
      <c r="S15" s="330"/>
      <c r="T15" s="25"/>
      <c r="U15" s="198"/>
      <c r="V15" s="648"/>
      <c r="W15" s="648"/>
      <c r="X15" s="648"/>
      <c r="Y15" s="649"/>
      <c r="Z15" s="198"/>
    </row>
    <row r="16" ht="12.75" customHeight="1">
      <c r="A16" s="425">
        <v>1513.0</v>
      </c>
      <c r="B16" s="426" t="s">
        <v>9970</v>
      </c>
      <c r="C16" s="426">
        <v>2010.0</v>
      </c>
      <c r="D16" s="500">
        <v>40259.0</v>
      </c>
      <c r="E16" s="426" t="s">
        <v>9971</v>
      </c>
      <c r="F16" s="426" t="s">
        <v>9972</v>
      </c>
      <c r="G16" s="426" t="s">
        <v>552</v>
      </c>
      <c r="H16" s="426" t="s">
        <v>7777</v>
      </c>
      <c r="I16" s="500">
        <v>41331.0</v>
      </c>
      <c r="J16" s="428">
        <v>2.0</v>
      </c>
      <c r="K16" s="635" t="s">
        <v>228</v>
      </c>
      <c r="L16" s="428" t="s">
        <v>256</v>
      </c>
      <c r="M16" s="319">
        <f t="shared" si="1"/>
        <v>1072</v>
      </c>
      <c r="N16" s="198"/>
      <c r="O16" s="331" t="s">
        <v>9973</v>
      </c>
      <c r="P16" s="332"/>
      <c r="Q16" s="332"/>
      <c r="R16" s="332"/>
      <c r="S16" s="333"/>
      <c r="T16" s="25"/>
      <c r="U16" s="198"/>
      <c r="V16" s="648"/>
      <c r="W16" s="648"/>
      <c r="X16" s="648"/>
      <c r="Y16" s="649"/>
      <c r="Z16" s="198"/>
    </row>
    <row r="17" ht="12.75" customHeight="1">
      <c r="A17" s="419">
        <v>1613.0</v>
      </c>
      <c r="B17" s="420" t="s">
        <v>9974</v>
      </c>
      <c r="C17" s="420">
        <v>2010.0</v>
      </c>
      <c r="D17" s="497">
        <v>40379.0</v>
      </c>
      <c r="E17" s="420" t="s">
        <v>9975</v>
      </c>
      <c r="F17" s="420" t="s">
        <v>4572</v>
      </c>
      <c r="G17" s="420" t="s">
        <v>552</v>
      </c>
      <c r="H17" s="420" t="s">
        <v>9976</v>
      </c>
      <c r="I17" s="497">
        <v>41331.0</v>
      </c>
      <c r="J17" s="422">
        <v>2.0</v>
      </c>
      <c r="K17" s="638" t="s">
        <v>234</v>
      </c>
      <c r="L17" s="420" t="s">
        <v>258</v>
      </c>
      <c r="M17" s="316">
        <f t="shared" si="1"/>
        <v>952</v>
      </c>
      <c r="N17" s="198"/>
      <c r="O17" s="334" t="s">
        <v>9977</v>
      </c>
      <c r="P17" s="113"/>
      <c r="Q17" s="113"/>
      <c r="R17" s="113"/>
      <c r="S17" s="114"/>
      <c r="T17" s="25"/>
      <c r="U17" s="198"/>
      <c r="V17" s="648"/>
      <c r="W17" s="648"/>
      <c r="X17" s="648"/>
      <c r="Y17" s="649"/>
      <c r="Z17" s="198"/>
    </row>
    <row r="18" ht="12.75" customHeight="1">
      <c r="A18" s="425">
        <v>1713.0</v>
      </c>
      <c r="B18" s="426" t="s">
        <v>9978</v>
      </c>
      <c r="C18" s="426">
        <v>2011.0</v>
      </c>
      <c r="D18" s="500">
        <v>40764.0</v>
      </c>
      <c r="E18" s="426" t="s">
        <v>9979</v>
      </c>
      <c r="F18" s="426" t="s">
        <v>1108</v>
      </c>
      <c r="G18" s="426" t="s">
        <v>17</v>
      </c>
      <c r="H18" s="426" t="s">
        <v>596</v>
      </c>
      <c r="I18" s="500">
        <v>41340.0</v>
      </c>
      <c r="J18" s="428">
        <v>3.0</v>
      </c>
      <c r="K18" s="637" t="s">
        <v>238</v>
      </c>
      <c r="L18" s="428" t="s">
        <v>256</v>
      </c>
      <c r="M18" s="319">
        <f t="shared" si="1"/>
        <v>576</v>
      </c>
      <c r="N18" s="198"/>
      <c r="O18" s="335" t="s">
        <v>9980</v>
      </c>
      <c r="P18" s="113"/>
      <c r="Q18" s="113"/>
      <c r="R18" s="113"/>
      <c r="S18" s="114"/>
      <c r="T18" s="25"/>
      <c r="U18" s="198"/>
      <c r="V18" s="648"/>
      <c r="W18" s="648"/>
      <c r="X18" s="648"/>
      <c r="Y18" s="649"/>
      <c r="Z18" s="198"/>
    </row>
    <row r="19" ht="12.75" customHeight="1">
      <c r="A19" s="419">
        <v>1813.0</v>
      </c>
      <c r="B19" s="420" t="s">
        <v>9981</v>
      </c>
      <c r="C19" s="420">
        <v>2010.0</v>
      </c>
      <c r="D19" s="497">
        <v>40361.0</v>
      </c>
      <c r="E19" s="420" t="s">
        <v>9982</v>
      </c>
      <c r="F19" s="420" t="s">
        <v>1108</v>
      </c>
      <c r="G19" s="420" t="s">
        <v>17</v>
      </c>
      <c r="H19" s="420" t="s">
        <v>87</v>
      </c>
      <c r="I19" s="497">
        <v>41340.0</v>
      </c>
      <c r="J19" s="422">
        <v>3.0</v>
      </c>
      <c r="K19" s="637" t="s">
        <v>238</v>
      </c>
      <c r="L19" s="420" t="s">
        <v>256</v>
      </c>
      <c r="M19" s="316">
        <f t="shared" si="1"/>
        <v>979</v>
      </c>
      <c r="N19" s="198"/>
      <c r="O19" s="334" t="s">
        <v>9983</v>
      </c>
      <c r="P19" s="113"/>
      <c r="Q19" s="113"/>
      <c r="R19" s="113"/>
      <c r="S19" s="114"/>
      <c r="T19" s="25"/>
      <c r="U19" s="198"/>
      <c r="V19" s="648"/>
      <c r="W19" s="648"/>
      <c r="X19" s="648"/>
      <c r="Y19" s="649"/>
      <c r="Z19" s="198"/>
    </row>
    <row r="20" ht="12.75" customHeight="1">
      <c r="A20" s="425">
        <v>1913.0</v>
      </c>
      <c r="B20" s="426" t="s">
        <v>9984</v>
      </c>
      <c r="C20" s="426">
        <v>2010.0</v>
      </c>
      <c r="D20" s="500">
        <v>40326.0</v>
      </c>
      <c r="E20" s="426" t="s">
        <v>9985</v>
      </c>
      <c r="F20" s="426" t="s">
        <v>1108</v>
      </c>
      <c r="G20" s="426" t="s">
        <v>17</v>
      </c>
      <c r="H20" s="426" t="s">
        <v>7907</v>
      </c>
      <c r="I20" s="500">
        <v>41340.0</v>
      </c>
      <c r="J20" s="428">
        <v>3.0</v>
      </c>
      <c r="K20" s="637" t="s">
        <v>238</v>
      </c>
      <c r="L20" s="428" t="s">
        <v>256</v>
      </c>
      <c r="M20" s="319">
        <f t="shared" si="1"/>
        <v>1014</v>
      </c>
      <c r="N20" s="198"/>
      <c r="O20" s="335" t="s">
        <v>9986</v>
      </c>
      <c r="P20" s="113"/>
      <c r="Q20" s="113"/>
      <c r="R20" s="113"/>
      <c r="S20" s="114"/>
      <c r="T20" s="25"/>
      <c r="U20" s="198"/>
      <c r="V20" s="648"/>
      <c r="W20" s="648"/>
      <c r="X20" s="648"/>
      <c r="Y20" s="649"/>
      <c r="Z20" s="198"/>
    </row>
    <row r="21" ht="12.75" customHeight="1">
      <c r="A21" s="419">
        <v>2013.0</v>
      </c>
      <c r="B21" s="420" t="s">
        <v>9987</v>
      </c>
      <c r="C21" s="420">
        <v>2008.0</v>
      </c>
      <c r="D21" s="497">
        <v>39800.0</v>
      </c>
      <c r="E21" s="420" t="s">
        <v>9988</v>
      </c>
      <c r="F21" s="420" t="s">
        <v>2071</v>
      </c>
      <c r="G21" s="420" t="s">
        <v>552</v>
      </c>
      <c r="H21" s="420" t="s">
        <v>163</v>
      </c>
      <c r="I21" s="497">
        <v>41341.0</v>
      </c>
      <c r="J21" s="422">
        <v>3.0</v>
      </c>
      <c r="K21" s="638" t="s">
        <v>234</v>
      </c>
      <c r="L21" s="420" t="s">
        <v>258</v>
      </c>
      <c r="M21" s="316">
        <f t="shared" si="1"/>
        <v>1541</v>
      </c>
      <c r="N21" s="198"/>
      <c r="O21" s="334" t="s">
        <v>9989</v>
      </c>
      <c r="P21" s="113"/>
      <c r="Q21" s="113"/>
      <c r="R21" s="113"/>
      <c r="S21" s="114"/>
      <c r="T21" s="25"/>
      <c r="U21" s="198"/>
      <c r="V21" s="650"/>
      <c r="W21" s="650"/>
      <c r="X21" s="650"/>
      <c r="Y21" s="651"/>
      <c r="Z21" s="198"/>
    </row>
    <row r="22" ht="12.75" customHeight="1">
      <c r="A22" s="425">
        <v>2113.0</v>
      </c>
      <c r="B22" s="426" t="s">
        <v>9990</v>
      </c>
      <c r="C22" s="426">
        <v>2009.0</v>
      </c>
      <c r="D22" s="500">
        <v>39890.0</v>
      </c>
      <c r="E22" s="426" t="s">
        <v>9991</v>
      </c>
      <c r="F22" s="426" t="s">
        <v>551</v>
      </c>
      <c r="G22" s="426" t="s">
        <v>552</v>
      </c>
      <c r="H22" s="426" t="s">
        <v>601</v>
      </c>
      <c r="I22" s="500">
        <v>41344.0</v>
      </c>
      <c r="J22" s="428">
        <v>3.0</v>
      </c>
      <c r="K22" s="635" t="s">
        <v>228</v>
      </c>
      <c r="L22" s="428" t="s">
        <v>256</v>
      </c>
      <c r="M22" s="319">
        <f t="shared" si="1"/>
        <v>1454</v>
      </c>
      <c r="N22" s="198"/>
      <c r="O22" s="335" t="s">
        <v>9992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2213.0</v>
      </c>
      <c r="B23" s="420" t="s">
        <v>9993</v>
      </c>
      <c r="C23" s="420">
        <v>2007.0</v>
      </c>
      <c r="D23" s="497">
        <v>39309.0</v>
      </c>
      <c r="E23" s="420" t="s">
        <v>9994</v>
      </c>
      <c r="F23" s="420" t="s">
        <v>2667</v>
      </c>
      <c r="G23" s="420" t="s">
        <v>650</v>
      </c>
      <c r="H23" s="420" t="s">
        <v>5180</v>
      </c>
      <c r="I23" s="497">
        <v>41355.0</v>
      </c>
      <c r="J23" s="422">
        <v>3.0</v>
      </c>
      <c r="K23" s="635" t="s">
        <v>228</v>
      </c>
      <c r="L23" s="420" t="s">
        <v>258</v>
      </c>
      <c r="M23" s="316">
        <f t="shared" si="1"/>
        <v>2046</v>
      </c>
      <c r="N23" s="198"/>
      <c r="O23" s="334" t="s">
        <v>9995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425">
        <v>2313.0</v>
      </c>
      <c r="B24" s="426" t="s">
        <v>9996</v>
      </c>
      <c r="C24" s="426">
        <v>2007.0</v>
      </c>
      <c r="D24" s="500">
        <v>39206.0</v>
      </c>
      <c r="E24" s="426" t="s">
        <v>9997</v>
      </c>
      <c r="F24" s="426" t="s">
        <v>9998</v>
      </c>
      <c r="G24" s="426" t="s">
        <v>650</v>
      </c>
      <c r="H24" s="426" t="s">
        <v>9999</v>
      </c>
      <c r="I24" s="500">
        <v>41355.0</v>
      </c>
      <c r="J24" s="428">
        <v>3.0</v>
      </c>
      <c r="K24" s="635" t="s">
        <v>228</v>
      </c>
      <c r="L24" s="428" t="s">
        <v>256</v>
      </c>
      <c r="M24" s="319">
        <f t="shared" si="1"/>
        <v>2149</v>
      </c>
      <c r="N24" s="198"/>
      <c r="O24" s="336" t="s">
        <v>10000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2413.0</v>
      </c>
      <c r="B25" s="420" t="s">
        <v>10001</v>
      </c>
      <c r="C25" s="420">
        <v>2008.0</v>
      </c>
      <c r="D25" s="497">
        <v>39743.0</v>
      </c>
      <c r="E25" s="420" t="s">
        <v>10002</v>
      </c>
      <c r="F25" s="420" t="s">
        <v>10003</v>
      </c>
      <c r="G25" s="420" t="s">
        <v>650</v>
      </c>
      <c r="H25" s="420" t="s">
        <v>158</v>
      </c>
      <c r="I25" s="497">
        <v>41359.0</v>
      </c>
      <c r="J25" s="422">
        <v>3.0</v>
      </c>
      <c r="K25" s="637" t="s">
        <v>238</v>
      </c>
      <c r="L25" s="420" t="s">
        <v>256</v>
      </c>
      <c r="M25" s="316">
        <f t="shared" si="1"/>
        <v>1616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2513.0</v>
      </c>
      <c r="B26" s="426" t="s">
        <v>10004</v>
      </c>
      <c r="C26" s="426">
        <v>2009.0</v>
      </c>
      <c r="D26" s="500">
        <v>40176.0</v>
      </c>
      <c r="E26" s="426" t="s">
        <v>10005</v>
      </c>
      <c r="F26" s="426" t="s">
        <v>8841</v>
      </c>
      <c r="G26" s="426" t="s">
        <v>17</v>
      </c>
      <c r="H26" s="426" t="s">
        <v>130</v>
      </c>
      <c r="I26" s="500">
        <v>41366.0</v>
      </c>
      <c r="J26" s="428">
        <v>4.0</v>
      </c>
      <c r="K26" s="635" t="s">
        <v>228</v>
      </c>
      <c r="L26" s="428" t="s">
        <v>256</v>
      </c>
      <c r="M26" s="319">
        <f t="shared" si="1"/>
        <v>1190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2613.0</v>
      </c>
      <c r="B27" s="420" t="s">
        <v>10006</v>
      </c>
      <c r="C27" s="420">
        <v>2007.0</v>
      </c>
      <c r="D27" s="497">
        <v>39155.0</v>
      </c>
      <c r="E27" s="420" t="s">
        <v>10007</v>
      </c>
      <c r="F27" s="420" t="s">
        <v>6214</v>
      </c>
      <c r="G27" s="420" t="s">
        <v>34</v>
      </c>
      <c r="H27" s="420" t="s">
        <v>1002</v>
      </c>
      <c r="I27" s="497">
        <v>41381.0</v>
      </c>
      <c r="J27" s="422">
        <v>4.0</v>
      </c>
      <c r="K27" s="637" t="s">
        <v>238</v>
      </c>
      <c r="L27" s="420" t="s">
        <v>258</v>
      </c>
      <c r="M27" s="316">
        <f t="shared" si="1"/>
        <v>2226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2713.0</v>
      </c>
      <c r="B28" s="426" t="s">
        <v>10008</v>
      </c>
      <c r="C28" s="426">
        <v>2008.0</v>
      </c>
      <c r="D28" s="500">
        <v>39736.0</v>
      </c>
      <c r="E28" s="426" t="s">
        <v>10009</v>
      </c>
      <c r="F28" s="426" t="s">
        <v>65</v>
      </c>
      <c r="G28" s="426" t="s">
        <v>17</v>
      </c>
      <c r="H28" s="426" t="s">
        <v>4597</v>
      </c>
      <c r="I28" s="500">
        <v>41381.0</v>
      </c>
      <c r="J28" s="428">
        <v>4.0</v>
      </c>
      <c r="K28" s="635" t="s">
        <v>228</v>
      </c>
      <c r="L28" s="428" t="s">
        <v>254</v>
      </c>
      <c r="M28" s="319">
        <f t="shared" si="1"/>
        <v>1645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2813.0</v>
      </c>
      <c r="B29" s="420" t="s">
        <v>10010</v>
      </c>
      <c r="C29" s="420">
        <v>2010.0</v>
      </c>
      <c r="D29" s="497">
        <v>40315.0</v>
      </c>
      <c r="E29" s="420" t="s">
        <v>10011</v>
      </c>
      <c r="F29" s="420" t="s">
        <v>1108</v>
      </c>
      <c r="G29" s="420" t="s">
        <v>17</v>
      </c>
      <c r="H29" s="420" t="s">
        <v>1501</v>
      </c>
      <c r="I29" s="497">
        <v>41382.0</v>
      </c>
      <c r="J29" s="422">
        <v>4.0</v>
      </c>
      <c r="K29" s="637" t="s">
        <v>238</v>
      </c>
      <c r="L29" s="420" t="s">
        <v>256</v>
      </c>
      <c r="M29" s="316">
        <f t="shared" si="1"/>
        <v>1067</v>
      </c>
      <c r="N29" s="198"/>
      <c r="O29" s="322">
        <v>2001.0</v>
      </c>
      <c r="P29" s="342">
        <f>COUNTIF($C$2:$C$503,"2001")</f>
        <v>0</v>
      </c>
      <c r="Q29" s="332"/>
      <c r="R29" s="333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3.5" customHeight="1">
      <c r="A30" s="425">
        <v>2913.0</v>
      </c>
      <c r="B30" s="426" t="s">
        <v>10012</v>
      </c>
      <c r="C30" s="426">
        <v>2011.0</v>
      </c>
      <c r="D30" s="500">
        <v>40907.0</v>
      </c>
      <c r="E30" s="426" t="s">
        <v>10013</v>
      </c>
      <c r="F30" s="426" t="s">
        <v>963</v>
      </c>
      <c r="G30" s="426" t="s">
        <v>552</v>
      </c>
      <c r="H30" s="426" t="s">
        <v>1501</v>
      </c>
      <c r="I30" s="500">
        <v>41383.0</v>
      </c>
      <c r="J30" s="428">
        <v>4.0</v>
      </c>
      <c r="K30" s="637" t="s">
        <v>238</v>
      </c>
      <c r="L30" s="428" t="s">
        <v>258</v>
      </c>
      <c r="M30" s="319">
        <f t="shared" si="1"/>
        <v>476</v>
      </c>
      <c r="N30" s="198"/>
      <c r="O30" s="321">
        <v>2002.0</v>
      </c>
      <c r="P30" s="344">
        <f>COUNTIF($C$2:$C$503,"2002")</f>
        <v>0</v>
      </c>
      <c r="Q30" s="113"/>
      <c r="R30" s="114"/>
      <c r="S30" s="345">
        <f>(P30/P42)</f>
        <v>0</v>
      </c>
      <c r="T30" s="25"/>
      <c r="U30" s="198"/>
      <c r="V30" s="198"/>
      <c r="W30" s="198"/>
      <c r="X30" s="198"/>
      <c r="Y30" s="198"/>
      <c r="Z30" s="198"/>
    </row>
    <row r="31" ht="13.5" customHeight="1">
      <c r="A31" s="419">
        <v>3013.0</v>
      </c>
      <c r="B31" s="420" t="s">
        <v>10014</v>
      </c>
      <c r="C31" s="420">
        <v>2010.0</v>
      </c>
      <c r="D31" s="497">
        <v>40389.0</v>
      </c>
      <c r="E31" s="420" t="s">
        <v>10015</v>
      </c>
      <c r="F31" s="420" t="s">
        <v>3972</v>
      </c>
      <c r="G31" s="420" t="s">
        <v>650</v>
      </c>
      <c r="H31" s="420" t="s">
        <v>5180</v>
      </c>
      <c r="I31" s="497">
        <v>41383.0</v>
      </c>
      <c r="J31" s="422">
        <v>4.0</v>
      </c>
      <c r="K31" s="637" t="s">
        <v>238</v>
      </c>
      <c r="L31" s="420" t="s">
        <v>256</v>
      </c>
      <c r="M31" s="316">
        <f t="shared" si="1"/>
        <v>994</v>
      </c>
      <c r="N31" s="198"/>
      <c r="O31" s="322">
        <v>2003.0</v>
      </c>
      <c r="P31" s="346">
        <f>COUNTIF($C$2:$C$503,"2003")</f>
        <v>0</v>
      </c>
      <c r="Q31" s="113"/>
      <c r="R31" s="114"/>
      <c r="S31" s="343">
        <f>(P31/P42)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3113.0</v>
      </c>
      <c r="B32" s="426" t="s">
        <v>10016</v>
      </c>
      <c r="C32" s="426">
        <v>2007.0</v>
      </c>
      <c r="D32" s="500">
        <v>39230.0</v>
      </c>
      <c r="E32" s="426" t="s">
        <v>10017</v>
      </c>
      <c r="F32" s="426" t="s">
        <v>10018</v>
      </c>
      <c r="G32" s="426" t="s">
        <v>650</v>
      </c>
      <c r="H32" s="426" t="s">
        <v>1002</v>
      </c>
      <c r="I32" s="500">
        <v>41383.0</v>
      </c>
      <c r="J32" s="428">
        <v>4.0</v>
      </c>
      <c r="K32" s="637" t="s">
        <v>238</v>
      </c>
      <c r="L32" s="428" t="s">
        <v>256</v>
      </c>
      <c r="M32" s="319">
        <f t="shared" si="1"/>
        <v>2153</v>
      </c>
      <c r="N32" s="198"/>
      <c r="O32" s="321">
        <v>2004.0</v>
      </c>
      <c r="P32" s="344">
        <f>COUNTIF($C$2:$C$503,"2004")</f>
        <v>0</v>
      </c>
      <c r="Q32" s="113"/>
      <c r="R32" s="114"/>
      <c r="S32" s="345">
        <f>(P32/P42)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3213.0</v>
      </c>
      <c r="B33" s="420" t="s">
        <v>10019</v>
      </c>
      <c r="C33" s="420">
        <v>2010.0</v>
      </c>
      <c r="D33" s="497">
        <v>40480.0</v>
      </c>
      <c r="E33" s="420" t="s">
        <v>10020</v>
      </c>
      <c r="F33" s="420" t="s">
        <v>2071</v>
      </c>
      <c r="G33" s="420" t="s">
        <v>552</v>
      </c>
      <c r="H33" s="420" t="s">
        <v>5534</v>
      </c>
      <c r="I33" s="497">
        <v>41386.0</v>
      </c>
      <c r="J33" s="422">
        <v>4.0</v>
      </c>
      <c r="K33" s="637" t="s">
        <v>238</v>
      </c>
      <c r="L33" s="420" t="s">
        <v>258</v>
      </c>
      <c r="M33" s="316">
        <f t="shared" si="1"/>
        <v>906</v>
      </c>
      <c r="N33" s="198"/>
      <c r="O33" s="322">
        <v>2005.0</v>
      </c>
      <c r="P33" s="346">
        <f>COUNTIF($C$2:$C$503,"2005")</f>
        <v>0</v>
      </c>
      <c r="Q33" s="113"/>
      <c r="R33" s="114"/>
      <c r="S33" s="343">
        <f>(P33/P42)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3313.0</v>
      </c>
      <c r="B34" s="426" t="s">
        <v>10021</v>
      </c>
      <c r="C34" s="426">
        <v>2010.0</v>
      </c>
      <c r="D34" s="500">
        <v>40252.0</v>
      </c>
      <c r="E34" s="426" t="s">
        <v>10022</v>
      </c>
      <c r="F34" s="426" t="s">
        <v>8844</v>
      </c>
      <c r="G34" s="426" t="s">
        <v>17</v>
      </c>
      <c r="H34" s="426" t="s">
        <v>1907</v>
      </c>
      <c r="I34" s="500">
        <v>41386.0</v>
      </c>
      <c r="J34" s="428">
        <v>4.0</v>
      </c>
      <c r="K34" s="637" t="s">
        <v>238</v>
      </c>
      <c r="L34" s="428" t="s">
        <v>258</v>
      </c>
      <c r="M34" s="319">
        <f t="shared" si="1"/>
        <v>1134</v>
      </c>
      <c r="N34" s="198"/>
      <c r="O34" s="321">
        <v>2006.0</v>
      </c>
      <c r="P34" s="344">
        <f>COUNTIF($C$2:$C$503,"2006")</f>
        <v>1</v>
      </c>
      <c r="Q34" s="113"/>
      <c r="R34" s="114"/>
      <c r="S34" s="345">
        <f>P34/P42</f>
        <v>0.009090909091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3413.0</v>
      </c>
      <c r="B35" s="420" t="s">
        <v>10023</v>
      </c>
      <c r="C35" s="420">
        <v>2007.0</v>
      </c>
      <c r="D35" s="497">
        <v>39247.0</v>
      </c>
      <c r="E35" s="420" t="s">
        <v>10024</v>
      </c>
      <c r="F35" s="420" t="s">
        <v>6214</v>
      </c>
      <c r="G35" s="420" t="s">
        <v>547</v>
      </c>
      <c r="H35" s="420" t="s">
        <v>1002</v>
      </c>
      <c r="I35" s="497">
        <v>41386.0</v>
      </c>
      <c r="J35" s="422">
        <v>4.0</v>
      </c>
      <c r="K35" s="638" t="s">
        <v>234</v>
      </c>
      <c r="L35" s="420" t="s">
        <v>256</v>
      </c>
      <c r="M35" s="316">
        <f t="shared" si="1"/>
        <v>2139</v>
      </c>
      <c r="N35" s="198"/>
      <c r="O35" s="322">
        <v>2007.0</v>
      </c>
      <c r="P35" s="346">
        <f>COUNTIF($C$2:$C$503,"2007")</f>
        <v>9</v>
      </c>
      <c r="Q35" s="113"/>
      <c r="R35" s="114"/>
      <c r="S35" s="343">
        <f>(P35/P42)</f>
        <v>0.08181818182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3513.0</v>
      </c>
      <c r="B36" s="426" t="s">
        <v>10025</v>
      </c>
      <c r="C36" s="426">
        <v>2009.0</v>
      </c>
      <c r="D36" s="500">
        <v>40051.0</v>
      </c>
      <c r="E36" s="426" t="s">
        <v>10026</v>
      </c>
      <c r="F36" s="426" t="s">
        <v>10027</v>
      </c>
      <c r="G36" s="426" t="s">
        <v>650</v>
      </c>
      <c r="H36" s="426" t="s">
        <v>1002</v>
      </c>
      <c r="I36" s="500">
        <v>41387.0</v>
      </c>
      <c r="J36" s="428">
        <v>4.0</v>
      </c>
      <c r="K36" s="635" t="s">
        <v>228</v>
      </c>
      <c r="L36" s="428" t="s">
        <v>256</v>
      </c>
      <c r="M36" s="319">
        <f t="shared" si="1"/>
        <v>1336</v>
      </c>
      <c r="N36" s="198"/>
      <c r="O36" s="321">
        <v>2008.0</v>
      </c>
      <c r="P36" s="344">
        <f>COUNTIF($C$2:$C$503,"2008")</f>
        <v>14</v>
      </c>
      <c r="Q36" s="113"/>
      <c r="R36" s="114"/>
      <c r="S36" s="345">
        <f>(P36/P42)</f>
        <v>0.1272727273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3613.0</v>
      </c>
      <c r="B37" s="420" t="s">
        <v>10028</v>
      </c>
      <c r="C37" s="420">
        <v>2010.0</v>
      </c>
      <c r="D37" s="497">
        <v>40248.0</v>
      </c>
      <c r="E37" s="420" t="s">
        <v>10029</v>
      </c>
      <c r="F37" s="420" t="s">
        <v>10030</v>
      </c>
      <c r="G37" s="420" t="s">
        <v>552</v>
      </c>
      <c r="H37" s="420" t="s">
        <v>9672</v>
      </c>
      <c r="I37" s="497">
        <v>41390.0</v>
      </c>
      <c r="J37" s="422">
        <v>4.0</v>
      </c>
      <c r="K37" s="638" t="s">
        <v>234</v>
      </c>
      <c r="L37" s="420" t="s">
        <v>256</v>
      </c>
      <c r="M37" s="316">
        <f t="shared" si="1"/>
        <v>1142</v>
      </c>
      <c r="N37" s="198"/>
      <c r="O37" s="322">
        <v>2009.0</v>
      </c>
      <c r="P37" s="346">
        <f>COUNTIF($C$2:$C$503,"2009")</f>
        <v>25</v>
      </c>
      <c r="Q37" s="113"/>
      <c r="R37" s="114"/>
      <c r="S37" s="343">
        <f>(P37/P42)</f>
        <v>0.2272727273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3713.0</v>
      </c>
      <c r="B38" s="426" t="s">
        <v>10031</v>
      </c>
      <c r="C38" s="426">
        <v>2010.0</v>
      </c>
      <c r="D38" s="500">
        <v>40403.0</v>
      </c>
      <c r="E38" s="426" t="s">
        <v>10032</v>
      </c>
      <c r="F38" s="426" t="s">
        <v>2873</v>
      </c>
      <c r="G38" s="426" t="s">
        <v>17</v>
      </c>
      <c r="H38" s="426" t="s">
        <v>3662</v>
      </c>
      <c r="I38" s="500">
        <v>41390.0</v>
      </c>
      <c r="J38" s="428">
        <v>4.0</v>
      </c>
      <c r="K38" s="635" t="s">
        <v>228</v>
      </c>
      <c r="L38" s="428" t="s">
        <v>258</v>
      </c>
      <c r="M38" s="319">
        <f t="shared" si="1"/>
        <v>987</v>
      </c>
      <c r="N38" s="198"/>
      <c r="O38" s="321">
        <v>2010.0</v>
      </c>
      <c r="P38" s="344">
        <f>COUNTIF($C$2:$C$503,"2010")</f>
        <v>40</v>
      </c>
      <c r="Q38" s="113"/>
      <c r="R38" s="114"/>
      <c r="S38" s="345">
        <f>(P38/P42)</f>
        <v>0.3636363636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3813.0</v>
      </c>
      <c r="B39" s="420" t="s">
        <v>10033</v>
      </c>
      <c r="C39" s="420">
        <v>2010.0</v>
      </c>
      <c r="D39" s="497">
        <v>40280.0</v>
      </c>
      <c r="E39" s="420" t="s">
        <v>10034</v>
      </c>
      <c r="F39" s="420" t="s">
        <v>765</v>
      </c>
      <c r="G39" s="420" t="s">
        <v>552</v>
      </c>
      <c r="H39" s="420" t="s">
        <v>7777</v>
      </c>
      <c r="I39" s="497">
        <v>41393.0</v>
      </c>
      <c r="J39" s="422">
        <v>4.0</v>
      </c>
      <c r="K39" s="635" t="s">
        <v>228</v>
      </c>
      <c r="L39" s="420" t="s">
        <v>256</v>
      </c>
      <c r="M39" s="316">
        <f t="shared" si="1"/>
        <v>1113</v>
      </c>
      <c r="N39" s="198"/>
      <c r="O39" s="322">
        <v>2011.0</v>
      </c>
      <c r="P39" s="346">
        <f>COUNTIF($C$2:$C$503,"2011")</f>
        <v>14</v>
      </c>
      <c r="Q39" s="113"/>
      <c r="R39" s="114"/>
      <c r="S39" s="343">
        <f>(P39/P42)</f>
        <v>0.1272727273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3913.0</v>
      </c>
      <c r="B40" s="426" t="s">
        <v>10035</v>
      </c>
      <c r="C40" s="426">
        <v>2009.0</v>
      </c>
      <c r="D40" s="500">
        <v>39988.0</v>
      </c>
      <c r="E40" s="426" t="s">
        <v>10036</v>
      </c>
      <c r="F40" s="426" t="s">
        <v>963</v>
      </c>
      <c r="G40" s="426" t="s">
        <v>17</v>
      </c>
      <c r="H40" s="426" t="s">
        <v>740</v>
      </c>
      <c r="I40" s="500">
        <v>41408.0</v>
      </c>
      <c r="J40" s="428">
        <v>5.0</v>
      </c>
      <c r="K40" s="635" t="s">
        <v>228</v>
      </c>
      <c r="L40" s="428" t="s">
        <v>258</v>
      </c>
      <c r="M40" s="319">
        <f t="shared" si="1"/>
        <v>1420</v>
      </c>
      <c r="N40" s="198"/>
      <c r="O40" s="321">
        <v>2012.0</v>
      </c>
      <c r="P40" s="344">
        <f>COUNTIF($C$2:$C$503,"2012")</f>
        <v>7</v>
      </c>
      <c r="Q40" s="113"/>
      <c r="R40" s="114"/>
      <c r="S40" s="345">
        <f>(P40/P42)</f>
        <v>0.06363636364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419">
        <v>4013.0</v>
      </c>
      <c r="B41" s="420" t="s">
        <v>10037</v>
      </c>
      <c r="C41" s="420">
        <v>2010.0</v>
      </c>
      <c r="D41" s="497">
        <v>40301.0</v>
      </c>
      <c r="E41" s="420" t="s">
        <v>10038</v>
      </c>
      <c r="F41" s="420" t="s">
        <v>1170</v>
      </c>
      <c r="G41" s="420" t="s">
        <v>17</v>
      </c>
      <c r="H41" s="420" t="s">
        <v>1178</v>
      </c>
      <c r="I41" s="497">
        <v>41410.0</v>
      </c>
      <c r="J41" s="422">
        <v>5.0</v>
      </c>
      <c r="K41" s="638" t="s">
        <v>234</v>
      </c>
      <c r="L41" s="420" t="s">
        <v>256</v>
      </c>
      <c r="M41" s="316">
        <f t="shared" si="1"/>
        <v>1109</v>
      </c>
      <c r="N41" s="198"/>
      <c r="O41" s="322">
        <v>2013.0</v>
      </c>
      <c r="P41" s="346">
        <f>COUNTIF($C$2:$C$503,"2013")</f>
        <v>0</v>
      </c>
      <c r="Q41" s="113"/>
      <c r="R41" s="114"/>
      <c r="S41" s="343">
        <f>(P41/P42)</f>
        <v>0</v>
      </c>
      <c r="T41" s="25"/>
      <c r="U41" s="198"/>
      <c r="V41" s="198"/>
      <c r="W41" s="198"/>
      <c r="X41" s="198"/>
      <c r="Y41" s="198"/>
      <c r="Z41" s="198"/>
    </row>
    <row r="42" ht="13.5" customHeight="1">
      <c r="A42" s="425">
        <v>4113.0</v>
      </c>
      <c r="B42" s="426" t="s">
        <v>10039</v>
      </c>
      <c r="C42" s="426">
        <v>2010.0</v>
      </c>
      <c r="D42" s="500">
        <v>40344.0</v>
      </c>
      <c r="E42" s="426" t="s">
        <v>10040</v>
      </c>
      <c r="F42" s="426" t="s">
        <v>1544</v>
      </c>
      <c r="G42" s="426" t="s">
        <v>17</v>
      </c>
      <c r="H42" s="426" t="s">
        <v>1178</v>
      </c>
      <c r="I42" s="500">
        <v>41410.0</v>
      </c>
      <c r="J42" s="428">
        <v>5.0</v>
      </c>
      <c r="K42" s="638" t="s">
        <v>234</v>
      </c>
      <c r="L42" s="428" t="s">
        <v>254</v>
      </c>
      <c r="M42" s="319">
        <f t="shared" si="1"/>
        <v>1066</v>
      </c>
      <c r="N42" s="198"/>
      <c r="O42" s="348" t="s">
        <v>179</v>
      </c>
      <c r="P42" s="349">
        <f>SUM(P29:R41)</f>
        <v>110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3.5" customHeight="1">
      <c r="A43" s="419">
        <v>4213.0</v>
      </c>
      <c r="B43" s="420" t="s">
        <v>10041</v>
      </c>
      <c r="C43" s="420">
        <v>2011.0</v>
      </c>
      <c r="D43" s="497">
        <v>40827.0</v>
      </c>
      <c r="E43" s="420" t="s">
        <v>10042</v>
      </c>
      <c r="F43" s="623" t="s">
        <v>2606</v>
      </c>
      <c r="G43" s="420" t="s">
        <v>565</v>
      </c>
      <c r="H43" s="420" t="s">
        <v>10043</v>
      </c>
      <c r="I43" s="497">
        <v>41410.0</v>
      </c>
      <c r="J43" s="422">
        <v>5.0</v>
      </c>
      <c r="K43" s="636" t="s">
        <v>244</v>
      </c>
      <c r="L43" s="420" t="s">
        <v>260</v>
      </c>
      <c r="M43" s="316">
        <f t="shared" si="1"/>
        <v>583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425">
        <v>4313.0</v>
      </c>
      <c r="B44" s="426" t="s">
        <v>10044</v>
      </c>
      <c r="C44" s="426">
        <v>2007.0</v>
      </c>
      <c r="D44" s="500">
        <v>39119.0</v>
      </c>
      <c r="E44" s="426" t="s">
        <v>10045</v>
      </c>
      <c r="F44" s="426" t="s">
        <v>701</v>
      </c>
      <c r="G44" s="426" t="s">
        <v>650</v>
      </c>
      <c r="H44" s="426" t="s">
        <v>158</v>
      </c>
      <c r="I44" s="500">
        <v>41422.0</v>
      </c>
      <c r="J44" s="428">
        <v>5.0</v>
      </c>
      <c r="K44" s="637" t="s">
        <v>238</v>
      </c>
      <c r="L44" s="428" t="s">
        <v>256</v>
      </c>
      <c r="M44" s="319">
        <f t="shared" si="1"/>
        <v>2303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4413.0</v>
      </c>
      <c r="B45" s="420" t="s">
        <v>10046</v>
      </c>
      <c r="C45" s="420">
        <v>2010.0</v>
      </c>
      <c r="D45" s="497">
        <v>40358.0</v>
      </c>
      <c r="E45" s="420" t="s">
        <v>10047</v>
      </c>
      <c r="F45" s="420" t="s">
        <v>10048</v>
      </c>
      <c r="G45" s="420" t="s">
        <v>17</v>
      </c>
      <c r="H45" s="420" t="s">
        <v>5826</v>
      </c>
      <c r="I45" s="497">
        <v>41425.0</v>
      </c>
      <c r="J45" s="422">
        <v>5.0</v>
      </c>
      <c r="K45" s="637" t="s">
        <v>238</v>
      </c>
      <c r="L45" s="420" t="s">
        <v>256</v>
      </c>
      <c r="M45" s="316">
        <f t="shared" si="1"/>
        <v>1067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4513.0</v>
      </c>
      <c r="B46" s="426" t="s">
        <v>10049</v>
      </c>
      <c r="C46" s="426">
        <v>2009.0</v>
      </c>
      <c r="D46" s="500">
        <v>40091.0</v>
      </c>
      <c r="E46" s="426" t="s">
        <v>10050</v>
      </c>
      <c r="F46" s="426" t="s">
        <v>563</v>
      </c>
      <c r="G46" s="426" t="s">
        <v>17</v>
      </c>
      <c r="H46" s="426" t="s">
        <v>163</v>
      </c>
      <c r="I46" s="500">
        <v>41425.0</v>
      </c>
      <c r="J46" s="428">
        <v>5.0</v>
      </c>
      <c r="K46" s="638" t="s">
        <v>234</v>
      </c>
      <c r="L46" s="428" t="s">
        <v>256</v>
      </c>
      <c r="M46" s="319">
        <f t="shared" si="1"/>
        <v>1334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4613.0</v>
      </c>
      <c r="B47" s="420" t="s">
        <v>10051</v>
      </c>
      <c r="C47" s="420">
        <v>2009.0</v>
      </c>
      <c r="D47" s="497">
        <v>39946.0</v>
      </c>
      <c r="E47" s="420" t="s">
        <v>10052</v>
      </c>
      <c r="F47" s="420" t="s">
        <v>963</v>
      </c>
      <c r="G47" s="420" t="s">
        <v>552</v>
      </c>
      <c r="H47" s="420" t="s">
        <v>1501</v>
      </c>
      <c r="I47" s="497">
        <v>41429.0</v>
      </c>
      <c r="J47" s="422">
        <v>6.0</v>
      </c>
      <c r="K47" s="637" t="s">
        <v>238</v>
      </c>
      <c r="L47" s="420" t="s">
        <v>258</v>
      </c>
      <c r="M47" s="316">
        <f t="shared" si="1"/>
        <v>1483</v>
      </c>
      <c r="N47" s="198"/>
      <c r="O47" s="353" t="s">
        <v>195</v>
      </c>
      <c r="P47" s="342">
        <f>COUNTIF($J$2:$J$476,"1")</f>
        <v>11</v>
      </c>
      <c r="Q47" s="332"/>
      <c r="R47" s="333"/>
      <c r="S47" s="354">
        <f>(P47/P59)</f>
        <v>0.1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4713.0</v>
      </c>
      <c r="B48" s="426" t="s">
        <v>10053</v>
      </c>
      <c r="C48" s="426">
        <v>2008.0</v>
      </c>
      <c r="D48" s="500">
        <v>39475.0</v>
      </c>
      <c r="E48" s="426" t="s">
        <v>10054</v>
      </c>
      <c r="F48" s="426" t="s">
        <v>31</v>
      </c>
      <c r="G48" s="426" t="s">
        <v>552</v>
      </c>
      <c r="H48" s="426" t="s">
        <v>596</v>
      </c>
      <c r="I48" s="500">
        <v>41429.0</v>
      </c>
      <c r="J48" s="428">
        <v>6.0</v>
      </c>
      <c r="K48" s="636" t="s">
        <v>244</v>
      </c>
      <c r="L48" s="428" t="s">
        <v>258</v>
      </c>
      <c r="M48" s="319">
        <f t="shared" si="1"/>
        <v>1954</v>
      </c>
      <c r="N48" s="198"/>
      <c r="O48" s="321" t="s">
        <v>197</v>
      </c>
      <c r="P48" s="344">
        <f>COUNTIF($J$2:$J$476,"2")</f>
        <v>5</v>
      </c>
      <c r="Q48" s="113"/>
      <c r="R48" s="114"/>
      <c r="S48" s="345">
        <f>(P48/P59)</f>
        <v>0.04545454545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4813.0</v>
      </c>
      <c r="B49" s="420" t="s">
        <v>10055</v>
      </c>
      <c r="C49" s="420">
        <v>2010.0</v>
      </c>
      <c r="D49" s="497">
        <v>40424.0</v>
      </c>
      <c r="E49" s="420" t="s">
        <v>10056</v>
      </c>
      <c r="F49" s="420" t="s">
        <v>2071</v>
      </c>
      <c r="G49" s="420" t="s">
        <v>552</v>
      </c>
      <c r="H49" s="420" t="s">
        <v>9054</v>
      </c>
      <c r="I49" s="497">
        <v>41431.0</v>
      </c>
      <c r="J49" s="422">
        <v>6.0</v>
      </c>
      <c r="K49" s="637" t="s">
        <v>238</v>
      </c>
      <c r="L49" s="420" t="s">
        <v>258</v>
      </c>
      <c r="M49" s="316">
        <f t="shared" si="1"/>
        <v>1007</v>
      </c>
      <c r="N49" s="198"/>
      <c r="O49" s="322" t="s">
        <v>199</v>
      </c>
      <c r="P49" s="346">
        <f>COUNTIF($J$2:$J$476,"3")</f>
        <v>8</v>
      </c>
      <c r="Q49" s="113"/>
      <c r="R49" s="114"/>
      <c r="S49" s="343">
        <f>(P49/P59)</f>
        <v>0.07272727273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4913.0</v>
      </c>
      <c r="B50" s="426" t="s">
        <v>10057</v>
      </c>
      <c r="C50" s="426">
        <v>2010.0</v>
      </c>
      <c r="D50" s="500">
        <v>40441.0</v>
      </c>
      <c r="E50" s="426" t="s">
        <v>10058</v>
      </c>
      <c r="F50" s="426" t="s">
        <v>2071</v>
      </c>
      <c r="G50" s="426" t="s">
        <v>552</v>
      </c>
      <c r="H50" s="426" t="s">
        <v>9054</v>
      </c>
      <c r="I50" s="500">
        <v>41449.0</v>
      </c>
      <c r="J50" s="428">
        <v>6.0</v>
      </c>
      <c r="K50" s="637" t="s">
        <v>238</v>
      </c>
      <c r="L50" s="428" t="s">
        <v>258</v>
      </c>
      <c r="M50" s="319">
        <f t="shared" si="1"/>
        <v>1008</v>
      </c>
      <c r="N50" s="198"/>
      <c r="O50" s="321" t="s">
        <v>201</v>
      </c>
      <c r="P50" s="344">
        <f>COUNTIF($J$2:$J$476,"4")</f>
        <v>14</v>
      </c>
      <c r="Q50" s="113"/>
      <c r="R50" s="114"/>
      <c r="S50" s="345">
        <f>(P50/P59)</f>
        <v>0.1272727273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5013.0</v>
      </c>
      <c r="B51" s="420" t="s">
        <v>10059</v>
      </c>
      <c r="C51" s="420">
        <v>2010.0</v>
      </c>
      <c r="D51" s="497">
        <v>40375.0</v>
      </c>
      <c r="E51" s="420" t="s">
        <v>10060</v>
      </c>
      <c r="F51" s="420" t="s">
        <v>2873</v>
      </c>
      <c r="G51" s="420" t="s">
        <v>17</v>
      </c>
      <c r="H51" s="420" t="s">
        <v>5171</v>
      </c>
      <c r="I51" s="497">
        <v>41449.0</v>
      </c>
      <c r="J51" s="422">
        <v>6.0</v>
      </c>
      <c r="K51" s="635" t="s">
        <v>228</v>
      </c>
      <c r="L51" s="420" t="s">
        <v>258</v>
      </c>
      <c r="M51" s="316">
        <f t="shared" si="1"/>
        <v>1074</v>
      </c>
      <c r="N51" s="198"/>
      <c r="O51" s="322" t="s">
        <v>203</v>
      </c>
      <c r="P51" s="346">
        <f>COUNTIF($J$2:$J$476,"5")</f>
        <v>7</v>
      </c>
      <c r="Q51" s="113"/>
      <c r="R51" s="114"/>
      <c r="S51" s="343">
        <f>(P51/P59)</f>
        <v>0.06363636364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5113.0</v>
      </c>
      <c r="B52" s="426" t="s">
        <v>10061</v>
      </c>
      <c r="C52" s="426">
        <v>2010.0</v>
      </c>
      <c r="D52" s="500">
        <v>40319.0</v>
      </c>
      <c r="E52" s="426" t="s">
        <v>10062</v>
      </c>
      <c r="F52" s="426" t="s">
        <v>963</v>
      </c>
      <c r="G52" s="426" t="s">
        <v>17</v>
      </c>
      <c r="H52" s="426" t="s">
        <v>5732</v>
      </c>
      <c r="I52" s="500">
        <v>41451.0</v>
      </c>
      <c r="J52" s="428">
        <v>6.0</v>
      </c>
      <c r="K52" s="635" t="s">
        <v>228</v>
      </c>
      <c r="L52" s="428" t="s">
        <v>258</v>
      </c>
      <c r="M52" s="319">
        <f t="shared" si="1"/>
        <v>1132</v>
      </c>
      <c r="N52" s="198"/>
      <c r="O52" s="321" t="s">
        <v>205</v>
      </c>
      <c r="P52" s="344">
        <f>COUNTIF($J$2:$J$476,"6")</f>
        <v>10</v>
      </c>
      <c r="Q52" s="113"/>
      <c r="R52" s="114"/>
      <c r="S52" s="345">
        <f>(P52/P59)</f>
        <v>0.09090909091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419">
        <v>5213.0</v>
      </c>
      <c r="B53" s="420" t="s">
        <v>10063</v>
      </c>
      <c r="C53" s="420">
        <v>2010.0</v>
      </c>
      <c r="D53" s="497">
        <v>40438.0</v>
      </c>
      <c r="E53" s="420" t="s">
        <v>10064</v>
      </c>
      <c r="F53" s="420" t="s">
        <v>65</v>
      </c>
      <c r="G53" s="420" t="s">
        <v>17</v>
      </c>
      <c r="H53" s="420" t="s">
        <v>125</v>
      </c>
      <c r="I53" s="497">
        <v>41451.0</v>
      </c>
      <c r="J53" s="422">
        <v>6.0</v>
      </c>
      <c r="K53" s="635" t="s">
        <v>228</v>
      </c>
      <c r="L53" s="420" t="s">
        <v>254</v>
      </c>
      <c r="M53" s="316">
        <f t="shared" si="1"/>
        <v>1013</v>
      </c>
      <c r="N53" s="198"/>
      <c r="O53" s="322" t="s">
        <v>207</v>
      </c>
      <c r="P53" s="346">
        <f>COUNTIF($J$2:$J$476,"7")</f>
        <v>11</v>
      </c>
      <c r="Q53" s="113"/>
      <c r="R53" s="114"/>
      <c r="S53" s="343">
        <f>(P53/P59)</f>
        <v>0.1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5313.0</v>
      </c>
      <c r="B54" s="426" t="s">
        <v>10065</v>
      </c>
      <c r="C54" s="426">
        <v>2008.0</v>
      </c>
      <c r="D54" s="500">
        <v>39695.0</v>
      </c>
      <c r="E54" s="426" t="s">
        <v>10066</v>
      </c>
      <c r="F54" s="426" t="s">
        <v>102</v>
      </c>
      <c r="G54" s="426" t="s">
        <v>650</v>
      </c>
      <c r="H54" s="426" t="s">
        <v>158</v>
      </c>
      <c r="I54" s="500">
        <v>41453.0</v>
      </c>
      <c r="J54" s="428">
        <v>6.0</v>
      </c>
      <c r="K54" s="638" t="s">
        <v>234</v>
      </c>
      <c r="L54" s="428" t="s">
        <v>258</v>
      </c>
      <c r="M54" s="319">
        <f t="shared" si="1"/>
        <v>1758</v>
      </c>
      <c r="N54" s="198"/>
      <c r="O54" s="321" t="s">
        <v>209</v>
      </c>
      <c r="P54" s="344">
        <f>COUNTIF($J$2:$J$476,"8")</f>
        <v>12</v>
      </c>
      <c r="Q54" s="113"/>
      <c r="R54" s="114"/>
      <c r="S54" s="345">
        <f>(P54/P59)</f>
        <v>0.1090909091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5413.0</v>
      </c>
      <c r="B55" s="420" t="s">
        <v>10067</v>
      </c>
      <c r="C55" s="420">
        <v>2007.0</v>
      </c>
      <c r="D55" s="497">
        <v>39414.0</v>
      </c>
      <c r="E55" s="420" t="s">
        <v>10068</v>
      </c>
      <c r="F55" s="420" t="s">
        <v>6584</v>
      </c>
      <c r="G55" s="420" t="s">
        <v>17</v>
      </c>
      <c r="H55" s="420" t="s">
        <v>740</v>
      </c>
      <c r="I55" s="497">
        <v>41453.0</v>
      </c>
      <c r="J55" s="422">
        <v>6.0</v>
      </c>
      <c r="K55" s="637" t="s">
        <v>238</v>
      </c>
      <c r="L55" s="420" t="s">
        <v>256</v>
      </c>
      <c r="M55" s="316">
        <f t="shared" si="1"/>
        <v>2039</v>
      </c>
      <c r="N55" s="198"/>
      <c r="O55" s="322" t="s">
        <v>211</v>
      </c>
      <c r="P55" s="346">
        <f>COUNTIF($J$2:$J$476,"9")</f>
        <v>11</v>
      </c>
      <c r="Q55" s="113"/>
      <c r="R55" s="114"/>
      <c r="S55" s="343">
        <f>(P55/P59)</f>
        <v>0.1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5513.0</v>
      </c>
      <c r="B56" s="426" t="s">
        <v>10069</v>
      </c>
      <c r="C56" s="426">
        <v>2009.0</v>
      </c>
      <c r="D56" s="500">
        <v>39892.0</v>
      </c>
      <c r="E56" s="426" t="s">
        <v>10070</v>
      </c>
      <c r="F56" s="426" t="s">
        <v>2311</v>
      </c>
      <c r="G56" s="426" t="s">
        <v>17</v>
      </c>
      <c r="H56" s="426" t="s">
        <v>596</v>
      </c>
      <c r="I56" s="500">
        <v>41453.0</v>
      </c>
      <c r="J56" s="428">
        <v>6.0</v>
      </c>
      <c r="K56" s="638" t="s">
        <v>234</v>
      </c>
      <c r="L56" s="428" t="s">
        <v>256</v>
      </c>
      <c r="M56" s="319">
        <f t="shared" si="1"/>
        <v>1561</v>
      </c>
      <c r="N56" s="198"/>
      <c r="O56" s="321" t="s">
        <v>213</v>
      </c>
      <c r="P56" s="344">
        <f>COUNTIF($J$2:$J$476,"10")</f>
        <v>7</v>
      </c>
      <c r="Q56" s="113"/>
      <c r="R56" s="114"/>
      <c r="S56" s="345">
        <f>(P56/P59)</f>
        <v>0.06363636364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5613.0</v>
      </c>
      <c r="B57" s="420" t="s">
        <v>10071</v>
      </c>
      <c r="C57" s="420">
        <v>2010.0</v>
      </c>
      <c r="D57" s="497">
        <v>40501.0</v>
      </c>
      <c r="E57" s="420" t="s">
        <v>10072</v>
      </c>
      <c r="F57" s="420" t="s">
        <v>31</v>
      </c>
      <c r="G57" s="420" t="s">
        <v>17</v>
      </c>
      <c r="H57" s="420" t="s">
        <v>5016</v>
      </c>
      <c r="I57" s="497">
        <v>41456.0</v>
      </c>
      <c r="J57" s="422">
        <v>7.0</v>
      </c>
      <c r="K57" s="638" t="s">
        <v>234</v>
      </c>
      <c r="L57" s="420" t="s">
        <v>258</v>
      </c>
      <c r="M57" s="316">
        <f t="shared" si="1"/>
        <v>955</v>
      </c>
      <c r="N57" s="198"/>
      <c r="O57" s="322" t="s">
        <v>215</v>
      </c>
      <c r="P57" s="346">
        <f>COUNTIF($J$2:$J$476,"11")</f>
        <v>10</v>
      </c>
      <c r="Q57" s="113"/>
      <c r="R57" s="114"/>
      <c r="S57" s="343">
        <f>(P57/P59)</f>
        <v>0.09090909091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5713.0</v>
      </c>
      <c r="B58" s="426" t="s">
        <v>10073</v>
      </c>
      <c r="C58" s="426">
        <v>2011.0</v>
      </c>
      <c r="D58" s="500">
        <v>40668.0</v>
      </c>
      <c r="E58" s="426" t="s">
        <v>10074</v>
      </c>
      <c r="F58" s="622" t="s">
        <v>10075</v>
      </c>
      <c r="G58" s="426" t="s">
        <v>565</v>
      </c>
      <c r="H58" s="426" t="s">
        <v>2550</v>
      </c>
      <c r="I58" s="500">
        <v>41456.0</v>
      </c>
      <c r="J58" s="428">
        <v>7.0</v>
      </c>
      <c r="K58" s="636" t="s">
        <v>244</v>
      </c>
      <c r="L58" s="428" t="s">
        <v>260</v>
      </c>
      <c r="M58" s="319">
        <f t="shared" si="1"/>
        <v>788</v>
      </c>
      <c r="N58" s="198"/>
      <c r="O58" s="355" t="s">
        <v>217</v>
      </c>
      <c r="P58" s="344">
        <f>COUNTIF($J$2:$J$476,"12")</f>
        <v>4</v>
      </c>
      <c r="Q58" s="113"/>
      <c r="R58" s="114"/>
      <c r="S58" s="356">
        <f>(P58/P59)</f>
        <v>0.03636363636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5813.0</v>
      </c>
      <c r="B59" s="420" t="s">
        <v>10076</v>
      </c>
      <c r="C59" s="420">
        <v>2011.0</v>
      </c>
      <c r="D59" s="497">
        <v>40778.0</v>
      </c>
      <c r="E59" s="420" t="s">
        <v>10077</v>
      </c>
      <c r="F59" s="420" t="s">
        <v>4029</v>
      </c>
      <c r="G59" s="420" t="s">
        <v>552</v>
      </c>
      <c r="H59" s="420" t="s">
        <v>56</v>
      </c>
      <c r="I59" s="497">
        <v>41456.0</v>
      </c>
      <c r="J59" s="422">
        <v>7.0</v>
      </c>
      <c r="K59" s="638" t="s">
        <v>234</v>
      </c>
      <c r="L59" s="420" t="s">
        <v>256</v>
      </c>
      <c r="M59" s="316">
        <f t="shared" si="1"/>
        <v>678</v>
      </c>
      <c r="N59" s="198"/>
      <c r="O59" s="348" t="s">
        <v>219</v>
      </c>
      <c r="P59" s="349">
        <f>SUM(P47:R58)</f>
        <v>110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5913.0</v>
      </c>
      <c r="B60" s="426" t="s">
        <v>10078</v>
      </c>
      <c r="C60" s="426">
        <v>2010.0</v>
      </c>
      <c r="D60" s="500">
        <v>40534.0</v>
      </c>
      <c r="E60" s="426" t="s">
        <v>10079</v>
      </c>
      <c r="F60" s="426" t="s">
        <v>1823</v>
      </c>
      <c r="G60" s="426" t="s">
        <v>17</v>
      </c>
      <c r="H60" s="426" t="s">
        <v>163</v>
      </c>
      <c r="I60" s="500">
        <v>41456.0</v>
      </c>
      <c r="J60" s="428">
        <v>7.0</v>
      </c>
      <c r="K60" s="635" t="s">
        <v>228</v>
      </c>
      <c r="L60" s="428" t="s">
        <v>256</v>
      </c>
      <c r="M60" s="319">
        <f t="shared" si="1"/>
        <v>922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6013.0</v>
      </c>
      <c r="B61" s="420" t="s">
        <v>10080</v>
      </c>
      <c r="C61" s="420">
        <v>2010.0</v>
      </c>
      <c r="D61" s="497">
        <v>40464.0</v>
      </c>
      <c r="E61" s="420" t="s">
        <v>10081</v>
      </c>
      <c r="F61" s="420" t="s">
        <v>2873</v>
      </c>
      <c r="G61" s="420" t="s">
        <v>17</v>
      </c>
      <c r="H61" s="420" t="s">
        <v>5016</v>
      </c>
      <c r="I61" s="497">
        <v>41457.0</v>
      </c>
      <c r="J61" s="422">
        <v>7.0</v>
      </c>
      <c r="K61" s="635" t="s">
        <v>228</v>
      </c>
      <c r="L61" s="420" t="s">
        <v>258</v>
      </c>
      <c r="M61" s="316">
        <f t="shared" si="1"/>
        <v>993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3.5" customHeight="1">
      <c r="A62" s="425">
        <v>6113.0</v>
      </c>
      <c r="B62" s="426" t="s">
        <v>10082</v>
      </c>
      <c r="C62" s="426">
        <v>2010.0</v>
      </c>
      <c r="D62" s="500">
        <v>40399.0</v>
      </c>
      <c r="E62" s="426" t="s">
        <v>10083</v>
      </c>
      <c r="F62" s="426" t="s">
        <v>2873</v>
      </c>
      <c r="G62" s="426" t="s">
        <v>17</v>
      </c>
      <c r="H62" s="426" t="s">
        <v>1178</v>
      </c>
      <c r="I62" s="500">
        <v>41457.0</v>
      </c>
      <c r="J62" s="428">
        <v>7.0</v>
      </c>
      <c r="K62" s="635" t="s">
        <v>228</v>
      </c>
      <c r="L62" s="428" t="s">
        <v>258</v>
      </c>
      <c r="M62" s="319">
        <f t="shared" si="1"/>
        <v>1058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419">
        <v>6213.0</v>
      </c>
      <c r="B63" s="420" t="s">
        <v>10084</v>
      </c>
      <c r="C63" s="420">
        <v>2009.0</v>
      </c>
      <c r="D63" s="497">
        <v>39988.0</v>
      </c>
      <c r="E63" s="420" t="s">
        <v>10085</v>
      </c>
      <c r="F63" s="420" t="s">
        <v>10086</v>
      </c>
      <c r="G63" s="420" t="s">
        <v>650</v>
      </c>
      <c r="H63" s="420" t="s">
        <v>651</v>
      </c>
      <c r="I63" s="497">
        <v>41460.0</v>
      </c>
      <c r="J63" s="422">
        <v>7.0</v>
      </c>
      <c r="K63" s="638" t="s">
        <v>234</v>
      </c>
      <c r="L63" s="420" t="s">
        <v>256</v>
      </c>
      <c r="M63" s="316">
        <f t="shared" si="1"/>
        <v>1472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425">
        <v>6313.0</v>
      </c>
      <c r="B64" s="426" t="s">
        <v>10087</v>
      </c>
      <c r="C64" s="426">
        <v>2009.0</v>
      </c>
      <c r="D64" s="500">
        <v>40000.0</v>
      </c>
      <c r="E64" s="426" t="s">
        <v>10088</v>
      </c>
      <c r="F64" s="426" t="s">
        <v>1846</v>
      </c>
      <c r="G64" s="426" t="s">
        <v>552</v>
      </c>
      <c r="H64" s="426" t="s">
        <v>2539</v>
      </c>
      <c r="I64" s="500">
        <v>41467.0</v>
      </c>
      <c r="J64" s="428">
        <v>7.0</v>
      </c>
      <c r="K64" s="637" t="s">
        <v>238</v>
      </c>
      <c r="L64" s="428" t="s">
        <v>258</v>
      </c>
      <c r="M64" s="319">
        <f t="shared" si="1"/>
        <v>1467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31</v>
      </c>
      <c r="T64" s="366">
        <f>(S64/S76)</f>
        <v>0.2818181818</v>
      </c>
      <c r="U64" s="198"/>
      <c r="V64" s="198"/>
      <c r="W64" s="198"/>
      <c r="X64" s="198"/>
      <c r="Y64" s="198"/>
      <c r="Z64" s="198"/>
    </row>
    <row r="65" ht="12.75" customHeight="1">
      <c r="A65" s="419">
        <v>6413.0</v>
      </c>
      <c r="B65" s="420" t="s">
        <v>10089</v>
      </c>
      <c r="C65" s="420">
        <v>2008.0</v>
      </c>
      <c r="D65" s="497">
        <v>39697.0</v>
      </c>
      <c r="E65" s="420" t="s">
        <v>10090</v>
      </c>
      <c r="F65" s="420" t="s">
        <v>2873</v>
      </c>
      <c r="G65" s="420" t="s">
        <v>552</v>
      </c>
      <c r="H65" s="420" t="s">
        <v>9672</v>
      </c>
      <c r="I65" s="497">
        <v>41473.0</v>
      </c>
      <c r="J65" s="422">
        <v>7.0</v>
      </c>
      <c r="K65" s="635" t="s">
        <v>228</v>
      </c>
      <c r="L65" s="420" t="s">
        <v>256</v>
      </c>
      <c r="M65" s="316">
        <f t="shared" si="1"/>
        <v>1776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6513.0</v>
      </c>
      <c r="B66" s="426" t="s">
        <v>10091</v>
      </c>
      <c r="C66" s="426">
        <v>2007.0</v>
      </c>
      <c r="D66" s="500">
        <v>39281.0</v>
      </c>
      <c r="E66" s="426" t="s">
        <v>10092</v>
      </c>
      <c r="F66" s="426" t="s">
        <v>660</v>
      </c>
      <c r="G66" s="426" t="s">
        <v>552</v>
      </c>
      <c r="H66" s="426" t="s">
        <v>7403</v>
      </c>
      <c r="I66" s="500">
        <v>41473.0</v>
      </c>
      <c r="J66" s="428">
        <v>7.0</v>
      </c>
      <c r="K66" s="635" t="s">
        <v>228</v>
      </c>
      <c r="L66" s="428" t="s">
        <v>256</v>
      </c>
      <c r="M66" s="319">
        <f t="shared" si="1"/>
        <v>2192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6613.0</v>
      </c>
      <c r="B67" s="420" t="s">
        <v>10093</v>
      </c>
      <c r="C67" s="420">
        <v>2008.0</v>
      </c>
      <c r="D67" s="497">
        <v>39787.0</v>
      </c>
      <c r="E67" s="420" t="s">
        <v>10094</v>
      </c>
      <c r="F67" s="420" t="s">
        <v>31</v>
      </c>
      <c r="G67" s="420" t="s">
        <v>552</v>
      </c>
      <c r="H67" s="420" t="s">
        <v>740</v>
      </c>
      <c r="I67" s="497">
        <v>41477.0</v>
      </c>
      <c r="J67" s="422">
        <v>7.0</v>
      </c>
      <c r="K67" s="635" t="s">
        <v>228</v>
      </c>
      <c r="L67" s="420" t="s">
        <v>256</v>
      </c>
      <c r="M67" s="316">
        <f t="shared" si="1"/>
        <v>1690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22</v>
      </c>
      <c r="T67" s="374">
        <f>(S67/S76)</f>
        <v>0.2</v>
      </c>
      <c r="U67" s="198"/>
      <c r="V67" s="198"/>
      <c r="W67" s="198"/>
      <c r="X67" s="198"/>
      <c r="Y67" s="198"/>
      <c r="Z67" s="198"/>
    </row>
    <row r="68" ht="12.75" customHeight="1">
      <c r="A68" s="425">
        <v>6713.0</v>
      </c>
      <c r="B68" s="426" t="s">
        <v>10095</v>
      </c>
      <c r="C68" s="426">
        <v>2008.0</v>
      </c>
      <c r="D68" s="500">
        <v>39804.0</v>
      </c>
      <c r="E68" s="426" t="s">
        <v>10096</v>
      </c>
      <c r="F68" s="426" t="s">
        <v>102</v>
      </c>
      <c r="G68" s="426" t="s">
        <v>650</v>
      </c>
      <c r="H68" s="426" t="s">
        <v>158</v>
      </c>
      <c r="I68" s="500">
        <v>41494.0</v>
      </c>
      <c r="J68" s="428">
        <v>8.0</v>
      </c>
      <c r="K68" s="638" t="s">
        <v>234</v>
      </c>
      <c r="L68" s="428" t="s">
        <v>258</v>
      </c>
      <c r="M68" s="319">
        <f t="shared" si="1"/>
        <v>1690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419">
        <v>6813.0</v>
      </c>
      <c r="B69" s="420" t="s">
        <v>10097</v>
      </c>
      <c r="C69" s="420">
        <v>2012.0</v>
      </c>
      <c r="D69" s="497">
        <v>41095.0</v>
      </c>
      <c r="E69" s="420" t="s">
        <v>10098</v>
      </c>
      <c r="F69" s="420" t="s">
        <v>8700</v>
      </c>
      <c r="G69" s="420" t="s">
        <v>569</v>
      </c>
      <c r="H69" s="420" t="s">
        <v>10099</v>
      </c>
      <c r="I69" s="497">
        <v>41495.0</v>
      </c>
      <c r="J69" s="422">
        <v>8.0</v>
      </c>
      <c r="K69" s="636" t="s">
        <v>244</v>
      </c>
      <c r="L69" s="420" t="s">
        <v>260</v>
      </c>
      <c r="M69" s="316">
        <f t="shared" si="1"/>
        <v>400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47</v>
      </c>
      <c r="T69" s="377">
        <f>(S69/S76)</f>
        <v>0.4272727273</v>
      </c>
      <c r="U69" s="198"/>
      <c r="V69" s="198"/>
      <c r="W69" s="198"/>
      <c r="X69" s="198"/>
      <c r="Y69" s="198"/>
      <c r="Z69" s="198"/>
    </row>
    <row r="70" ht="12.75" customHeight="1">
      <c r="A70" s="425">
        <v>6913.0</v>
      </c>
      <c r="B70" s="426" t="s">
        <v>10100</v>
      </c>
      <c r="C70" s="426">
        <v>2012.0</v>
      </c>
      <c r="D70" s="500">
        <v>41095.0</v>
      </c>
      <c r="E70" s="426" t="s">
        <v>10101</v>
      </c>
      <c r="F70" s="426" t="s">
        <v>8700</v>
      </c>
      <c r="G70" s="426" t="s">
        <v>569</v>
      </c>
      <c r="H70" s="426" t="s">
        <v>10099</v>
      </c>
      <c r="I70" s="500">
        <v>41495.0</v>
      </c>
      <c r="J70" s="428">
        <v>8.0</v>
      </c>
      <c r="K70" s="636" t="s">
        <v>244</v>
      </c>
      <c r="L70" s="428" t="s">
        <v>260</v>
      </c>
      <c r="M70" s="319">
        <f t="shared" si="1"/>
        <v>400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7013.0</v>
      </c>
      <c r="B71" s="420" t="s">
        <v>10102</v>
      </c>
      <c r="C71" s="420">
        <v>2009.0</v>
      </c>
      <c r="D71" s="497">
        <v>39923.0</v>
      </c>
      <c r="E71" s="420" t="s">
        <v>10103</v>
      </c>
      <c r="F71" s="420" t="s">
        <v>963</v>
      </c>
      <c r="G71" s="420" t="s">
        <v>552</v>
      </c>
      <c r="H71" s="420" t="s">
        <v>1501</v>
      </c>
      <c r="I71" s="497">
        <v>41495.0</v>
      </c>
      <c r="J71" s="422">
        <v>8.0</v>
      </c>
      <c r="K71" s="637" t="s">
        <v>238</v>
      </c>
      <c r="L71" s="420" t="s">
        <v>258</v>
      </c>
      <c r="M71" s="316">
        <f t="shared" si="1"/>
        <v>1572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3.5" customHeight="1">
      <c r="A72" s="425">
        <v>7113.0</v>
      </c>
      <c r="B72" s="426" t="s">
        <v>10104</v>
      </c>
      <c r="C72" s="426">
        <v>2009.0</v>
      </c>
      <c r="D72" s="500">
        <v>40100.0</v>
      </c>
      <c r="E72" s="426" t="s">
        <v>10105</v>
      </c>
      <c r="F72" s="426" t="s">
        <v>1203</v>
      </c>
      <c r="G72" s="426" t="s">
        <v>17</v>
      </c>
      <c r="H72" s="426" t="s">
        <v>3662</v>
      </c>
      <c r="I72" s="500">
        <v>41498.0</v>
      </c>
      <c r="J72" s="428">
        <v>8.0</v>
      </c>
      <c r="K72" s="637" t="s">
        <v>238</v>
      </c>
      <c r="L72" s="428" t="s">
        <v>256</v>
      </c>
      <c r="M72" s="319">
        <f t="shared" si="1"/>
        <v>1398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7</v>
      </c>
      <c r="T72" s="380">
        <f>(S72/S76)</f>
        <v>0.06363636364</v>
      </c>
      <c r="U72" s="198"/>
      <c r="V72" s="198"/>
      <c r="W72" s="198"/>
      <c r="X72" s="198"/>
      <c r="Y72" s="198"/>
      <c r="Z72" s="198"/>
    </row>
    <row r="73" ht="12.75" customHeight="1">
      <c r="A73" s="419">
        <v>7213.0</v>
      </c>
      <c r="B73" s="420" t="s">
        <v>10106</v>
      </c>
      <c r="C73" s="420">
        <v>2010.0</v>
      </c>
      <c r="D73" s="497">
        <v>40263.0</v>
      </c>
      <c r="E73" s="420" t="s">
        <v>10107</v>
      </c>
      <c r="F73" s="420" t="s">
        <v>1203</v>
      </c>
      <c r="G73" s="420" t="s">
        <v>17</v>
      </c>
      <c r="H73" s="420" t="s">
        <v>5171</v>
      </c>
      <c r="I73" s="497">
        <v>41498.0</v>
      </c>
      <c r="J73" s="422">
        <v>8.0</v>
      </c>
      <c r="K73" s="637" t="s">
        <v>238</v>
      </c>
      <c r="L73" s="420" t="s">
        <v>256</v>
      </c>
      <c r="M73" s="316">
        <f t="shared" si="1"/>
        <v>1235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425">
        <v>7313.0</v>
      </c>
      <c r="B74" s="426" t="s">
        <v>10108</v>
      </c>
      <c r="C74" s="426">
        <v>2009.0</v>
      </c>
      <c r="D74" s="500">
        <v>40011.0</v>
      </c>
      <c r="E74" s="426" t="s">
        <v>10109</v>
      </c>
      <c r="F74" s="426" t="s">
        <v>25</v>
      </c>
      <c r="G74" s="426" t="s">
        <v>17</v>
      </c>
      <c r="H74" s="426" t="s">
        <v>8438</v>
      </c>
      <c r="I74" s="500">
        <v>41499.0</v>
      </c>
      <c r="J74" s="428">
        <v>8.0</v>
      </c>
      <c r="K74" s="637" t="s">
        <v>238</v>
      </c>
      <c r="L74" s="428" t="s">
        <v>256</v>
      </c>
      <c r="M74" s="319">
        <f t="shared" si="1"/>
        <v>1488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3</v>
      </c>
      <c r="T74" s="380">
        <f>(S74/S76)</f>
        <v>0.02727272727</v>
      </c>
      <c r="U74" s="198"/>
      <c r="V74" s="198"/>
      <c r="W74" s="198"/>
      <c r="X74" s="198"/>
      <c r="Y74" s="198"/>
      <c r="Z74" s="198"/>
    </row>
    <row r="75" ht="12.75" customHeight="1">
      <c r="A75" s="419">
        <v>7413.0</v>
      </c>
      <c r="B75" s="420" t="s">
        <v>10110</v>
      </c>
      <c r="C75" s="420">
        <v>2008.0</v>
      </c>
      <c r="D75" s="497">
        <v>39771.0</v>
      </c>
      <c r="E75" s="420" t="s">
        <v>10111</v>
      </c>
      <c r="F75" s="420" t="s">
        <v>2071</v>
      </c>
      <c r="G75" s="420" t="s">
        <v>552</v>
      </c>
      <c r="H75" s="420" t="s">
        <v>163</v>
      </c>
      <c r="I75" s="497">
        <v>41499.0</v>
      </c>
      <c r="J75" s="422">
        <v>8.0</v>
      </c>
      <c r="K75" s="637" t="s">
        <v>238</v>
      </c>
      <c r="L75" s="420" t="s">
        <v>258</v>
      </c>
      <c r="M75" s="316">
        <f t="shared" si="1"/>
        <v>1728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7513.0</v>
      </c>
      <c r="B76" s="426" t="s">
        <v>10112</v>
      </c>
      <c r="C76" s="426">
        <v>2009.0</v>
      </c>
      <c r="D76" s="500">
        <v>39987.0</v>
      </c>
      <c r="E76" s="426" t="s">
        <v>10113</v>
      </c>
      <c r="F76" s="426" t="s">
        <v>8986</v>
      </c>
      <c r="G76" s="426" t="s">
        <v>17</v>
      </c>
      <c r="H76" s="426" t="s">
        <v>740</v>
      </c>
      <c r="I76" s="500">
        <v>41505.0</v>
      </c>
      <c r="J76" s="428">
        <v>8.0</v>
      </c>
      <c r="K76" s="638" t="s">
        <v>234</v>
      </c>
      <c r="L76" s="428" t="s">
        <v>256</v>
      </c>
      <c r="M76" s="319">
        <f t="shared" si="1"/>
        <v>1518</v>
      </c>
      <c r="N76" s="198"/>
      <c r="O76" s="386" t="s">
        <v>219</v>
      </c>
      <c r="P76" s="332"/>
      <c r="Q76" s="332"/>
      <c r="R76" s="387"/>
      <c r="S76" s="388">
        <f>SUM(S64:S75)</f>
        <v>110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7613.0</v>
      </c>
      <c r="B77" s="420" t="s">
        <v>10114</v>
      </c>
      <c r="C77" s="420">
        <v>2006.0</v>
      </c>
      <c r="D77" s="497">
        <v>39072.0</v>
      </c>
      <c r="E77" s="420" t="s">
        <v>10115</v>
      </c>
      <c r="F77" s="420" t="s">
        <v>2667</v>
      </c>
      <c r="G77" s="420" t="s">
        <v>270</v>
      </c>
      <c r="H77" s="420" t="s">
        <v>5180</v>
      </c>
      <c r="I77" s="497">
        <v>41508.0</v>
      </c>
      <c r="J77" s="422">
        <v>8.0</v>
      </c>
      <c r="K77" s="637" t="s">
        <v>238</v>
      </c>
      <c r="L77" s="420" t="s">
        <v>258</v>
      </c>
      <c r="M77" s="316">
        <f t="shared" si="1"/>
        <v>2436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7713.0</v>
      </c>
      <c r="B78" s="426" t="s">
        <v>10116</v>
      </c>
      <c r="C78" s="426">
        <v>2009.0</v>
      </c>
      <c r="D78" s="500">
        <v>39895.0</v>
      </c>
      <c r="E78" s="426" t="s">
        <v>10117</v>
      </c>
      <c r="F78" s="426" t="s">
        <v>102</v>
      </c>
      <c r="G78" s="426" t="s">
        <v>650</v>
      </c>
      <c r="H78" s="426" t="s">
        <v>158</v>
      </c>
      <c r="I78" s="500">
        <v>41508.0</v>
      </c>
      <c r="J78" s="428">
        <v>8.0</v>
      </c>
      <c r="K78" s="638" t="s">
        <v>234</v>
      </c>
      <c r="L78" s="428" t="s">
        <v>258</v>
      </c>
      <c r="M78" s="319">
        <f t="shared" si="1"/>
        <v>1613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419">
        <v>7813.0</v>
      </c>
      <c r="B79" s="420" t="s">
        <v>10118</v>
      </c>
      <c r="C79" s="420">
        <v>2010.0</v>
      </c>
      <c r="D79" s="497">
        <v>40512.0</v>
      </c>
      <c r="E79" s="420" t="s">
        <v>10119</v>
      </c>
      <c r="F79" s="420" t="s">
        <v>2873</v>
      </c>
      <c r="G79" s="420" t="s">
        <v>17</v>
      </c>
      <c r="H79" s="420" t="s">
        <v>2539</v>
      </c>
      <c r="I79" s="497">
        <v>41508.0</v>
      </c>
      <c r="J79" s="422">
        <v>8.0</v>
      </c>
      <c r="K79" s="635" t="s">
        <v>228</v>
      </c>
      <c r="L79" s="420" t="s">
        <v>258</v>
      </c>
      <c r="M79" s="316">
        <f t="shared" si="1"/>
        <v>996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7913.0</v>
      </c>
      <c r="B80" s="426" t="s">
        <v>10120</v>
      </c>
      <c r="C80" s="426">
        <v>2009.0</v>
      </c>
      <c r="D80" s="500">
        <v>39898.0</v>
      </c>
      <c r="E80" s="426" t="s">
        <v>10121</v>
      </c>
      <c r="F80" s="426" t="s">
        <v>25</v>
      </c>
      <c r="G80" s="426" t="s">
        <v>552</v>
      </c>
      <c r="H80" s="426" t="s">
        <v>66</v>
      </c>
      <c r="I80" s="500">
        <v>41522.0</v>
      </c>
      <c r="J80" s="428">
        <v>9.0</v>
      </c>
      <c r="K80" s="638" t="s">
        <v>234</v>
      </c>
      <c r="L80" s="428" t="s">
        <v>256</v>
      </c>
      <c r="M80" s="319">
        <f t="shared" si="1"/>
        <v>1624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4.25" customHeight="1">
      <c r="A81" s="419">
        <v>8013.0</v>
      </c>
      <c r="B81" s="420" t="s">
        <v>10122</v>
      </c>
      <c r="C81" s="420">
        <v>2012.0</v>
      </c>
      <c r="D81" s="497">
        <v>41100.0</v>
      </c>
      <c r="E81" s="420" t="s">
        <v>10123</v>
      </c>
      <c r="F81" s="623" t="s">
        <v>5332</v>
      </c>
      <c r="G81" s="420" t="s">
        <v>565</v>
      </c>
      <c r="H81" s="420" t="s">
        <v>2600</v>
      </c>
      <c r="I81" s="497">
        <v>41527.0</v>
      </c>
      <c r="J81" s="422">
        <v>9.0</v>
      </c>
      <c r="K81" s="636" t="s">
        <v>850</v>
      </c>
      <c r="L81" s="420" t="s">
        <v>260</v>
      </c>
      <c r="M81" s="316">
        <f t="shared" si="1"/>
        <v>427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6</v>
      </c>
      <c r="T81" s="395">
        <f>(S81/S85)</f>
        <v>0.05454545455</v>
      </c>
      <c r="U81" s="198"/>
      <c r="V81" s="198"/>
      <c r="W81" s="198"/>
      <c r="X81" s="198"/>
      <c r="Y81" s="198"/>
      <c r="Z81" s="198"/>
    </row>
    <row r="82" ht="13.5" customHeight="1">
      <c r="A82" s="425">
        <v>8113.0</v>
      </c>
      <c r="B82" s="426" t="s">
        <v>10124</v>
      </c>
      <c r="C82" s="426">
        <v>2010.0</v>
      </c>
      <c r="D82" s="500">
        <v>40203.0</v>
      </c>
      <c r="E82" s="426" t="s">
        <v>10125</v>
      </c>
      <c r="F82" s="426" t="s">
        <v>10126</v>
      </c>
      <c r="G82" s="426" t="s">
        <v>650</v>
      </c>
      <c r="H82" s="426" t="s">
        <v>7777</v>
      </c>
      <c r="I82" s="500">
        <v>41529.0</v>
      </c>
      <c r="J82" s="428">
        <v>9.0</v>
      </c>
      <c r="K82" s="637" t="s">
        <v>238</v>
      </c>
      <c r="L82" s="428" t="s">
        <v>256</v>
      </c>
      <c r="M82" s="319">
        <f t="shared" si="1"/>
        <v>1326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51</v>
      </c>
      <c r="T82" s="398">
        <f>(S82/S85)</f>
        <v>0.4636363636</v>
      </c>
      <c r="U82" s="198"/>
      <c r="V82" s="198"/>
      <c r="W82" s="198"/>
      <c r="X82" s="198"/>
      <c r="Y82" s="198"/>
      <c r="Z82" s="198"/>
    </row>
    <row r="83" ht="13.5" customHeight="1">
      <c r="A83" s="419">
        <v>8213.0</v>
      </c>
      <c r="B83" s="420" t="s">
        <v>10127</v>
      </c>
      <c r="C83" s="420">
        <v>2010.0</v>
      </c>
      <c r="D83" s="497">
        <v>40296.0</v>
      </c>
      <c r="E83" s="420" t="s">
        <v>10128</v>
      </c>
      <c r="F83" s="420" t="s">
        <v>10129</v>
      </c>
      <c r="G83" s="420" t="s">
        <v>650</v>
      </c>
      <c r="H83" s="420" t="s">
        <v>633</v>
      </c>
      <c r="I83" s="497">
        <v>41530.0</v>
      </c>
      <c r="J83" s="422">
        <v>9.0</v>
      </c>
      <c r="K83" s="635" t="s">
        <v>228</v>
      </c>
      <c r="L83" s="420" t="s">
        <v>256</v>
      </c>
      <c r="M83" s="316">
        <f t="shared" si="1"/>
        <v>1234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41</v>
      </c>
      <c r="T83" s="395">
        <f>(S83/S85)</f>
        <v>0.3727272727</v>
      </c>
      <c r="U83" s="198"/>
      <c r="V83" s="198"/>
      <c r="W83" s="198"/>
      <c r="X83" s="198"/>
      <c r="Y83" s="198"/>
      <c r="Z83" s="198"/>
    </row>
    <row r="84" ht="14.25" customHeight="1">
      <c r="A84" s="425">
        <v>8313.0</v>
      </c>
      <c r="B84" s="426" t="s">
        <v>10130</v>
      </c>
      <c r="C84" s="426">
        <v>2010.0</v>
      </c>
      <c r="D84" s="500">
        <v>40399.0</v>
      </c>
      <c r="E84" s="426" t="s">
        <v>10131</v>
      </c>
      <c r="F84" s="426" t="s">
        <v>1203</v>
      </c>
      <c r="G84" s="426" t="s">
        <v>17</v>
      </c>
      <c r="H84" s="426" t="s">
        <v>1178</v>
      </c>
      <c r="I84" s="500">
        <v>41533.0</v>
      </c>
      <c r="J84" s="428">
        <v>9.0</v>
      </c>
      <c r="K84" s="637" t="s">
        <v>238</v>
      </c>
      <c r="L84" s="428" t="s">
        <v>256</v>
      </c>
      <c r="M84" s="319">
        <f t="shared" si="1"/>
        <v>1134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12</v>
      </c>
      <c r="T84" s="398">
        <f>(S84/S85)</f>
        <v>0.1090909091</v>
      </c>
      <c r="U84" s="198"/>
      <c r="V84" s="198"/>
      <c r="W84" s="198"/>
      <c r="X84" s="198"/>
      <c r="Y84" s="198"/>
      <c r="Z84" s="198"/>
    </row>
    <row r="85" ht="12.75" customHeight="1">
      <c r="A85" s="419">
        <v>8413.0</v>
      </c>
      <c r="B85" s="420" t="s">
        <v>10132</v>
      </c>
      <c r="C85" s="420">
        <v>2011.0</v>
      </c>
      <c r="D85" s="497">
        <v>40562.0</v>
      </c>
      <c r="E85" s="420" t="s">
        <v>10133</v>
      </c>
      <c r="F85" s="623" t="s">
        <v>2343</v>
      </c>
      <c r="G85" s="420" t="s">
        <v>565</v>
      </c>
      <c r="H85" s="420" t="s">
        <v>10134</v>
      </c>
      <c r="I85" s="497">
        <v>41533.0</v>
      </c>
      <c r="J85" s="422">
        <v>9.0</v>
      </c>
      <c r="K85" s="635" t="s">
        <v>228</v>
      </c>
      <c r="L85" s="420" t="s">
        <v>260</v>
      </c>
      <c r="M85" s="316">
        <f t="shared" si="1"/>
        <v>971</v>
      </c>
      <c r="N85" s="198"/>
      <c r="O85" s="358" t="s">
        <v>219</v>
      </c>
      <c r="P85" s="359"/>
      <c r="Q85" s="359"/>
      <c r="R85" s="360"/>
      <c r="S85" s="388">
        <f>SUM(S81:S84)</f>
        <v>110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425">
        <v>8513.0</v>
      </c>
      <c r="B86" s="426" t="s">
        <v>10135</v>
      </c>
      <c r="C86" s="426">
        <v>2011.0</v>
      </c>
      <c r="D86" s="500">
        <v>40651.0</v>
      </c>
      <c r="E86" s="426" t="s">
        <v>10136</v>
      </c>
      <c r="F86" s="426" t="s">
        <v>65</v>
      </c>
      <c r="G86" s="426" t="s">
        <v>552</v>
      </c>
      <c r="H86" s="426" t="s">
        <v>740</v>
      </c>
      <c r="I86" s="500">
        <v>41533.0</v>
      </c>
      <c r="J86" s="428">
        <v>9.0</v>
      </c>
      <c r="K86" s="638" t="s">
        <v>234</v>
      </c>
      <c r="L86" s="428" t="s">
        <v>254</v>
      </c>
      <c r="M86" s="319">
        <f t="shared" si="1"/>
        <v>882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4.25" customHeight="1">
      <c r="A87" s="419">
        <v>8613.0</v>
      </c>
      <c r="B87" s="420" t="s">
        <v>10137</v>
      </c>
      <c r="C87" s="420">
        <v>2010.0</v>
      </c>
      <c r="D87" s="497">
        <v>40365.0</v>
      </c>
      <c r="E87" s="420" t="s">
        <v>10138</v>
      </c>
      <c r="F87" s="420" t="s">
        <v>10139</v>
      </c>
      <c r="G87" s="420" t="s">
        <v>565</v>
      </c>
      <c r="H87" s="420" t="s">
        <v>4756</v>
      </c>
      <c r="I87" s="497">
        <v>41534.0</v>
      </c>
      <c r="J87" s="422">
        <v>9.0</v>
      </c>
      <c r="K87" s="638" t="s">
        <v>234</v>
      </c>
      <c r="L87" s="420" t="s">
        <v>260</v>
      </c>
      <c r="M87" s="316">
        <f t="shared" si="1"/>
        <v>1169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425">
        <v>8713.0</v>
      </c>
      <c r="B88" s="426" t="s">
        <v>10140</v>
      </c>
      <c r="C88" s="426">
        <v>2010.0</v>
      </c>
      <c r="D88" s="500">
        <v>40256.0</v>
      </c>
      <c r="E88" s="426" t="s">
        <v>10141</v>
      </c>
      <c r="F88" s="426" t="s">
        <v>2800</v>
      </c>
      <c r="G88" s="426" t="s">
        <v>34</v>
      </c>
      <c r="H88" s="426" t="s">
        <v>651</v>
      </c>
      <c r="I88" s="500">
        <v>41540.0</v>
      </c>
      <c r="J88" s="428">
        <v>9.0</v>
      </c>
      <c r="K88" s="637" t="s">
        <v>238</v>
      </c>
      <c r="L88" s="428" t="s">
        <v>256</v>
      </c>
      <c r="M88" s="319">
        <f t="shared" si="1"/>
        <v>1284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5.0" customHeight="1">
      <c r="A89" s="419">
        <v>8813.0</v>
      </c>
      <c r="B89" s="420" t="s">
        <v>10142</v>
      </c>
      <c r="C89" s="420">
        <v>2010.0</v>
      </c>
      <c r="D89" s="497">
        <v>40477.0</v>
      </c>
      <c r="E89" s="420" t="s">
        <v>10143</v>
      </c>
      <c r="F89" s="420" t="s">
        <v>10144</v>
      </c>
      <c r="G89" s="420" t="s">
        <v>547</v>
      </c>
      <c r="H89" s="420" t="s">
        <v>651</v>
      </c>
      <c r="I89" s="497">
        <v>41540.0</v>
      </c>
      <c r="J89" s="422">
        <v>9.0</v>
      </c>
      <c r="K89" s="637" t="s">
        <v>238</v>
      </c>
      <c r="L89" s="420" t="s">
        <v>256</v>
      </c>
      <c r="M89" s="316">
        <f t="shared" si="1"/>
        <v>1063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425">
        <v>8913.0</v>
      </c>
      <c r="B90" s="426" t="s">
        <v>10145</v>
      </c>
      <c r="C90" s="426">
        <v>2008.0</v>
      </c>
      <c r="D90" s="500">
        <v>39799.0</v>
      </c>
      <c r="E90" s="426" t="s">
        <v>10146</v>
      </c>
      <c r="F90" s="426" t="s">
        <v>2071</v>
      </c>
      <c r="G90" s="426" t="s">
        <v>552</v>
      </c>
      <c r="H90" s="426" t="s">
        <v>163</v>
      </c>
      <c r="I90" s="500">
        <v>41541.0</v>
      </c>
      <c r="J90" s="428">
        <v>9.0</v>
      </c>
      <c r="K90" s="637" t="s">
        <v>238</v>
      </c>
      <c r="L90" s="428" t="s">
        <v>258</v>
      </c>
      <c r="M90" s="319">
        <f t="shared" si="1"/>
        <v>1742</v>
      </c>
      <c r="N90" s="198"/>
      <c r="O90" s="412" t="s">
        <v>270</v>
      </c>
      <c r="P90" s="413">
        <f>AVERAGEIF(G2:G476,"PT",M2:M476)</f>
        <v>2436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9013.0</v>
      </c>
      <c r="B91" s="420" t="s">
        <v>10147</v>
      </c>
      <c r="C91" s="420">
        <v>2011.0</v>
      </c>
      <c r="D91" s="497">
        <v>40732.0</v>
      </c>
      <c r="E91" s="420" t="s">
        <v>10148</v>
      </c>
      <c r="F91" s="420" t="s">
        <v>947</v>
      </c>
      <c r="G91" s="420" t="s">
        <v>17</v>
      </c>
      <c r="H91" s="420" t="s">
        <v>5732</v>
      </c>
      <c r="I91" s="497">
        <v>41550.0</v>
      </c>
      <c r="J91" s="422">
        <v>10.0</v>
      </c>
      <c r="K91" s="635" t="s">
        <v>228</v>
      </c>
      <c r="L91" s="420" t="s">
        <v>258</v>
      </c>
      <c r="M91" s="316">
        <f t="shared" si="1"/>
        <v>818</v>
      </c>
      <c r="N91" s="198"/>
      <c r="O91" s="414" t="s">
        <v>34</v>
      </c>
      <c r="P91" s="415">
        <f>AVERAGEIF(G2:G477,"PTN",M2:M477)</f>
        <v>1755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9113.0</v>
      </c>
      <c r="B92" s="426" t="s">
        <v>10149</v>
      </c>
      <c r="C92" s="426">
        <v>2009.0</v>
      </c>
      <c r="D92" s="500">
        <v>40042.0</v>
      </c>
      <c r="E92" s="426" t="s">
        <v>10150</v>
      </c>
      <c r="F92" s="426" t="s">
        <v>719</v>
      </c>
      <c r="G92" s="426" t="s">
        <v>17</v>
      </c>
      <c r="H92" s="426" t="s">
        <v>66</v>
      </c>
      <c r="I92" s="500">
        <v>41551.0</v>
      </c>
      <c r="J92" s="428">
        <v>10.0</v>
      </c>
      <c r="K92" s="637" t="s">
        <v>238</v>
      </c>
      <c r="L92" s="428" t="s">
        <v>256</v>
      </c>
      <c r="M92" s="319">
        <f t="shared" si="1"/>
        <v>1509</v>
      </c>
      <c r="N92" s="198"/>
      <c r="O92" s="412" t="s">
        <v>17</v>
      </c>
      <c r="P92" s="413">
        <f>AVERAGEIF(G2:G476,"PTE",M2:M476)</f>
        <v>1170.955556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9213.0</v>
      </c>
      <c r="B93" s="420" t="s">
        <v>10151</v>
      </c>
      <c r="C93" s="420">
        <v>2010.0</v>
      </c>
      <c r="D93" s="497">
        <v>40492.0</v>
      </c>
      <c r="E93" s="420" t="s">
        <v>10152</v>
      </c>
      <c r="F93" s="420" t="s">
        <v>947</v>
      </c>
      <c r="G93" s="420" t="s">
        <v>17</v>
      </c>
      <c r="H93" s="420" t="s">
        <v>5732</v>
      </c>
      <c r="I93" s="497">
        <v>41551.0</v>
      </c>
      <c r="J93" s="422">
        <v>10.0</v>
      </c>
      <c r="K93" s="635" t="s">
        <v>228</v>
      </c>
      <c r="L93" s="420" t="s">
        <v>258</v>
      </c>
      <c r="M93" s="316">
        <f t="shared" si="1"/>
        <v>1059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9313.0</v>
      </c>
      <c r="B94" s="426" t="s">
        <v>10153</v>
      </c>
      <c r="C94" s="426">
        <v>2009.0</v>
      </c>
      <c r="D94" s="500">
        <v>40058.0</v>
      </c>
      <c r="E94" s="426" t="s">
        <v>10154</v>
      </c>
      <c r="F94" s="426" t="s">
        <v>134</v>
      </c>
      <c r="G94" s="426" t="s">
        <v>17</v>
      </c>
      <c r="H94" s="426" t="s">
        <v>5171</v>
      </c>
      <c r="I94" s="500">
        <v>41551.0</v>
      </c>
      <c r="J94" s="428">
        <v>10.0</v>
      </c>
      <c r="K94" s="638" t="s">
        <v>234</v>
      </c>
      <c r="L94" s="428" t="s">
        <v>258</v>
      </c>
      <c r="M94" s="319">
        <f t="shared" si="1"/>
        <v>1493</v>
      </c>
      <c r="N94" s="198"/>
      <c r="O94" s="412" t="s">
        <v>650</v>
      </c>
      <c r="P94" s="413">
        <f>AVERAGEIF(G2:G476,"PF",M2:M476)</f>
        <v>1610.888889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9413.0</v>
      </c>
      <c r="B95" s="420" t="s">
        <v>10155</v>
      </c>
      <c r="C95" s="420">
        <v>2008.0</v>
      </c>
      <c r="D95" s="497">
        <v>39750.0</v>
      </c>
      <c r="E95" s="420" t="s">
        <v>10156</v>
      </c>
      <c r="F95" s="420" t="s">
        <v>2192</v>
      </c>
      <c r="G95" s="420" t="s">
        <v>17</v>
      </c>
      <c r="H95" s="420" t="s">
        <v>9672</v>
      </c>
      <c r="I95" s="497">
        <v>41554.0</v>
      </c>
      <c r="J95" s="422">
        <v>10.0</v>
      </c>
      <c r="K95" s="635" t="s">
        <v>228</v>
      </c>
      <c r="L95" s="420" t="s">
        <v>258</v>
      </c>
      <c r="M95" s="316">
        <f t="shared" si="1"/>
        <v>1804</v>
      </c>
      <c r="N95" s="198"/>
      <c r="O95" s="414" t="s">
        <v>547</v>
      </c>
      <c r="P95" s="415">
        <f>AVERAGEIF(G2:G476,"PFN",M2:M476)</f>
        <v>1577.666667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9513.0</v>
      </c>
      <c r="B96" s="426" t="s">
        <v>10157</v>
      </c>
      <c r="C96" s="426">
        <v>2007.0</v>
      </c>
      <c r="D96" s="500">
        <v>39246.0</v>
      </c>
      <c r="E96" s="426" t="s">
        <v>10158</v>
      </c>
      <c r="F96" s="426" t="s">
        <v>10159</v>
      </c>
      <c r="G96" s="426" t="s">
        <v>565</v>
      </c>
      <c r="H96" s="426" t="s">
        <v>10160</v>
      </c>
      <c r="I96" s="500">
        <v>41556.0</v>
      </c>
      <c r="J96" s="428">
        <v>10.0</v>
      </c>
      <c r="K96" s="636" t="s">
        <v>244</v>
      </c>
      <c r="L96" s="428" t="s">
        <v>260</v>
      </c>
      <c r="M96" s="319">
        <f t="shared" si="1"/>
        <v>2310</v>
      </c>
      <c r="N96" s="198"/>
      <c r="O96" s="412" t="s">
        <v>552</v>
      </c>
      <c r="P96" s="413">
        <f>AVERAGEIF(G2:G476,"PF/PTE",M2:M476)</f>
        <v>1280.833333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9613.0</v>
      </c>
      <c r="B97" s="420" t="s">
        <v>10161</v>
      </c>
      <c r="C97" s="420">
        <v>2009.0</v>
      </c>
      <c r="D97" s="497">
        <v>39911.0</v>
      </c>
      <c r="E97" s="420" t="s">
        <v>10162</v>
      </c>
      <c r="F97" s="420" t="s">
        <v>10163</v>
      </c>
      <c r="G97" s="420" t="s">
        <v>650</v>
      </c>
      <c r="H97" s="420" t="s">
        <v>158</v>
      </c>
      <c r="I97" s="497">
        <v>41569.0</v>
      </c>
      <c r="J97" s="422">
        <v>10.0</v>
      </c>
      <c r="K97" s="635" t="s">
        <v>228</v>
      </c>
      <c r="L97" s="420" t="s">
        <v>254</v>
      </c>
      <c r="M97" s="316">
        <f t="shared" si="1"/>
        <v>1658</v>
      </c>
      <c r="N97" s="198"/>
      <c r="O97" s="414" t="s">
        <v>565</v>
      </c>
      <c r="P97" s="415">
        <f>AVERAGEIF(G2:G476,"Bio",M2:M476)</f>
        <v>1041.333333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9713.0</v>
      </c>
      <c r="B98" s="426" t="s">
        <v>10164</v>
      </c>
      <c r="C98" s="426">
        <v>2008.0</v>
      </c>
      <c r="D98" s="500">
        <v>39758.0</v>
      </c>
      <c r="E98" s="426" t="s">
        <v>10165</v>
      </c>
      <c r="F98" s="426" t="s">
        <v>10003</v>
      </c>
      <c r="G98" s="426" t="s">
        <v>650</v>
      </c>
      <c r="H98" s="426" t="s">
        <v>158</v>
      </c>
      <c r="I98" s="500">
        <v>41582.0</v>
      </c>
      <c r="J98" s="428">
        <v>11.0</v>
      </c>
      <c r="K98" s="637" t="s">
        <v>238</v>
      </c>
      <c r="L98" s="428" t="s">
        <v>256</v>
      </c>
      <c r="M98" s="319">
        <f t="shared" si="1"/>
        <v>1824</v>
      </c>
      <c r="N98" s="198"/>
      <c r="O98" s="412" t="s">
        <v>569</v>
      </c>
      <c r="P98" s="413">
        <f>AVERAGEIF(G2:G476,"Bio/Org",M2:M476)</f>
        <v>309.2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9813.0</v>
      </c>
      <c r="B99" s="420" t="s">
        <v>10166</v>
      </c>
      <c r="C99" s="420">
        <v>2009.0</v>
      </c>
      <c r="D99" s="497">
        <v>40085.0</v>
      </c>
      <c r="E99" s="420" t="s">
        <v>10167</v>
      </c>
      <c r="F99" s="420" t="s">
        <v>1843</v>
      </c>
      <c r="G99" s="420" t="s">
        <v>17</v>
      </c>
      <c r="H99" s="420" t="s">
        <v>583</v>
      </c>
      <c r="I99" s="497">
        <v>41582.0</v>
      </c>
      <c r="J99" s="422">
        <v>11.0</v>
      </c>
      <c r="K99" s="637" t="s">
        <v>238</v>
      </c>
      <c r="L99" s="420" t="s">
        <v>260</v>
      </c>
      <c r="M99" s="316">
        <f t="shared" si="1"/>
        <v>1497</v>
      </c>
      <c r="N99" s="198"/>
      <c r="O99" s="416" t="s">
        <v>275</v>
      </c>
      <c r="P99" s="417">
        <f>AVERAGE(M2:M494)</f>
        <v>1259.881818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9913.0</v>
      </c>
      <c r="B100" s="426" t="s">
        <v>10168</v>
      </c>
      <c r="C100" s="426">
        <v>2010.0</v>
      </c>
      <c r="D100" s="500">
        <v>40245.0</v>
      </c>
      <c r="E100" s="426" t="s">
        <v>10169</v>
      </c>
      <c r="F100" s="426" t="s">
        <v>1846</v>
      </c>
      <c r="G100" s="426" t="s">
        <v>17</v>
      </c>
      <c r="H100" s="426" t="s">
        <v>596</v>
      </c>
      <c r="I100" s="500">
        <v>41583.0</v>
      </c>
      <c r="J100" s="428">
        <v>11.0</v>
      </c>
      <c r="K100" s="637" t="s">
        <v>238</v>
      </c>
      <c r="L100" s="428" t="s">
        <v>256</v>
      </c>
      <c r="M100" s="319">
        <f t="shared" si="1"/>
        <v>1338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10013.0</v>
      </c>
      <c r="B101" s="420" t="s">
        <v>10170</v>
      </c>
      <c r="C101" s="420">
        <v>2011.0</v>
      </c>
      <c r="D101" s="497">
        <v>40774.0</v>
      </c>
      <c r="E101" s="420" t="s">
        <v>10171</v>
      </c>
      <c r="F101" s="420" t="s">
        <v>2071</v>
      </c>
      <c r="G101" s="420" t="s">
        <v>552</v>
      </c>
      <c r="H101" s="420" t="s">
        <v>583</v>
      </c>
      <c r="I101" s="497">
        <v>41586.0</v>
      </c>
      <c r="J101" s="422">
        <v>11.0</v>
      </c>
      <c r="K101" s="637" t="s">
        <v>238</v>
      </c>
      <c r="L101" s="420" t="s">
        <v>258</v>
      </c>
      <c r="M101" s="316">
        <f t="shared" si="1"/>
        <v>812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10113.0</v>
      </c>
      <c r="B102" s="426" t="s">
        <v>10172</v>
      </c>
      <c r="C102" s="426">
        <v>2011.0</v>
      </c>
      <c r="D102" s="500">
        <v>40805.0</v>
      </c>
      <c r="E102" s="426" t="s">
        <v>10173</v>
      </c>
      <c r="F102" s="426" t="s">
        <v>2071</v>
      </c>
      <c r="G102" s="426" t="s">
        <v>552</v>
      </c>
      <c r="H102" s="426" t="s">
        <v>583</v>
      </c>
      <c r="I102" s="500">
        <v>41586.0</v>
      </c>
      <c r="J102" s="428">
        <v>11.0</v>
      </c>
      <c r="K102" s="637" t="s">
        <v>238</v>
      </c>
      <c r="L102" s="428" t="s">
        <v>258</v>
      </c>
      <c r="M102" s="319">
        <f t="shared" si="1"/>
        <v>781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10213.0</v>
      </c>
      <c r="B103" s="420" t="s">
        <v>10174</v>
      </c>
      <c r="C103" s="420">
        <v>2009.0</v>
      </c>
      <c r="D103" s="497">
        <v>39896.0</v>
      </c>
      <c r="E103" s="420" t="s">
        <v>10175</v>
      </c>
      <c r="F103" s="420" t="s">
        <v>1926</v>
      </c>
      <c r="G103" s="420" t="s">
        <v>552</v>
      </c>
      <c r="H103" s="420" t="s">
        <v>9976</v>
      </c>
      <c r="I103" s="497">
        <v>41591.0</v>
      </c>
      <c r="J103" s="422">
        <v>11.0</v>
      </c>
      <c r="K103" s="635" t="s">
        <v>228</v>
      </c>
      <c r="L103" s="420" t="s">
        <v>258</v>
      </c>
      <c r="M103" s="316">
        <f t="shared" si="1"/>
        <v>1695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10313.0</v>
      </c>
      <c r="B104" s="426" t="s">
        <v>10176</v>
      </c>
      <c r="C104" s="426">
        <v>2010.0</v>
      </c>
      <c r="D104" s="500">
        <v>40343.0</v>
      </c>
      <c r="E104" s="426" t="s">
        <v>10177</v>
      </c>
      <c r="F104" s="426" t="s">
        <v>25</v>
      </c>
      <c r="G104" s="426" t="s">
        <v>552</v>
      </c>
      <c r="H104" s="426" t="s">
        <v>9976</v>
      </c>
      <c r="I104" s="500">
        <v>41592.0</v>
      </c>
      <c r="J104" s="428">
        <v>11.0</v>
      </c>
      <c r="K104" s="638" t="s">
        <v>234</v>
      </c>
      <c r="L104" s="428" t="s">
        <v>256</v>
      </c>
      <c r="M104" s="319">
        <f t="shared" si="1"/>
        <v>1249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10413.0</v>
      </c>
      <c r="B105" s="420" t="s">
        <v>10178</v>
      </c>
      <c r="C105" s="420">
        <v>2012.0</v>
      </c>
      <c r="D105" s="497">
        <v>41239.0</v>
      </c>
      <c r="E105" s="420" t="s">
        <v>10179</v>
      </c>
      <c r="F105" s="420" t="s">
        <v>2453</v>
      </c>
      <c r="G105" s="420" t="s">
        <v>17</v>
      </c>
      <c r="H105" s="420" t="s">
        <v>934</v>
      </c>
      <c r="I105" s="497">
        <v>41592.0</v>
      </c>
      <c r="J105" s="422">
        <v>11.0</v>
      </c>
      <c r="K105" s="637" t="s">
        <v>238</v>
      </c>
      <c r="L105" s="420" t="s">
        <v>258</v>
      </c>
      <c r="M105" s="316">
        <f t="shared" si="1"/>
        <v>353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10513.0</v>
      </c>
      <c r="B106" s="426" t="s">
        <v>10180</v>
      </c>
      <c r="C106" s="426">
        <v>2012.0</v>
      </c>
      <c r="D106" s="500">
        <v>40987.0</v>
      </c>
      <c r="E106" s="426" t="s">
        <v>10181</v>
      </c>
      <c r="F106" s="426" t="s">
        <v>2453</v>
      </c>
      <c r="G106" s="426" t="s">
        <v>17</v>
      </c>
      <c r="H106" s="426" t="s">
        <v>56</v>
      </c>
      <c r="I106" s="500">
        <v>41603.0</v>
      </c>
      <c r="J106" s="428">
        <v>11.0</v>
      </c>
      <c r="K106" s="637" t="s">
        <v>238</v>
      </c>
      <c r="L106" s="428" t="s">
        <v>258</v>
      </c>
      <c r="M106" s="319">
        <f t="shared" si="1"/>
        <v>616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10613.0</v>
      </c>
      <c r="B107" s="420" t="s">
        <v>10182</v>
      </c>
      <c r="C107" s="420">
        <v>2010.0</v>
      </c>
      <c r="D107" s="497">
        <v>40297.0</v>
      </c>
      <c r="E107" s="420" t="s">
        <v>10183</v>
      </c>
      <c r="F107" s="420" t="s">
        <v>1464</v>
      </c>
      <c r="G107" s="420" t="s">
        <v>552</v>
      </c>
      <c r="H107" s="420" t="s">
        <v>56</v>
      </c>
      <c r="I107" s="497">
        <v>41603.0</v>
      </c>
      <c r="J107" s="422">
        <v>11.0</v>
      </c>
      <c r="K107" s="635" t="s">
        <v>228</v>
      </c>
      <c r="L107" s="420" t="s">
        <v>254</v>
      </c>
      <c r="M107" s="316">
        <f t="shared" si="1"/>
        <v>1306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10713.0</v>
      </c>
      <c r="B108" s="426" t="s">
        <v>10184</v>
      </c>
      <c r="C108" s="426">
        <v>2009.0</v>
      </c>
      <c r="D108" s="500">
        <v>39905.0</v>
      </c>
      <c r="E108" s="426" t="s">
        <v>10185</v>
      </c>
      <c r="F108" s="426" t="s">
        <v>171</v>
      </c>
      <c r="G108" s="426" t="s">
        <v>17</v>
      </c>
      <c r="H108" s="426" t="s">
        <v>9672</v>
      </c>
      <c r="I108" s="500">
        <v>41611.0</v>
      </c>
      <c r="J108" s="428">
        <v>12.0</v>
      </c>
      <c r="K108" s="637" t="s">
        <v>238</v>
      </c>
      <c r="L108" s="428" t="s">
        <v>256</v>
      </c>
      <c r="M108" s="319">
        <f t="shared" si="1"/>
        <v>1706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10813.0</v>
      </c>
      <c r="B109" s="420" t="s">
        <v>10186</v>
      </c>
      <c r="C109" s="420">
        <v>2010.0</v>
      </c>
      <c r="D109" s="497">
        <v>40464.0</v>
      </c>
      <c r="E109" s="420" t="s">
        <v>10187</v>
      </c>
      <c r="F109" s="420" t="s">
        <v>10188</v>
      </c>
      <c r="G109" s="420" t="s">
        <v>650</v>
      </c>
      <c r="H109" s="420" t="s">
        <v>1002</v>
      </c>
      <c r="I109" s="497">
        <v>41613.0</v>
      </c>
      <c r="J109" s="422">
        <v>12.0</v>
      </c>
      <c r="K109" s="637" t="s">
        <v>238</v>
      </c>
      <c r="L109" s="420" t="s">
        <v>256</v>
      </c>
      <c r="M109" s="316">
        <f t="shared" si="1"/>
        <v>1149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10913.0</v>
      </c>
      <c r="B110" s="426" t="s">
        <v>10189</v>
      </c>
      <c r="C110" s="426">
        <v>2010.0</v>
      </c>
      <c r="D110" s="500">
        <v>40534.0</v>
      </c>
      <c r="E110" s="426" t="s">
        <v>10190</v>
      </c>
      <c r="F110" s="426" t="s">
        <v>10188</v>
      </c>
      <c r="G110" s="426" t="s">
        <v>650</v>
      </c>
      <c r="H110" s="426" t="s">
        <v>1002</v>
      </c>
      <c r="I110" s="500">
        <v>41613.0</v>
      </c>
      <c r="J110" s="428">
        <v>12.0</v>
      </c>
      <c r="K110" s="637" t="s">
        <v>238</v>
      </c>
      <c r="L110" s="428" t="s">
        <v>256</v>
      </c>
      <c r="M110" s="319">
        <f t="shared" si="1"/>
        <v>1079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11013.0</v>
      </c>
      <c r="B111" s="420" t="s">
        <v>10191</v>
      </c>
      <c r="C111" s="420">
        <v>2009.0</v>
      </c>
      <c r="D111" s="497">
        <v>39923.0</v>
      </c>
      <c r="E111" s="420" t="s">
        <v>10192</v>
      </c>
      <c r="F111" s="420" t="s">
        <v>963</v>
      </c>
      <c r="G111" s="420" t="s">
        <v>552</v>
      </c>
      <c r="H111" s="420" t="s">
        <v>5016</v>
      </c>
      <c r="I111" s="497">
        <v>41626.0</v>
      </c>
      <c r="J111" s="422">
        <v>12.0</v>
      </c>
      <c r="K111" s="637" t="s">
        <v>238</v>
      </c>
      <c r="L111" s="420" t="s">
        <v>256</v>
      </c>
      <c r="M111" s="316">
        <f t="shared" si="1"/>
        <v>1703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5"/>
      <c r="E112" s="198"/>
      <c r="F112" s="198"/>
      <c r="G112" s="198"/>
      <c r="H112" s="198"/>
      <c r="I112" s="615"/>
      <c r="J112" s="643"/>
      <c r="K112" s="643"/>
      <c r="L112" s="643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hidden="1" customHeight="1">
      <c r="A113" s="613"/>
      <c r="B113" s="613"/>
      <c r="C113" s="613"/>
      <c r="D113" s="615"/>
      <c r="E113" s="198"/>
      <c r="F113" s="198"/>
      <c r="G113" s="198"/>
      <c r="H113" s="198"/>
      <c r="I113" s="615"/>
      <c r="J113" s="643"/>
      <c r="K113" s="643"/>
      <c r="L113" s="643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hidden="1" customHeight="1">
      <c r="A114" s="613"/>
      <c r="B114" s="613"/>
      <c r="C114" s="613"/>
      <c r="D114" s="615"/>
      <c r="E114" s="198"/>
      <c r="F114" s="198"/>
      <c r="G114" s="198"/>
      <c r="H114" s="198"/>
      <c r="I114" s="615"/>
      <c r="J114" s="643"/>
      <c r="K114" s="643"/>
      <c r="L114" s="643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hidden="1" customHeight="1">
      <c r="A115" s="613"/>
      <c r="B115" s="613"/>
      <c r="C115" s="613"/>
      <c r="D115" s="615"/>
      <c r="E115" s="198"/>
      <c r="F115" s="198"/>
      <c r="G115" s="198"/>
      <c r="H115" s="198"/>
      <c r="I115" s="615"/>
      <c r="J115" s="643"/>
      <c r="K115" s="643"/>
      <c r="L115" s="643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hidden="1" customHeight="1">
      <c r="A116" s="613"/>
      <c r="B116" s="613"/>
      <c r="C116" s="613"/>
      <c r="D116" s="615"/>
      <c r="E116" s="198"/>
      <c r="F116" s="198"/>
      <c r="G116" s="198"/>
      <c r="H116" s="198"/>
      <c r="I116" s="615"/>
      <c r="J116" s="643"/>
      <c r="K116" s="643"/>
      <c r="L116" s="643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hidden="1" customHeight="1">
      <c r="A117" s="613"/>
      <c r="B117" s="613"/>
      <c r="C117" s="613"/>
      <c r="D117" s="615"/>
      <c r="E117" s="198"/>
      <c r="F117" s="198"/>
      <c r="G117" s="198"/>
      <c r="H117" s="198"/>
      <c r="I117" s="615"/>
      <c r="J117" s="643"/>
      <c r="K117" s="643"/>
      <c r="L117" s="643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hidden="1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643"/>
      <c r="K118" s="643"/>
      <c r="L118" s="643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hidden="1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643"/>
      <c r="K119" s="643"/>
      <c r="L119" s="643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hidden="1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643"/>
      <c r="K120" s="643"/>
      <c r="L120" s="643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hidden="1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643"/>
      <c r="K121" s="643"/>
      <c r="L121" s="643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hidden="1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643"/>
      <c r="K122" s="643"/>
      <c r="L122" s="643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hidden="1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643"/>
      <c r="K123" s="643"/>
      <c r="L123" s="643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hidden="1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643"/>
      <c r="K124" s="643"/>
      <c r="L124" s="643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hidden="1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643"/>
      <c r="K125" s="643"/>
      <c r="L125" s="643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hidden="1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643"/>
      <c r="K126" s="643"/>
      <c r="L126" s="643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hidden="1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643"/>
      <c r="K127" s="643"/>
      <c r="L127" s="643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hidden="1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643"/>
      <c r="K128" s="643"/>
      <c r="L128" s="643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hidden="1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643"/>
      <c r="K129" s="643"/>
      <c r="L129" s="643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hidden="1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643"/>
      <c r="K130" s="643"/>
      <c r="L130" s="643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hidden="1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643"/>
      <c r="K131" s="643"/>
      <c r="L131" s="643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hidden="1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643"/>
      <c r="K132" s="643"/>
      <c r="L132" s="643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hidden="1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643"/>
      <c r="K133" s="643"/>
      <c r="L133" s="643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hidden="1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643"/>
      <c r="K134" s="643"/>
      <c r="L134" s="643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hidden="1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643"/>
      <c r="K135" s="643"/>
      <c r="L135" s="643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hidden="1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643"/>
      <c r="K136" s="643"/>
      <c r="L136" s="643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hidden="1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643"/>
      <c r="K137" s="643"/>
      <c r="L137" s="643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hidden="1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643"/>
      <c r="K138" s="643"/>
      <c r="L138" s="643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hidden="1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643"/>
      <c r="K139" s="643"/>
      <c r="L139" s="643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hidden="1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643"/>
      <c r="K140" s="643"/>
      <c r="L140" s="643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hidden="1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643"/>
      <c r="K141" s="643"/>
      <c r="L141" s="643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hidden="1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643"/>
      <c r="K142" s="643"/>
      <c r="L142" s="643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hidden="1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643"/>
      <c r="K143" s="643"/>
      <c r="L143" s="643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hidden="1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643"/>
      <c r="K144" s="643"/>
      <c r="L144" s="643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hidden="1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643"/>
      <c r="K145" s="643"/>
      <c r="L145" s="643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hidden="1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643"/>
      <c r="K146" s="643"/>
      <c r="L146" s="643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hidden="1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643"/>
      <c r="K147" s="643"/>
      <c r="L147" s="643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hidden="1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643"/>
      <c r="K148" s="643"/>
      <c r="L148" s="643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hidden="1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643"/>
      <c r="K149" s="643"/>
      <c r="L149" s="643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hidden="1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643"/>
      <c r="K150" s="643"/>
      <c r="L150" s="643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hidden="1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643"/>
      <c r="K151" s="643"/>
      <c r="L151" s="643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hidden="1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643"/>
      <c r="K152" s="643"/>
      <c r="L152" s="643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hidden="1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643"/>
      <c r="K153" s="643"/>
      <c r="L153" s="643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hidden="1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643"/>
      <c r="K154" s="643"/>
      <c r="L154" s="643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hidden="1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643"/>
      <c r="K155" s="643"/>
      <c r="L155" s="643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hidden="1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643"/>
      <c r="K156" s="643"/>
      <c r="L156" s="643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hidden="1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643"/>
      <c r="K157" s="643"/>
      <c r="L157" s="643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hidden="1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643"/>
      <c r="K158" s="643"/>
      <c r="L158" s="643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hidden="1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643"/>
      <c r="K159" s="643"/>
      <c r="L159" s="643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hidden="1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643"/>
      <c r="K160" s="643"/>
      <c r="L160" s="643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hidden="1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643"/>
      <c r="K161" s="643"/>
      <c r="L161" s="643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hidden="1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643"/>
      <c r="K162" s="643"/>
      <c r="L162" s="643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hidden="1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643"/>
      <c r="K163" s="643"/>
      <c r="L163" s="643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hidden="1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643"/>
      <c r="K164" s="643"/>
      <c r="L164" s="643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hidden="1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643"/>
      <c r="K165" s="643"/>
      <c r="L165" s="643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hidden="1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643"/>
      <c r="K166" s="643"/>
      <c r="L166" s="643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hidden="1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643"/>
      <c r="K167" s="643"/>
      <c r="L167" s="643"/>
      <c r="M167" s="616"/>
      <c r="N167" s="643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hidden="1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643"/>
      <c r="K168" s="643"/>
      <c r="L168" s="643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hidden="1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643"/>
      <c r="K169" s="643"/>
      <c r="L169" s="643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5.57"/>
    <col customWidth="1" min="3" max="3" width="23.86"/>
    <col customWidth="1" min="4" max="4" width="24.57"/>
    <col customWidth="1" min="5" max="5" width="34.43"/>
    <col customWidth="1" min="6" max="6" width="33.86"/>
    <col customWidth="1" min="7" max="7" width="12.14"/>
    <col customWidth="1" min="8" max="8" width="37.86"/>
    <col customWidth="1" min="9" max="9" width="24.0"/>
    <col customWidth="1" min="10" max="10" width="29.71"/>
    <col customWidth="1" min="11" max="11" width="60.57"/>
    <col customWidth="1" min="12" max="12" width="70.29"/>
    <col customWidth="1" min="13" max="13" width="45.0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652" t="s">
        <v>0</v>
      </c>
      <c r="B1" s="653" t="s">
        <v>1</v>
      </c>
      <c r="C1" s="653" t="s">
        <v>2</v>
      </c>
      <c r="D1" s="654" t="s">
        <v>3</v>
      </c>
      <c r="E1" s="653" t="s">
        <v>4</v>
      </c>
      <c r="F1" s="653" t="s">
        <v>5</v>
      </c>
      <c r="G1" s="653" t="s">
        <v>6</v>
      </c>
      <c r="H1" s="653" t="s">
        <v>7</v>
      </c>
      <c r="I1" s="654" t="s">
        <v>8</v>
      </c>
      <c r="J1" s="653" t="s">
        <v>193</v>
      </c>
      <c r="K1" s="655" t="s">
        <v>10</v>
      </c>
      <c r="L1" s="655" t="s">
        <v>11</v>
      </c>
      <c r="M1" s="656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112.0</v>
      </c>
      <c r="B2" s="426" t="s">
        <v>10193</v>
      </c>
      <c r="C2" s="426">
        <v>2008.0</v>
      </c>
      <c r="D2" s="500">
        <v>39700.0</v>
      </c>
      <c r="E2" s="426" t="s">
        <v>10194</v>
      </c>
      <c r="F2" s="426" t="s">
        <v>6436</v>
      </c>
      <c r="G2" s="426" t="s">
        <v>552</v>
      </c>
      <c r="H2" s="426" t="s">
        <v>583</v>
      </c>
      <c r="I2" s="500">
        <v>40911.0</v>
      </c>
      <c r="J2" s="428">
        <v>1.0</v>
      </c>
      <c r="K2" s="636" t="s">
        <v>244</v>
      </c>
      <c r="L2" s="428" t="s">
        <v>258</v>
      </c>
      <c r="M2" s="319">
        <f t="shared" ref="M2:M169" si="1">I2-D2</f>
        <v>1211</v>
      </c>
      <c r="N2" s="198"/>
      <c r="O2" s="545" t="s">
        <v>10195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212.0</v>
      </c>
      <c r="B3" s="420" t="s">
        <v>10196</v>
      </c>
      <c r="C3" s="420">
        <v>1999.0</v>
      </c>
      <c r="D3" s="497">
        <v>36507.0</v>
      </c>
      <c r="E3" s="420" t="s">
        <v>10197</v>
      </c>
      <c r="F3" s="420" t="s">
        <v>719</v>
      </c>
      <c r="G3" s="420" t="s">
        <v>552</v>
      </c>
      <c r="H3" s="420" t="s">
        <v>5826</v>
      </c>
      <c r="I3" s="497">
        <v>40911.0</v>
      </c>
      <c r="J3" s="422">
        <v>1.0</v>
      </c>
      <c r="K3" s="638" t="s">
        <v>234</v>
      </c>
      <c r="L3" s="422" t="s">
        <v>258</v>
      </c>
      <c r="M3" s="316">
        <f t="shared" si="1"/>
        <v>4404</v>
      </c>
      <c r="N3" s="198"/>
      <c r="O3" s="320" t="s">
        <v>27</v>
      </c>
      <c r="P3" s="320">
        <f>COUNTIF($G$2:$G$476,"PT")</f>
        <v>0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312.0</v>
      </c>
      <c r="B4" s="426" t="s">
        <v>10198</v>
      </c>
      <c r="C4" s="426">
        <v>2008.0</v>
      </c>
      <c r="D4" s="500">
        <v>39597.0</v>
      </c>
      <c r="E4" s="426" t="s">
        <v>10199</v>
      </c>
      <c r="F4" s="426" t="s">
        <v>963</v>
      </c>
      <c r="G4" s="426" t="s">
        <v>552</v>
      </c>
      <c r="H4" s="426" t="s">
        <v>10200</v>
      </c>
      <c r="I4" s="500">
        <v>40917.0</v>
      </c>
      <c r="J4" s="428">
        <v>1.0</v>
      </c>
      <c r="K4" s="637" t="s">
        <v>238</v>
      </c>
      <c r="L4" s="428" t="s">
        <v>258</v>
      </c>
      <c r="M4" s="319">
        <f t="shared" si="1"/>
        <v>1320</v>
      </c>
      <c r="N4" s="198"/>
      <c r="O4" s="321" t="s">
        <v>34</v>
      </c>
      <c r="P4" s="321">
        <f>COUNTIF($G$2:$G$476,"PTN")</f>
        <v>1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412.0</v>
      </c>
      <c r="B5" s="420" t="s">
        <v>10201</v>
      </c>
      <c r="C5" s="420">
        <v>2009.0</v>
      </c>
      <c r="D5" s="497">
        <v>39832.0</v>
      </c>
      <c r="E5" s="420" t="s">
        <v>10202</v>
      </c>
      <c r="F5" s="420" t="s">
        <v>666</v>
      </c>
      <c r="G5" s="420" t="s">
        <v>17</v>
      </c>
      <c r="H5" s="420" t="s">
        <v>9672</v>
      </c>
      <c r="I5" s="497">
        <v>40918.0</v>
      </c>
      <c r="J5" s="422">
        <v>1.0</v>
      </c>
      <c r="K5" s="638" t="s">
        <v>234</v>
      </c>
      <c r="L5" s="422" t="s">
        <v>258</v>
      </c>
      <c r="M5" s="316">
        <f t="shared" si="1"/>
        <v>1086</v>
      </c>
      <c r="N5" s="198"/>
      <c r="O5" s="322" t="s">
        <v>40</v>
      </c>
      <c r="P5" s="322">
        <f>COUNTIF($G$2:$G$476,"PTE")</f>
        <v>64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512.0</v>
      </c>
      <c r="B6" s="426" t="s">
        <v>10203</v>
      </c>
      <c r="C6" s="426">
        <v>2007.0</v>
      </c>
      <c r="D6" s="500">
        <v>39351.0</v>
      </c>
      <c r="E6" s="426" t="s">
        <v>10204</v>
      </c>
      <c r="F6" s="426" t="s">
        <v>10205</v>
      </c>
      <c r="G6" s="426" t="s">
        <v>565</v>
      </c>
      <c r="H6" s="426" t="s">
        <v>10206</v>
      </c>
      <c r="I6" s="500">
        <v>40919.0</v>
      </c>
      <c r="J6" s="428">
        <v>1.0</v>
      </c>
      <c r="K6" s="637" t="s">
        <v>238</v>
      </c>
      <c r="L6" s="428" t="s">
        <v>260</v>
      </c>
      <c r="M6" s="319">
        <f t="shared" si="1"/>
        <v>1568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612.0</v>
      </c>
      <c r="B7" s="420" t="s">
        <v>10207</v>
      </c>
      <c r="C7" s="420">
        <v>2008.0</v>
      </c>
      <c r="D7" s="497">
        <v>39576.0</v>
      </c>
      <c r="E7" s="420" t="s">
        <v>10208</v>
      </c>
      <c r="F7" s="420" t="s">
        <v>1823</v>
      </c>
      <c r="G7" s="420" t="s">
        <v>552</v>
      </c>
      <c r="H7" s="420" t="s">
        <v>934</v>
      </c>
      <c r="I7" s="497">
        <v>40919.0</v>
      </c>
      <c r="J7" s="422">
        <v>1.0</v>
      </c>
      <c r="K7" s="635" t="s">
        <v>228</v>
      </c>
      <c r="L7" s="422" t="s">
        <v>256</v>
      </c>
      <c r="M7" s="316">
        <f t="shared" si="1"/>
        <v>1343</v>
      </c>
      <c r="N7" s="198"/>
      <c r="O7" s="322" t="s">
        <v>553</v>
      </c>
      <c r="P7" s="322">
        <f>COUNTIF($G$2:$G$476,"PF")</f>
        <v>10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712.0</v>
      </c>
      <c r="B8" s="426" t="s">
        <v>10209</v>
      </c>
      <c r="C8" s="426">
        <v>2009.0</v>
      </c>
      <c r="D8" s="500">
        <v>39898.0</v>
      </c>
      <c r="E8" s="426" t="s">
        <v>10210</v>
      </c>
      <c r="F8" s="426" t="s">
        <v>1108</v>
      </c>
      <c r="G8" s="426" t="s">
        <v>552</v>
      </c>
      <c r="H8" s="426" t="s">
        <v>66</v>
      </c>
      <c r="I8" s="500">
        <v>40921.0</v>
      </c>
      <c r="J8" s="428">
        <v>1.0</v>
      </c>
      <c r="K8" s="638" t="s">
        <v>234</v>
      </c>
      <c r="L8" s="428" t="s">
        <v>256</v>
      </c>
      <c r="M8" s="319">
        <f t="shared" si="1"/>
        <v>1023</v>
      </c>
      <c r="N8" s="198"/>
      <c r="O8" s="321" t="s">
        <v>547</v>
      </c>
      <c r="P8" s="321">
        <f>COUNTIF($G$2:$G$476,"PFN")</f>
        <v>1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812.0</v>
      </c>
      <c r="B9" s="420" t="s">
        <v>10211</v>
      </c>
      <c r="C9" s="420">
        <v>2009.0</v>
      </c>
      <c r="D9" s="497">
        <v>40109.0</v>
      </c>
      <c r="E9" s="420" t="s">
        <v>10212</v>
      </c>
      <c r="F9" s="420" t="s">
        <v>1203</v>
      </c>
      <c r="G9" s="420" t="s">
        <v>552</v>
      </c>
      <c r="H9" s="420" t="s">
        <v>66</v>
      </c>
      <c r="I9" s="497">
        <v>40925.0</v>
      </c>
      <c r="J9" s="422">
        <v>1.0</v>
      </c>
      <c r="K9" s="638" t="s">
        <v>234</v>
      </c>
      <c r="L9" s="422" t="s">
        <v>256</v>
      </c>
      <c r="M9" s="316">
        <f t="shared" si="1"/>
        <v>816</v>
      </c>
      <c r="N9" s="198"/>
      <c r="O9" s="322" t="s">
        <v>560</v>
      </c>
      <c r="P9" s="322">
        <f>COUNTIF($G$2:$G$476,"PF/PTE")</f>
        <v>75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912.0</v>
      </c>
      <c r="B10" s="426" t="s">
        <v>10213</v>
      </c>
      <c r="C10" s="426">
        <v>2008.0</v>
      </c>
      <c r="D10" s="500">
        <v>39731.0</v>
      </c>
      <c r="E10" s="426" t="s">
        <v>10214</v>
      </c>
      <c r="F10" s="426" t="s">
        <v>10215</v>
      </c>
      <c r="G10" s="426" t="s">
        <v>650</v>
      </c>
      <c r="H10" s="426" t="s">
        <v>158</v>
      </c>
      <c r="I10" s="500">
        <v>40928.0</v>
      </c>
      <c r="J10" s="428">
        <v>1.0</v>
      </c>
      <c r="K10" s="635" t="s">
        <v>228</v>
      </c>
      <c r="L10" s="428" t="s">
        <v>256</v>
      </c>
      <c r="M10" s="319">
        <f t="shared" si="1"/>
        <v>1197</v>
      </c>
      <c r="N10" s="198"/>
      <c r="O10" s="321" t="s">
        <v>565</v>
      </c>
      <c r="P10" s="321">
        <f>COUNTIF($G$2:$G$476,"Bio")</f>
        <v>5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1012.0</v>
      </c>
      <c r="B11" s="420" t="s">
        <v>10216</v>
      </c>
      <c r="C11" s="420">
        <v>2008.0</v>
      </c>
      <c r="D11" s="497">
        <v>39749.0</v>
      </c>
      <c r="E11" s="420" t="s">
        <v>10217</v>
      </c>
      <c r="F11" s="420" t="s">
        <v>134</v>
      </c>
      <c r="G11" s="420" t="s">
        <v>552</v>
      </c>
      <c r="H11" s="420" t="s">
        <v>1501</v>
      </c>
      <c r="I11" s="497">
        <v>40935.0</v>
      </c>
      <c r="J11" s="422">
        <v>1.0</v>
      </c>
      <c r="K11" s="635" t="s">
        <v>228</v>
      </c>
      <c r="L11" s="422" t="s">
        <v>256</v>
      </c>
      <c r="M11" s="316">
        <f t="shared" si="1"/>
        <v>1186</v>
      </c>
      <c r="N11" s="198"/>
      <c r="O11" s="323" t="s">
        <v>569</v>
      </c>
      <c r="P11" s="323">
        <f>COUNTIF($G$2:$G$476,"Bio/Org")</f>
        <v>12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1112.0</v>
      </c>
      <c r="B12" s="426" t="s">
        <v>10218</v>
      </c>
      <c r="C12" s="426">
        <v>2009.0</v>
      </c>
      <c r="D12" s="500">
        <v>39912.0</v>
      </c>
      <c r="E12" s="426" t="s">
        <v>10219</v>
      </c>
      <c r="F12" s="426" t="s">
        <v>563</v>
      </c>
      <c r="G12" s="426" t="s">
        <v>17</v>
      </c>
      <c r="H12" s="426" t="s">
        <v>9672</v>
      </c>
      <c r="I12" s="500">
        <v>40941.0</v>
      </c>
      <c r="J12" s="428">
        <v>2.0</v>
      </c>
      <c r="K12" s="638" t="s">
        <v>234</v>
      </c>
      <c r="L12" s="428" t="s">
        <v>256</v>
      </c>
      <c r="M12" s="319">
        <f t="shared" si="1"/>
        <v>1029</v>
      </c>
      <c r="N12" s="198"/>
      <c r="O12" s="324" t="s">
        <v>51</v>
      </c>
      <c r="P12" s="325">
        <f>SUM(P3:P11)</f>
        <v>168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3.5" customHeight="1">
      <c r="A13" s="419">
        <v>1212.0</v>
      </c>
      <c r="B13" s="420" t="s">
        <v>10220</v>
      </c>
      <c r="C13" s="420">
        <v>2008.0</v>
      </c>
      <c r="D13" s="497">
        <v>39665.0</v>
      </c>
      <c r="E13" s="420" t="s">
        <v>10221</v>
      </c>
      <c r="F13" s="420" t="s">
        <v>4263</v>
      </c>
      <c r="G13" s="420" t="s">
        <v>17</v>
      </c>
      <c r="H13" s="420" t="s">
        <v>125</v>
      </c>
      <c r="I13" s="497">
        <v>40941.0</v>
      </c>
      <c r="J13" s="422">
        <v>2.0</v>
      </c>
      <c r="K13" s="636" t="s">
        <v>244</v>
      </c>
      <c r="L13" s="422" t="s">
        <v>260</v>
      </c>
      <c r="M13" s="316">
        <f t="shared" si="1"/>
        <v>1276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4.25" customHeight="1">
      <c r="A14" s="425">
        <v>1312.0</v>
      </c>
      <c r="B14" s="426" t="s">
        <v>10222</v>
      </c>
      <c r="C14" s="426">
        <v>2010.0</v>
      </c>
      <c r="D14" s="500">
        <v>40403.0</v>
      </c>
      <c r="E14" s="426" t="s">
        <v>10223</v>
      </c>
      <c r="F14" s="622" t="s">
        <v>10224</v>
      </c>
      <c r="G14" s="426" t="s">
        <v>565</v>
      </c>
      <c r="H14" s="426" t="s">
        <v>10225</v>
      </c>
      <c r="I14" s="500">
        <v>40941.0</v>
      </c>
      <c r="J14" s="428">
        <v>2.0</v>
      </c>
      <c r="K14" s="638" t="s">
        <v>234</v>
      </c>
      <c r="L14" s="428" t="s">
        <v>256</v>
      </c>
      <c r="M14" s="319">
        <f t="shared" si="1"/>
        <v>538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419">
        <v>1412.0</v>
      </c>
      <c r="B15" s="420" t="s">
        <v>10226</v>
      </c>
      <c r="C15" s="420">
        <v>2010.0</v>
      </c>
      <c r="D15" s="497">
        <v>40520.0</v>
      </c>
      <c r="E15" s="420" t="s">
        <v>10227</v>
      </c>
      <c r="F15" s="420" t="s">
        <v>563</v>
      </c>
      <c r="G15" s="420" t="s">
        <v>17</v>
      </c>
      <c r="H15" s="420" t="s">
        <v>9672</v>
      </c>
      <c r="I15" s="497">
        <v>40948.0</v>
      </c>
      <c r="J15" s="422">
        <v>2.0</v>
      </c>
      <c r="K15" s="635" t="s">
        <v>228</v>
      </c>
      <c r="L15" s="422" t="s">
        <v>254</v>
      </c>
      <c r="M15" s="316">
        <f t="shared" si="1"/>
        <v>428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425">
        <v>1512.0</v>
      </c>
      <c r="B16" s="426" t="s">
        <v>10228</v>
      </c>
      <c r="C16" s="426">
        <v>2009.0</v>
      </c>
      <c r="D16" s="500">
        <v>39864.0</v>
      </c>
      <c r="E16" s="426" t="s">
        <v>10229</v>
      </c>
      <c r="F16" s="426" t="s">
        <v>1464</v>
      </c>
      <c r="G16" s="426" t="s">
        <v>552</v>
      </c>
      <c r="H16" s="426" t="s">
        <v>66</v>
      </c>
      <c r="I16" s="500">
        <v>40953.0</v>
      </c>
      <c r="J16" s="428">
        <v>2.0</v>
      </c>
      <c r="K16" s="635" t="s">
        <v>228</v>
      </c>
      <c r="L16" s="428" t="s">
        <v>256</v>
      </c>
      <c r="M16" s="319">
        <f t="shared" si="1"/>
        <v>1089</v>
      </c>
      <c r="N16" s="198"/>
      <c r="O16" s="331" t="s">
        <v>10230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419">
        <v>1612.0</v>
      </c>
      <c r="B17" s="420" t="s">
        <v>10231</v>
      </c>
      <c r="C17" s="420">
        <v>2008.0</v>
      </c>
      <c r="D17" s="497">
        <v>39580.0</v>
      </c>
      <c r="E17" s="420" t="s">
        <v>10232</v>
      </c>
      <c r="F17" s="420" t="s">
        <v>1823</v>
      </c>
      <c r="G17" s="420" t="s">
        <v>552</v>
      </c>
      <c r="H17" s="420" t="s">
        <v>934</v>
      </c>
      <c r="I17" s="497">
        <v>40954.0</v>
      </c>
      <c r="J17" s="422">
        <v>2.0</v>
      </c>
      <c r="K17" s="635" t="s">
        <v>228</v>
      </c>
      <c r="L17" s="422" t="s">
        <v>256</v>
      </c>
      <c r="M17" s="316">
        <f t="shared" si="1"/>
        <v>1374</v>
      </c>
      <c r="N17" s="198"/>
      <c r="O17" s="334" t="s">
        <v>10233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425">
        <v>1712.0</v>
      </c>
      <c r="B18" s="426" t="s">
        <v>10234</v>
      </c>
      <c r="C18" s="426">
        <v>2009.0</v>
      </c>
      <c r="D18" s="500">
        <v>39832.0</v>
      </c>
      <c r="E18" s="426" t="s">
        <v>10235</v>
      </c>
      <c r="F18" s="426" t="s">
        <v>885</v>
      </c>
      <c r="G18" s="426" t="s">
        <v>17</v>
      </c>
      <c r="H18" s="426" t="s">
        <v>9672</v>
      </c>
      <c r="I18" s="500">
        <v>40954.0</v>
      </c>
      <c r="J18" s="428">
        <v>2.0</v>
      </c>
      <c r="K18" s="637" t="s">
        <v>238</v>
      </c>
      <c r="L18" s="428" t="s">
        <v>256</v>
      </c>
      <c r="M18" s="319">
        <f t="shared" si="1"/>
        <v>1122</v>
      </c>
      <c r="N18" s="198"/>
      <c r="O18" s="335" t="s">
        <v>10236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419">
        <v>1812.0</v>
      </c>
      <c r="B19" s="420" t="s">
        <v>10237</v>
      </c>
      <c r="C19" s="420">
        <v>2007.0</v>
      </c>
      <c r="D19" s="497">
        <v>39428.0</v>
      </c>
      <c r="E19" s="420" t="s">
        <v>10238</v>
      </c>
      <c r="F19" s="420" t="s">
        <v>963</v>
      </c>
      <c r="G19" s="420" t="s">
        <v>552</v>
      </c>
      <c r="H19" s="420" t="s">
        <v>3519</v>
      </c>
      <c r="I19" s="497">
        <v>40955.0</v>
      </c>
      <c r="J19" s="422">
        <v>2.0</v>
      </c>
      <c r="K19" s="635" t="s">
        <v>228</v>
      </c>
      <c r="L19" s="422" t="s">
        <v>258</v>
      </c>
      <c r="M19" s="316">
        <f t="shared" si="1"/>
        <v>1527</v>
      </c>
      <c r="N19" s="198"/>
      <c r="O19" s="334" t="s">
        <v>10239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425">
        <v>1912.0</v>
      </c>
      <c r="B20" s="426" t="s">
        <v>10240</v>
      </c>
      <c r="C20" s="426">
        <v>2009.0</v>
      </c>
      <c r="D20" s="500">
        <v>39864.0</v>
      </c>
      <c r="E20" s="426" t="s">
        <v>10241</v>
      </c>
      <c r="F20" s="426" t="s">
        <v>10242</v>
      </c>
      <c r="G20" s="426" t="s">
        <v>650</v>
      </c>
      <c r="H20" s="426" t="s">
        <v>601</v>
      </c>
      <c r="I20" s="500">
        <v>40968.0</v>
      </c>
      <c r="J20" s="428">
        <v>2.0</v>
      </c>
      <c r="K20" s="637" t="s">
        <v>238</v>
      </c>
      <c r="L20" s="428" t="s">
        <v>256</v>
      </c>
      <c r="M20" s="319">
        <f t="shared" si="1"/>
        <v>1104</v>
      </c>
      <c r="N20" s="198"/>
      <c r="O20" s="335" t="s">
        <v>10243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419">
        <v>2012.0</v>
      </c>
      <c r="B21" s="420" t="s">
        <v>10244</v>
      </c>
      <c r="C21" s="420">
        <v>2008.0</v>
      </c>
      <c r="D21" s="497">
        <v>39744.0</v>
      </c>
      <c r="E21" s="420" t="s">
        <v>10245</v>
      </c>
      <c r="F21" s="420" t="s">
        <v>963</v>
      </c>
      <c r="G21" s="420" t="s">
        <v>17</v>
      </c>
      <c r="H21" s="420" t="s">
        <v>4597</v>
      </c>
      <c r="I21" s="497">
        <v>40968.0</v>
      </c>
      <c r="J21" s="422">
        <v>2.0</v>
      </c>
      <c r="K21" s="635" t="s">
        <v>228</v>
      </c>
      <c r="L21" s="422" t="s">
        <v>258</v>
      </c>
      <c r="M21" s="316">
        <f t="shared" si="1"/>
        <v>1224</v>
      </c>
      <c r="N21" s="198"/>
      <c r="O21" s="334" t="s">
        <v>10246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2112.0</v>
      </c>
      <c r="B22" s="426" t="s">
        <v>10247</v>
      </c>
      <c r="C22" s="426">
        <v>2009.0</v>
      </c>
      <c r="D22" s="500">
        <v>40102.0</v>
      </c>
      <c r="E22" s="426" t="s">
        <v>10248</v>
      </c>
      <c r="F22" s="426" t="s">
        <v>1108</v>
      </c>
      <c r="G22" s="426" t="s">
        <v>17</v>
      </c>
      <c r="H22" s="426" t="s">
        <v>130</v>
      </c>
      <c r="I22" s="500">
        <v>40968.0</v>
      </c>
      <c r="J22" s="428">
        <v>2.0</v>
      </c>
      <c r="K22" s="637" t="s">
        <v>238</v>
      </c>
      <c r="L22" s="428" t="s">
        <v>258</v>
      </c>
      <c r="M22" s="319">
        <f t="shared" si="1"/>
        <v>866</v>
      </c>
      <c r="N22" s="198"/>
      <c r="O22" s="335" t="s">
        <v>10249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2212.0</v>
      </c>
      <c r="B23" s="420" t="s">
        <v>10250</v>
      </c>
      <c r="C23" s="420">
        <v>2011.0</v>
      </c>
      <c r="D23" s="497">
        <v>40857.0</v>
      </c>
      <c r="E23" s="420" t="s">
        <v>10251</v>
      </c>
      <c r="F23" s="623" t="s">
        <v>5332</v>
      </c>
      <c r="G23" s="420" t="s">
        <v>569</v>
      </c>
      <c r="H23" s="420" t="s">
        <v>10252</v>
      </c>
      <c r="I23" s="497">
        <v>40974.0</v>
      </c>
      <c r="J23" s="422">
        <v>3.0</v>
      </c>
      <c r="K23" s="636" t="s">
        <v>850</v>
      </c>
      <c r="L23" s="422" t="s">
        <v>260</v>
      </c>
      <c r="M23" s="316">
        <f t="shared" si="1"/>
        <v>117</v>
      </c>
      <c r="N23" s="198"/>
      <c r="O23" s="334" t="s">
        <v>10253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3.5" customHeight="1">
      <c r="A24" s="425">
        <v>2312.0</v>
      </c>
      <c r="B24" s="426" t="s">
        <v>10254</v>
      </c>
      <c r="C24" s="426">
        <v>2005.0</v>
      </c>
      <c r="D24" s="500">
        <v>38632.0</v>
      </c>
      <c r="E24" s="426" t="s">
        <v>10255</v>
      </c>
      <c r="F24" s="426" t="s">
        <v>719</v>
      </c>
      <c r="G24" s="426" t="s">
        <v>552</v>
      </c>
      <c r="H24" s="426" t="s">
        <v>5826</v>
      </c>
      <c r="I24" s="500">
        <v>40988.0</v>
      </c>
      <c r="J24" s="428">
        <v>3.0</v>
      </c>
      <c r="K24" s="638" t="s">
        <v>234</v>
      </c>
      <c r="L24" s="428" t="s">
        <v>258</v>
      </c>
      <c r="M24" s="319">
        <f t="shared" si="1"/>
        <v>2356</v>
      </c>
      <c r="N24" s="198"/>
      <c r="O24" s="336" t="s">
        <v>10256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2412.0</v>
      </c>
      <c r="B25" s="420" t="s">
        <v>10257</v>
      </c>
      <c r="C25" s="420">
        <v>2008.0</v>
      </c>
      <c r="D25" s="497">
        <v>39798.0</v>
      </c>
      <c r="E25" s="420" t="s">
        <v>10258</v>
      </c>
      <c r="F25" s="420" t="s">
        <v>65</v>
      </c>
      <c r="G25" s="420" t="s">
        <v>552</v>
      </c>
      <c r="H25" s="420" t="s">
        <v>163</v>
      </c>
      <c r="I25" s="497">
        <v>40983.0</v>
      </c>
      <c r="J25" s="422">
        <v>3.0</v>
      </c>
      <c r="K25" s="635" t="s">
        <v>228</v>
      </c>
      <c r="L25" s="422" t="s">
        <v>254</v>
      </c>
      <c r="M25" s="316">
        <f t="shared" si="1"/>
        <v>1185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2512.0</v>
      </c>
      <c r="B26" s="426" t="s">
        <v>10259</v>
      </c>
      <c r="C26" s="426">
        <v>2009.0</v>
      </c>
      <c r="D26" s="500">
        <v>40065.0</v>
      </c>
      <c r="E26" s="426" t="s">
        <v>10260</v>
      </c>
      <c r="F26" s="426" t="s">
        <v>10261</v>
      </c>
      <c r="G26" s="426" t="s">
        <v>552</v>
      </c>
      <c r="H26" s="426" t="s">
        <v>901</v>
      </c>
      <c r="I26" s="500">
        <v>40988.0</v>
      </c>
      <c r="J26" s="428">
        <v>3.0</v>
      </c>
      <c r="K26" s="635" t="s">
        <v>228</v>
      </c>
      <c r="L26" s="428" t="s">
        <v>256</v>
      </c>
      <c r="M26" s="319">
        <f t="shared" si="1"/>
        <v>923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2612.0</v>
      </c>
      <c r="B27" s="420" t="s">
        <v>10262</v>
      </c>
      <c r="C27" s="420">
        <v>2009.0</v>
      </c>
      <c r="D27" s="497">
        <v>40070.0</v>
      </c>
      <c r="E27" s="420" t="s">
        <v>10263</v>
      </c>
      <c r="F27" s="420" t="s">
        <v>10261</v>
      </c>
      <c r="G27" s="420" t="s">
        <v>552</v>
      </c>
      <c r="H27" s="420" t="s">
        <v>901</v>
      </c>
      <c r="I27" s="497">
        <v>40988.0</v>
      </c>
      <c r="J27" s="422">
        <v>3.0</v>
      </c>
      <c r="K27" s="635" t="s">
        <v>228</v>
      </c>
      <c r="L27" s="422" t="s">
        <v>256</v>
      </c>
      <c r="M27" s="316">
        <f t="shared" si="1"/>
        <v>918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2712.0</v>
      </c>
      <c r="B28" s="426" t="s">
        <v>10264</v>
      </c>
      <c r="C28" s="426">
        <v>2011.0</v>
      </c>
      <c r="D28" s="500">
        <v>40653.0</v>
      </c>
      <c r="E28" s="426" t="s">
        <v>10265</v>
      </c>
      <c r="F28" s="426" t="s">
        <v>563</v>
      </c>
      <c r="G28" s="426" t="s">
        <v>17</v>
      </c>
      <c r="H28" s="426" t="s">
        <v>1178</v>
      </c>
      <c r="I28" s="500">
        <v>40988.0</v>
      </c>
      <c r="J28" s="428">
        <v>3.0</v>
      </c>
      <c r="K28" s="638" t="s">
        <v>234</v>
      </c>
      <c r="L28" s="428" t="s">
        <v>256</v>
      </c>
      <c r="M28" s="319">
        <f t="shared" si="1"/>
        <v>335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2812.0</v>
      </c>
      <c r="B29" s="420" t="s">
        <v>10266</v>
      </c>
      <c r="C29" s="420">
        <v>2007.0</v>
      </c>
      <c r="D29" s="497">
        <v>39099.0</v>
      </c>
      <c r="E29" s="420" t="s">
        <v>10267</v>
      </c>
      <c r="F29" s="420" t="s">
        <v>563</v>
      </c>
      <c r="G29" s="420" t="s">
        <v>650</v>
      </c>
      <c r="H29" s="420" t="s">
        <v>1872</v>
      </c>
      <c r="I29" s="497">
        <v>40994.0</v>
      </c>
      <c r="J29" s="422">
        <v>3.0</v>
      </c>
      <c r="K29" s="638" t="s">
        <v>234</v>
      </c>
      <c r="L29" s="422" t="s">
        <v>256</v>
      </c>
      <c r="M29" s="316">
        <f t="shared" si="1"/>
        <v>1895</v>
      </c>
      <c r="N29" s="198"/>
      <c r="O29" s="322">
        <v>2000.0</v>
      </c>
      <c r="P29" s="346">
        <f>COUNTIF($C$2:$C$503,"2000")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425">
        <v>2912.0</v>
      </c>
      <c r="B30" s="426" t="s">
        <v>10268</v>
      </c>
      <c r="C30" s="426">
        <v>2007.0</v>
      </c>
      <c r="D30" s="500">
        <v>39223.0</v>
      </c>
      <c r="E30" s="426" t="s">
        <v>10269</v>
      </c>
      <c r="F30" s="426" t="s">
        <v>563</v>
      </c>
      <c r="G30" s="426" t="s">
        <v>650</v>
      </c>
      <c r="H30" s="426" t="s">
        <v>1872</v>
      </c>
      <c r="I30" s="500">
        <v>40994.0</v>
      </c>
      <c r="J30" s="428">
        <v>3.0</v>
      </c>
      <c r="K30" s="638" t="s">
        <v>234</v>
      </c>
      <c r="L30" s="428" t="s">
        <v>256</v>
      </c>
      <c r="M30" s="319">
        <f t="shared" si="1"/>
        <v>1771</v>
      </c>
      <c r="N30" s="198"/>
      <c r="O30" s="321">
        <v>2001.0</v>
      </c>
      <c r="P30" s="344">
        <f>COUNTIF($C$2:$C$503,"2001")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419">
        <v>3012.0</v>
      </c>
      <c r="B31" s="420" t="s">
        <v>10270</v>
      </c>
      <c r="C31" s="420">
        <v>2007.0</v>
      </c>
      <c r="D31" s="497">
        <v>39099.0</v>
      </c>
      <c r="E31" s="420" t="s">
        <v>10271</v>
      </c>
      <c r="F31" s="420" t="s">
        <v>563</v>
      </c>
      <c r="G31" s="420" t="s">
        <v>650</v>
      </c>
      <c r="H31" s="420" t="s">
        <v>1872</v>
      </c>
      <c r="I31" s="497">
        <v>40994.0</v>
      </c>
      <c r="J31" s="422">
        <v>3.0</v>
      </c>
      <c r="K31" s="638" t="s">
        <v>234</v>
      </c>
      <c r="L31" s="422" t="s">
        <v>256</v>
      </c>
      <c r="M31" s="316">
        <f t="shared" si="1"/>
        <v>1895</v>
      </c>
      <c r="N31" s="198"/>
      <c r="O31" s="322">
        <v>2002.0</v>
      </c>
      <c r="P31" s="346">
        <f>COUNTIF($C$2:$C$503,"2002")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3112.0</v>
      </c>
      <c r="B32" s="426" t="s">
        <v>10272</v>
      </c>
      <c r="C32" s="426">
        <v>2007.0</v>
      </c>
      <c r="D32" s="500">
        <v>39099.0</v>
      </c>
      <c r="E32" s="426" t="s">
        <v>10273</v>
      </c>
      <c r="F32" s="426" t="s">
        <v>563</v>
      </c>
      <c r="G32" s="426" t="s">
        <v>650</v>
      </c>
      <c r="H32" s="426" t="s">
        <v>1872</v>
      </c>
      <c r="I32" s="500">
        <v>40994.0</v>
      </c>
      <c r="J32" s="428">
        <v>3.0</v>
      </c>
      <c r="K32" s="638" t="s">
        <v>234</v>
      </c>
      <c r="L32" s="428" t="s">
        <v>256</v>
      </c>
      <c r="M32" s="319">
        <f t="shared" si="1"/>
        <v>1895</v>
      </c>
      <c r="N32" s="198"/>
      <c r="O32" s="321">
        <v>2003.0</v>
      </c>
      <c r="P32" s="344">
        <f>COUNTIF($C$2:$C$503,"2003")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3212.0</v>
      </c>
      <c r="B33" s="420" t="s">
        <v>10274</v>
      </c>
      <c r="C33" s="420">
        <v>2008.0</v>
      </c>
      <c r="D33" s="497">
        <v>39744.0</v>
      </c>
      <c r="E33" s="420" t="s">
        <v>10275</v>
      </c>
      <c r="F33" s="420" t="s">
        <v>2071</v>
      </c>
      <c r="G33" s="420" t="s">
        <v>552</v>
      </c>
      <c r="H33" s="420" t="s">
        <v>163</v>
      </c>
      <c r="I33" s="497">
        <v>40994.0</v>
      </c>
      <c r="J33" s="422">
        <v>3.0</v>
      </c>
      <c r="K33" s="638" t="s">
        <v>234</v>
      </c>
      <c r="L33" s="422" t="s">
        <v>258</v>
      </c>
      <c r="M33" s="316">
        <f t="shared" si="1"/>
        <v>1250</v>
      </c>
      <c r="N33" s="198"/>
      <c r="O33" s="322">
        <v>2004.0</v>
      </c>
      <c r="P33" s="346">
        <f>COUNTIF($C$2:$C$503,"2004")</f>
        <v>0</v>
      </c>
      <c r="Q33" s="113"/>
      <c r="R33" s="114"/>
      <c r="S33" s="343">
        <f>P33/P42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3312.0</v>
      </c>
      <c r="B34" s="426" t="s">
        <v>10276</v>
      </c>
      <c r="C34" s="426">
        <v>2010.0</v>
      </c>
      <c r="D34" s="500">
        <v>40245.0</v>
      </c>
      <c r="E34" s="426" t="s">
        <v>10277</v>
      </c>
      <c r="F34" s="426" t="s">
        <v>10278</v>
      </c>
      <c r="G34" s="426" t="s">
        <v>552</v>
      </c>
      <c r="H34" s="426" t="s">
        <v>7777</v>
      </c>
      <c r="I34" s="500">
        <v>40994.0</v>
      </c>
      <c r="J34" s="428">
        <v>3.0</v>
      </c>
      <c r="K34" s="637" t="s">
        <v>238</v>
      </c>
      <c r="L34" s="428" t="s">
        <v>256</v>
      </c>
      <c r="M34" s="319">
        <f t="shared" si="1"/>
        <v>749</v>
      </c>
      <c r="N34" s="198"/>
      <c r="O34" s="321">
        <v>2005.0</v>
      </c>
      <c r="P34" s="344">
        <f>COUNTIF($C$2:$C$503,"2005")</f>
        <v>1</v>
      </c>
      <c r="Q34" s="113"/>
      <c r="R34" s="114"/>
      <c r="S34" s="345">
        <f>P34/P42</f>
        <v>0.005988023952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3412.0</v>
      </c>
      <c r="B35" s="420" t="s">
        <v>10279</v>
      </c>
      <c r="C35" s="420">
        <v>2010.0</v>
      </c>
      <c r="D35" s="497">
        <v>40245.0</v>
      </c>
      <c r="E35" s="420" t="s">
        <v>10280</v>
      </c>
      <c r="F35" s="420" t="s">
        <v>10278</v>
      </c>
      <c r="G35" s="420" t="s">
        <v>552</v>
      </c>
      <c r="H35" s="420" t="s">
        <v>7777</v>
      </c>
      <c r="I35" s="497">
        <v>40994.0</v>
      </c>
      <c r="J35" s="422">
        <v>3.0</v>
      </c>
      <c r="K35" s="637" t="s">
        <v>238</v>
      </c>
      <c r="L35" s="422" t="s">
        <v>256</v>
      </c>
      <c r="M35" s="316">
        <f t="shared" si="1"/>
        <v>749</v>
      </c>
      <c r="N35" s="198"/>
      <c r="O35" s="322">
        <v>2006.0</v>
      </c>
      <c r="P35" s="346">
        <f>COUNTIF($C$2:$C$503,"2006")</f>
        <v>1</v>
      </c>
      <c r="Q35" s="113"/>
      <c r="R35" s="114"/>
      <c r="S35" s="343">
        <f>P35/P42</f>
        <v>0.005988023952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3512.0</v>
      </c>
      <c r="B36" s="426" t="s">
        <v>10281</v>
      </c>
      <c r="C36" s="426">
        <v>2007.0</v>
      </c>
      <c r="D36" s="500">
        <v>39223.0</v>
      </c>
      <c r="E36" s="426" t="s">
        <v>10282</v>
      </c>
      <c r="F36" s="426" t="s">
        <v>563</v>
      </c>
      <c r="G36" s="426" t="s">
        <v>650</v>
      </c>
      <c r="H36" s="426" t="s">
        <v>1872</v>
      </c>
      <c r="I36" s="500">
        <v>40994.0</v>
      </c>
      <c r="J36" s="428">
        <v>3.0</v>
      </c>
      <c r="K36" s="638" t="s">
        <v>234</v>
      </c>
      <c r="L36" s="428" t="s">
        <v>256</v>
      </c>
      <c r="M36" s="319">
        <f t="shared" si="1"/>
        <v>1771</v>
      </c>
      <c r="N36" s="198"/>
      <c r="O36" s="321">
        <v>2007.0</v>
      </c>
      <c r="P36" s="344">
        <f>COUNTIF($C$2:$C$503,"2007")</f>
        <v>13</v>
      </c>
      <c r="Q36" s="113"/>
      <c r="R36" s="114"/>
      <c r="S36" s="345">
        <f>(P36/P42)</f>
        <v>0.07784431138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3612.0</v>
      </c>
      <c r="B37" s="420" t="s">
        <v>10283</v>
      </c>
      <c r="C37" s="420">
        <v>2009.0</v>
      </c>
      <c r="D37" s="497">
        <v>40000.0</v>
      </c>
      <c r="E37" s="420" t="s">
        <v>10284</v>
      </c>
      <c r="F37" s="420" t="s">
        <v>963</v>
      </c>
      <c r="G37" s="420" t="s">
        <v>17</v>
      </c>
      <c r="H37" s="420" t="s">
        <v>9033</v>
      </c>
      <c r="I37" s="497">
        <v>40994.0</v>
      </c>
      <c r="J37" s="422">
        <v>3.0</v>
      </c>
      <c r="K37" s="635" t="s">
        <v>228</v>
      </c>
      <c r="L37" s="422" t="s">
        <v>258</v>
      </c>
      <c r="M37" s="316">
        <f t="shared" si="1"/>
        <v>994</v>
      </c>
      <c r="N37" s="198"/>
      <c r="O37" s="322">
        <v>2008.0</v>
      </c>
      <c r="P37" s="346">
        <f>COUNTIF($C$2:$C$503,"2008")</f>
        <v>31</v>
      </c>
      <c r="Q37" s="113"/>
      <c r="R37" s="114"/>
      <c r="S37" s="343">
        <f>(P37/P42)</f>
        <v>0.1856287425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3712.0</v>
      </c>
      <c r="B38" s="426" t="s">
        <v>10285</v>
      </c>
      <c r="C38" s="426">
        <v>2010.0</v>
      </c>
      <c r="D38" s="500">
        <v>40239.0</v>
      </c>
      <c r="E38" s="426" t="s">
        <v>10286</v>
      </c>
      <c r="F38" s="426" t="s">
        <v>2071</v>
      </c>
      <c r="G38" s="426" t="s">
        <v>17</v>
      </c>
      <c r="H38" s="426" t="s">
        <v>901</v>
      </c>
      <c r="I38" s="500">
        <v>40998.0</v>
      </c>
      <c r="J38" s="428">
        <v>3.0</v>
      </c>
      <c r="K38" s="637" t="s">
        <v>238</v>
      </c>
      <c r="L38" s="428" t="s">
        <v>258</v>
      </c>
      <c r="M38" s="319">
        <f t="shared" si="1"/>
        <v>759</v>
      </c>
      <c r="N38" s="198"/>
      <c r="O38" s="321">
        <v>2009.0</v>
      </c>
      <c r="P38" s="344">
        <f>COUNTIF($C$2:$C$503,"2009")</f>
        <v>59</v>
      </c>
      <c r="Q38" s="113"/>
      <c r="R38" s="114"/>
      <c r="S38" s="345">
        <f>(P38/P42)</f>
        <v>0.3532934132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3812.0</v>
      </c>
      <c r="B39" s="420" t="s">
        <v>10287</v>
      </c>
      <c r="C39" s="420">
        <v>2010.0</v>
      </c>
      <c r="D39" s="497">
        <v>40389.0</v>
      </c>
      <c r="E39" s="420" t="s">
        <v>10288</v>
      </c>
      <c r="F39" s="420" t="s">
        <v>963</v>
      </c>
      <c r="G39" s="420" t="s">
        <v>552</v>
      </c>
      <c r="H39" s="420" t="s">
        <v>153</v>
      </c>
      <c r="I39" s="497">
        <v>41001.0</v>
      </c>
      <c r="J39" s="422">
        <v>4.0</v>
      </c>
      <c r="K39" s="638" t="s">
        <v>234</v>
      </c>
      <c r="L39" s="422" t="s">
        <v>258</v>
      </c>
      <c r="M39" s="316">
        <f t="shared" si="1"/>
        <v>612</v>
      </c>
      <c r="N39" s="198"/>
      <c r="O39" s="322">
        <v>2010.0</v>
      </c>
      <c r="P39" s="346">
        <f>COUNTIF($C$2:$C$503,"2010")</f>
        <v>38</v>
      </c>
      <c r="Q39" s="113"/>
      <c r="R39" s="114"/>
      <c r="S39" s="343">
        <f>(P39/P42)</f>
        <v>0.2275449102</v>
      </c>
      <c r="T39" s="25"/>
      <c r="U39" s="198"/>
      <c r="V39" s="198"/>
      <c r="W39" s="198"/>
      <c r="X39" s="198"/>
      <c r="Y39" s="198"/>
      <c r="Z39" s="198"/>
    </row>
    <row r="40" ht="14.25" customHeight="1">
      <c r="A40" s="425">
        <v>3912.0</v>
      </c>
      <c r="B40" s="426" t="s">
        <v>10289</v>
      </c>
      <c r="C40" s="426">
        <v>2010.0</v>
      </c>
      <c r="D40" s="500">
        <v>40206.0</v>
      </c>
      <c r="E40" s="426" t="s">
        <v>10290</v>
      </c>
      <c r="F40" s="426" t="s">
        <v>711</v>
      </c>
      <c r="G40" s="426" t="s">
        <v>17</v>
      </c>
      <c r="H40" s="426" t="s">
        <v>56</v>
      </c>
      <c r="I40" s="500">
        <v>41001.0</v>
      </c>
      <c r="J40" s="428">
        <v>4.0</v>
      </c>
      <c r="K40" s="637" t="s">
        <v>238</v>
      </c>
      <c r="L40" s="428" t="s">
        <v>256</v>
      </c>
      <c r="M40" s="319">
        <f t="shared" si="1"/>
        <v>795</v>
      </c>
      <c r="N40" s="198"/>
      <c r="O40" s="321">
        <v>2011.0</v>
      </c>
      <c r="P40" s="344">
        <f>COUNTIF($C$2:$C$503,"2011")</f>
        <v>19</v>
      </c>
      <c r="Q40" s="113"/>
      <c r="R40" s="114"/>
      <c r="S40" s="345">
        <f>(P40/P42)</f>
        <v>0.1137724551</v>
      </c>
      <c r="T40" s="25"/>
      <c r="U40" s="198"/>
      <c r="V40" s="198"/>
      <c r="W40" s="198"/>
      <c r="X40" s="198"/>
      <c r="Y40" s="198"/>
      <c r="Z40" s="198"/>
    </row>
    <row r="41" ht="14.25" customHeight="1">
      <c r="A41" s="419">
        <v>4012.0</v>
      </c>
      <c r="B41" s="420" t="s">
        <v>10291</v>
      </c>
      <c r="C41" s="420">
        <v>2010.0</v>
      </c>
      <c r="D41" s="497">
        <v>40375.0</v>
      </c>
      <c r="E41" s="420" t="s">
        <v>10292</v>
      </c>
      <c r="F41" s="420" t="s">
        <v>963</v>
      </c>
      <c r="G41" s="420" t="s">
        <v>552</v>
      </c>
      <c r="H41" s="420" t="s">
        <v>153</v>
      </c>
      <c r="I41" s="497">
        <v>41002.0</v>
      </c>
      <c r="J41" s="422">
        <v>4.0</v>
      </c>
      <c r="K41" s="638" t="s">
        <v>234</v>
      </c>
      <c r="L41" s="422" t="s">
        <v>258</v>
      </c>
      <c r="M41" s="316">
        <f t="shared" si="1"/>
        <v>627</v>
      </c>
      <c r="N41" s="198"/>
      <c r="O41" s="322">
        <v>2012.0</v>
      </c>
      <c r="P41" s="346">
        <f>COUNTIF($C$2:$C$503,"2012")</f>
        <v>5</v>
      </c>
      <c r="Q41" s="113"/>
      <c r="R41" s="114"/>
      <c r="S41" s="343">
        <f>(P41/P42)</f>
        <v>0.02994011976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425">
        <v>4112.0</v>
      </c>
      <c r="B42" s="426" t="s">
        <v>10293</v>
      </c>
      <c r="C42" s="426">
        <v>2009.0</v>
      </c>
      <c r="D42" s="500">
        <v>40175.0</v>
      </c>
      <c r="E42" s="426" t="s">
        <v>10294</v>
      </c>
      <c r="F42" s="426" t="s">
        <v>6508</v>
      </c>
      <c r="G42" s="426" t="s">
        <v>552</v>
      </c>
      <c r="H42" s="426" t="s">
        <v>1002</v>
      </c>
      <c r="I42" s="500">
        <v>41002.0</v>
      </c>
      <c r="J42" s="428">
        <v>4.0</v>
      </c>
      <c r="K42" s="638" t="s">
        <v>234</v>
      </c>
      <c r="L42" s="428" t="s">
        <v>258</v>
      </c>
      <c r="M42" s="319">
        <f t="shared" si="1"/>
        <v>827</v>
      </c>
      <c r="N42" s="198"/>
      <c r="O42" s="348" t="s">
        <v>179</v>
      </c>
      <c r="P42" s="349">
        <f>SUM(P29:R41)</f>
        <v>167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419">
        <v>4212.0</v>
      </c>
      <c r="B43" s="420" t="s">
        <v>10295</v>
      </c>
      <c r="C43" s="420">
        <v>2010.0</v>
      </c>
      <c r="D43" s="497">
        <v>40325.0</v>
      </c>
      <c r="E43" s="420" t="s">
        <v>10296</v>
      </c>
      <c r="F43" s="623" t="s">
        <v>2343</v>
      </c>
      <c r="G43" s="420" t="s">
        <v>565</v>
      </c>
      <c r="H43" s="420" t="s">
        <v>2550</v>
      </c>
      <c r="I43" s="497">
        <v>41009.0</v>
      </c>
      <c r="J43" s="422">
        <v>4.0</v>
      </c>
      <c r="K43" s="636" t="s">
        <v>244</v>
      </c>
      <c r="L43" s="422" t="s">
        <v>260</v>
      </c>
      <c r="M43" s="316">
        <f t="shared" si="1"/>
        <v>684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425">
        <v>4312.0</v>
      </c>
      <c r="B44" s="426" t="s">
        <v>10297</v>
      </c>
      <c r="C44" s="426">
        <v>2008.0</v>
      </c>
      <c r="D44" s="500">
        <v>39785.0</v>
      </c>
      <c r="E44" s="426" t="s">
        <v>10298</v>
      </c>
      <c r="F44" s="426" t="s">
        <v>25</v>
      </c>
      <c r="G44" s="426" t="s">
        <v>17</v>
      </c>
      <c r="H44" s="426" t="s">
        <v>66</v>
      </c>
      <c r="I44" s="500">
        <v>41009.0</v>
      </c>
      <c r="J44" s="428">
        <v>4.0</v>
      </c>
      <c r="K44" s="636" t="s">
        <v>244</v>
      </c>
      <c r="L44" s="428" t="s">
        <v>256</v>
      </c>
      <c r="M44" s="319">
        <f t="shared" si="1"/>
        <v>1224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4412.0</v>
      </c>
      <c r="B45" s="420" t="s">
        <v>10299</v>
      </c>
      <c r="C45" s="420">
        <v>2007.0</v>
      </c>
      <c r="D45" s="497">
        <v>39331.0</v>
      </c>
      <c r="E45" s="420" t="s">
        <v>10300</v>
      </c>
      <c r="F45" s="420" t="s">
        <v>178</v>
      </c>
      <c r="G45" s="420" t="s">
        <v>552</v>
      </c>
      <c r="H45" s="420" t="s">
        <v>5826</v>
      </c>
      <c r="I45" s="497">
        <v>41011.0</v>
      </c>
      <c r="J45" s="422">
        <v>4.0</v>
      </c>
      <c r="K45" s="638" t="s">
        <v>234</v>
      </c>
      <c r="L45" s="422" t="s">
        <v>258</v>
      </c>
      <c r="M45" s="316">
        <f t="shared" si="1"/>
        <v>1680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4512.0</v>
      </c>
      <c r="B46" s="426" t="s">
        <v>10301</v>
      </c>
      <c r="C46" s="426">
        <v>2009.0</v>
      </c>
      <c r="D46" s="500">
        <v>40022.0</v>
      </c>
      <c r="E46" s="426" t="s">
        <v>10302</v>
      </c>
      <c r="F46" s="426" t="s">
        <v>25</v>
      </c>
      <c r="G46" s="426" t="s">
        <v>17</v>
      </c>
      <c r="H46" s="426" t="s">
        <v>3662</v>
      </c>
      <c r="I46" s="500">
        <v>41011.0</v>
      </c>
      <c r="J46" s="428">
        <v>4.0</v>
      </c>
      <c r="K46" s="637" t="s">
        <v>238</v>
      </c>
      <c r="L46" s="428" t="s">
        <v>256</v>
      </c>
      <c r="M46" s="319">
        <f t="shared" si="1"/>
        <v>989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4612.0</v>
      </c>
      <c r="B47" s="420" t="s">
        <v>10303</v>
      </c>
      <c r="C47" s="420">
        <v>2009.0</v>
      </c>
      <c r="D47" s="497">
        <v>39987.0</v>
      </c>
      <c r="E47" s="420" t="s">
        <v>10304</v>
      </c>
      <c r="F47" s="420" t="s">
        <v>25</v>
      </c>
      <c r="G47" s="420" t="s">
        <v>17</v>
      </c>
      <c r="H47" s="420" t="s">
        <v>5171</v>
      </c>
      <c r="I47" s="497">
        <v>41011.0</v>
      </c>
      <c r="J47" s="422">
        <v>4.0</v>
      </c>
      <c r="K47" s="637" t="s">
        <v>238</v>
      </c>
      <c r="L47" s="422" t="s">
        <v>256</v>
      </c>
      <c r="M47" s="316">
        <f t="shared" si="1"/>
        <v>1024</v>
      </c>
      <c r="N47" s="198"/>
      <c r="O47" s="353" t="s">
        <v>195</v>
      </c>
      <c r="P47" s="342">
        <f>COUNTIF($J$2:$J$476,"1")</f>
        <v>10</v>
      </c>
      <c r="Q47" s="332"/>
      <c r="R47" s="333"/>
      <c r="S47" s="354">
        <f>(P47/P59)</f>
        <v>0.05952380952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4712.0</v>
      </c>
      <c r="B48" s="426" t="s">
        <v>10305</v>
      </c>
      <c r="C48" s="426">
        <v>2011.0</v>
      </c>
      <c r="D48" s="500">
        <v>40785.0</v>
      </c>
      <c r="E48" s="426" t="s">
        <v>10306</v>
      </c>
      <c r="F48" s="622" t="s">
        <v>10307</v>
      </c>
      <c r="G48" s="426" t="s">
        <v>569</v>
      </c>
      <c r="H48" s="426" t="s">
        <v>10308</v>
      </c>
      <c r="I48" s="500">
        <v>41017.0</v>
      </c>
      <c r="J48" s="428">
        <v>4.0</v>
      </c>
      <c r="K48" s="636" t="s">
        <v>244</v>
      </c>
      <c r="L48" s="428" t="s">
        <v>260</v>
      </c>
      <c r="M48" s="319">
        <f t="shared" si="1"/>
        <v>232</v>
      </c>
      <c r="N48" s="198"/>
      <c r="O48" s="321" t="s">
        <v>197</v>
      </c>
      <c r="P48" s="344">
        <f>COUNTIF($J$2:$J$476,"2")</f>
        <v>11</v>
      </c>
      <c r="Q48" s="113"/>
      <c r="R48" s="114"/>
      <c r="S48" s="345">
        <f>(P48/P59)</f>
        <v>0.06547619048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4812.0</v>
      </c>
      <c r="B49" s="420" t="s">
        <v>10309</v>
      </c>
      <c r="C49" s="420">
        <v>2008.0</v>
      </c>
      <c r="D49" s="497">
        <v>39503.0</v>
      </c>
      <c r="E49" s="420" t="s">
        <v>10310</v>
      </c>
      <c r="F49" s="420" t="s">
        <v>10311</v>
      </c>
      <c r="G49" s="420" t="s">
        <v>552</v>
      </c>
      <c r="H49" s="420" t="s">
        <v>651</v>
      </c>
      <c r="I49" s="497">
        <v>41018.0</v>
      </c>
      <c r="J49" s="422">
        <v>4.0</v>
      </c>
      <c r="K49" s="635" t="s">
        <v>228</v>
      </c>
      <c r="L49" s="422" t="s">
        <v>256</v>
      </c>
      <c r="M49" s="316">
        <f t="shared" si="1"/>
        <v>1515</v>
      </c>
      <c r="N49" s="198"/>
      <c r="O49" s="322" t="s">
        <v>199</v>
      </c>
      <c r="P49" s="346">
        <f>COUNTIF($J$2:$J$476,"3")</f>
        <v>16</v>
      </c>
      <c r="Q49" s="113"/>
      <c r="R49" s="114"/>
      <c r="S49" s="343">
        <f>(P49/P59)</f>
        <v>0.09523809524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4912.0</v>
      </c>
      <c r="B50" s="426" t="s">
        <v>10312</v>
      </c>
      <c r="C50" s="426">
        <v>2008.0</v>
      </c>
      <c r="D50" s="500">
        <v>39469.0</v>
      </c>
      <c r="E50" s="426" t="s">
        <v>10313</v>
      </c>
      <c r="F50" s="426" t="s">
        <v>10311</v>
      </c>
      <c r="G50" s="426" t="s">
        <v>552</v>
      </c>
      <c r="H50" s="426" t="s">
        <v>651</v>
      </c>
      <c r="I50" s="500">
        <v>41025.0</v>
      </c>
      <c r="J50" s="428">
        <v>4.0</v>
      </c>
      <c r="K50" s="635" t="s">
        <v>228</v>
      </c>
      <c r="L50" s="428" t="s">
        <v>256</v>
      </c>
      <c r="M50" s="319">
        <f t="shared" si="1"/>
        <v>1556</v>
      </c>
      <c r="N50" s="198"/>
      <c r="O50" s="321" t="s">
        <v>201</v>
      </c>
      <c r="P50" s="344">
        <f>COUNTIF($J$2:$J$476,"4")</f>
        <v>20</v>
      </c>
      <c r="Q50" s="113"/>
      <c r="R50" s="114"/>
      <c r="S50" s="345">
        <f>(P50/P59)</f>
        <v>0.119047619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5012.0</v>
      </c>
      <c r="B51" s="420" t="s">
        <v>10314</v>
      </c>
      <c r="C51" s="420">
        <v>2009.0</v>
      </c>
      <c r="D51" s="497">
        <v>39895.0</v>
      </c>
      <c r="E51" s="420" t="s">
        <v>10315</v>
      </c>
      <c r="F51" s="420" t="s">
        <v>1255</v>
      </c>
      <c r="G51" s="420" t="s">
        <v>17</v>
      </c>
      <c r="H51" s="420" t="s">
        <v>66</v>
      </c>
      <c r="I51" s="497">
        <v>41026.0</v>
      </c>
      <c r="J51" s="422">
        <v>4.0</v>
      </c>
      <c r="K51" s="637" t="s">
        <v>238</v>
      </c>
      <c r="L51" s="422" t="s">
        <v>256</v>
      </c>
      <c r="M51" s="316">
        <f t="shared" si="1"/>
        <v>1131</v>
      </c>
      <c r="N51" s="198"/>
      <c r="O51" s="322" t="s">
        <v>203</v>
      </c>
      <c r="P51" s="346">
        <f>COUNTIF($J$2:$J$476,"5")</f>
        <v>17</v>
      </c>
      <c r="Q51" s="113"/>
      <c r="R51" s="114"/>
      <c r="S51" s="343">
        <f>(P51/P59)</f>
        <v>0.1011904762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5112.0</v>
      </c>
      <c r="B52" s="426" t="s">
        <v>10303</v>
      </c>
      <c r="C52" s="426">
        <v>2009.0</v>
      </c>
      <c r="D52" s="500">
        <v>39986.0</v>
      </c>
      <c r="E52" s="426" t="s">
        <v>10316</v>
      </c>
      <c r="F52" s="426" t="s">
        <v>1255</v>
      </c>
      <c r="G52" s="426" t="s">
        <v>17</v>
      </c>
      <c r="H52" s="426" t="s">
        <v>130</v>
      </c>
      <c r="I52" s="500">
        <v>41026.0</v>
      </c>
      <c r="J52" s="428">
        <v>4.0</v>
      </c>
      <c r="K52" s="637" t="s">
        <v>238</v>
      </c>
      <c r="L52" s="428" t="s">
        <v>256</v>
      </c>
      <c r="M52" s="319">
        <f t="shared" si="1"/>
        <v>1040</v>
      </c>
      <c r="N52" s="198"/>
      <c r="O52" s="321" t="s">
        <v>205</v>
      </c>
      <c r="P52" s="344">
        <f>COUNTIF($J$2:$J$476,"6")</f>
        <v>8</v>
      </c>
      <c r="Q52" s="113"/>
      <c r="R52" s="114"/>
      <c r="S52" s="345">
        <f>(P52/P59)</f>
        <v>0.04761904762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419">
        <v>5212.0</v>
      </c>
      <c r="B53" s="420" t="s">
        <v>10317</v>
      </c>
      <c r="C53" s="420">
        <v>2009.0</v>
      </c>
      <c r="D53" s="497">
        <v>39862.0</v>
      </c>
      <c r="E53" s="420" t="s">
        <v>10318</v>
      </c>
      <c r="F53" s="420" t="s">
        <v>666</v>
      </c>
      <c r="G53" s="420" t="s">
        <v>552</v>
      </c>
      <c r="H53" s="420" t="s">
        <v>66</v>
      </c>
      <c r="I53" s="497">
        <v>41026.0</v>
      </c>
      <c r="J53" s="422">
        <v>4.0</v>
      </c>
      <c r="K53" s="638" t="s">
        <v>234</v>
      </c>
      <c r="L53" s="422" t="s">
        <v>258</v>
      </c>
      <c r="M53" s="316">
        <f t="shared" si="1"/>
        <v>1164</v>
      </c>
      <c r="N53" s="198"/>
      <c r="O53" s="322" t="s">
        <v>207</v>
      </c>
      <c r="P53" s="346">
        <f>COUNTIF($J$2:$J$476,"7")</f>
        <v>14</v>
      </c>
      <c r="Q53" s="113"/>
      <c r="R53" s="114"/>
      <c r="S53" s="343">
        <f>(P53/P59)</f>
        <v>0.08333333333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5312.0</v>
      </c>
      <c r="B54" s="426" t="s">
        <v>10319</v>
      </c>
      <c r="C54" s="426">
        <v>2009.0</v>
      </c>
      <c r="D54" s="500">
        <v>39825.0</v>
      </c>
      <c r="E54" s="426" t="s">
        <v>10320</v>
      </c>
      <c r="F54" s="426" t="s">
        <v>947</v>
      </c>
      <c r="G54" s="426" t="s">
        <v>552</v>
      </c>
      <c r="H54" s="426" t="s">
        <v>3662</v>
      </c>
      <c r="I54" s="500">
        <v>41029.0</v>
      </c>
      <c r="J54" s="428">
        <v>4.0</v>
      </c>
      <c r="K54" s="638" t="s">
        <v>234</v>
      </c>
      <c r="L54" s="428" t="s">
        <v>258</v>
      </c>
      <c r="M54" s="319">
        <f t="shared" si="1"/>
        <v>1204</v>
      </c>
      <c r="N54" s="198"/>
      <c r="O54" s="321" t="s">
        <v>209</v>
      </c>
      <c r="P54" s="344">
        <f>COUNTIF($J$2:$J$476,"8")</f>
        <v>20</v>
      </c>
      <c r="Q54" s="113"/>
      <c r="R54" s="114"/>
      <c r="S54" s="345">
        <f>(P54/P59)</f>
        <v>0.119047619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5412.0</v>
      </c>
      <c r="B55" s="420" t="s">
        <v>10321</v>
      </c>
      <c r="C55" s="420">
        <v>2009.0</v>
      </c>
      <c r="D55" s="497">
        <v>39883.0</v>
      </c>
      <c r="E55" s="420" t="s">
        <v>10322</v>
      </c>
      <c r="F55" s="420" t="s">
        <v>1203</v>
      </c>
      <c r="G55" s="420" t="s">
        <v>17</v>
      </c>
      <c r="H55" s="420" t="s">
        <v>583</v>
      </c>
      <c r="I55" s="497">
        <v>41029.0</v>
      </c>
      <c r="J55" s="422">
        <v>4.0</v>
      </c>
      <c r="K55" s="637" t="s">
        <v>238</v>
      </c>
      <c r="L55" s="422" t="s">
        <v>256</v>
      </c>
      <c r="M55" s="316">
        <f t="shared" si="1"/>
        <v>1146</v>
      </c>
      <c r="N55" s="198"/>
      <c r="O55" s="322" t="s">
        <v>211</v>
      </c>
      <c r="P55" s="346">
        <f>COUNTIF($J$2:$J$476,"9")</f>
        <v>11</v>
      </c>
      <c r="Q55" s="113"/>
      <c r="R55" s="114"/>
      <c r="S55" s="343">
        <f>(P55/P59)</f>
        <v>0.06547619048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5512.0</v>
      </c>
      <c r="B56" s="426" t="s">
        <v>10323</v>
      </c>
      <c r="C56" s="426">
        <v>2009.0</v>
      </c>
      <c r="D56" s="500">
        <v>39892.0</v>
      </c>
      <c r="E56" s="426" t="s">
        <v>10324</v>
      </c>
      <c r="F56" s="426" t="s">
        <v>1203</v>
      </c>
      <c r="G56" s="426" t="s">
        <v>17</v>
      </c>
      <c r="H56" s="426" t="s">
        <v>901</v>
      </c>
      <c r="I56" s="500">
        <v>41029.0</v>
      </c>
      <c r="J56" s="428">
        <v>4.0</v>
      </c>
      <c r="K56" s="637" t="s">
        <v>238</v>
      </c>
      <c r="L56" s="428" t="s">
        <v>256</v>
      </c>
      <c r="M56" s="319">
        <f t="shared" si="1"/>
        <v>1137</v>
      </c>
      <c r="N56" s="198"/>
      <c r="O56" s="321" t="s">
        <v>213</v>
      </c>
      <c r="P56" s="344">
        <f>COUNTIF($J$2:$J$476,"10")</f>
        <v>9</v>
      </c>
      <c r="Q56" s="113"/>
      <c r="R56" s="114"/>
      <c r="S56" s="345">
        <f>(P56/P59)</f>
        <v>0.05357142857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5612.0</v>
      </c>
      <c r="B57" s="420" t="s">
        <v>10325</v>
      </c>
      <c r="C57" s="420">
        <v>2009.0</v>
      </c>
      <c r="D57" s="497">
        <v>39989.0</v>
      </c>
      <c r="E57" s="420" t="s">
        <v>10326</v>
      </c>
      <c r="F57" s="420" t="s">
        <v>1203</v>
      </c>
      <c r="G57" s="420" t="s">
        <v>17</v>
      </c>
      <c r="H57" s="420" t="s">
        <v>45</v>
      </c>
      <c r="I57" s="497">
        <v>41029.0</v>
      </c>
      <c r="J57" s="422">
        <v>4.0</v>
      </c>
      <c r="K57" s="637" t="s">
        <v>238</v>
      </c>
      <c r="L57" s="422" t="s">
        <v>256</v>
      </c>
      <c r="M57" s="316">
        <f t="shared" si="1"/>
        <v>1040</v>
      </c>
      <c r="N57" s="198"/>
      <c r="O57" s="322" t="s">
        <v>215</v>
      </c>
      <c r="P57" s="346">
        <f>COUNTIF($J$2:$J$476,"11")</f>
        <v>9</v>
      </c>
      <c r="Q57" s="113"/>
      <c r="R57" s="114"/>
      <c r="S57" s="343">
        <f>(P57/P59)</f>
        <v>0.05357142857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5712.0</v>
      </c>
      <c r="B58" s="426" t="s">
        <v>10327</v>
      </c>
      <c r="C58" s="426">
        <v>2009.0</v>
      </c>
      <c r="D58" s="500">
        <v>40226.0</v>
      </c>
      <c r="E58" s="426" t="s">
        <v>10328</v>
      </c>
      <c r="F58" s="426" t="s">
        <v>963</v>
      </c>
      <c r="G58" s="426" t="s">
        <v>552</v>
      </c>
      <c r="H58" s="426" t="s">
        <v>50</v>
      </c>
      <c r="I58" s="500">
        <v>41029.0</v>
      </c>
      <c r="J58" s="428">
        <v>4.0</v>
      </c>
      <c r="K58" s="637" t="s">
        <v>238</v>
      </c>
      <c r="L58" s="428" t="s">
        <v>258</v>
      </c>
      <c r="M58" s="319">
        <f t="shared" si="1"/>
        <v>803</v>
      </c>
      <c r="N58" s="198"/>
      <c r="O58" s="355" t="s">
        <v>217</v>
      </c>
      <c r="P58" s="344">
        <f>COUNTIF($J$2:$J$476,"12")</f>
        <v>23</v>
      </c>
      <c r="Q58" s="113"/>
      <c r="R58" s="114"/>
      <c r="S58" s="356">
        <f>(P58/P59)</f>
        <v>0.1369047619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5812.0</v>
      </c>
      <c r="B59" s="420" t="s">
        <v>10329</v>
      </c>
      <c r="C59" s="420">
        <v>2009.0</v>
      </c>
      <c r="D59" s="497">
        <v>39911.0</v>
      </c>
      <c r="E59" s="420" t="s">
        <v>10330</v>
      </c>
      <c r="F59" s="420" t="s">
        <v>563</v>
      </c>
      <c r="G59" s="420" t="s">
        <v>17</v>
      </c>
      <c r="H59" s="420" t="s">
        <v>153</v>
      </c>
      <c r="I59" s="497">
        <v>41030.0</v>
      </c>
      <c r="J59" s="422">
        <v>5.0</v>
      </c>
      <c r="K59" s="638" t="s">
        <v>234</v>
      </c>
      <c r="L59" s="422" t="s">
        <v>256</v>
      </c>
      <c r="M59" s="316">
        <f t="shared" si="1"/>
        <v>1119</v>
      </c>
      <c r="N59" s="198"/>
      <c r="O59" s="348" t="s">
        <v>219</v>
      </c>
      <c r="P59" s="349">
        <f>SUM(P47:R58)</f>
        <v>168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5912.0</v>
      </c>
      <c r="B60" s="426" t="s">
        <v>10331</v>
      </c>
      <c r="C60" s="426">
        <v>2009.0</v>
      </c>
      <c r="D60" s="500">
        <v>39951.0</v>
      </c>
      <c r="E60" s="426" t="s">
        <v>10332</v>
      </c>
      <c r="F60" s="426" t="s">
        <v>563</v>
      </c>
      <c r="G60" s="426" t="s">
        <v>17</v>
      </c>
      <c r="H60" s="426" t="s">
        <v>153</v>
      </c>
      <c r="I60" s="500">
        <v>41030.0</v>
      </c>
      <c r="J60" s="428">
        <v>5.0</v>
      </c>
      <c r="K60" s="638" t="s">
        <v>234</v>
      </c>
      <c r="L60" s="428" t="s">
        <v>256</v>
      </c>
      <c r="M60" s="319">
        <f t="shared" si="1"/>
        <v>1079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6012.0</v>
      </c>
      <c r="B61" s="420" t="s">
        <v>10333</v>
      </c>
      <c r="C61" s="420">
        <v>2009.0</v>
      </c>
      <c r="D61" s="497">
        <v>39947.0</v>
      </c>
      <c r="E61" s="420" t="s">
        <v>10334</v>
      </c>
      <c r="F61" s="420" t="s">
        <v>563</v>
      </c>
      <c r="G61" s="420" t="s">
        <v>17</v>
      </c>
      <c r="H61" s="420" t="s">
        <v>153</v>
      </c>
      <c r="I61" s="497">
        <v>41030.0</v>
      </c>
      <c r="J61" s="422">
        <v>5.0</v>
      </c>
      <c r="K61" s="638" t="s">
        <v>234</v>
      </c>
      <c r="L61" s="422" t="s">
        <v>256</v>
      </c>
      <c r="M61" s="316">
        <f t="shared" si="1"/>
        <v>1083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425">
        <v>6112.0</v>
      </c>
      <c r="B62" s="426" t="s">
        <v>10335</v>
      </c>
      <c r="C62" s="426">
        <v>2010.0</v>
      </c>
      <c r="D62" s="500">
        <v>40256.0</v>
      </c>
      <c r="E62" s="426" t="s">
        <v>10336</v>
      </c>
      <c r="F62" s="426" t="s">
        <v>10337</v>
      </c>
      <c r="G62" s="426" t="s">
        <v>552</v>
      </c>
      <c r="H62" s="426" t="s">
        <v>7777</v>
      </c>
      <c r="I62" s="500">
        <v>41032.0</v>
      </c>
      <c r="J62" s="428">
        <v>5.0</v>
      </c>
      <c r="K62" s="635" t="s">
        <v>228</v>
      </c>
      <c r="L62" s="428" t="s">
        <v>256</v>
      </c>
      <c r="M62" s="319">
        <f t="shared" si="1"/>
        <v>776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419">
        <v>6212.0</v>
      </c>
      <c r="B63" s="420" t="s">
        <v>10338</v>
      </c>
      <c r="C63" s="420">
        <v>2009.0</v>
      </c>
      <c r="D63" s="497">
        <v>40109.0</v>
      </c>
      <c r="E63" s="420" t="s">
        <v>10339</v>
      </c>
      <c r="F63" s="420" t="s">
        <v>171</v>
      </c>
      <c r="G63" s="420" t="s">
        <v>17</v>
      </c>
      <c r="H63" s="420" t="s">
        <v>1501</v>
      </c>
      <c r="I63" s="497">
        <v>41043.0</v>
      </c>
      <c r="J63" s="422">
        <v>5.0</v>
      </c>
      <c r="K63" s="637" t="s">
        <v>238</v>
      </c>
      <c r="L63" s="422" t="s">
        <v>256</v>
      </c>
      <c r="M63" s="316">
        <f t="shared" si="1"/>
        <v>934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425">
        <v>6312.0</v>
      </c>
      <c r="B64" s="426" t="s">
        <v>10340</v>
      </c>
      <c r="C64" s="426">
        <v>2008.0</v>
      </c>
      <c r="D64" s="500">
        <v>39554.0</v>
      </c>
      <c r="E64" s="426" t="s">
        <v>10341</v>
      </c>
      <c r="F64" s="426" t="s">
        <v>719</v>
      </c>
      <c r="G64" s="426" t="s">
        <v>552</v>
      </c>
      <c r="H64" s="426" t="s">
        <v>740</v>
      </c>
      <c r="I64" s="500">
        <v>41043.0</v>
      </c>
      <c r="J64" s="428">
        <v>5.0</v>
      </c>
      <c r="K64" s="637" t="s">
        <v>238</v>
      </c>
      <c r="L64" s="428" t="s">
        <v>256</v>
      </c>
      <c r="M64" s="319">
        <f t="shared" si="1"/>
        <v>1489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57</v>
      </c>
      <c r="T64" s="366">
        <f>(S64/S76)</f>
        <v>0.3392857143</v>
      </c>
      <c r="U64" s="198"/>
      <c r="V64" s="198"/>
      <c r="W64" s="198"/>
      <c r="X64" s="198"/>
      <c r="Y64" s="198"/>
      <c r="Z64" s="198"/>
    </row>
    <row r="65" ht="12.75" customHeight="1">
      <c r="A65" s="419">
        <v>6412.0</v>
      </c>
      <c r="B65" s="420" t="s">
        <v>10342</v>
      </c>
      <c r="C65" s="420">
        <v>2009.0</v>
      </c>
      <c r="D65" s="497">
        <v>39955.0</v>
      </c>
      <c r="E65" s="420" t="s">
        <v>10343</v>
      </c>
      <c r="F65" s="420" t="s">
        <v>963</v>
      </c>
      <c r="G65" s="420" t="s">
        <v>552</v>
      </c>
      <c r="H65" s="420" t="s">
        <v>153</v>
      </c>
      <c r="I65" s="497">
        <v>41044.0</v>
      </c>
      <c r="J65" s="422">
        <v>5.0</v>
      </c>
      <c r="K65" s="638" t="s">
        <v>234</v>
      </c>
      <c r="L65" s="422" t="s">
        <v>258</v>
      </c>
      <c r="M65" s="316">
        <f t="shared" si="1"/>
        <v>1089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6512.0</v>
      </c>
      <c r="B66" s="426" t="s">
        <v>10344</v>
      </c>
      <c r="C66" s="426">
        <v>2009.0</v>
      </c>
      <c r="D66" s="500">
        <v>40169.0</v>
      </c>
      <c r="E66" s="426" t="s">
        <v>10345</v>
      </c>
      <c r="F66" s="426" t="s">
        <v>666</v>
      </c>
      <c r="G66" s="426" t="s">
        <v>17</v>
      </c>
      <c r="H66" s="426" t="s">
        <v>7403</v>
      </c>
      <c r="I66" s="500">
        <v>41045.0</v>
      </c>
      <c r="J66" s="428">
        <v>5.0</v>
      </c>
      <c r="K66" s="638" t="s">
        <v>234</v>
      </c>
      <c r="L66" s="428" t="s">
        <v>258</v>
      </c>
      <c r="M66" s="319">
        <f t="shared" si="1"/>
        <v>876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6612.0</v>
      </c>
      <c r="B67" s="420" t="s">
        <v>10346</v>
      </c>
      <c r="C67" s="420">
        <v>2009.0</v>
      </c>
      <c r="D67" s="497">
        <v>40147.0</v>
      </c>
      <c r="E67" s="420" t="s">
        <v>10347</v>
      </c>
      <c r="F67" s="420" t="s">
        <v>1108</v>
      </c>
      <c r="G67" s="420" t="s">
        <v>17</v>
      </c>
      <c r="H67" s="420" t="s">
        <v>1178</v>
      </c>
      <c r="I67" s="497">
        <v>41047.0</v>
      </c>
      <c r="J67" s="422">
        <v>5.0</v>
      </c>
      <c r="K67" s="637" t="s">
        <v>238</v>
      </c>
      <c r="L67" s="422" t="s">
        <v>256</v>
      </c>
      <c r="M67" s="316">
        <f t="shared" si="1"/>
        <v>900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44</v>
      </c>
      <c r="T67" s="374">
        <f>(S67/S76)</f>
        <v>0.2619047619</v>
      </c>
      <c r="U67" s="198"/>
      <c r="V67" s="198"/>
      <c r="W67" s="198"/>
      <c r="X67" s="198"/>
      <c r="Y67" s="198"/>
      <c r="Z67" s="198"/>
    </row>
    <row r="68" ht="12.75" customHeight="1">
      <c r="A68" s="425">
        <v>6712.0</v>
      </c>
      <c r="B68" s="426" t="s">
        <v>10348</v>
      </c>
      <c r="C68" s="426">
        <v>2010.0</v>
      </c>
      <c r="D68" s="500">
        <v>40527.0</v>
      </c>
      <c r="E68" s="426" t="s">
        <v>10349</v>
      </c>
      <c r="F68" s="426" t="s">
        <v>666</v>
      </c>
      <c r="G68" s="426" t="s">
        <v>17</v>
      </c>
      <c r="H68" s="426" t="s">
        <v>1329</v>
      </c>
      <c r="I68" s="500">
        <v>41051.0</v>
      </c>
      <c r="J68" s="428">
        <v>5.0</v>
      </c>
      <c r="K68" s="638" t="s">
        <v>234</v>
      </c>
      <c r="L68" s="428" t="s">
        <v>258</v>
      </c>
      <c r="M68" s="319">
        <f t="shared" si="1"/>
        <v>524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419">
        <v>6812.0</v>
      </c>
      <c r="B69" s="420" t="s">
        <v>10350</v>
      </c>
      <c r="C69" s="420">
        <v>2012.0</v>
      </c>
      <c r="D69" s="497">
        <v>40914.0</v>
      </c>
      <c r="E69" s="420" t="s">
        <v>10351</v>
      </c>
      <c r="F69" s="623" t="s">
        <v>5738</v>
      </c>
      <c r="G69" s="420" t="s">
        <v>569</v>
      </c>
      <c r="H69" s="420" t="s">
        <v>10352</v>
      </c>
      <c r="I69" s="497">
        <v>41057.0</v>
      </c>
      <c r="J69" s="422">
        <v>5.0</v>
      </c>
      <c r="K69" s="636" t="s">
        <v>850</v>
      </c>
      <c r="L69" s="422" t="s">
        <v>260</v>
      </c>
      <c r="M69" s="316">
        <f t="shared" si="1"/>
        <v>143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50</v>
      </c>
      <c r="T69" s="377">
        <f>(S69/S76)</f>
        <v>0.2976190476</v>
      </c>
      <c r="U69" s="198"/>
      <c r="V69" s="198"/>
      <c r="W69" s="198"/>
      <c r="X69" s="198"/>
      <c r="Y69" s="198"/>
      <c r="Z69" s="198"/>
    </row>
    <row r="70" ht="12.75" customHeight="1">
      <c r="A70" s="425">
        <v>6912.0</v>
      </c>
      <c r="B70" s="426" t="s">
        <v>10353</v>
      </c>
      <c r="C70" s="426">
        <v>2011.0</v>
      </c>
      <c r="D70" s="500">
        <v>40899.0</v>
      </c>
      <c r="E70" s="426" t="s">
        <v>10354</v>
      </c>
      <c r="F70" s="426" t="s">
        <v>563</v>
      </c>
      <c r="G70" s="426" t="s">
        <v>552</v>
      </c>
      <c r="H70" s="426" t="s">
        <v>66</v>
      </c>
      <c r="I70" s="500">
        <v>41057.0</v>
      </c>
      <c r="J70" s="428">
        <v>5.0</v>
      </c>
      <c r="K70" s="635" t="s">
        <v>228</v>
      </c>
      <c r="L70" s="428" t="s">
        <v>256</v>
      </c>
      <c r="M70" s="319">
        <f t="shared" si="1"/>
        <v>158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7012.0</v>
      </c>
      <c r="B71" s="420" t="s">
        <v>10355</v>
      </c>
      <c r="C71" s="420">
        <v>2009.0</v>
      </c>
      <c r="D71" s="497">
        <v>39912.0</v>
      </c>
      <c r="E71" s="420" t="s">
        <v>10356</v>
      </c>
      <c r="F71" s="420" t="s">
        <v>9698</v>
      </c>
      <c r="G71" s="420" t="s">
        <v>552</v>
      </c>
      <c r="H71" s="420" t="s">
        <v>143</v>
      </c>
      <c r="I71" s="497">
        <v>41058.0</v>
      </c>
      <c r="J71" s="422">
        <v>5.0</v>
      </c>
      <c r="K71" s="637" t="s">
        <v>238</v>
      </c>
      <c r="L71" s="422" t="s">
        <v>258</v>
      </c>
      <c r="M71" s="316">
        <f t="shared" si="1"/>
        <v>1146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7112.0</v>
      </c>
      <c r="B72" s="426" t="s">
        <v>10357</v>
      </c>
      <c r="C72" s="426">
        <v>2010.0</v>
      </c>
      <c r="D72" s="500">
        <v>40344.0</v>
      </c>
      <c r="E72" s="426" t="s">
        <v>10358</v>
      </c>
      <c r="F72" s="426" t="s">
        <v>711</v>
      </c>
      <c r="G72" s="426" t="s">
        <v>17</v>
      </c>
      <c r="H72" s="426" t="s">
        <v>1178</v>
      </c>
      <c r="I72" s="500">
        <v>41058.0</v>
      </c>
      <c r="J72" s="428">
        <v>5.0</v>
      </c>
      <c r="K72" s="638" t="s">
        <v>234</v>
      </c>
      <c r="L72" s="428" t="s">
        <v>256</v>
      </c>
      <c r="M72" s="319">
        <f t="shared" si="1"/>
        <v>714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6</v>
      </c>
      <c r="T72" s="380">
        <f>(S72/S76)</f>
        <v>0.03571428571</v>
      </c>
      <c r="U72" s="198"/>
      <c r="V72" s="198"/>
      <c r="W72" s="198"/>
      <c r="X72" s="198"/>
      <c r="Y72" s="198"/>
      <c r="Z72" s="198"/>
    </row>
    <row r="73" ht="12.75" customHeight="1">
      <c r="A73" s="419">
        <v>7212.0</v>
      </c>
      <c r="B73" s="420" t="s">
        <v>10359</v>
      </c>
      <c r="C73" s="420">
        <v>2011.0</v>
      </c>
      <c r="D73" s="497">
        <v>40870.0</v>
      </c>
      <c r="E73" s="420" t="s">
        <v>10360</v>
      </c>
      <c r="F73" s="623" t="s">
        <v>5332</v>
      </c>
      <c r="G73" s="420" t="s">
        <v>569</v>
      </c>
      <c r="H73" s="420" t="s">
        <v>10361</v>
      </c>
      <c r="I73" s="497">
        <v>41059.0</v>
      </c>
      <c r="J73" s="422">
        <v>5.0</v>
      </c>
      <c r="K73" s="636" t="s">
        <v>850</v>
      </c>
      <c r="L73" s="422" t="s">
        <v>260</v>
      </c>
      <c r="M73" s="316">
        <f t="shared" si="1"/>
        <v>189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425">
        <v>7312.0</v>
      </c>
      <c r="B74" s="426" t="s">
        <v>10362</v>
      </c>
      <c r="C74" s="426">
        <v>2011.0</v>
      </c>
      <c r="D74" s="500">
        <v>40606.0</v>
      </c>
      <c r="E74" s="426" t="s">
        <v>10363</v>
      </c>
      <c r="F74" s="622" t="s">
        <v>10364</v>
      </c>
      <c r="G74" s="426" t="s">
        <v>565</v>
      </c>
      <c r="H74" s="426" t="s">
        <v>2550</v>
      </c>
      <c r="I74" s="500">
        <v>41059.0</v>
      </c>
      <c r="J74" s="428">
        <v>5.0</v>
      </c>
      <c r="K74" s="636" t="s">
        <v>244</v>
      </c>
      <c r="L74" s="428" t="s">
        <v>260</v>
      </c>
      <c r="M74" s="319">
        <f t="shared" si="1"/>
        <v>453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11</v>
      </c>
      <c r="T74" s="380">
        <f>(S74/S76)</f>
        <v>0.06547619048</v>
      </c>
      <c r="U74" s="198"/>
      <c r="V74" s="198"/>
      <c r="W74" s="198"/>
      <c r="X74" s="198"/>
      <c r="Y74" s="198"/>
      <c r="Z74" s="198"/>
    </row>
    <row r="75" ht="12.75" customHeight="1">
      <c r="A75" s="419">
        <v>7412.0</v>
      </c>
      <c r="B75" s="420" t="s">
        <v>10365</v>
      </c>
      <c r="C75" s="420">
        <v>2008.0</v>
      </c>
      <c r="D75" s="497">
        <v>39750.0</v>
      </c>
      <c r="E75" s="420" t="s">
        <v>10366</v>
      </c>
      <c r="F75" s="420" t="s">
        <v>3265</v>
      </c>
      <c r="G75" s="420" t="s">
        <v>17</v>
      </c>
      <c r="H75" s="420" t="s">
        <v>9672</v>
      </c>
      <c r="I75" s="497">
        <v>41060.0</v>
      </c>
      <c r="J75" s="422">
        <v>5.0</v>
      </c>
      <c r="K75" s="637" t="s">
        <v>238</v>
      </c>
      <c r="L75" s="422" t="s">
        <v>258</v>
      </c>
      <c r="M75" s="316">
        <f t="shared" si="1"/>
        <v>1310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7512.0</v>
      </c>
      <c r="B76" s="426" t="s">
        <v>9460</v>
      </c>
      <c r="C76" s="426">
        <v>2009.0</v>
      </c>
      <c r="D76" s="500">
        <v>39980.0</v>
      </c>
      <c r="E76" s="426" t="s">
        <v>10367</v>
      </c>
      <c r="F76" s="426" t="s">
        <v>666</v>
      </c>
      <c r="G76" s="426" t="s">
        <v>17</v>
      </c>
      <c r="H76" s="426" t="s">
        <v>705</v>
      </c>
      <c r="I76" s="500">
        <v>41065.0</v>
      </c>
      <c r="J76" s="428">
        <v>6.0</v>
      </c>
      <c r="K76" s="638" t="s">
        <v>234</v>
      </c>
      <c r="L76" s="428" t="s">
        <v>258</v>
      </c>
      <c r="M76" s="319">
        <f t="shared" si="1"/>
        <v>1085</v>
      </c>
      <c r="N76" s="198"/>
      <c r="O76" s="386" t="s">
        <v>219</v>
      </c>
      <c r="P76" s="332"/>
      <c r="Q76" s="332"/>
      <c r="R76" s="387"/>
      <c r="S76" s="388">
        <f>SUM(S64:S75)</f>
        <v>168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7612.0</v>
      </c>
      <c r="B77" s="420" t="s">
        <v>10368</v>
      </c>
      <c r="C77" s="420">
        <v>2009.0</v>
      </c>
      <c r="D77" s="497">
        <v>40095.0</v>
      </c>
      <c r="E77" s="420" t="s">
        <v>10369</v>
      </c>
      <c r="F77" s="420" t="s">
        <v>2311</v>
      </c>
      <c r="G77" s="420" t="s">
        <v>552</v>
      </c>
      <c r="H77" s="420" t="s">
        <v>10370</v>
      </c>
      <c r="I77" s="497">
        <v>41073.0</v>
      </c>
      <c r="J77" s="422">
        <v>6.0</v>
      </c>
      <c r="K77" s="635" t="s">
        <v>228</v>
      </c>
      <c r="L77" s="422" t="s">
        <v>256</v>
      </c>
      <c r="M77" s="316">
        <f t="shared" si="1"/>
        <v>978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7712.0</v>
      </c>
      <c r="B78" s="426" t="s">
        <v>10371</v>
      </c>
      <c r="C78" s="426">
        <v>2009.0</v>
      </c>
      <c r="D78" s="500">
        <v>40177.0</v>
      </c>
      <c r="E78" s="426" t="s">
        <v>10372</v>
      </c>
      <c r="F78" s="426" t="s">
        <v>25</v>
      </c>
      <c r="G78" s="426" t="s">
        <v>17</v>
      </c>
      <c r="H78" s="426" t="s">
        <v>10373</v>
      </c>
      <c r="I78" s="500">
        <v>41074.0</v>
      </c>
      <c r="J78" s="428">
        <v>6.0</v>
      </c>
      <c r="K78" s="637" t="s">
        <v>238</v>
      </c>
      <c r="L78" s="428" t="s">
        <v>256</v>
      </c>
      <c r="M78" s="319">
        <f t="shared" si="1"/>
        <v>897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419">
        <v>7812.0</v>
      </c>
      <c r="B79" s="420" t="s">
        <v>10374</v>
      </c>
      <c r="C79" s="420">
        <v>2008.0</v>
      </c>
      <c r="D79" s="497">
        <v>39783.0</v>
      </c>
      <c r="E79" s="420" t="s">
        <v>10375</v>
      </c>
      <c r="F79" s="420" t="s">
        <v>947</v>
      </c>
      <c r="G79" s="420" t="s">
        <v>552</v>
      </c>
      <c r="H79" s="420" t="s">
        <v>5171</v>
      </c>
      <c r="I79" s="497">
        <v>41079.0</v>
      </c>
      <c r="J79" s="422">
        <v>6.0</v>
      </c>
      <c r="K79" s="638" t="s">
        <v>234</v>
      </c>
      <c r="L79" s="422" t="s">
        <v>258</v>
      </c>
      <c r="M79" s="316">
        <f t="shared" si="1"/>
        <v>1296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7912.0</v>
      </c>
      <c r="B80" s="426" t="s">
        <v>10376</v>
      </c>
      <c r="C80" s="426">
        <v>2007.0</v>
      </c>
      <c r="D80" s="500">
        <v>39414.0</v>
      </c>
      <c r="E80" s="426" t="s">
        <v>10377</v>
      </c>
      <c r="F80" s="426" t="s">
        <v>719</v>
      </c>
      <c r="G80" s="426" t="s">
        <v>552</v>
      </c>
      <c r="H80" s="426" t="s">
        <v>740</v>
      </c>
      <c r="I80" s="500">
        <v>41079.0</v>
      </c>
      <c r="J80" s="428">
        <v>6.0</v>
      </c>
      <c r="K80" s="637" t="s">
        <v>238</v>
      </c>
      <c r="L80" s="428" t="s">
        <v>256</v>
      </c>
      <c r="M80" s="319">
        <f t="shared" si="1"/>
        <v>1665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8012.0</v>
      </c>
      <c r="B81" s="420" t="s">
        <v>10378</v>
      </c>
      <c r="C81" s="420">
        <v>2008.0</v>
      </c>
      <c r="D81" s="497">
        <v>39713.0</v>
      </c>
      <c r="E81" s="420" t="s">
        <v>10379</v>
      </c>
      <c r="F81" s="420" t="s">
        <v>10380</v>
      </c>
      <c r="G81" s="420" t="s">
        <v>552</v>
      </c>
      <c r="H81" s="420" t="s">
        <v>2964</v>
      </c>
      <c r="I81" s="497">
        <v>41080.0</v>
      </c>
      <c r="J81" s="422">
        <v>6.0</v>
      </c>
      <c r="K81" s="635" t="s">
        <v>228</v>
      </c>
      <c r="L81" s="422" t="s">
        <v>256</v>
      </c>
      <c r="M81" s="316">
        <f t="shared" si="1"/>
        <v>1367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3</v>
      </c>
      <c r="T81" s="395">
        <f>(S81/S85)</f>
        <v>0.01785714286</v>
      </c>
      <c r="U81" s="198"/>
      <c r="V81" s="198"/>
      <c r="W81" s="198"/>
      <c r="X81" s="198"/>
      <c r="Y81" s="198"/>
      <c r="Z81" s="198"/>
    </row>
    <row r="82" ht="13.5" customHeight="1">
      <c r="A82" s="425">
        <v>8112.0</v>
      </c>
      <c r="B82" s="426" t="s">
        <v>10381</v>
      </c>
      <c r="C82" s="426">
        <v>2010.0</v>
      </c>
      <c r="D82" s="500">
        <v>40368.0</v>
      </c>
      <c r="E82" s="426" t="s">
        <v>10382</v>
      </c>
      <c r="F82" s="426" t="s">
        <v>3635</v>
      </c>
      <c r="G82" s="426" t="s">
        <v>552</v>
      </c>
      <c r="H82" s="426" t="s">
        <v>9672</v>
      </c>
      <c r="I82" s="500">
        <v>41089.0</v>
      </c>
      <c r="J82" s="428">
        <v>6.0</v>
      </c>
      <c r="K82" s="635" t="s">
        <v>228</v>
      </c>
      <c r="L82" s="428" t="s">
        <v>256</v>
      </c>
      <c r="M82" s="319">
        <f t="shared" si="1"/>
        <v>721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89</v>
      </c>
      <c r="T82" s="398">
        <f>(S82/S85)</f>
        <v>0.5297619048</v>
      </c>
      <c r="U82" s="198"/>
      <c r="V82" s="198"/>
      <c r="W82" s="198"/>
      <c r="X82" s="198"/>
      <c r="Y82" s="198"/>
      <c r="Z82" s="198"/>
    </row>
    <row r="83" ht="13.5" customHeight="1">
      <c r="A83" s="419">
        <v>8212.0</v>
      </c>
      <c r="B83" s="420" t="s">
        <v>10383</v>
      </c>
      <c r="C83" s="420">
        <v>2009.0</v>
      </c>
      <c r="D83" s="497">
        <v>40176.0</v>
      </c>
      <c r="E83" s="420" t="s">
        <v>10384</v>
      </c>
      <c r="F83" s="420" t="s">
        <v>9742</v>
      </c>
      <c r="G83" s="420" t="s">
        <v>552</v>
      </c>
      <c r="H83" s="420" t="s">
        <v>7403</v>
      </c>
      <c r="I83" s="497">
        <v>41089.0</v>
      </c>
      <c r="J83" s="422">
        <v>6.0</v>
      </c>
      <c r="K83" s="637" t="s">
        <v>238</v>
      </c>
      <c r="L83" s="422" t="s">
        <v>256</v>
      </c>
      <c r="M83" s="316">
        <f t="shared" si="1"/>
        <v>913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59</v>
      </c>
      <c r="T83" s="395">
        <f>(S83/S85)</f>
        <v>0.3511904762</v>
      </c>
      <c r="U83" s="198"/>
      <c r="V83" s="198"/>
      <c r="W83" s="198"/>
      <c r="X83" s="198"/>
      <c r="Y83" s="198"/>
      <c r="Z83" s="198"/>
    </row>
    <row r="84" ht="14.25" customHeight="1">
      <c r="A84" s="425">
        <v>8312.0</v>
      </c>
      <c r="B84" s="426" t="s">
        <v>10385</v>
      </c>
      <c r="C84" s="426">
        <v>2007.0</v>
      </c>
      <c r="D84" s="500">
        <v>39302.0</v>
      </c>
      <c r="E84" s="426" t="s">
        <v>10386</v>
      </c>
      <c r="F84" s="426" t="s">
        <v>7179</v>
      </c>
      <c r="G84" s="426" t="s">
        <v>552</v>
      </c>
      <c r="H84" s="426" t="s">
        <v>2964</v>
      </c>
      <c r="I84" s="500">
        <v>41093.0</v>
      </c>
      <c r="J84" s="428">
        <v>7.0</v>
      </c>
      <c r="K84" s="635" t="s">
        <v>228</v>
      </c>
      <c r="L84" s="428" t="s">
        <v>258</v>
      </c>
      <c r="M84" s="319">
        <f t="shared" si="1"/>
        <v>1791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17</v>
      </c>
      <c r="T84" s="398">
        <f>(S84/S85)</f>
        <v>0.1011904762</v>
      </c>
      <c r="U84" s="198"/>
      <c r="V84" s="198"/>
      <c r="W84" s="198"/>
      <c r="X84" s="198"/>
      <c r="Y84" s="198"/>
      <c r="Z84" s="198"/>
    </row>
    <row r="85" ht="12.75" customHeight="1">
      <c r="A85" s="419">
        <v>8412.0</v>
      </c>
      <c r="B85" s="420" t="s">
        <v>10387</v>
      </c>
      <c r="C85" s="420">
        <v>2008.0</v>
      </c>
      <c r="D85" s="497">
        <v>39660.0</v>
      </c>
      <c r="E85" s="420" t="s">
        <v>10388</v>
      </c>
      <c r="F85" s="420" t="s">
        <v>1401</v>
      </c>
      <c r="G85" s="420" t="s">
        <v>17</v>
      </c>
      <c r="H85" s="420" t="s">
        <v>601</v>
      </c>
      <c r="I85" s="497">
        <v>41096.0</v>
      </c>
      <c r="J85" s="422">
        <v>7.0</v>
      </c>
      <c r="K85" s="637" t="s">
        <v>238</v>
      </c>
      <c r="L85" s="422" t="s">
        <v>258</v>
      </c>
      <c r="M85" s="316">
        <f t="shared" si="1"/>
        <v>1436</v>
      </c>
      <c r="N85" s="198"/>
      <c r="O85" s="358" t="s">
        <v>219</v>
      </c>
      <c r="P85" s="359"/>
      <c r="Q85" s="359"/>
      <c r="R85" s="360"/>
      <c r="S85" s="388">
        <f>SUM(S81:S84)</f>
        <v>168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425">
        <v>8512.0</v>
      </c>
      <c r="B86" s="426" t="s">
        <v>10389</v>
      </c>
      <c r="C86" s="426">
        <v>2009.0</v>
      </c>
      <c r="D86" s="500">
        <v>39888.0</v>
      </c>
      <c r="E86" s="426" t="s">
        <v>10390</v>
      </c>
      <c r="F86" s="426" t="s">
        <v>1150</v>
      </c>
      <c r="G86" s="426" t="s">
        <v>17</v>
      </c>
      <c r="H86" s="426" t="s">
        <v>10373</v>
      </c>
      <c r="I86" s="500">
        <v>41096.0</v>
      </c>
      <c r="J86" s="428">
        <v>7.0</v>
      </c>
      <c r="K86" s="635" t="s">
        <v>228</v>
      </c>
      <c r="L86" s="428" t="s">
        <v>256</v>
      </c>
      <c r="M86" s="319">
        <f t="shared" si="1"/>
        <v>1208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419">
        <v>8612.0</v>
      </c>
      <c r="B87" s="420" t="s">
        <v>10391</v>
      </c>
      <c r="C87" s="420">
        <v>2010.0</v>
      </c>
      <c r="D87" s="497">
        <v>40245.0</v>
      </c>
      <c r="E87" s="420" t="s">
        <v>10392</v>
      </c>
      <c r="F87" s="420" t="s">
        <v>44</v>
      </c>
      <c r="G87" s="420" t="s">
        <v>17</v>
      </c>
      <c r="H87" s="420" t="s">
        <v>901</v>
      </c>
      <c r="I87" s="497">
        <v>41099.0</v>
      </c>
      <c r="J87" s="422">
        <v>7.0</v>
      </c>
      <c r="K87" s="635" t="s">
        <v>228</v>
      </c>
      <c r="L87" s="422" t="s">
        <v>258</v>
      </c>
      <c r="M87" s="316">
        <f t="shared" si="1"/>
        <v>854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425">
        <v>8712.0</v>
      </c>
      <c r="B88" s="426" t="s">
        <v>10393</v>
      </c>
      <c r="C88" s="426">
        <v>2010.0</v>
      </c>
      <c r="D88" s="500">
        <v>40259.0</v>
      </c>
      <c r="E88" s="426" t="s">
        <v>10394</v>
      </c>
      <c r="F88" s="426" t="s">
        <v>2311</v>
      </c>
      <c r="G88" s="426" t="s">
        <v>17</v>
      </c>
      <c r="H88" s="426" t="s">
        <v>10373</v>
      </c>
      <c r="I88" s="500">
        <v>41099.0</v>
      </c>
      <c r="J88" s="428">
        <v>7.0</v>
      </c>
      <c r="K88" s="638" t="s">
        <v>234</v>
      </c>
      <c r="L88" s="428" t="s">
        <v>256</v>
      </c>
      <c r="M88" s="319">
        <f t="shared" si="1"/>
        <v>840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419">
        <v>8812.0</v>
      </c>
      <c r="B89" s="420" t="s">
        <v>10395</v>
      </c>
      <c r="C89" s="420">
        <v>2009.0</v>
      </c>
      <c r="D89" s="497">
        <v>39828.0</v>
      </c>
      <c r="E89" s="420" t="s">
        <v>10396</v>
      </c>
      <c r="F89" s="420" t="s">
        <v>2311</v>
      </c>
      <c r="G89" s="420" t="s">
        <v>17</v>
      </c>
      <c r="H89" s="420" t="s">
        <v>26</v>
      </c>
      <c r="I89" s="497">
        <v>41100.0</v>
      </c>
      <c r="J89" s="422">
        <v>7.0</v>
      </c>
      <c r="K89" s="638" t="s">
        <v>234</v>
      </c>
      <c r="L89" s="422" t="s">
        <v>256</v>
      </c>
      <c r="M89" s="316">
        <f t="shared" si="1"/>
        <v>1272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425">
        <v>8912.0</v>
      </c>
      <c r="B90" s="426" t="s">
        <v>10397</v>
      </c>
      <c r="C90" s="426">
        <v>2010.0</v>
      </c>
      <c r="D90" s="500">
        <v>40444.0</v>
      </c>
      <c r="E90" s="426" t="s">
        <v>10398</v>
      </c>
      <c r="F90" s="426" t="s">
        <v>963</v>
      </c>
      <c r="G90" s="426" t="s">
        <v>552</v>
      </c>
      <c r="H90" s="426" t="s">
        <v>5016</v>
      </c>
      <c r="I90" s="500">
        <v>41100.0</v>
      </c>
      <c r="J90" s="428">
        <v>7.0</v>
      </c>
      <c r="K90" s="635" t="s">
        <v>228</v>
      </c>
      <c r="L90" s="428" t="s">
        <v>258</v>
      </c>
      <c r="M90" s="319">
        <f t="shared" si="1"/>
        <v>656</v>
      </c>
      <c r="N90" s="198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9012.0</v>
      </c>
      <c r="B91" s="420" t="s">
        <v>10399</v>
      </c>
      <c r="C91" s="420">
        <v>2008.0</v>
      </c>
      <c r="D91" s="497">
        <v>39639.0</v>
      </c>
      <c r="E91" s="420" t="s">
        <v>10400</v>
      </c>
      <c r="F91" s="420" t="s">
        <v>6584</v>
      </c>
      <c r="G91" s="420" t="s">
        <v>552</v>
      </c>
      <c r="H91" s="420" t="s">
        <v>10370</v>
      </c>
      <c r="I91" s="497">
        <v>41106.0</v>
      </c>
      <c r="J91" s="422">
        <v>7.0</v>
      </c>
      <c r="K91" s="635" t="s">
        <v>228</v>
      </c>
      <c r="L91" s="422" t="s">
        <v>256</v>
      </c>
      <c r="M91" s="316">
        <f t="shared" si="1"/>
        <v>1467</v>
      </c>
      <c r="N91" s="198"/>
      <c r="O91" s="414" t="s">
        <v>34</v>
      </c>
      <c r="P91" s="415">
        <f>AVERAGEIF(G2:G477,"PTN",M2:M477)</f>
        <v>1470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9112.0</v>
      </c>
      <c r="B92" s="426" t="s">
        <v>10401</v>
      </c>
      <c r="C92" s="426">
        <v>2008.0</v>
      </c>
      <c r="D92" s="500">
        <v>39681.0</v>
      </c>
      <c r="E92" s="426" t="s">
        <v>10402</v>
      </c>
      <c r="F92" s="426" t="s">
        <v>6584</v>
      </c>
      <c r="G92" s="426" t="s">
        <v>552</v>
      </c>
      <c r="H92" s="426" t="s">
        <v>10370</v>
      </c>
      <c r="I92" s="500">
        <v>41106.0</v>
      </c>
      <c r="J92" s="428">
        <v>7.0</v>
      </c>
      <c r="K92" s="635" t="s">
        <v>228</v>
      </c>
      <c r="L92" s="428" t="s">
        <v>256</v>
      </c>
      <c r="M92" s="319">
        <f t="shared" si="1"/>
        <v>1425</v>
      </c>
      <c r="N92" s="198"/>
      <c r="O92" s="412" t="s">
        <v>17</v>
      </c>
      <c r="P92" s="413">
        <f>AVERAGEIF(G2:G476,"PTE",M2:M476)</f>
        <v>1012.5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9212.0</v>
      </c>
      <c r="B93" s="420" t="s">
        <v>10403</v>
      </c>
      <c r="C93" s="420">
        <v>2009.0</v>
      </c>
      <c r="D93" s="497">
        <v>39959.0</v>
      </c>
      <c r="E93" s="420" t="s">
        <v>10404</v>
      </c>
      <c r="F93" s="420" t="s">
        <v>563</v>
      </c>
      <c r="G93" s="420" t="s">
        <v>552</v>
      </c>
      <c r="H93" s="420" t="s">
        <v>10373</v>
      </c>
      <c r="I93" s="497">
        <v>41106.0</v>
      </c>
      <c r="J93" s="422">
        <v>7.0</v>
      </c>
      <c r="K93" s="635" t="s">
        <v>228</v>
      </c>
      <c r="L93" s="422" t="s">
        <v>256</v>
      </c>
      <c r="M93" s="316">
        <f t="shared" si="1"/>
        <v>1147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9312.0</v>
      </c>
      <c r="B94" s="426" t="s">
        <v>10405</v>
      </c>
      <c r="C94" s="426">
        <v>2010.0</v>
      </c>
      <c r="D94" s="500">
        <v>40389.0</v>
      </c>
      <c r="E94" s="426" t="s">
        <v>10406</v>
      </c>
      <c r="F94" s="426" t="s">
        <v>10407</v>
      </c>
      <c r="G94" s="426" t="s">
        <v>547</v>
      </c>
      <c r="H94" s="426" t="s">
        <v>143</v>
      </c>
      <c r="I94" s="500">
        <v>41109.0</v>
      </c>
      <c r="J94" s="428">
        <v>7.0</v>
      </c>
      <c r="K94" s="635" t="s">
        <v>228</v>
      </c>
      <c r="L94" s="428" t="s">
        <v>258</v>
      </c>
      <c r="M94" s="319">
        <f t="shared" si="1"/>
        <v>720</v>
      </c>
      <c r="N94" s="198"/>
      <c r="O94" s="412" t="s">
        <v>650</v>
      </c>
      <c r="P94" s="413">
        <f>AVERAGEIF(G2:G476,"PF",M2:M476)</f>
        <v>1577.8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9412.0</v>
      </c>
      <c r="B95" s="420" t="s">
        <v>10408</v>
      </c>
      <c r="C95" s="420">
        <v>2009.0</v>
      </c>
      <c r="D95" s="497">
        <v>39888.0</v>
      </c>
      <c r="E95" s="420" t="s">
        <v>10409</v>
      </c>
      <c r="F95" s="420" t="s">
        <v>4263</v>
      </c>
      <c r="G95" s="420" t="s">
        <v>552</v>
      </c>
      <c r="H95" s="420" t="s">
        <v>596</v>
      </c>
      <c r="I95" s="497">
        <v>41115.0</v>
      </c>
      <c r="J95" s="422">
        <v>7.0</v>
      </c>
      <c r="K95" s="635" t="s">
        <v>228</v>
      </c>
      <c r="L95" s="422" t="s">
        <v>256</v>
      </c>
      <c r="M95" s="316">
        <f t="shared" si="1"/>
        <v>1227</v>
      </c>
      <c r="N95" s="198"/>
      <c r="O95" s="414" t="s">
        <v>547</v>
      </c>
      <c r="P95" s="415">
        <f>AVERAGEIF(G2:G476,"PFN",M2:M476)</f>
        <v>720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9512.0</v>
      </c>
      <c r="B96" s="426" t="s">
        <v>10410</v>
      </c>
      <c r="C96" s="426">
        <v>2009.0</v>
      </c>
      <c r="D96" s="500">
        <v>39939.0</v>
      </c>
      <c r="E96" s="426" t="s">
        <v>10411</v>
      </c>
      <c r="F96" s="426" t="s">
        <v>25</v>
      </c>
      <c r="G96" s="426" t="s">
        <v>17</v>
      </c>
      <c r="H96" s="426" t="s">
        <v>1501</v>
      </c>
      <c r="I96" s="500">
        <v>41116.0</v>
      </c>
      <c r="J96" s="428">
        <v>7.0</v>
      </c>
      <c r="K96" s="637" t="s">
        <v>238</v>
      </c>
      <c r="L96" s="428" t="s">
        <v>256</v>
      </c>
      <c r="M96" s="319">
        <f t="shared" si="1"/>
        <v>1177</v>
      </c>
      <c r="N96" s="198"/>
      <c r="O96" s="412" t="s">
        <v>552</v>
      </c>
      <c r="P96" s="413">
        <f>AVERAGEIF(G2:G476,"PF/PTE",M2:M476)</f>
        <v>1168.48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9612.0</v>
      </c>
      <c r="B97" s="420" t="s">
        <v>10412</v>
      </c>
      <c r="C97" s="420">
        <v>2009.0</v>
      </c>
      <c r="D97" s="497">
        <v>40130.0</v>
      </c>
      <c r="E97" s="420" t="s">
        <v>10413</v>
      </c>
      <c r="F97" s="420" t="s">
        <v>25</v>
      </c>
      <c r="G97" s="420" t="s">
        <v>17</v>
      </c>
      <c r="H97" s="420" t="s">
        <v>1501</v>
      </c>
      <c r="I97" s="497">
        <v>41116.0</v>
      </c>
      <c r="J97" s="422">
        <v>7.0</v>
      </c>
      <c r="K97" s="637" t="s">
        <v>238</v>
      </c>
      <c r="L97" s="422" t="s">
        <v>256</v>
      </c>
      <c r="M97" s="316">
        <f t="shared" si="1"/>
        <v>986</v>
      </c>
      <c r="N97" s="198"/>
      <c r="O97" s="414" t="s">
        <v>565</v>
      </c>
      <c r="P97" s="415">
        <f>AVERAGEIF(G2:G476,"Bio",M2:M476)</f>
        <v>949.2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9712.0</v>
      </c>
      <c r="B98" s="426" t="s">
        <v>10414</v>
      </c>
      <c r="C98" s="426">
        <v>2010.0</v>
      </c>
      <c r="D98" s="500">
        <v>40347.0</v>
      </c>
      <c r="E98" s="426" t="s">
        <v>10415</v>
      </c>
      <c r="F98" s="426" t="s">
        <v>2054</v>
      </c>
      <c r="G98" s="426" t="s">
        <v>552</v>
      </c>
      <c r="H98" s="426" t="s">
        <v>7777</v>
      </c>
      <c r="I98" s="500">
        <v>41122.0</v>
      </c>
      <c r="J98" s="428">
        <v>8.0</v>
      </c>
      <c r="K98" s="637" t="s">
        <v>238</v>
      </c>
      <c r="L98" s="428" t="s">
        <v>256</v>
      </c>
      <c r="M98" s="319">
        <f t="shared" si="1"/>
        <v>775</v>
      </c>
      <c r="N98" s="198"/>
      <c r="O98" s="412" t="s">
        <v>569</v>
      </c>
      <c r="P98" s="413">
        <f>AVERAGEIF(G2:G476,"Bio/Org",M2:M476)</f>
        <v>226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9812.0</v>
      </c>
      <c r="B99" s="420" t="s">
        <v>10416</v>
      </c>
      <c r="C99" s="420">
        <v>2010.0</v>
      </c>
      <c r="D99" s="497">
        <v>40359.0</v>
      </c>
      <c r="E99" s="420" t="s">
        <v>10417</v>
      </c>
      <c r="F99" s="420" t="s">
        <v>4263</v>
      </c>
      <c r="G99" s="420" t="s">
        <v>552</v>
      </c>
      <c r="H99" s="420" t="s">
        <v>153</v>
      </c>
      <c r="I99" s="497">
        <v>41122.0</v>
      </c>
      <c r="J99" s="422">
        <v>8.0</v>
      </c>
      <c r="K99" s="635" t="s">
        <v>228</v>
      </c>
      <c r="L99" s="422" t="s">
        <v>256</v>
      </c>
      <c r="M99" s="316">
        <f t="shared" si="1"/>
        <v>763</v>
      </c>
      <c r="N99" s="198"/>
      <c r="O99" s="416" t="s">
        <v>275</v>
      </c>
      <c r="P99" s="417">
        <f>AVERAGE(M2:M494)</f>
        <v>1058.702381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9912.0</v>
      </c>
      <c r="B100" s="426" t="s">
        <v>9517</v>
      </c>
      <c r="C100" s="426">
        <v>2010.0</v>
      </c>
      <c r="D100" s="500">
        <v>40400.0</v>
      </c>
      <c r="E100" s="426" t="s">
        <v>10418</v>
      </c>
      <c r="F100" s="426" t="s">
        <v>4263</v>
      </c>
      <c r="G100" s="426" t="s">
        <v>552</v>
      </c>
      <c r="H100" s="426" t="s">
        <v>153</v>
      </c>
      <c r="I100" s="500">
        <v>41122.0</v>
      </c>
      <c r="J100" s="428">
        <v>8.0</v>
      </c>
      <c r="K100" s="635" t="s">
        <v>228</v>
      </c>
      <c r="L100" s="428" t="s">
        <v>256</v>
      </c>
      <c r="M100" s="319">
        <f t="shared" si="1"/>
        <v>722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10012.0</v>
      </c>
      <c r="B101" s="420" t="s">
        <v>9520</v>
      </c>
      <c r="C101" s="420">
        <v>2011.0</v>
      </c>
      <c r="D101" s="497">
        <v>40604.0</v>
      </c>
      <c r="E101" s="420" t="s">
        <v>10419</v>
      </c>
      <c r="F101" s="420" t="s">
        <v>9763</v>
      </c>
      <c r="G101" s="420" t="s">
        <v>552</v>
      </c>
      <c r="H101" s="420" t="s">
        <v>9672</v>
      </c>
      <c r="I101" s="497">
        <v>41124.0</v>
      </c>
      <c r="J101" s="422">
        <v>8.0</v>
      </c>
      <c r="K101" s="638" t="s">
        <v>234</v>
      </c>
      <c r="L101" s="422" t="s">
        <v>256</v>
      </c>
      <c r="M101" s="316">
        <f t="shared" si="1"/>
        <v>520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10112.0</v>
      </c>
      <c r="B102" s="426" t="s">
        <v>10420</v>
      </c>
      <c r="C102" s="426">
        <v>2008.0</v>
      </c>
      <c r="D102" s="500">
        <v>39744.0</v>
      </c>
      <c r="E102" s="426" t="s">
        <v>10421</v>
      </c>
      <c r="F102" s="426" t="s">
        <v>715</v>
      </c>
      <c r="G102" s="426" t="s">
        <v>552</v>
      </c>
      <c r="H102" s="426" t="s">
        <v>163</v>
      </c>
      <c r="I102" s="500">
        <v>41124.0</v>
      </c>
      <c r="J102" s="428">
        <v>8.0</v>
      </c>
      <c r="K102" s="635" t="s">
        <v>228</v>
      </c>
      <c r="L102" s="428" t="s">
        <v>258</v>
      </c>
      <c r="M102" s="319">
        <f t="shared" si="1"/>
        <v>1380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10212.0</v>
      </c>
      <c r="B103" s="420" t="s">
        <v>10422</v>
      </c>
      <c r="C103" s="420">
        <v>2012.0</v>
      </c>
      <c r="D103" s="497">
        <v>40918.0</v>
      </c>
      <c r="E103" s="420" t="s">
        <v>10423</v>
      </c>
      <c r="F103" s="623" t="s">
        <v>5332</v>
      </c>
      <c r="G103" s="420" t="s">
        <v>569</v>
      </c>
      <c r="H103" s="420" t="s">
        <v>10424</v>
      </c>
      <c r="I103" s="497">
        <v>41124.0</v>
      </c>
      <c r="J103" s="422">
        <v>8.0</v>
      </c>
      <c r="K103" s="636" t="s">
        <v>850</v>
      </c>
      <c r="L103" s="422" t="s">
        <v>260</v>
      </c>
      <c r="M103" s="316">
        <f t="shared" si="1"/>
        <v>206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10312.0</v>
      </c>
      <c r="B104" s="426" t="s">
        <v>10425</v>
      </c>
      <c r="C104" s="426">
        <v>2006.0</v>
      </c>
      <c r="D104" s="500">
        <v>38791.0</v>
      </c>
      <c r="E104" s="426" t="s">
        <v>10426</v>
      </c>
      <c r="F104" s="426" t="s">
        <v>963</v>
      </c>
      <c r="G104" s="426" t="s">
        <v>552</v>
      </c>
      <c r="H104" s="426" t="s">
        <v>929</v>
      </c>
      <c r="I104" s="500">
        <v>41127.0</v>
      </c>
      <c r="J104" s="428">
        <v>8.0</v>
      </c>
      <c r="K104" s="638" t="s">
        <v>234</v>
      </c>
      <c r="L104" s="428" t="s">
        <v>258</v>
      </c>
      <c r="M104" s="319">
        <f t="shared" si="1"/>
        <v>2336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10412.0</v>
      </c>
      <c r="B105" s="420" t="s">
        <v>10427</v>
      </c>
      <c r="C105" s="420">
        <v>2011.0</v>
      </c>
      <c r="D105" s="497">
        <v>40690.0</v>
      </c>
      <c r="E105" s="420" t="s">
        <v>10428</v>
      </c>
      <c r="F105" s="420" t="s">
        <v>563</v>
      </c>
      <c r="G105" s="420" t="s">
        <v>552</v>
      </c>
      <c r="H105" s="420" t="s">
        <v>50</v>
      </c>
      <c r="I105" s="497">
        <v>41137.0</v>
      </c>
      <c r="J105" s="422">
        <v>8.0</v>
      </c>
      <c r="K105" s="635" t="s">
        <v>228</v>
      </c>
      <c r="L105" s="422" t="s">
        <v>256</v>
      </c>
      <c r="M105" s="316">
        <f t="shared" si="1"/>
        <v>447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10512.0</v>
      </c>
      <c r="B106" s="426" t="s">
        <v>10429</v>
      </c>
      <c r="C106" s="426">
        <v>2011.0</v>
      </c>
      <c r="D106" s="500">
        <v>40569.0</v>
      </c>
      <c r="E106" s="426" t="s">
        <v>10430</v>
      </c>
      <c r="F106" s="426" t="s">
        <v>2071</v>
      </c>
      <c r="G106" s="426" t="s">
        <v>552</v>
      </c>
      <c r="H106" s="426" t="s">
        <v>10373</v>
      </c>
      <c r="I106" s="500">
        <v>41138.0</v>
      </c>
      <c r="J106" s="428">
        <v>8.0</v>
      </c>
      <c r="K106" s="637" t="s">
        <v>238</v>
      </c>
      <c r="L106" s="428" t="s">
        <v>258</v>
      </c>
      <c r="M106" s="319">
        <f t="shared" si="1"/>
        <v>569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10612.0</v>
      </c>
      <c r="B107" s="420" t="s">
        <v>10431</v>
      </c>
      <c r="C107" s="420">
        <v>2010.0</v>
      </c>
      <c r="D107" s="497">
        <v>40231.0</v>
      </c>
      <c r="E107" s="420" t="s">
        <v>10432</v>
      </c>
      <c r="F107" s="420" t="s">
        <v>4263</v>
      </c>
      <c r="G107" s="420" t="s">
        <v>552</v>
      </c>
      <c r="H107" s="420" t="s">
        <v>153</v>
      </c>
      <c r="I107" s="497">
        <v>41138.0</v>
      </c>
      <c r="J107" s="422">
        <v>8.0</v>
      </c>
      <c r="K107" s="635" t="s">
        <v>228</v>
      </c>
      <c r="L107" s="422" t="s">
        <v>256</v>
      </c>
      <c r="M107" s="316">
        <f t="shared" si="1"/>
        <v>907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10712.0</v>
      </c>
      <c r="B108" s="426" t="s">
        <v>10433</v>
      </c>
      <c r="C108" s="426">
        <v>2009.0</v>
      </c>
      <c r="D108" s="500">
        <v>39941.0</v>
      </c>
      <c r="E108" s="426" t="s">
        <v>10434</v>
      </c>
      <c r="F108" s="426" t="s">
        <v>563</v>
      </c>
      <c r="G108" s="426" t="s">
        <v>17</v>
      </c>
      <c r="H108" s="426" t="s">
        <v>596</v>
      </c>
      <c r="I108" s="500">
        <v>41143.0</v>
      </c>
      <c r="J108" s="428">
        <v>8.0</v>
      </c>
      <c r="K108" s="638" t="s">
        <v>234</v>
      </c>
      <c r="L108" s="428" t="s">
        <v>256</v>
      </c>
      <c r="M108" s="319">
        <f t="shared" si="1"/>
        <v>1202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10812.0</v>
      </c>
      <c r="B109" s="420" t="s">
        <v>10435</v>
      </c>
      <c r="C109" s="420">
        <v>2010.0</v>
      </c>
      <c r="D109" s="497">
        <v>40277.0</v>
      </c>
      <c r="E109" s="420" t="s">
        <v>10436</v>
      </c>
      <c r="F109" s="420" t="s">
        <v>171</v>
      </c>
      <c r="G109" s="420" t="s">
        <v>552</v>
      </c>
      <c r="H109" s="420" t="s">
        <v>596</v>
      </c>
      <c r="I109" s="497">
        <v>41143.0</v>
      </c>
      <c r="J109" s="422">
        <v>8.0</v>
      </c>
      <c r="K109" s="635" t="s">
        <v>228</v>
      </c>
      <c r="L109" s="422" t="s">
        <v>256</v>
      </c>
      <c r="M109" s="316">
        <f t="shared" si="1"/>
        <v>866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10912.0</v>
      </c>
      <c r="B110" s="426" t="s">
        <v>10437</v>
      </c>
      <c r="C110" s="426">
        <v>2011.0</v>
      </c>
      <c r="D110" s="500">
        <v>40597.0</v>
      </c>
      <c r="E110" s="426" t="s">
        <v>10438</v>
      </c>
      <c r="F110" s="426" t="s">
        <v>963</v>
      </c>
      <c r="G110" s="426" t="s">
        <v>552</v>
      </c>
      <c r="H110" s="426" t="s">
        <v>10373</v>
      </c>
      <c r="I110" s="500">
        <v>41144.0</v>
      </c>
      <c r="J110" s="428">
        <v>8.0</v>
      </c>
      <c r="K110" s="638" t="s">
        <v>234</v>
      </c>
      <c r="L110" s="428" t="s">
        <v>258</v>
      </c>
      <c r="M110" s="319">
        <f t="shared" si="1"/>
        <v>547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11012.0</v>
      </c>
      <c r="B111" s="420" t="s">
        <v>10439</v>
      </c>
      <c r="C111" s="420">
        <v>2009.0</v>
      </c>
      <c r="D111" s="497">
        <v>40176.0</v>
      </c>
      <c r="E111" s="420" t="s">
        <v>10440</v>
      </c>
      <c r="F111" s="420" t="s">
        <v>666</v>
      </c>
      <c r="G111" s="420" t="s">
        <v>552</v>
      </c>
      <c r="H111" s="420" t="s">
        <v>50</v>
      </c>
      <c r="I111" s="497">
        <v>41145.0</v>
      </c>
      <c r="J111" s="422">
        <v>8.0</v>
      </c>
      <c r="K111" s="638" t="s">
        <v>234</v>
      </c>
      <c r="L111" s="422" t="s">
        <v>256</v>
      </c>
      <c r="M111" s="316">
        <f t="shared" si="1"/>
        <v>969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11112.0</v>
      </c>
      <c r="B112" s="426" t="s">
        <v>10441</v>
      </c>
      <c r="C112" s="426">
        <v>2009.0</v>
      </c>
      <c r="D112" s="500">
        <v>40084.0</v>
      </c>
      <c r="E112" s="426" t="s">
        <v>10442</v>
      </c>
      <c r="F112" s="426" t="s">
        <v>8841</v>
      </c>
      <c r="G112" s="426" t="s">
        <v>17</v>
      </c>
      <c r="H112" s="426" t="s">
        <v>153</v>
      </c>
      <c r="I112" s="500">
        <v>41149.0</v>
      </c>
      <c r="J112" s="428">
        <v>8.0</v>
      </c>
      <c r="K112" s="635" t="s">
        <v>228</v>
      </c>
      <c r="L112" s="428" t="s">
        <v>258</v>
      </c>
      <c r="M112" s="319">
        <f t="shared" si="1"/>
        <v>1065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11212.0</v>
      </c>
      <c r="B113" s="420" t="s">
        <v>10443</v>
      </c>
      <c r="C113" s="420">
        <v>2007.0</v>
      </c>
      <c r="D113" s="497">
        <v>39365.0</v>
      </c>
      <c r="E113" s="420" t="s">
        <v>10444</v>
      </c>
      <c r="F113" s="420" t="s">
        <v>8841</v>
      </c>
      <c r="G113" s="420" t="s">
        <v>17</v>
      </c>
      <c r="H113" s="420" t="s">
        <v>153</v>
      </c>
      <c r="I113" s="497">
        <v>41150.0</v>
      </c>
      <c r="J113" s="422">
        <v>8.0</v>
      </c>
      <c r="K113" s="635" t="s">
        <v>228</v>
      </c>
      <c r="L113" s="422" t="s">
        <v>258</v>
      </c>
      <c r="M113" s="316">
        <f t="shared" si="1"/>
        <v>1785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11312.0</v>
      </c>
      <c r="B114" s="426" t="s">
        <v>10445</v>
      </c>
      <c r="C114" s="426">
        <v>2011.0</v>
      </c>
      <c r="D114" s="500">
        <v>40770.0</v>
      </c>
      <c r="E114" s="426" t="s">
        <v>10446</v>
      </c>
      <c r="F114" s="426" t="s">
        <v>8841</v>
      </c>
      <c r="G114" s="426" t="s">
        <v>17</v>
      </c>
      <c r="H114" s="426" t="s">
        <v>153</v>
      </c>
      <c r="I114" s="500">
        <v>41150.0</v>
      </c>
      <c r="J114" s="428">
        <v>8.0</v>
      </c>
      <c r="K114" s="635" t="s">
        <v>228</v>
      </c>
      <c r="L114" s="428" t="s">
        <v>258</v>
      </c>
      <c r="M114" s="319">
        <f t="shared" si="1"/>
        <v>380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11412.0</v>
      </c>
      <c r="B115" s="420" t="s">
        <v>10447</v>
      </c>
      <c r="C115" s="420">
        <v>2007.0</v>
      </c>
      <c r="D115" s="497">
        <v>39226.0</v>
      </c>
      <c r="E115" s="420" t="s">
        <v>10448</v>
      </c>
      <c r="F115" s="420" t="s">
        <v>171</v>
      </c>
      <c r="G115" s="420" t="s">
        <v>552</v>
      </c>
      <c r="H115" s="420" t="s">
        <v>1002</v>
      </c>
      <c r="I115" s="497">
        <v>41150.0</v>
      </c>
      <c r="J115" s="422">
        <v>8.0</v>
      </c>
      <c r="K115" s="637" t="s">
        <v>238</v>
      </c>
      <c r="L115" s="422" t="s">
        <v>256</v>
      </c>
      <c r="M115" s="316">
        <f t="shared" si="1"/>
        <v>1924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11512.0</v>
      </c>
      <c r="B116" s="426" t="s">
        <v>10449</v>
      </c>
      <c r="C116" s="426">
        <v>2007.0</v>
      </c>
      <c r="D116" s="500">
        <v>39227.0</v>
      </c>
      <c r="E116" s="426" t="s">
        <v>10450</v>
      </c>
      <c r="F116" s="426" t="s">
        <v>171</v>
      </c>
      <c r="G116" s="426" t="s">
        <v>552</v>
      </c>
      <c r="H116" s="426" t="s">
        <v>1002</v>
      </c>
      <c r="I116" s="500">
        <v>41150.0</v>
      </c>
      <c r="J116" s="428">
        <v>8.0</v>
      </c>
      <c r="K116" s="637" t="s">
        <v>238</v>
      </c>
      <c r="L116" s="428" t="s">
        <v>256</v>
      </c>
      <c r="M116" s="319">
        <f t="shared" si="1"/>
        <v>1923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11612.0</v>
      </c>
      <c r="B117" s="420" t="s">
        <v>10451</v>
      </c>
      <c r="C117" s="420">
        <v>2009.0</v>
      </c>
      <c r="D117" s="497">
        <v>40127.0</v>
      </c>
      <c r="E117" s="420" t="s">
        <v>10452</v>
      </c>
      <c r="F117" s="420" t="s">
        <v>947</v>
      </c>
      <c r="G117" s="420" t="s">
        <v>552</v>
      </c>
      <c r="H117" s="420" t="s">
        <v>56</v>
      </c>
      <c r="I117" s="497">
        <v>41151.0</v>
      </c>
      <c r="J117" s="422">
        <v>8.0</v>
      </c>
      <c r="K117" s="638" t="s">
        <v>234</v>
      </c>
      <c r="L117" s="422" t="s">
        <v>256</v>
      </c>
      <c r="M117" s="316">
        <f t="shared" si="1"/>
        <v>1024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11712.0</v>
      </c>
      <c r="B118" s="426" t="s">
        <v>10453</v>
      </c>
      <c r="C118" s="426">
        <v>2009.0</v>
      </c>
      <c r="D118" s="500">
        <v>40115.0</v>
      </c>
      <c r="E118" s="426" t="s">
        <v>10454</v>
      </c>
      <c r="F118" s="426" t="s">
        <v>8841</v>
      </c>
      <c r="G118" s="426" t="s">
        <v>17</v>
      </c>
      <c r="H118" s="426" t="s">
        <v>153</v>
      </c>
      <c r="I118" s="500">
        <v>41163.0</v>
      </c>
      <c r="J118" s="428">
        <v>9.0</v>
      </c>
      <c r="K118" s="635" t="s">
        <v>228</v>
      </c>
      <c r="L118" s="428" t="s">
        <v>258</v>
      </c>
      <c r="M118" s="319">
        <f t="shared" si="1"/>
        <v>1048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11812.0</v>
      </c>
      <c r="B119" s="420" t="s">
        <v>10455</v>
      </c>
      <c r="C119" s="420">
        <v>2009.0</v>
      </c>
      <c r="D119" s="497">
        <v>40177.0</v>
      </c>
      <c r="E119" s="420" t="s">
        <v>10456</v>
      </c>
      <c r="F119" s="420" t="s">
        <v>171</v>
      </c>
      <c r="G119" s="420" t="s">
        <v>552</v>
      </c>
      <c r="H119" s="420" t="s">
        <v>10373</v>
      </c>
      <c r="I119" s="497">
        <v>41163.0</v>
      </c>
      <c r="J119" s="422">
        <v>9.0</v>
      </c>
      <c r="K119" s="635" t="s">
        <v>228</v>
      </c>
      <c r="L119" s="422" t="s">
        <v>256</v>
      </c>
      <c r="M119" s="316">
        <f t="shared" si="1"/>
        <v>986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11912.0</v>
      </c>
      <c r="B120" s="426" t="s">
        <v>10457</v>
      </c>
      <c r="C120" s="426">
        <v>2008.0</v>
      </c>
      <c r="D120" s="500">
        <v>39660.0</v>
      </c>
      <c r="E120" s="426" t="s">
        <v>10458</v>
      </c>
      <c r="F120" s="426" t="s">
        <v>4511</v>
      </c>
      <c r="G120" s="426" t="s">
        <v>565</v>
      </c>
      <c r="H120" s="426" t="s">
        <v>18</v>
      </c>
      <c r="I120" s="500">
        <v>41163.0</v>
      </c>
      <c r="J120" s="428">
        <v>9.0</v>
      </c>
      <c r="K120" s="637" t="s">
        <v>238</v>
      </c>
      <c r="L120" s="428" t="s">
        <v>260</v>
      </c>
      <c r="M120" s="319">
        <f t="shared" si="1"/>
        <v>1503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12012.0</v>
      </c>
      <c r="B121" s="420" t="s">
        <v>10459</v>
      </c>
      <c r="C121" s="420">
        <v>2008.0</v>
      </c>
      <c r="D121" s="497">
        <v>39640.0</v>
      </c>
      <c r="E121" s="420" t="s">
        <v>10460</v>
      </c>
      <c r="F121" s="420" t="s">
        <v>6584</v>
      </c>
      <c r="G121" s="420" t="s">
        <v>552</v>
      </c>
      <c r="H121" s="420" t="s">
        <v>10370</v>
      </c>
      <c r="I121" s="497">
        <v>41177.0</v>
      </c>
      <c r="J121" s="422">
        <v>9.0</v>
      </c>
      <c r="K121" s="635" t="s">
        <v>228</v>
      </c>
      <c r="L121" s="422" t="s">
        <v>256</v>
      </c>
      <c r="M121" s="316">
        <f t="shared" si="1"/>
        <v>1537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12112.0</v>
      </c>
      <c r="B122" s="426" t="s">
        <v>10461</v>
      </c>
      <c r="C122" s="426">
        <v>2008.0</v>
      </c>
      <c r="D122" s="500">
        <v>39640.0</v>
      </c>
      <c r="E122" s="426" t="s">
        <v>10462</v>
      </c>
      <c r="F122" s="426" t="s">
        <v>6584</v>
      </c>
      <c r="G122" s="426" t="s">
        <v>552</v>
      </c>
      <c r="H122" s="426" t="s">
        <v>10370</v>
      </c>
      <c r="I122" s="500">
        <v>41177.0</v>
      </c>
      <c r="J122" s="428">
        <v>9.0</v>
      </c>
      <c r="K122" s="635" t="s">
        <v>228</v>
      </c>
      <c r="L122" s="428" t="s">
        <v>256</v>
      </c>
      <c r="M122" s="319">
        <f t="shared" si="1"/>
        <v>1537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12212.0</v>
      </c>
      <c r="B123" s="420" t="s">
        <v>10463</v>
      </c>
      <c r="C123" s="420">
        <v>2011.0</v>
      </c>
      <c r="D123" s="497">
        <v>40870.0</v>
      </c>
      <c r="E123" s="420" t="s">
        <v>10464</v>
      </c>
      <c r="F123" s="623" t="s">
        <v>5332</v>
      </c>
      <c r="G123" s="420" t="s">
        <v>569</v>
      </c>
      <c r="H123" s="420" t="s">
        <v>10465</v>
      </c>
      <c r="I123" s="497">
        <v>41178.0</v>
      </c>
      <c r="J123" s="422">
        <v>9.0</v>
      </c>
      <c r="K123" s="636" t="s">
        <v>850</v>
      </c>
      <c r="L123" s="422" t="s">
        <v>260</v>
      </c>
      <c r="M123" s="316">
        <f t="shared" si="1"/>
        <v>308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12312.0</v>
      </c>
      <c r="B124" s="426" t="s">
        <v>10463</v>
      </c>
      <c r="C124" s="426">
        <v>2011.0</v>
      </c>
      <c r="D124" s="500">
        <v>40870.0</v>
      </c>
      <c r="E124" s="426" t="s">
        <v>10466</v>
      </c>
      <c r="F124" s="622" t="s">
        <v>5332</v>
      </c>
      <c r="G124" s="426" t="s">
        <v>569</v>
      </c>
      <c r="H124" s="426" t="s">
        <v>10467</v>
      </c>
      <c r="I124" s="500">
        <v>41178.0</v>
      </c>
      <c r="J124" s="428">
        <v>9.0</v>
      </c>
      <c r="K124" s="636" t="s">
        <v>850</v>
      </c>
      <c r="L124" s="428" t="s">
        <v>260</v>
      </c>
      <c r="M124" s="319">
        <f t="shared" si="1"/>
        <v>308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12412.0</v>
      </c>
      <c r="B125" s="420" t="s">
        <v>10468</v>
      </c>
      <c r="C125" s="420">
        <v>2012.0</v>
      </c>
      <c r="D125" s="497">
        <v>41054.0</v>
      </c>
      <c r="E125" s="420" t="s">
        <v>10469</v>
      </c>
      <c r="F125" s="623" t="s">
        <v>5332</v>
      </c>
      <c r="G125" s="420" t="s">
        <v>569</v>
      </c>
      <c r="H125" s="420" t="s">
        <v>10470</v>
      </c>
      <c r="I125" s="497">
        <v>41178.0</v>
      </c>
      <c r="J125" s="422">
        <v>9.0</v>
      </c>
      <c r="K125" s="636" t="s">
        <v>850</v>
      </c>
      <c r="L125" s="422" t="s">
        <v>260</v>
      </c>
      <c r="M125" s="316">
        <f t="shared" si="1"/>
        <v>124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12512.0</v>
      </c>
      <c r="B126" s="426" t="s">
        <v>10471</v>
      </c>
      <c r="C126" s="426">
        <v>2009.0</v>
      </c>
      <c r="D126" s="500">
        <v>39870.0</v>
      </c>
      <c r="E126" s="426" t="s">
        <v>10472</v>
      </c>
      <c r="F126" s="426" t="s">
        <v>1554</v>
      </c>
      <c r="G126" s="426" t="s">
        <v>650</v>
      </c>
      <c r="H126" s="426" t="s">
        <v>158</v>
      </c>
      <c r="I126" s="500">
        <v>41179.0</v>
      </c>
      <c r="J126" s="428">
        <v>9.0</v>
      </c>
      <c r="K126" s="637" t="s">
        <v>238</v>
      </c>
      <c r="L126" s="428" t="s">
        <v>258</v>
      </c>
      <c r="M126" s="319">
        <f t="shared" si="1"/>
        <v>1309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12612.0</v>
      </c>
      <c r="B127" s="420" t="s">
        <v>10473</v>
      </c>
      <c r="C127" s="420">
        <v>2010.0</v>
      </c>
      <c r="D127" s="497">
        <v>40479.0</v>
      </c>
      <c r="E127" s="420" t="s">
        <v>10474</v>
      </c>
      <c r="F127" s="420" t="s">
        <v>2071</v>
      </c>
      <c r="G127" s="420" t="s">
        <v>552</v>
      </c>
      <c r="H127" s="420" t="s">
        <v>901</v>
      </c>
      <c r="I127" s="497">
        <v>41180.0</v>
      </c>
      <c r="J127" s="422">
        <v>9.0</v>
      </c>
      <c r="K127" s="637" t="s">
        <v>238</v>
      </c>
      <c r="L127" s="422" t="s">
        <v>258</v>
      </c>
      <c r="M127" s="316">
        <f t="shared" si="1"/>
        <v>701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12712.0</v>
      </c>
      <c r="B128" s="426" t="s">
        <v>10475</v>
      </c>
      <c r="C128" s="426">
        <v>2010.0</v>
      </c>
      <c r="D128" s="500">
        <v>40490.0</v>
      </c>
      <c r="E128" s="426" t="s">
        <v>10476</v>
      </c>
      <c r="F128" s="426" t="s">
        <v>2071</v>
      </c>
      <c r="G128" s="426" t="s">
        <v>552</v>
      </c>
      <c r="H128" s="426" t="s">
        <v>901</v>
      </c>
      <c r="I128" s="500">
        <v>41180.0</v>
      </c>
      <c r="J128" s="428">
        <v>9.0</v>
      </c>
      <c r="K128" s="637" t="s">
        <v>238</v>
      </c>
      <c r="L128" s="428" t="s">
        <v>258</v>
      </c>
      <c r="M128" s="319">
        <f t="shared" si="1"/>
        <v>690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12812.0</v>
      </c>
      <c r="B129" s="420" t="s">
        <v>10477</v>
      </c>
      <c r="C129" s="420">
        <v>2008.0</v>
      </c>
      <c r="D129" s="497">
        <v>39468.0</v>
      </c>
      <c r="E129" s="420" t="s">
        <v>10478</v>
      </c>
      <c r="F129" s="420" t="s">
        <v>3141</v>
      </c>
      <c r="G129" s="420" t="s">
        <v>552</v>
      </c>
      <c r="H129" s="420" t="s">
        <v>18</v>
      </c>
      <c r="I129" s="497">
        <v>41190.0</v>
      </c>
      <c r="J129" s="422">
        <v>10.0</v>
      </c>
      <c r="K129" s="637" t="s">
        <v>238</v>
      </c>
      <c r="L129" s="422" t="s">
        <v>258</v>
      </c>
      <c r="M129" s="316">
        <f t="shared" si="1"/>
        <v>1722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12912.0</v>
      </c>
      <c r="B130" s="426" t="s">
        <v>10479</v>
      </c>
      <c r="C130" s="426">
        <v>2008.0</v>
      </c>
      <c r="D130" s="500">
        <v>39561.0</v>
      </c>
      <c r="E130" s="426" t="s">
        <v>10480</v>
      </c>
      <c r="F130" s="426" t="s">
        <v>963</v>
      </c>
      <c r="G130" s="426" t="s">
        <v>552</v>
      </c>
      <c r="H130" s="426" t="s">
        <v>1501</v>
      </c>
      <c r="I130" s="500">
        <v>41191.0</v>
      </c>
      <c r="J130" s="428">
        <v>10.0</v>
      </c>
      <c r="K130" s="637" t="s">
        <v>238</v>
      </c>
      <c r="L130" s="428" t="s">
        <v>258</v>
      </c>
      <c r="M130" s="319">
        <f t="shared" si="1"/>
        <v>1630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13012.0</v>
      </c>
      <c r="B131" s="420" t="s">
        <v>9584</v>
      </c>
      <c r="C131" s="420">
        <v>2009.0</v>
      </c>
      <c r="D131" s="497">
        <v>39883.0</v>
      </c>
      <c r="E131" s="420" t="s">
        <v>10481</v>
      </c>
      <c r="F131" s="420" t="s">
        <v>1554</v>
      </c>
      <c r="G131" s="420" t="s">
        <v>650</v>
      </c>
      <c r="H131" s="420" t="s">
        <v>158</v>
      </c>
      <c r="I131" s="497">
        <v>41191.0</v>
      </c>
      <c r="J131" s="422">
        <v>10.0</v>
      </c>
      <c r="K131" s="637" t="s">
        <v>238</v>
      </c>
      <c r="L131" s="422" t="s">
        <v>258</v>
      </c>
      <c r="M131" s="316">
        <f t="shared" si="1"/>
        <v>1308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13112.0</v>
      </c>
      <c r="B132" s="426" t="s">
        <v>10482</v>
      </c>
      <c r="C132" s="426">
        <v>2011.0</v>
      </c>
      <c r="D132" s="500">
        <v>40765.0</v>
      </c>
      <c r="E132" s="426" t="s">
        <v>10483</v>
      </c>
      <c r="F132" s="426" t="s">
        <v>563</v>
      </c>
      <c r="G132" s="426" t="s">
        <v>552</v>
      </c>
      <c r="H132" s="426" t="s">
        <v>1178</v>
      </c>
      <c r="I132" s="500">
        <v>41191.0</v>
      </c>
      <c r="J132" s="428">
        <v>10.0</v>
      </c>
      <c r="K132" s="638" t="s">
        <v>234</v>
      </c>
      <c r="L132" s="428" t="s">
        <v>256</v>
      </c>
      <c r="M132" s="319">
        <f t="shared" si="1"/>
        <v>426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13212.0</v>
      </c>
      <c r="B133" s="420" t="s">
        <v>10484</v>
      </c>
      <c r="C133" s="420">
        <v>2012.0</v>
      </c>
      <c r="D133" s="497">
        <v>40962.0</v>
      </c>
      <c r="E133" s="420" t="s">
        <v>10485</v>
      </c>
      <c r="F133" s="623" t="s">
        <v>7571</v>
      </c>
      <c r="G133" s="420" t="s">
        <v>569</v>
      </c>
      <c r="H133" s="420" t="s">
        <v>2331</v>
      </c>
      <c r="I133" s="497">
        <v>41191.0</v>
      </c>
      <c r="J133" s="422">
        <v>10.0</v>
      </c>
      <c r="K133" s="636" t="s">
        <v>850</v>
      </c>
      <c r="L133" s="422" t="s">
        <v>260</v>
      </c>
      <c r="M133" s="316">
        <f t="shared" si="1"/>
        <v>229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13312.0</v>
      </c>
      <c r="B134" s="426" t="s">
        <v>10486</v>
      </c>
      <c r="C134" s="426">
        <v>2010.0</v>
      </c>
      <c r="D134" s="500">
        <v>40429.0</v>
      </c>
      <c r="E134" s="426" t="s">
        <v>10487</v>
      </c>
      <c r="F134" s="426" t="s">
        <v>1150</v>
      </c>
      <c r="G134" s="426" t="s">
        <v>552</v>
      </c>
      <c r="H134" s="426" t="s">
        <v>163</v>
      </c>
      <c r="I134" s="500">
        <v>41191.0</v>
      </c>
      <c r="J134" s="428">
        <v>10.0</v>
      </c>
      <c r="K134" s="635" t="s">
        <v>228</v>
      </c>
      <c r="L134" s="428" t="s">
        <v>256</v>
      </c>
      <c r="M134" s="319">
        <f t="shared" si="1"/>
        <v>762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13412.0</v>
      </c>
      <c r="B135" s="420" t="s">
        <v>10488</v>
      </c>
      <c r="C135" s="420">
        <v>2011.0</v>
      </c>
      <c r="D135" s="497">
        <v>40907.0</v>
      </c>
      <c r="E135" s="420" t="s">
        <v>10489</v>
      </c>
      <c r="F135" s="623" t="s">
        <v>7571</v>
      </c>
      <c r="G135" s="420" t="s">
        <v>569</v>
      </c>
      <c r="H135" s="420" t="s">
        <v>3523</v>
      </c>
      <c r="I135" s="497">
        <v>41191.0</v>
      </c>
      <c r="J135" s="422">
        <v>10.0</v>
      </c>
      <c r="K135" s="636" t="s">
        <v>850</v>
      </c>
      <c r="L135" s="422" t="s">
        <v>260</v>
      </c>
      <c r="M135" s="316">
        <f t="shared" si="1"/>
        <v>284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13512.0</v>
      </c>
      <c r="B136" s="426" t="s">
        <v>10490</v>
      </c>
      <c r="C136" s="426">
        <v>2011.0</v>
      </c>
      <c r="D136" s="500">
        <v>40848.0</v>
      </c>
      <c r="E136" s="426" t="s">
        <v>10491</v>
      </c>
      <c r="F136" s="426" t="s">
        <v>563</v>
      </c>
      <c r="G136" s="426" t="s">
        <v>552</v>
      </c>
      <c r="H136" s="426" t="s">
        <v>9672</v>
      </c>
      <c r="I136" s="500">
        <v>41213.0</v>
      </c>
      <c r="J136" s="428">
        <v>10.0</v>
      </c>
      <c r="K136" s="638" t="s">
        <v>234</v>
      </c>
      <c r="L136" s="428" t="s">
        <v>256</v>
      </c>
      <c r="M136" s="319">
        <f t="shared" si="1"/>
        <v>365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13612.0</v>
      </c>
      <c r="B137" s="420" t="s">
        <v>10492</v>
      </c>
      <c r="C137" s="420">
        <v>2010.0</v>
      </c>
      <c r="D137" s="497">
        <v>40319.0</v>
      </c>
      <c r="E137" s="420" t="s">
        <v>10493</v>
      </c>
      <c r="F137" s="420" t="s">
        <v>4029</v>
      </c>
      <c r="G137" s="420" t="s">
        <v>552</v>
      </c>
      <c r="H137" s="420" t="s">
        <v>9672</v>
      </c>
      <c r="I137" s="497">
        <v>41213.0</v>
      </c>
      <c r="J137" s="422">
        <v>10.0</v>
      </c>
      <c r="K137" s="637" t="s">
        <v>238</v>
      </c>
      <c r="L137" s="422" t="s">
        <v>256</v>
      </c>
      <c r="M137" s="316">
        <f t="shared" si="1"/>
        <v>894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13712.0</v>
      </c>
      <c r="B138" s="426" t="s">
        <v>10494</v>
      </c>
      <c r="C138" s="426">
        <v>2008.0</v>
      </c>
      <c r="D138" s="500">
        <v>39797.0</v>
      </c>
      <c r="E138" s="426" t="s">
        <v>10495</v>
      </c>
      <c r="F138" s="426" t="s">
        <v>4263</v>
      </c>
      <c r="G138" s="426" t="s">
        <v>17</v>
      </c>
      <c r="H138" s="426" t="s">
        <v>583</v>
      </c>
      <c r="I138" s="500">
        <v>41232.0</v>
      </c>
      <c r="J138" s="428">
        <v>11.0</v>
      </c>
      <c r="K138" s="635" t="s">
        <v>228</v>
      </c>
      <c r="L138" s="428" t="s">
        <v>256</v>
      </c>
      <c r="M138" s="319">
        <f t="shared" si="1"/>
        <v>1435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13812.0</v>
      </c>
      <c r="B139" s="420" t="s">
        <v>10496</v>
      </c>
      <c r="C139" s="420">
        <v>2009.0</v>
      </c>
      <c r="D139" s="497">
        <v>39994.0</v>
      </c>
      <c r="E139" s="420" t="s">
        <v>10497</v>
      </c>
      <c r="F139" s="420" t="s">
        <v>10498</v>
      </c>
      <c r="G139" s="420" t="s">
        <v>17</v>
      </c>
      <c r="H139" s="420" t="s">
        <v>10373</v>
      </c>
      <c r="I139" s="497">
        <v>41232.0</v>
      </c>
      <c r="J139" s="422">
        <v>11.0</v>
      </c>
      <c r="K139" s="638" t="s">
        <v>234</v>
      </c>
      <c r="L139" s="422" t="s">
        <v>254</v>
      </c>
      <c r="M139" s="316">
        <f t="shared" si="1"/>
        <v>1238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425">
        <v>13912.0</v>
      </c>
      <c r="B140" s="426" t="s">
        <v>10499</v>
      </c>
      <c r="C140" s="426">
        <v>2011.0</v>
      </c>
      <c r="D140" s="500">
        <v>40856.0</v>
      </c>
      <c r="E140" s="426" t="s">
        <v>10500</v>
      </c>
      <c r="F140" s="622" t="s">
        <v>5332</v>
      </c>
      <c r="G140" s="426" t="s">
        <v>569</v>
      </c>
      <c r="H140" s="426" t="s">
        <v>10501</v>
      </c>
      <c r="I140" s="500">
        <v>41232.0</v>
      </c>
      <c r="J140" s="428">
        <v>11.0</v>
      </c>
      <c r="K140" s="636" t="s">
        <v>850</v>
      </c>
      <c r="L140" s="428" t="s">
        <v>260</v>
      </c>
      <c r="M140" s="319">
        <f t="shared" si="1"/>
        <v>376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419">
        <v>14012.0</v>
      </c>
      <c r="B141" s="420" t="s">
        <v>10502</v>
      </c>
      <c r="C141" s="420">
        <v>2010.0</v>
      </c>
      <c r="D141" s="497">
        <v>40301.0</v>
      </c>
      <c r="E141" s="420" t="s">
        <v>10503</v>
      </c>
      <c r="F141" s="420" t="s">
        <v>44</v>
      </c>
      <c r="G141" s="420" t="s">
        <v>17</v>
      </c>
      <c r="H141" s="420" t="s">
        <v>45</v>
      </c>
      <c r="I141" s="497">
        <v>41233.0</v>
      </c>
      <c r="J141" s="422">
        <v>11.0</v>
      </c>
      <c r="K141" s="635" t="s">
        <v>228</v>
      </c>
      <c r="L141" s="422" t="s">
        <v>258</v>
      </c>
      <c r="M141" s="316">
        <f t="shared" si="1"/>
        <v>932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425">
        <v>14112.0</v>
      </c>
      <c r="B142" s="426" t="s">
        <v>10504</v>
      </c>
      <c r="C142" s="426">
        <v>2009.0</v>
      </c>
      <c r="D142" s="500">
        <v>40142.0</v>
      </c>
      <c r="E142" s="426" t="s">
        <v>10505</v>
      </c>
      <c r="F142" s="426" t="s">
        <v>31</v>
      </c>
      <c r="G142" s="426" t="s">
        <v>17</v>
      </c>
      <c r="H142" s="426" t="s">
        <v>1907</v>
      </c>
      <c r="I142" s="500">
        <v>41233.0</v>
      </c>
      <c r="J142" s="428">
        <v>11.0</v>
      </c>
      <c r="K142" s="638" t="s">
        <v>234</v>
      </c>
      <c r="L142" s="428" t="s">
        <v>258</v>
      </c>
      <c r="M142" s="319">
        <f t="shared" si="1"/>
        <v>1091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419">
        <v>14212.0</v>
      </c>
      <c r="B143" s="420" t="s">
        <v>10506</v>
      </c>
      <c r="C143" s="420">
        <v>2009.0</v>
      </c>
      <c r="D143" s="497">
        <v>40151.0</v>
      </c>
      <c r="E143" s="420" t="s">
        <v>10507</v>
      </c>
      <c r="F143" s="420" t="s">
        <v>1203</v>
      </c>
      <c r="G143" s="420" t="s">
        <v>17</v>
      </c>
      <c r="H143" s="420" t="s">
        <v>1907</v>
      </c>
      <c r="I143" s="497">
        <v>41233.0</v>
      </c>
      <c r="J143" s="422">
        <v>11.0</v>
      </c>
      <c r="K143" s="637" t="s">
        <v>238</v>
      </c>
      <c r="L143" s="422" t="s">
        <v>256</v>
      </c>
      <c r="M143" s="316">
        <f t="shared" si="1"/>
        <v>1082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425">
        <v>14312.0</v>
      </c>
      <c r="B144" s="426" t="s">
        <v>10508</v>
      </c>
      <c r="C144" s="426">
        <v>2008.0</v>
      </c>
      <c r="D144" s="500">
        <v>39797.0</v>
      </c>
      <c r="E144" s="426" t="s">
        <v>10509</v>
      </c>
      <c r="F144" s="426" t="s">
        <v>4263</v>
      </c>
      <c r="G144" s="426" t="s">
        <v>17</v>
      </c>
      <c r="H144" s="426" t="s">
        <v>901</v>
      </c>
      <c r="I144" s="500">
        <v>41233.0</v>
      </c>
      <c r="J144" s="428">
        <v>11.0</v>
      </c>
      <c r="K144" s="635" t="s">
        <v>228</v>
      </c>
      <c r="L144" s="428" t="s">
        <v>256</v>
      </c>
      <c r="M144" s="319">
        <f t="shared" si="1"/>
        <v>1436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419">
        <v>14412.0</v>
      </c>
      <c r="B145" s="420" t="s">
        <v>10510</v>
      </c>
      <c r="C145" s="420">
        <v>2008.0</v>
      </c>
      <c r="D145" s="497">
        <v>39771.0</v>
      </c>
      <c r="E145" s="420" t="s">
        <v>10511</v>
      </c>
      <c r="F145" s="420" t="s">
        <v>7706</v>
      </c>
      <c r="G145" s="420" t="s">
        <v>34</v>
      </c>
      <c r="H145" s="420" t="s">
        <v>651</v>
      </c>
      <c r="I145" s="497">
        <v>41241.0</v>
      </c>
      <c r="J145" s="422">
        <v>11.0</v>
      </c>
      <c r="K145" s="637" t="s">
        <v>238</v>
      </c>
      <c r="L145" s="422" t="s">
        <v>258</v>
      </c>
      <c r="M145" s="316">
        <f t="shared" si="1"/>
        <v>1470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425">
        <v>14512.0</v>
      </c>
      <c r="B146" s="426" t="s">
        <v>10512</v>
      </c>
      <c r="C146" s="426">
        <v>2009.0</v>
      </c>
      <c r="D146" s="500">
        <v>39926.0</v>
      </c>
      <c r="E146" s="426" t="s">
        <v>10513</v>
      </c>
      <c r="F146" s="426" t="s">
        <v>4263</v>
      </c>
      <c r="G146" s="426" t="s">
        <v>17</v>
      </c>
      <c r="H146" s="426" t="s">
        <v>45</v>
      </c>
      <c r="I146" s="500">
        <v>41243.0</v>
      </c>
      <c r="J146" s="428">
        <v>11.0</v>
      </c>
      <c r="K146" s="635" t="s">
        <v>228</v>
      </c>
      <c r="L146" s="428" t="s">
        <v>256</v>
      </c>
      <c r="M146" s="319">
        <f t="shared" si="1"/>
        <v>1317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419">
        <v>14612.0</v>
      </c>
      <c r="B147" s="420" t="s">
        <v>9606</v>
      </c>
      <c r="C147" s="420">
        <v>2010.0</v>
      </c>
      <c r="D147" s="497">
        <v>40207.0</v>
      </c>
      <c r="E147" s="420" t="s">
        <v>10514</v>
      </c>
      <c r="F147" s="420" t="s">
        <v>9742</v>
      </c>
      <c r="G147" s="420" t="s">
        <v>552</v>
      </c>
      <c r="H147" s="420" t="s">
        <v>7403</v>
      </c>
      <c r="I147" s="497">
        <v>41249.0</v>
      </c>
      <c r="J147" s="422">
        <v>12.0</v>
      </c>
      <c r="K147" s="637" t="s">
        <v>238</v>
      </c>
      <c r="L147" s="422" t="s">
        <v>256</v>
      </c>
      <c r="M147" s="316">
        <f t="shared" si="1"/>
        <v>1042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425">
        <v>14712.0</v>
      </c>
      <c r="B148" s="426" t="s">
        <v>10515</v>
      </c>
      <c r="C148" s="426">
        <v>2009.0</v>
      </c>
      <c r="D148" s="500">
        <v>39946.0</v>
      </c>
      <c r="E148" s="426" t="s">
        <v>10516</v>
      </c>
      <c r="F148" s="426" t="s">
        <v>10517</v>
      </c>
      <c r="G148" s="426" t="s">
        <v>17</v>
      </c>
      <c r="H148" s="426" t="s">
        <v>56</v>
      </c>
      <c r="I148" s="500">
        <v>41249.0</v>
      </c>
      <c r="J148" s="428">
        <v>12.0</v>
      </c>
      <c r="K148" s="635" t="s">
        <v>228</v>
      </c>
      <c r="L148" s="428" t="s">
        <v>256</v>
      </c>
      <c r="M148" s="319">
        <f t="shared" si="1"/>
        <v>1303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419">
        <v>14812.0</v>
      </c>
      <c r="B149" s="420" t="s">
        <v>10518</v>
      </c>
      <c r="C149" s="420">
        <v>2010.0</v>
      </c>
      <c r="D149" s="497">
        <v>40490.0</v>
      </c>
      <c r="E149" s="420" t="s">
        <v>10519</v>
      </c>
      <c r="F149" s="420" t="s">
        <v>1203</v>
      </c>
      <c r="G149" s="420" t="s">
        <v>17</v>
      </c>
      <c r="H149" s="420" t="s">
        <v>130</v>
      </c>
      <c r="I149" s="497">
        <v>41250.0</v>
      </c>
      <c r="J149" s="422">
        <v>12.0</v>
      </c>
      <c r="K149" s="637" t="s">
        <v>238</v>
      </c>
      <c r="L149" s="422" t="s">
        <v>256</v>
      </c>
      <c r="M149" s="316">
        <f t="shared" si="1"/>
        <v>760</v>
      </c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425">
        <v>14912.0</v>
      </c>
      <c r="B150" s="426" t="s">
        <v>10520</v>
      </c>
      <c r="C150" s="426">
        <v>2009.0</v>
      </c>
      <c r="D150" s="500">
        <v>40120.0</v>
      </c>
      <c r="E150" s="426" t="s">
        <v>10521</v>
      </c>
      <c r="F150" s="426" t="s">
        <v>1203</v>
      </c>
      <c r="G150" s="426" t="s">
        <v>17</v>
      </c>
      <c r="H150" s="426" t="s">
        <v>1501</v>
      </c>
      <c r="I150" s="500">
        <v>41250.0</v>
      </c>
      <c r="J150" s="428">
        <v>12.0</v>
      </c>
      <c r="K150" s="637" t="s">
        <v>238</v>
      </c>
      <c r="L150" s="428" t="s">
        <v>256</v>
      </c>
      <c r="M150" s="319">
        <f t="shared" si="1"/>
        <v>1130</v>
      </c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419">
        <v>15012.0</v>
      </c>
      <c r="B151" s="420" t="s">
        <v>10522</v>
      </c>
      <c r="C151" s="420">
        <v>2010.0</v>
      </c>
      <c r="D151" s="497">
        <v>40245.0</v>
      </c>
      <c r="E151" s="420" t="s">
        <v>10523</v>
      </c>
      <c r="F151" s="420" t="s">
        <v>2071</v>
      </c>
      <c r="G151" s="420" t="s">
        <v>552</v>
      </c>
      <c r="H151" s="420" t="s">
        <v>45</v>
      </c>
      <c r="I151" s="497">
        <v>41255.0</v>
      </c>
      <c r="J151" s="422">
        <v>12.0</v>
      </c>
      <c r="K151" s="637" t="s">
        <v>238</v>
      </c>
      <c r="L151" s="422" t="s">
        <v>258</v>
      </c>
      <c r="M151" s="316">
        <f t="shared" si="1"/>
        <v>1010</v>
      </c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425">
        <v>15112.0</v>
      </c>
      <c r="B152" s="426" t="s">
        <v>10524</v>
      </c>
      <c r="C152" s="426">
        <v>2009.0</v>
      </c>
      <c r="D152" s="500">
        <v>40087.0</v>
      </c>
      <c r="E152" s="426" t="s">
        <v>10525</v>
      </c>
      <c r="F152" s="426" t="s">
        <v>10526</v>
      </c>
      <c r="G152" s="426" t="s">
        <v>552</v>
      </c>
      <c r="H152" s="426" t="s">
        <v>143</v>
      </c>
      <c r="I152" s="500">
        <v>41255.0</v>
      </c>
      <c r="J152" s="428">
        <v>12.0</v>
      </c>
      <c r="K152" s="637" t="s">
        <v>238</v>
      </c>
      <c r="L152" s="428" t="s">
        <v>256</v>
      </c>
      <c r="M152" s="319">
        <f t="shared" si="1"/>
        <v>1168</v>
      </c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419">
        <v>15212.0</v>
      </c>
      <c r="B153" s="420" t="s">
        <v>10527</v>
      </c>
      <c r="C153" s="420">
        <v>2011.0</v>
      </c>
      <c r="D153" s="497">
        <v>40711.0</v>
      </c>
      <c r="E153" s="420" t="s">
        <v>10528</v>
      </c>
      <c r="F153" s="420" t="s">
        <v>44</v>
      </c>
      <c r="G153" s="420" t="s">
        <v>17</v>
      </c>
      <c r="H153" s="420" t="s">
        <v>901</v>
      </c>
      <c r="I153" s="497">
        <v>41255.0</v>
      </c>
      <c r="J153" s="422">
        <v>12.0</v>
      </c>
      <c r="K153" s="635" t="s">
        <v>228</v>
      </c>
      <c r="L153" s="422" t="s">
        <v>258</v>
      </c>
      <c r="M153" s="316">
        <f t="shared" si="1"/>
        <v>544</v>
      </c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425">
        <v>15312.0</v>
      </c>
      <c r="B154" s="426" t="s">
        <v>10529</v>
      </c>
      <c r="C154" s="426">
        <v>2010.0</v>
      </c>
      <c r="D154" s="500">
        <v>40378.0</v>
      </c>
      <c r="E154" s="426" t="s">
        <v>10530</v>
      </c>
      <c r="F154" s="426" t="s">
        <v>44</v>
      </c>
      <c r="G154" s="426" t="s">
        <v>17</v>
      </c>
      <c r="H154" s="426" t="s">
        <v>1501</v>
      </c>
      <c r="I154" s="500">
        <v>41255.0</v>
      </c>
      <c r="J154" s="428">
        <v>12.0</v>
      </c>
      <c r="K154" s="635" t="s">
        <v>228</v>
      </c>
      <c r="L154" s="428" t="s">
        <v>258</v>
      </c>
      <c r="M154" s="319">
        <f t="shared" si="1"/>
        <v>877</v>
      </c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419">
        <v>15412.0</v>
      </c>
      <c r="B155" s="420" t="s">
        <v>10531</v>
      </c>
      <c r="C155" s="420">
        <v>2010.0</v>
      </c>
      <c r="D155" s="497">
        <v>40498.0</v>
      </c>
      <c r="E155" s="420" t="s">
        <v>10532</v>
      </c>
      <c r="F155" s="420" t="s">
        <v>1401</v>
      </c>
      <c r="G155" s="420" t="s">
        <v>17</v>
      </c>
      <c r="H155" s="420" t="s">
        <v>1178</v>
      </c>
      <c r="I155" s="497">
        <v>41257.0</v>
      </c>
      <c r="J155" s="422">
        <v>12.0</v>
      </c>
      <c r="K155" s="637" t="s">
        <v>238</v>
      </c>
      <c r="L155" s="422" t="s">
        <v>258</v>
      </c>
      <c r="M155" s="316">
        <f t="shared" si="1"/>
        <v>759</v>
      </c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425">
        <v>15512.0</v>
      </c>
      <c r="B156" s="426" t="s">
        <v>10533</v>
      </c>
      <c r="C156" s="426">
        <v>2010.0</v>
      </c>
      <c r="D156" s="500">
        <v>40344.0</v>
      </c>
      <c r="E156" s="426" t="s">
        <v>10534</v>
      </c>
      <c r="F156" s="426" t="s">
        <v>44</v>
      </c>
      <c r="G156" s="426" t="s">
        <v>17</v>
      </c>
      <c r="H156" s="426" t="s">
        <v>1178</v>
      </c>
      <c r="I156" s="500">
        <v>41257.0</v>
      </c>
      <c r="J156" s="428">
        <v>12.0</v>
      </c>
      <c r="K156" s="635" t="s">
        <v>228</v>
      </c>
      <c r="L156" s="428" t="s">
        <v>258</v>
      </c>
      <c r="M156" s="319">
        <f t="shared" si="1"/>
        <v>913</v>
      </c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419">
        <v>15612.0</v>
      </c>
      <c r="B157" s="420" t="s">
        <v>10535</v>
      </c>
      <c r="C157" s="420">
        <v>2010.0</v>
      </c>
      <c r="D157" s="497">
        <v>40326.0</v>
      </c>
      <c r="E157" s="420" t="s">
        <v>10536</v>
      </c>
      <c r="F157" s="420" t="s">
        <v>44</v>
      </c>
      <c r="G157" s="420" t="s">
        <v>17</v>
      </c>
      <c r="H157" s="420" t="s">
        <v>7907</v>
      </c>
      <c r="I157" s="497">
        <v>41257.0</v>
      </c>
      <c r="J157" s="422">
        <v>12.0</v>
      </c>
      <c r="K157" s="635" t="s">
        <v>228</v>
      </c>
      <c r="L157" s="422" t="s">
        <v>258</v>
      </c>
      <c r="M157" s="316">
        <f t="shared" si="1"/>
        <v>931</v>
      </c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425">
        <v>15712.0</v>
      </c>
      <c r="B158" s="426" t="s">
        <v>10537</v>
      </c>
      <c r="C158" s="426">
        <v>2011.0</v>
      </c>
      <c r="D158" s="500">
        <v>40618.0</v>
      </c>
      <c r="E158" s="426" t="s">
        <v>10538</v>
      </c>
      <c r="F158" s="426" t="s">
        <v>666</v>
      </c>
      <c r="G158" s="426" t="s">
        <v>17</v>
      </c>
      <c r="H158" s="426" t="s">
        <v>775</v>
      </c>
      <c r="I158" s="500">
        <v>41260.0</v>
      </c>
      <c r="J158" s="428">
        <v>12.0</v>
      </c>
      <c r="K158" s="638" t="s">
        <v>234</v>
      </c>
      <c r="L158" s="428" t="s">
        <v>256</v>
      </c>
      <c r="M158" s="319">
        <f t="shared" si="1"/>
        <v>642</v>
      </c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419">
        <v>15812.0</v>
      </c>
      <c r="B159" s="420" t="s">
        <v>10539</v>
      </c>
      <c r="C159" s="420">
        <v>2010.0</v>
      </c>
      <c r="D159" s="497">
        <v>40504.0</v>
      </c>
      <c r="E159" s="420" t="s">
        <v>10540</v>
      </c>
      <c r="F159" s="420" t="s">
        <v>1464</v>
      </c>
      <c r="G159" s="420" t="s">
        <v>17</v>
      </c>
      <c r="H159" s="420" t="s">
        <v>775</v>
      </c>
      <c r="I159" s="497">
        <v>41260.0</v>
      </c>
      <c r="J159" s="422">
        <v>12.0</v>
      </c>
      <c r="K159" s="637" t="s">
        <v>238</v>
      </c>
      <c r="L159" s="422" t="s">
        <v>256</v>
      </c>
      <c r="M159" s="316">
        <f t="shared" si="1"/>
        <v>756</v>
      </c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425">
        <v>15912.0</v>
      </c>
      <c r="B160" s="426" t="s">
        <v>10541</v>
      </c>
      <c r="C160" s="426">
        <v>2009.0</v>
      </c>
      <c r="D160" s="500">
        <v>40087.0</v>
      </c>
      <c r="E160" s="426" t="s">
        <v>10542</v>
      </c>
      <c r="F160" s="426" t="s">
        <v>44</v>
      </c>
      <c r="G160" s="426" t="s">
        <v>17</v>
      </c>
      <c r="H160" s="426" t="s">
        <v>130</v>
      </c>
      <c r="I160" s="500">
        <v>41261.0</v>
      </c>
      <c r="J160" s="428">
        <v>12.0</v>
      </c>
      <c r="K160" s="635" t="s">
        <v>228</v>
      </c>
      <c r="L160" s="428" t="s">
        <v>258</v>
      </c>
      <c r="M160" s="319">
        <f t="shared" si="1"/>
        <v>1174</v>
      </c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419">
        <v>16012.0</v>
      </c>
      <c r="B161" s="420" t="s">
        <v>10543</v>
      </c>
      <c r="C161" s="420">
        <v>2010.0</v>
      </c>
      <c r="D161" s="497">
        <v>40494.0</v>
      </c>
      <c r="E161" s="420" t="s">
        <v>10544</v>
      </c>
      <c r="F161" s="420" t="s">
        <v>44</v>
      </c>
      <c r="G161" s="420" t="s">
        <v>17</v>
      </c>
      <c r="H161" s="420" t="s">
        <v>9672</v>
      </c>
      <c r="I161" s="497">
        <v>41261.0</v>
      </c>
      <c r="J161" s="422">
        <v>12.0</v>
      </c>
      <c r="K161" s="635" t="s">
        <v>228</v>
      </c>
      <c r="L161" s="422" t="s">
        <v>258</v>
      </c>
      <c r="M161" s="316">
        <f t="shared" si="1"/>
        <v>767</v>
      </c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425">
        <v>16112.0</v>
      </c>
      <c r="B162" s="426" t="s">
        <v>10545</v>
      </c>
      <c r="C162" s="426">
        <v>2012.0</v>
      </c>
      <c r="D162" s="500">
        <v>41066.0</v>
      </c>
      <c r="E162" s="426" t="s">
        <v>10546</v>
      </c>
      <c r="F162" s="622" t="s">
        <v>8507</v>
      </c>
      <c r="G162" s="426" t="s">
        <v>569</v>
      </c>
      <c r="H162" s="426" t="s">
        <v>3523</v>
      </c>
      <c r="I162" s="500">
        <v>41262.0</v>
      </c>
      <c r="J162" s="428">
        <v>12.0</v>
      </c>
      <c r="K162" s="636" t="s">
        <v>850</v>
      </c>
      <c r="L162" s="428" t="s">
        <v>260</v>
      </c>
      <c r="M162" s="319">
        <f t="shared" si="1"/>
        <v>196</v>
      </c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419">
        <v>16212.0</v>
      </c>
      <c r="B163" s="420" t="s">
        <v>10547</v>
      </c>
      <c r="C163" s="420">
        <v>2010.0</v>
      </c>
      <c r="D163" s="497">
        <v>40221.0</v>
      </c>
      <c r="E163" s="420" t="s">
        <v>10548</v>
      </c>
      <c r="F163" s="420" t="s">
        <v>563</v>
      </c>
      <c r="G163" s="420" t="s">
        <v>17</v>
      </c>
      <c r="H163" s="420" t="s">
        <v>56</v>
      </c>
      <c r="I163" s="497">
        <v>41262.0</v>
      </c>
      <c r="J163" s="422">
        <v>12.0</v>
      </c>
      <c r="K163" s="638" t="s">
        <v>234</v>
      </c>
      <c r="L163" s="422" t="s">
        <v>256</v>
      </c>
      <c r="M163" s="316">
        <f t="shared" si="1"/>
        <v>1041</v>
      </c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425">
        <v>16312.0</v>
      </c>
      <c r="B164" s="426" t="s">
        <v>10549</v>
      </c>
      <c r="C164" s="426">
        <v>2010.0</v>
      </c>
      <c r="D164" s="500">
        <v>40361.0</v>
      </c>
      <c r="E164" s="426" t="s">
        <v>10550</v>
      </c>
      <c r="F164" s="426" t="s">
        <v>44</v>
      </c>
      <c r="G164" s="426" t="s">
        <v>17</v>
      </c>
      <c r="H164" s="426" t="s">
        <v>87</v>
      </c>
      <c r="I164" s="500">
        <v>41262.0</v>
      </c>
      <c r="J164" s="428">
        <v>12.0</v>
      </c>
      <c r="K164" s="635" t="s">
        <v>228</v>
      </c>
      <c r="L164" s="428" t="s">
        <v>258</v>
      </c>
      <c r="M164" s="319">
        <f t="shared" si="1"/>
        <v>901</v>
      </c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419">
        <v>16412.0</v>
      </c>
      <c r="B165" s="420" t="s">
        <v>10551</v>
      </c>
      <c r="C165" s="420">
        <v>2009.0</v>
      </c>
      <c r="D165" s="497">
        <v>39525.0</v>
      </c>
      <c r="E165" s="420" t="s">
        <v>10552</v>
      </c>
      <c r="F165" s="420" t="s">
        <v>551</v>
      </c>
      <c r="G165" s="420" t="s">
        <v>552</v>
      </c>
      <c r="H165" s="420" t="s">
        <v>601</v>
      </c>
      <c r="I165" s="497">
        <v>41263.0</v>
      </c>
      <c r="J165" s="422">
        <v>12.0</v>
      </c>
      <c r="K165" s="635" t="s">
        <v>228</v>
      </c>
      <c r="L165" s="422" t="s">
        <v>256</v>
      </c>
      <c r="M165" s="316">
        <f t="shared" si="1"/>
        <v>1738</v>
      </c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425">
        <v>16512.0</v>
      </c>
      <c r="B166" s="426" t="s">
        <v>10553</v>
      </c>
      <c r="C166" s="426">
        <v>2009.0</v>
      </c>
      <c r="D166" s="500">
        <v>39911.0</v>
      </c>
      <c r="E166" s="426" t="s">
        <v>10554</v>
      </c>
      <c r="F166" s="426" t="s">
        <v>963</v>
      </c>
      <c r="G166" s="426" t="s">
        <v>17</v>
      </c>
      <c r="H166" s="426" t="s">
        <v>6011</v>
      </c>
      <c r="I166" s="500">
        <v>41263.0</v>
      </c>
      <c r="J166" s="428">
        <v>12.0</v>
      </c>
      <c r="K166" s="635" t="s">
        <v>228</v>
      </c>
      <c r="L166" s="428" t="s">
        <v>258</v>
      </c>
      <c r="M166" s="319">
        <f t="shared" si="1"/>
        <v>1352</v>
      </c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419">
        <v>16612.0</v>
      </c>
      <c r="B167" s="420" t="s">
        <v>10555</v>
      </c>
      <c r="C167" s="420">
        <v>2008.0</v>
      </c>
      <c r="D167" s="497">
        <v>39651.0</v>
      </c>
      <c r="E167" s="420" t="s">
        <v>10556</v>
      </c>
      <c r="F167" s="420" t="s">
        <v>963</v>
      </c>
      <c r="G167" s="420" t="s">
        <v>552</v>
      </c>
      <c r="H167" s="420" t="s">
        <v>596</v>
      </c>
      <c r="I167" s="497">
        <v>41271.0</v>
      </c>
      <c r="J167" s="422">
        <v>12.0</v>
      </c>
      <c r="K167" s="638" t="s">
        <v>234</v>
      </c>
      <c r="L167" s="422" t="s">
        <v>258</v>
      </c>
      <c r="M167" s="316">
        <f t="shared" si="1"/>
        <v>1620</v>
      </c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425">
        <v>16712.0</v>
      </c>
      <c r="B168" s="426" t="s">
        <v>10557</v>
      </c>
      <c r="C168" s="426">
        <v>2009.0</v>
      </c>
      <c r="D168" s="500">
        <v>39857.0</v>
      </c>
      <c r="E168" s="426" t="s">
        <v>10558</v>
      </c>
      <c r="F168" s="426" t="s">
        <v>963</v>
      </c>
      <c r="G168" s="426" t="s">
        <v>552</v>
      </c>
      <c r="H168" s="426" t="s">
        <v>5016</v>
      </c>
      <c r="I168" s="500">
        <v>41271.0</v>
      </c>
      <c r="J168" s="428">
        <v>12.0</v>
      </c>
      <c r="K168" s="637" t="s">
        <v>238</v>
      </c>
      <c r="L168" s="428" t="s">
        <v>258</v>
      </c>
      <c r="M168" s="319">
        <f t="shared" si="1"/>
        <v>1414</v>
      </c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419">
        <v>16812.0</v>
      </c>
      <c r="B169" s="420" t="s">
        <v>10559</v>
      </c>
      <c r="C169" s="420">
        <v>2008.0</v>
      </c>
      <c r="D169" s="497">
        <v>39638.0</v>
      </c>
      <c r="E169" s="420" t="s">
        <v>10560</v>
      </c>
      <c r="F169" s="420" t="s">
        <v>10561</v>
      </c>
      <c r="G169" s="420" t="s">
        <v>650</v>
      </c>
      <c r="H169" s="420" t="s">
        <v>601</v>
      </c>
      <c r="I169" s="497">
        <v>41271.0</v>
      </c>
      <c r="J169" s="422">
        <v>12.0</v>
      </c>
      <c r="K169" s="635" t="s">
        <v>228</v>
      </c>
      <c r="L169" s="422" t="s">
        <v>256</v>
      </c>
      <c r="M169" s="316">
        <f t="shared" si="1"/>
        <v>1633</v>
      </c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6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2.29"/>
    <col customWidth="1" min="3" max="3" width="23.86"/>
    <col customWidth="1" min="4" max="4" width="24.57"/>
    <col customWidth="1" min="5" max="5" width="34.43"/>
    <col customWidth="1" min="6" max="6" width="44.86"/>
    <col customWidth="1" min="7" max="7" width="12.29"/>
    <col customWidth="1" min="8" max="8" width="25.43"/>
    <col customWidth="1" min="9" max="9" width="23.57"/>
    <col customWidth="1" min="10" max="10" width="24.14"/>
    <col customWidth="1" min="11" max="11" width="60.57"/>
    <col customWidth="1" min="12" max="12" width="58.86"/>
    <col customWidth="1" min="13" max="13" width="45.0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567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111.0</v>
      </c>
      <c r="B2" s="426" t="s">
        <v>10562</v>
      </c>
      <c r="C2" s="426">
        <v>2009.0</v>
      </c>
      <c r="D2" s="500">
        <v>39877.0</v>
      </c>
      <c r="E2" s="426" t="s">
        <v>10563</v>
      </c>
      <c r="F2" s="426" t="s">
        <v>2873</v>
      </c>
      <c r="G2" s="426" t="s">
        <v>17</v>
      </c>
      <c r="H2" s="426" t="s">
        <v>2964</v>
      </c>
      <c r="I2" s="500">
        <v>40569.0</v>
      </c>
      <c r="J2" s="428">
        <v>1.0</v>
      </c>
      <c r="K2" s="635" t="s">
        <v>228</v>
      </c>
      <c r="L2" s="428" t="s">
        <v>258</v>
      </c>
      <c r="M2" s="657">
        <f t="shared" ref="M2:M131" si="1">I2-D2</f>
        <v>692</v>
      </c>
      <c r="N2" s="198"/>
      <c r="O2" s="545" t="s">
        <v>10564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211.0</v>
      </c>
      <c r="B3" s="420" t="s">
        <v>10565</v>
      </c>
      <c r="C3" s="420">
        <v>2007.0</v>
      </c>
      <c r="D3" s="497">
        <v>39338.0</v>
      </c>
      <c r="E3" s="420" t="s">
        <v>10566</v>
      </c>
      <c r="F3" s="420" t="s">
        <v>10027</v>
      </c>
      <c r="G3" s="420" t="s">
        <v>650</v>
      </c>
      <c r="H3" s="420" t="s">
        <v>1002</v>
      </c>
      <c r="I3" s="497">
        <v>40581.0</v>
      </c>
      <c r="J3" s="422">
        <v>2.0</v>
      </c>
      <c r="K3" s="638" t="s">
        <v>234</v>
      </c>
      <c r="L3" s="422" t="s">
        <v>256</v>
      </c>
      <c r="M3" s="658">
        <f t="shared" si="1"/>
        <v>1243</v>
      </c>
      <c r="N3" s="198"/>
      <c r="O3" s="320" t="s">
        <v>27</v>
      </c>
      <c r="P3" s="320">
        <f>COUNTIF($G$2:$G$476,"PT")</f>
        <v>0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311.0</v>
      </c>
      <c r="B4" s="426" t="s">
        <v>10567</v>
      </c>
      <c r="C4" s="426">
        <v>2008.0</v>
      </c>
      <c r="D4" s="500">
        <v>39638.0</v>
      </c>
      <c r="E4" s="426" t="s">
        <v>10568</v>
      </c>
      <c r="F4" s="426" t="s">
        <v>900</v>
      </c>
      <c r="G4" s="426" t="s">
        <v>17</v>
      </c>
      <c r="H4" s="426" t="s">
        <v>8845</v>
      </c>
      <c r="I4" s="500">
        <v>40581.0</v>
      </c>
      <c r="J4" s="428">
        <v>2.0</v>
      </c>
      <c r="K4" s="638" t="s">
        <v>234</v>
      </c>
      <c r="L4" s="428" t="s">
        <v>258</v>
      </c>
      <c r="M4" s="657">
        <f t="shared" si="1"/>
        <v>943</v>
      </c>
      <c r="N4" s="198"/>
      <c r="O4" s="321" t="s">
        <v>34</v>
      </c>
      <c r="P4" s="321">
        <f>COUNTIF($G$2:$G$476,"PTN")</f>
        <v>1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411.0</v>
      </c>
      <c r="B5" s="420" t="s">
        <v>10569</v>
      </c>
      <c r="C5" s="420">
        <v>2008.0</v>
      </c>
      <c r="D5" s="497">
        <v>39654.0</v>
      </c>
      <c r="E5" s="420" t="s">
        <v>10570</v>
      </c>
      <c r="F5" s="420" t="s">
        <v>6747</v>
      </c>
      <c r="G5" s="420" t="s">
        <v>17</v>
      </c>
      <c r="H5" s="420" t="s">
        <v>8160</v>
      </c>
      <c r="I5" s="497">
        <v>40585.0</v>
      </c>
      <c r="J5" s="422">
        <v>2.0</v>
      </c>
      <c r="K5" s="637" t="s">
        <v>238</v>
      </c>
      <c r="L5" s="422" t="s">
        <v>256</v>
      </c>
      <c r="M5" s="658">
        <f t="shared" si="1"/>
        <v>931</v>
      </c>
      <c r="N5" s="198"/>
      <c r="O5" s="322" t="s">
        <v>40</v>
      </c>
      <c r="P5" s="322">
        <f>COUNTIF($G$2:$G$476,"PTE")</f>
        <v>60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511.0</v>
      </c>
      <c r="B6" s="426" t="s">
        <v>10571</v>
      </c>
      <c r="C6" s="426">
        <v>2009.0</v>
      </c>
      <c r="D6" s="500">
        <v>39827.0</v>
      </c>
      <c r="E6" s="426" t="s">
        <v>10572</v>
      </c>
      <c r="F6" s="426" t="s">
        <v>9707</v>
      </c>
      <c r="G6" s="426" t="s">
        <v>552</v>
      </c>
      <c r="H6" s="426" t="s">
        <v>8845</v>
      </c>
      <c r="I6" s="500">
        <v>40598.0</v>
      </c>
      <c r="J6" s="428">
        <v>2.0</v>
      </c>
      <c r="K6" s="636" t="s">
        <v>244</v>
      </c>
      <c r="L6" s="428" t="s">
        <v>258</v>
      </c>
      <c r="M6" s="657">
        <f t="shared" si="1"/>
        <v>771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611.0</v>
      </c>
      <c r="B7" s="420" t="s">
        <v>10573</v>
      </c>
      <c r="C7" s="420">
        <v>2006.0</v>
      </c>
      <c r="D7" s="497">
        <v>38989.0</v>
      </c>
      <c r="E7" s="420" t="s">
        <v>10574</v>
      </c>
      <c r="F7" s="420" t="s">
        <v>947</v>
      </c>
      <c r="G7" s="420" t="s">
        <v>650</v>
      </c>
      <c r="H7" s="420" t="s">
        <v>705</v>
      </c>
      <c r="I7" s="497">
        <v>40605.0</v>
      </c>
      <c r="J7" s="422">
        <v>3.0</v>
      </c>
      <c r="K7" s="638" t="s">
        <v>234</v>
      </c>
      <c r="L7" s="422" t="s">
        <v>258</v>
      </c>
      <c r="M7" s="658">
        <f t="shared" si="1"/>
        <v>1616</v>
      </c>
      <c r="N7" s="198"/>
      <c r="O7" s="322" t="s">
        <v>553</v>
      </c>
      <c r="P7" s="322">
        <f>COUNTIF($G$2:$G$476,"PF")</f>
        <v>32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711.0</v>
      </c>
      <c r="B8" s="426" t="s">
        <v>10575</v>
      </c>
      <c r="C8" s="426">
        <v>2004.0</v>
      </c>
      <c r="D8" s="500">
        <v>38341.0</v>
      </c>
      <c r="E8" s="426" t="s">
        <v>10576</v>
      </c>
      <c r="F8" s="426" t="s">
        <v>10577</v>
      </c>
      <c r="G8" s="426" t="s">
        <v>650</v>
      </c>
      <c r="H8" s="426" t="s">
        <v>2509</v>
      </c>
      <c r="I8" s="500">
        <v>40605.0</v>
      </c>
      <c r="J8" s="428">
        <v>3.0</v>
      </c>
      <c r="K8" s="635" t="s">
        <v>228</v>
      </c>
      <c r="L8" s="428" t="s">
        <v>256</v>
      </c>
      <c r="M8" s="657">
        <f t="shared" si="1"/>
        <v>2264</v>
      </c>
      <c r="N8" s="198"/>
      <c r="O8" s="321" t="s">
        <v>547</v>
      </c>
      <c r="P8" s="321">
        <f>COUNTIF($G$2:$G$476,"PFN")</f>
        <v>1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811.0</v>
      </c>
      <c r="B9" s="420" t="s">
        <v>10578</v>
      </c>
      <c r="C9" s="420">
        <v>2005.0</v>
      </c>
      <c r="D9" s="497">
        <v>38629.0</v>
      </c>
      <c r="E9" s="420" t="s">
        <v>10579</v>
      </c>
      <c r="F9" s="420" t="s">
        <v>10577</v>
      </c>
      <c r="G9" s="420" t="s">
        <v>650</v>
      </c>
      <c r="H9" s="420" t="s">
        <v>2509</v>
      </c>
      <c r="I9" s="497">
        <v>40605.0</v>
      </c>
      <c r="J9" s="422">
        <v>3.0</v>
      </c>
      <c r="K9" s="635" t="s">
        <v>228</v>
      </c>
      <c r="L9" s="422" t="s">
        <v>256</v>
      </c>
      <c r="M9" s="658">
        <f t="shared" si="1"/>
        <v>1976</v>
      </c>
      <c r="N9" s="198"/>
      <c r="O9" s="322" t="s">
        <v>560</v>
      </c>
      <c r="P9" s="322">
        <f>COUNTIF($G$2:$G$476,"PF/PTE")</f>
        <v>36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911.0</v>
      </c>
      <c r="B10" s="426" t="s">
        <v>10580</v>
      </c>
      <c r="C10" s="426">
        <v>2009.0</v>
      </c>
      <c r="D10" s="500">
        <v>39909.0</v>
      </c>
      <c r="E10" s="426" t="s">
        <v>10581</v>
      </c>
      <c r="F10" s="426" t="s">
        <v>134</v>
      </c>
      <c r="G10" s="426" t="s">
        <v>552</v>
      </c>
      <c r="H10" s="426" t="s">
        <v>8845</v>
      </c>
      <c r="I10" s="500">
        <v>40613.0</v>
      </c>
      <c r="J10" s="428">
        <v>3.0</v>
      </c>
      <c r="K10" s="635" t="s">
        <v>228</v>
      </c>
      <c r="L10" s="428" t="s">
        <v>256</v>
      </c>
      <c r="M10" s="657">
        <f t="shared" si="1"/>
        <v>704</v>
      </c>
      <c r="N10" s="198"/>
      <c r="O10" s="321" t="s">
        <v>565</v>
      </c>
      <c r="P10" s="321">
        <f>COUNTIF($G$2:$G$476,"Bio")</f>
        <v>13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1011.0</v>
      </c>
      <c r="B11" s="420" t="s">
        <v>10582</v>
      </c>
      <c r="C11" s="420">
        <v>2009.0</v>
      </c>
      <c r="D11" s="497">
        <v>39898.0</v>
      </c>
      <c r="E11" s="420" t="s">
        <v>10583</v>
      </c>
      <c r="F11" s="420" t="s">
        <v>1170</v>
      </c>
      <c r="G11" s="420" t="s">
        <v>552</v>
      </c>
      <c r="H11" s="420" t="s">
        <v>66</v>
      </c>
      <c r="I11" s="497">
        <v>40617.0</v>
      </c>
      <c r="J11" s="422">
        <v>3.0</v>
      </c>
      <c r="K11" s="638" t="s">
        <v>234</v>
      </c>
      <c r="L11" s="422" t="s">
        <v>256</v>
      </c>
      <c r="M11" s="658">
        <f t="shared" si="1"/>
        <v>719</v>
      </c>
      <c r="N11" s="198"/>
      <c r="O11" s="323" t="s">
        <v>569</v>
      </c>
      <c r="P11" s="323">
        <f>COUNTIF($G$2:$G$476,"Bio/Org")</f>
        <v>3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3.5" customHeight="1">
      <c r="A12" s="425">
        <v>1111.0</v>
      </c>
      <c r="B12" s="426" t="s">
        <v>10584</v>
      </c>
      <c r="C12" s="426">
        <v>2009.0</v>
      </c>
      <c r="D12" s="500">
        <v>39997.0</v>
      </c>
      <c r="E12" s="426" t="s">
        <v>10585</v>
      </c>
      <c r="F12" s="426" t="s">
        <v>947</v>
      </c>
      <c r="G12" s="426" t="s">
        <v>552</v>
      </c>
      <c r="H12" s="426" t="s">
        <v>66</v>
      </c>
      <c r="I12" s="500">
        <v>40619.0</v>
      </c>
      <c r="J12" s="428">
        <v>3.0</v>
      </c>
      <c r="K12" s="638" t="s">
        <v>234</v>
      </c>
      <c r="L12" s="428" t="s">
        <v>258</v>
      </c>
      <c r="M12" s="657">
        <f t="shared" si="1"/>
        <v>622</v>
      </c>
      <c r="N12" s="198"/>
      <c r="O12" s="324" t="s">
        <v>51</v>
      </c>
      <c r="P12" s="325">
        <f>SUM(P3:P11)</f>
        <v>146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419">
        <v>1211.0</v>
      </c>
      <c r="B13" s="420" t="s">
        <v>10586</v>
      </c>
      <c r="C13" s="420">
        <v>2006.0</v>
      </c>
      <c r="D13" s="497">
        <v>39021.0</v>
      </c>
      <c r="E13" s="420" t="s">
        <v>10587</v>
      </c>
      <c r="F13" s="420" t="s">
        <v>1464</v>
      </c>
      <c r="G13" s="420" t="s">
        <v>17</v>
      </c>
      <c r="H13" s="420" t="s">
        <v>2964</v>
      </c>
      <c r="I13" s="497">
        <v>40620.0</v>
      </c>
      <c r="J13" s="422">
        <v>3.0</v>
      </c>
      <c r="K13" s="637" t="s">
        <v>238</v>
      </c>
      <c r="L13" s="422" t="s">
        <v>256</v>
      </c>
      <c r="M13" s="658">
        <f t="shared" si="1"/>
        <v>1599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425">
        <v>1311.0</v>
      </c>
      <c r="B14" s="426" t="s">
        <v>10588</v>
      </c>
      <c r="C14" s="426">
        <v>2008.0</v>
      </c>
      <c r="D14" s="500">
        <v>39660.0</v>
      </c>
      <c r="E14" s="426" t="s">
        <v>10589</v>
      </c>
      <c r="F14" s="426" t="s">
        <v>551</v>
      </c>
      <c r="G14" s="426" t="s">
        <v>17</v>
      </c>
      <c r="H14" s="426" t="s">
        <v>601</v>
      </c>
      <c r="I14" s="500">
        <v>40623.0</v>
      </c>
      <c r="J14" s="428">
        <v>3.0</v>
      </c>
      <c r="K14" s="637" t="s">
        <v>238</v>
      </c>
      <c r="L14" s="428" t="s">
        <v>256</v>
      </c>
      <c r="M14" s="657">
        <f t="shared" si="1"/>
        <v>963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419">
        <v>1411.0</v>
      </c>
      <c r="B15" s="420" t="s">
        <v>10590</v>
      </c>
      <c r="C15" s="420">
        <v>2008.0</v>
      </c>
      <c r="D15" s="497">
        <v>39475.0</v>
      </c>
      <c r="E15" s="420" t="s">
        <v>10591</v>
      </c>
      <c r="F15" s="420" t="s">
        <v>9707</v>
      </c>
      <c r="G15" s="420" t="s">
        <v>552</v>
      </c>
      <c r="H15" s="420" t="s">
        <v>596</v>
      </c>
      <c r="I15" s="497">
        <v>40623.0</v>
      </c>
      <c r="J15" s="422">
        <v>3.0</v>
      </c>
      <c r="K15" s="636" t="s">
        <v>244</v>
      </c>
      <c r="L15" s="422" t="s">
        <v>258</v>
      </c>
      <c r="M15" s="658">
        <f t="shared" si="1"/>
        <v>1148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425">
        <v>1511.0</v>
      </c>
      <c r="B16" s="426" t="s">
        <v>10592</v>
      </c>
      <c r="C16" s="426">
        <v>2009.0</v>
      </c>
      <c r="D16" s="500">
        <v>39857.0</v>
      </c>
      <c r="E16" s="426" t="s">
        <v>10593</v>
      </c>
      <c r="F16" s="426" t="s">
        <v>7186</v>
      </c>
      <c r="G16" s="426" t="s">
        <v>17</v>
      </c>
      <c r="H16" s="426" t="s">
        <v>583</v>
      </c>
      <c r="I16" s="500">
        <v>40623.0</v>
      </c>
      <c r="J16" s="428">
        <v>3.0</v>
      </c>
      <c r="K16" s="637" t="s">
        <v>238</v>
      </c>
      <c r="L16" s="428" t="s">
        <v>258</v>
      </c>
      <c r="M16" s="657">
        <f t="shared" si="1"/>
        <v>766</v>
      </c>
      <c r="N16" s="198"/>
      <c r="O16" s="331" t="s">
        <v>10594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419">
        <v>1611.0</v>
      </c>
      <c r="B17" s="420" t="s">
        <v>10595</v>
      </c>
      <c r="C17" s="420">
        <v>2008.0</v>
      </c>
      <c r="D17" s="497">
        <v>39575.0</v>
      </c>
      <c r="E17" s="420" t="s">
        <v>10596</v>
      </c>
      <c r="F17" s="420" t="s">
        <v>1823</v>
      </c>
      <c r="G17" s="420" t="s">
        <v>17</v>
      </c>
      <c r="H17" s="420" t="s">
        <v>934</v>
      </c>
      <c r="I17" s="497">
        <v>40623.0</v>
      </c>
      <c r="J17" s="422">
        <v>3.0</v>
      </c>
      <c r="K17" s="635" t="s">
        <v>228</v>
      </c>
      <c r="L17" s="422" t="s">
        <v>256</v>
      </c>
      <c r="M17" s="658">
        <f t="shared" si="1"/>
        <v>1048</v>
      </c>
      <c r="N17" s="198"/>
      <c r="O17" s="334" t="s">
        <v>10597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425">
        <v>1711.0</v>
      </c>
      <c r="B18" s="426" t="s">
        <v>10598</v>
      </c>
      <c r="C18" s="426">
        <v>2008.0</v>
      </c>
      <c r="D18" s="500">
        <v>39799.0</v>
      </c>
      <c r="E18" s="426" t="s">
        <v>10599</v>
      </c>
      <c r="F18" s="426" t="s">
        <v>4572</v>
      </c>
      <c r="G18" s="426" t="s">
        <v>17</v>
      </c>
      <c r="H18" s="426" t="s">
        <v>8845</v>
      </c>
      <c r="I18" s="500">
        <v>40624.0</v>
      </c>
      <c r="J18" s="428">
        <v>3.0</v>
      </c>
      <c r="K18" s="637" t="s">
        <v>238</v>
      </c>
      <c r="L18" s="428" t="s">
        <v>256</v>
      </c>
      <c r="M18" s="657">
        <f t="shared" si="1"/>
        <v>825</v>
      </c>
      <c r="N18" s="198"/>
      <c r="O18" s="335" t="s">
        <v>10600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419">
        <v>1811.0</v>
      </c>
      <c r="B19" s="420" t="s">
        <v>10601</v>
      </c>
      <c r="C19" s="420">
        <v>2008.0</v>
      </c>
      <c r="D19" s="497">
        <v>39500.0</v>
      </c>
      <c r="E19" s="420" t="s">
        <v>10602</v>
      </c>
      <c r="F19" s="623" t="s">
        <v>10603</v>
      </c>
      <c r="G19" s="420" t="s">
        <v>565</v>
      </c>
      <c r="H19" s="420" t="s">
        <v>10604</v>
      </c>
      <c r="I19" s="497">
        <v>40632.0</v>
      </c>
      <c r="J19" s="422">
        <v>3.0</v>
      </c>
      <c r="K19" s="636" t="s">
        <v>244</v>
      </c>
      <c r="L19" s="422" t="s">
        <v>260</v>
      </c>
      <c r="M19" s="658">
        <f t="shared" si="1"/>
        <v>1132</v>
      </c>
      <c r="N19" s="198"/>
      <c r="O19" s="334" t="s">
        <v>10605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425">
        <v>1911.0</v>
      </c>
      <c r="B20" s="426" t="s">
        <v>10606</v>
      </c>
      <c r="C20" s="426">
        <v>2009.0</v>
      </c>
      <c r="D20" s="500">
        <v>40042.0</v>
      </c>
      <c r="E20" s="426" t="s">
        <v>10607</v>
      </c>
      <c r="F20" s="426" t="s">
        <v>65</v>
      </c>
      <c r="G20" s="426" t="s">
        <v>552</v>
      </c>
      <c r="H20" s="426" t="s">
        <v>10608</v>
      </c>
      <c r="I20" s="500">
        <v>40632.0</v>
      </c>
      <c r="J20" s="428">
        <v>3.0</v>
      </c>
      <c r="K20" s="638" t="s">
        <v>234</v>
      </c>
      <c r="L20" s="428" t="s">
        <v>256</v>
      </c>
      <c r="M20" s="657">
        <f t="shared" si="1"/>
        <v>590</v>
      </c>
      <c r="N20" s="198"/>
      <c r="O20" s="335" t="s">
        <v>10609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419">
        <v>2011.0</v>
      </c>
      <c r="B21" s="420" t="s">
        <v>10610</v>
      </c>
      <c r="C21" s="420">
        <v>2005.0</v>
      </c>
      <c r="D21" s="497">
        <v>38665.0</v>
      </c>
      <c r="E21" s="420" t="s">
        <v>10611</v>
      </c>
      <c r="F21" s="420" t="s">
        <v>10027</v>
      </c>
      <c r="G21" s="420" t="s">
        <v>650</v>
      </c>
      <c r="H21" s="420" t="s">
        <v>1002</v>
      </c>
      <c r="I21" s="497">
        <v>40640.0</v>
      </c>
      <c r="J21" s="422">
        <v>4.0</v>
      </c>
      <c r="K21" s="638" t="s">
        <v>234</v>
      </c>
      <c r="L21" s="422" t="s">
        <v>256</v>
      </c>
      <c r="M21" s="658">
        <f t="shared" si="1"/>
        <v>1975</v>
      </c>
      <c r="N21" s="198"/>
      <c r="O21" s="334" t="s">
        <v>10612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2111.0</v>
      </c>
      <c r="B22" s="426" t="s">
        <v>10613</v>
      </c>
      <c r="C22" s="426">
        <v>2006.0</v>
      </c>
      <c r="D22" s="500">
        <v>38961.0</v>
      </c>
      <c r="E22" s="426" t="s">
        <v>10614</v>
      </c>
      <c r="F22" s="426" t="s">
        <v>10407</v>
      </c>
      <c r="G22" s="426" t="s">
        <v>34</v>
      </c>
      <c r="H22" s="426" t="s">
        <v>143</v>
      </c>
      <c r="I22" s="500">
        <v>40641.0</v>
      </c>
      <c r="J22" s="428">
        <v>4.0</v>
      </c>
      <c r="K22" s="637" t="s">
        <v>238</v>
      </c>
      <c r="L22" s="428" t="s">
        <v>258</v>
      </c>
      <c r="M22" s="657">
        <f t="shared" si="1"/>
        <v>1680</v>
      </c>
      <c r="N22" s="198"/>
      <c r="O22" s="335" t="s">
        <v>10615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2211.0</v>
      </c>
      <c r="B23" s="420" t="s">
        <v>10616</v>
      </c>
      <c r="C23" s="420">
        <v>2006.0</v>
      </c>
      <c r="D23" s="497">
        <v>38750.0</v>
      </c>
      <c r="E23" s="420" t="s">
        <v>10617</v>
      </c>
      <c r="F23" s="420" t="s">
        <v>660</v>
      </c>
      <c r="G23" s="420" t="s">
        <v>552</v>
      </c>
      <c r="H23" s="420" t="s">
        <v>929</v>
      </c>
      <c r="I23" s="497">
        <v>40641.0</v>
      </c>
      <c r="J23" s="422">
        <v>4.0</v>
      </c>
      <c r="K23" s="635" t="s">
        <v>228</v>
      </c>
      <c r="L23" s="422" t="s">
        <v>258</v>
      </c>
      <c r="M23" s="658">
        <f t="shared" si="1"/>
        <v>1891</v>
      </c>
      <c r="N23" s="198"/>
      <c r="O23" s="334" t="s">
        <v>10618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3.5" customHeight="1">
      <c r="A24" s="425">
        <v>2311.0</v>
      </c>
      <c r="B24" s="426" t="s">
        <v>10619</v>
      </c>
      <c r="C24" s="426">
        <v>2008.0</v>
      </c>
      <c r="D24" s="500">
        <v>39693.0</v>
      </c>
      <c r="E24" s="426" t="s">
        <v>10620</v>
      </c>
      <c r="F24" s="426" t="s">
        <v>719</v>
      </c>
      <c r="G24" s="426" t="s">
        <v>17</v>
      </c>
      <c r="H24" s="426" t="s">
        <v>1501</v>
      </c>
      <c r="I24" s="500">
        <v>40651.0</v>
      </c>
      <c r="J24" s="428">
        <v>4.0</v>
      </c>
      <c r="K24" s="637" t="s">
        <v>238</v>
      </c>
      <c r="L24" s="428" t="s">
        <v>256</v>
      </c>
      <c r="M24" s="657">
        <f t="shared" si="1"/>
        <v>958</v>
      </c>
      <c r="N24" s="198"/>
      <c r="O24" s="336" t="s">
        <v>10621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3.5" customHeight="1">
      <c r="A25" s="419">
        <v>2411.0</v>
      </c>
      <c r="B25" s="420" t="s">
        <v>10622</v>
      </c>
      <c r="C25" s="420">
        <v>2008.0</v>
      </c>
      <c r="D25" s="497">
        <v>39777.0</v>
      </c>
      <c r="E25" s="420" t="s">
        <v>10623</v>
      </c>
      <c r="F25" s="420" t="s">
        <v>7583</v>
      </c>
      <c r="G25" s="420" t="s">
        <v>552</v>
      </c>
      <c r="H25" s="420" t="s">
        <v>163</v>
      </c>
      <c r="I25" s="497">
        <v>40659.0</v>
      </c>
      <c r="J25" s="422">
        <v>4.0</v>
      </c>
      <c r="K25" s="637" t="s">
        <v>238</v>
      </c>
      <c r="L25" s="422" t="s">
        <v>256</v>
      </c>
      <c r="M25" s="658">
        <f t="shared" si="1"/>
        <v>882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2511.0</v>
      </c>
      <c r="B26" s="426" t="s">
        <v>10624</v>
      </c>
      <c r="C26" s="426">
        <v>2006.0</v>
      </c>
      <c r="D26" s="500">
        <v>38979.0</v>
      </c>
      <c r="E26" s="426" t="s">
        <v>10625</v>
      </c>
      <c r="F26" s="426" t="s">
        <v>10407</v>
      </c>
      <c r="G26" s="426" t="s">
        <v>547</v>
      </c>
      <c r="H26" s="426" t="s">
        <v>143</v>
      </c>
      <c r="I26" s="500">
        <v>40662.0</v>
      </c>
      <c r="J26" s="428">
        <v>4.0</v>
      </c>
      <c r="K26" s="635" t="s">
        <v>228</v>
      </c>
      <c r="L26" s="428" t="s">
        <v>258</v>
      </c>
      <c r="M26" s="657">
        <f t="shared" si="1"/>
        <v>1683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2611.0</v>
      </c>
      <c r="B27" s="420" t="s">
        <v>10626</v>
      </c>
      <c r="C27" s="420">
        <v>2009.0</v>
      </c>
      <c r="D27" s="497">
        <v>39944.0</v>
      </c>
      <c r="E27" s="420" t="s">
        <v>10627</v>
      </c>
      <c r="F27" s="420" t="s">
        <v>900</v>
      </c>
      <c r="G27" s="420" t="s">
        <v>17</v>
      </c>
      <c r="H27" s="420" t="s">
        <v>10628</v>
      </c>
      <c r="I27" s="497">
        <v>40669.0</v>
      </c>
      <c r="J27" s="422">
        <v>5.0</v>
      </c>
      <c r="K27" s="638" t="s">
        <v>234</v>
      </c>
      <c r="L27" s="422" t="s">
        <v>256</v>
      </c>
      <c r="M27" s="658">
        <f t="shared" si="1"/>
        <v>725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2711.0</v>
      </c>
      <c r="B28" s="426" t="s">
        <v>10629</v>
      </c>
      <c r="C28" s="426">
        <v>2008.0</v>
      </c>
      <c r="D28" s="500">
        <v>39800.0</v>
      </c>
      <c r="E28" s="426" t="s">
        <v>10630</v>
      </c>
      <c r="F28" s="426" t="s">
        <v>7583</v>
      </c>
      <c r="G28" s="426" t="s">
        <v>552</v>
      </c>
      <c r="H28" s="426" t="s">
        <v>163</v>
      </c>
      <c r="I28" s="500">
        <v>40669.0</v>
      </c>
      <c r="J28" s="428">
        <v>5.0</v>
      </c>
      <c r="K28" s="637" t="s">
        <v>238</v>
      </c>
      <c r="L28" s="428" t="s">
        <v>256</v>
      </c>
      <c r="M28" s="657">
        <f t="shared" si="1"/>
        <v>869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2811.0</v>
      </c>
      <c r="B29" s="420" t="s">
        <v>10631</v>
      </c>
      <c r="C29" s="420">
        <v>2008.0</v>
      </c>
      <c r="D29" s="497">
        <v>39520.0</v>
      </c>
      <c r="E29" s="420" t="s">
        <v>10632</v>
      </c>
      <c r="F29" s="420" t="s">
        <v>1401</v>
      </c>
      <c r="G29" s="420" t="s">
        <v>552</v>
      </c>
      <c r="H29" s="420" t="s">
        <v>5016</v>
      </c>
      <c r="I29" s="497">
        <v>40669.0</v>
      </c>
      <c r="J29" s="422">
        <v>5.0</v>
      </c>
      <c r="K29" s="637" t="s">
        <v>238</v>
      </c>
      <c r="L29" s="422" t="s">
        <v>258</v>
      </c>
      <c r="M29" s="658">
        <f t="shared" si="1"/>
        <v>1149</v>
      </c>
      <c r="N29" s="198"/>
      <c r="O29" s="322">
        <v>1999.0</v>
      </c>
      <c r="P29" s="342">
        <f>COUNTIF($C$2:$C$503,"1999")</f>
        <v>0</v>
      </c>
      <c r="Q29" s="332"/>
      <c r="R29" s="333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425">
        <v>2911.0</v>
      </c>
      <c r="B30" s="426" t="s">
        <v>10633</v>
      </c>
      <c r="C30" s="426">
        <v>2004.0</v>
      </c>
      <c r="D30" s="500">
        <v>38275.0</v>
      </c>
      <c r="E30" s="426" t="s">
        <v>10634</v>
      </c>
      <c r="F30" s="426" t="s">
        <v>719</v>
      </c>
      <c r="G30" s="426" t="s">
        <v>17</v>
      </c>
      <c r="H30" s="426" t="s">
        <v>5826</v>
      </c>
      <c r="I30" s="500">
        <v>40672.0</v>
      </c>
      <c r="J30" s="428">
        <v>5.0</v>
      </c>
      <c r="K30" s="637" t="s">
        <v>238</v>
      </c>
      <c r="L30" s="428" t="s">
        <v>256</v>
      </c>
      <c r="M30" s="657">
        <f t="shared" si="1"/>
        <v>2397</v>
      </c>
      <c r="N30" s="198"/>
      <c r="O30" s="321">
        <v>2000.0</v>
      </c>
      <c r="P30" s="344">
        <f>COUNTIF($C$2:$C$503,"2000")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419">
        <v>3011.0</v>
      </c>
      <c r="B31" s="420" t="s">
        <v>10635</v>
      </c>
      <c r="C31" s="420">
        <v>2008.0</v>
      </c>
      <c r="D31" s="497">
        <v>39709.0</v>
      </c>
      <c r="E31" s="420" t="s">
        <v>10636</v>
      </c>
      <c r="F31" s="420" t="s">
        <v>947</v>
      </c>
      <c r="G31" s="420" t="s">
        <v>17</v>
      </c>
      <c r="H31" s="420" t="s">
        <v>5171</v>
      </c>
      <c r="I31" s="497">
        <v>40675.0</v>
      </c>
      <c r="J31" s="422">
        <v>5.0</v>
      </c>
      <c r="K31" s="637" t="s">
        <v>238</v>
      </c>
      <c r="L31" s="422" t="s">
        <v>258</v>
      </c>
      <c r="M31" s="658">
        <f t="shared" si="1"/>
        <v>966</v>
      </c>
      <c r="N31" s="198"/>
      <c r="O31" s="322">
        <v>2001.0</v>
      </c>
      <c r="P31" s="346">
        <f>COUNTIF($C$2:$C$503,"2001")</f>
        <v>1</v>
      </c>
      <c r="Q31" s="113"/>
      <c r="R31" s="114"/>
      <c r="S31" s="343">
        <f>P31/P42</f>
        <v>0.006849315068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3111.0</v>
      </c>
      <c r="B32" s="426" t="s">
        <v>10637</v>
      </c>
      <c r="C32" s="426">
        <v>2008.0</v>
      </c>
      <c r="D32" s="500">
        <v>39736.0</v>
      </c>
      <c r="E32" s="426" t="s">
        <v>10638</v>
      </c>
      <c r="F32" s="426" t="s">
        <v>947</v>
      </c>
      <c r="G32" s="426" t="s">
        <v>17</v>
      </c>
      <c r="H32" s="426" t="s">
        <v>3662</v>
      </c>
      <c r="I32" s="500">
        <v>40675.0</v>
      </c>
      <c r="J32" s="428">
        <v>5.0</v>
      </c>
      <c r="K32" s="637" t="s">
        <v>238</v>
      </c>
      <c r="L32" s="428" t="s">
        <v>258</v>
      </c>
      <c r="M32" s="657">
        <f t="shared" si="1"/>
        <v>939</v>
      </c>
      <c r="N32" s="198"/>
      <c r="O32" s="321">
        <v>2002.0</v>
      </c>
      <c r="P32" s="344">
        <f>COUNTIF($C$2:$C$503,"2002")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3211.0</v>
      </c>
      <c r="B33" s="420" t="s">
        <v>10639</v>
      </c>
      <c r="C33" s="420">
        <v>2008.0</v>
      </c>
      <c r="D33" s="497">
        <v>39500.0</v>
      </c>
      <c r="E33" s="420" t="s">
        <v>10640</v>
      </c>
      <c r="F33" s="420" t="s">
        <v>963</v>
      </c>
      <c r="G33" s="420" t="s">
        <v>17</v>
      </c>
      <c r="H33" s="420" t="s">
        <v>1501</v>
      </c>
      <c r="I33" s="497">
        <v>40679.0</v>
      </c>
      <c r="J33" s="422">
        <v>5.0</v>
      </c>
      <c r="K33" s="635" t="s">
        <v>228</v>
      </c>
      <c r="L33" s="422" t="s">
        <v>258</v>
      </c>
      <c r="M33" s="658">
        <f t="shared" si="1"/>
        <v>1179</v>
      </c>
      <c r="N33" s="198"/>
      <c r="O33" s="322">
        <v>2003.0</v>
      </c>
      <c r="P33" s="346">
        <f>COUNTIF($C$2:$C$503,"2003")</f>
        <v>0</v>
      </c>
      <c r="Q33" s="113"/>
      <c r="R33" s="114"/>
      <c r="S33" s="343">
        <f>P33/P42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3311.0</v>
      </c>
      <c r="B34" s="426" t="s">
        <v>10641</v>
      </c>
      <c r="C34" s="426">
        <v>2009.0</v>
      </c>
      <c r="D34" s="500">
        <v>40071.0</v>
      </c>
      <c r="E34" s="426" t="s">
        <v>10642</v>
      </c>
      <c r="F34" s="426" t="s">
        <v>963</v>
      </c>
      <c r="G34" s="426" t="s">
        <v>17</v>
      </c>
      <c r="H34" s="426" t="s">
        <v>26</v>
      </c>
      <c r="I34" s="500">
        <v>40679.0</v>
      </c>
      <c r="J34" s="428">
        <v>5.0</v>
      </c>
      <c r="K34" s="635" t="s">
        <v>228</v>
      </c>
      <c r="L34" s="428" t="s">
        <v>258</v>
      </c>
      <c r="M34" s="657">
        <f t="shared" si="1"/>
        <v>608</v>
      </c>
      <c r="N34" s="198"/>
      <c r="O34" s="321">
        <v>2004.0</v>
      </c>
      <c r="P34" s="344">
        <f>COUNTIF($C$2:$C$503,"2004")</f>
        <v>2</v>
      </c>
      <c r="Q34" s="113"/>
      <c r="R34" s="114"/>
      <c r="S34" s="345">
        <f>P34/P42</f>
        <v>0.01369863014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3411.0</v>
      </c>
      <c r="B35" s="420" t="s">
        <v>10643</v>
      </c>
      <c r="C35" s="420">
        <v>2009.0</v>
      </c>
      <c r="D35" s="497">
        <v>40018.0</v>
      </c>
      <c r="E35" s="420" t="s">
        <v>10644</v>
      </c>
      <c r="F35" s="420" t="s">
        <v>963</v>
      </c>
      <c r="G35" s="420" t="s">
        <v>17</v>
      </c>
      <c r="H35" s="420" t="s">
        <v>8845</v>
      </c>
      <c r="I35" s="497">
        <v>40679.0</v>
      </c>
      <c r="J35" s="422">
        <v>5.0</v>
      </c>
      <c r="K35" s="635" t="s">
        <v>228</v>
      </c>
      <c r="L35" s="422" t="s">
        <v>258</v>
      </c>
      <c r="M35" s="658">
        <f t="shared" si="1"/>
        <v>661</v>
      </c>
      <c r="N35" s="198"/>
      <c r="O35" s="322">
        <v>2005.0</v>
      </c>
      <c r="P35" s="346">
        <f>COUNTIF($C$2:$C$503,"2005")</f>
        <v>5</v>
      </c>
      <c r="Q35" s="113"/>
      <c r="R35" s="114"/>
      <c r="S35" s="343">
        <f>P35/P42</f>
        <v>0.03424657534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3511.0</v>
      </c>
      <c r="B36" s="426" t="s">
        <v>10645</v>
      </c>
      <c r="C36" s="426">
        <v>2009.0</v>
      </c>
      <c r="D36" s="500">
        <v>39902.0</v>
      </c>
      <c r="E36" s="426" t="s">
        <v>10646</v>
      </c>
      <c r="F36" s="426" t="s">
        <v>2873</v>
      </c>
      <c r="G36" s="426" t="s">
        <v>17</v>
      </c>
      <c r="H36" s="426" t="s">
        <v>10628</v>
      </c>
      <c r="I36" s="500">
        <v>40679.0</v>
      </c>
      <c r="J36" s="428">
        <v>5.0</v>
      </c>
      <c r="K36" s="635" t="s">
        <v>228</v>
      </c>
      <c r="L36" s="428" t="s">
        <v>258</v>
      </c>
      <c r="M36" s="657">
        <f t="shared" si="1"/>
        <v>777</v>
      </c>
      <c r="N36" s="198"/>
      <c r="O36" s="321">
        <v>2006.0</v>
      </c>
      <c r="P36" s="344">
        <f>COUNTIF($C$2:$C$503,"2006")</f>
        <v>8</v>
      </c>
      <c r="Q36" s="113"/>
      <c r="R36" s="114"/>
      <c r="S36" s="345">
        <f>P36/P42</f>
        <v>0.05479452055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3611.0</v>
      </c>
      <c r="B37" s="420" t="s">
        <v>10647</v>
      </c>
      <c r="C37" s="420">
        <v>2009.0</v>
      </c>
      <c r="D37" s="497">
        <v>39855.0</v>
      </c>
      <c r="E37" s="420" t="s">
        <v>10648</v>
      </c>
      <c r="F37" s="420" t="s">
        <v>1544</v>
      </c>
      <c r="G37" s="420" t="s">
        <v>17</v>
      </c>
      <c r="H37" s="420" t="s">
        <v>10628</v>
      </c>
      <c r="I37" s="497">
        <v>40679.0</v>
      </c>
      <c r="J37" s="422">
        <v>5.0</v>
      </c>
      <c r="K37" s="638" t="s">
        <v>234</v>
      </c>
      <c r="L37" s="422" t="s">
        <v>254</v>
      </c>
      <c r="M37" s="658">
        <f t="shared" si="1"/>
        <v>824</v>
      </c>
      <c r="N37" s="198"/>
      <c r="O37" s="322">
        <v>2007.0</v>
      </c>
      <c r="P37" s="346">
        <f>COUNTIF($C$2:$C$503,"2007")</f>
        <v>7</v>
      </c>
      <c r="Q37" s="113"/>
      <c r="R37" s="114"/>
      <c r="S37" s="343">
        <f>P37/P42</f>
        <v>0.04794520548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3711.0</v>
      </c>
      <c r="B38" s="426" t="s">
        <v>10649</v>
      </c>
      <c r="C38" s="426">
        <v>2008.0</v>
      </c>
      <c r="D38" s="500">
        <v>39688.0</v>
      </c>
      <c r="E38" s="426" t="s">
        <v>10650</v>
      </c>
      <c r="F38" s="426" t="s">
        <v>1464</v>
      </c>
      <c r="G38" s="426" t="s">
        <v>17</v>
      </c>
      <c r="H38" s="426" t="s">
        <v>66</v>
      </c>
      <c r="I38" s="500">
        <v>40682.0</v>
      </c>
      <c r="J38" s="428">
        <v>5.0</v>
      </c>
      <c r="K38" s="637" t="s">
        <v>238</v>
      </c>
      <c r="L38" s="428" t="s">
        <v>256</v>
      </c>
      <c r="M38" s="657">
        <f t="shared" si="1"/>
        <v>994</v>
      </c>
      <c r="N38" s="198"/>
      <c r="O38" s="321">
        <v>2008.0</v>
      </c>
      <c r="P38" s="344">
        <f>COUNTIF($C$2:$C$503,"2008")</f>
        <v>46</v>
      </c>
      <c r="Q38" s="113"/>
      <c r="R38" s="114"/>
      <c r="S38" s="345">
        <f>P38/P42</f>
        <v>0.3150684932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3811.0</v>
      </c>
      <c r="B39" s="420" t="s">
        <v>10651</v>
      </c>
      <c r="C39" s="420">
        <v>2010.0</v>
      </c>
      <c r="D39" s="497">
        <v>40268.0</v>
      </c>
      <c r="E39" s="420" t="s">
        <v>10652</v>
      </c>
      <c r="F39" s="420" t="s">
        <v>10653</v>
      </c>
      <c r="G39" s="420" t="s">
        <v>565</v>
      </c>
      <c r="H39" s="420" t="s">
        <v>651</v>
      </c>
      <c r="I39" s="497">
        <v>40682.0</v>
      </c>
      <c r="J39" s="422">
        <v>5.0</v>
      </c>
      <c r="K39" s="636" t="s">
        <v>244</v>
      </c>
      <c r="L39" s="422" t="s">
        <v>260</v>
      </c>
      <c r="M39" s="658">
        <f t="shared" si="1"/>
        <v>414</v>
      </c>
      <c r="N39" s="198"/>
      <c r="O39" s="322">
        <v>2009.0</v>
      </c>
      <c r="P39" s="346">
        <f>COUNTIF($C$2:$C$503,"2009")</f>
        <v>58</v>
      </c>
      <c r="Q39" s="113"/>
      <c r="R39" s="114"/>
      <c r="S39" s="343">
        <f>(P39/P42)</f>
        <v>0.397260274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3911.0</v>
      </c>
      <c r="B40" s="426" t="s">
        <v>10654</v>
      </c>
      <c r="C40" s="426">
        <v>2008.0</v>
      </c>
      <c r="D40" s="500">
        <v>39518.0</v>
      </c>
      <c r="E40" s="426" t="s">
        <v>10655</v>
      </c>
      <c r="F40" s="622" t="s">
        <v>3725</v>
      </c>
      <c r="G40" s="426" t="s">
        <v>565</v>
      </c>
      <c r="H40" s="426" t="s">
        <v>651</v>
      </c>
      <c r="I40" s="500">
        <v>40682.0</v>
      </c>
      <c r="J40" s="428">
        <v>5.0</v>
      </c>
      <c r="K40" s="637" t="s">
        <v>238</v>
      </c>
      <c r="L40" s="428" t="s">
        <v>260</v>
      </c>
      <c r="M40" s="657">
        <f t="shared" si="1"/>
        <v>1164</v>
      </c>
      <c r="N40" s="198"/>
      <c r="O40" s="321">
        <v>2010.0</v>
      </c>
      <c r="P40" s="344">
        <f>COUNTIF($C$2:$C$503,"2010")</f>
        <v>14</v>
      </c>
      <c r="Q40" s="113"/>
      <c r="R40" s="114"/>
      <c r="S40" s="345">
        <f>(P40/P42)</f>
        <v>0.09589041096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419">
        <v>4011.0</v>
      </c>
      <c r="B41" s="420" t="s">
        <v>10656</v>
      </c>
      <c r="C41" s="420">
        <v>2009.0</v>
      </c>
      <c r="D41" s="497">
        <v>40109.0</v>
      </c>
      <c r="E41" s="420" t="s">
        <v>10657</v>
      </c>
      <c r="F41" s="623" t="s">
        <v>10658</v>
      </c>
      <c r="G41" s="420" t="s">
        <v>565</v>
      </c>
      <c r="H41" s="420" t="s">
        <v>10659</v>
      </c>
      <c r="I41" s="497">
        <v>40682.0</v>
      </c>
      <c r="J41" s="422">
        <v>5.0</v>
      </c>
      <c r="K41" s="636" t="s">
        <v>244</v>
      </c>
      <c r="L41" s="422" t="s">
        <v>260</v>
      </c>
      <c r="M41" s="658">
        <f t="shared" si="1"/>
        <v>573</v>
      </c>
      <c r="N41" s="198"/>
      <c r="O41" s="322">
        <v>2011.0</v>
      </c>
      <c r="P41" s="346">
        <f>COUNTIF($C$2:$C$503,"2011")</f>
        <v>5</v>
      </c>
      <c r="Q41" s="113"/>
      <c r="R41" s="114"/>
      <c r="S41" s="343">
        <f>(P41/P42)</f>
        <v>0.03424657534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425">
        <v>4111.0</v>
      </c>
      <c r="B42" s="426" t="s">
        <v>10660</v>
      </c>
      <c r="C42" s="426">
        <v>2007.0</v>
      </c>
      <c r="D42" s="500">
        <v>39213.0</v>
      </c>
      <c r="E42" s="426" t="s">
        <v>10661</v>
      </c>
      <c r="F42" s="426" t="s">
        <v>167</v>
      </c>
      <c r="G42" s="426" t="s">
        <v>650</v>
      </c>
      <c r="H42" s="426" t="s">
        <v>651</v>
      </c>
      <c r="I42" s="500">
        <v>40682.0</v>
      </c>
      <c r="J42" s="428">
        <v>5.0</v>
      </c>
      <c r="K42" s="637" t="s">
        <v>238</v>
      </c>
      <c r="L42" s="428" t="s">
        <v>256</v>
      </c>
      <c r="M42" s="657">
        <f t="shared" si="1"/>
        <v>1469</v>
      </c>
      <c r="N42" s="198"/>
      <c r="O42" s="348" t="s">
        <v>179</v>
      </c>
      <c r="P42" s="349">
        <f>SUM(P29:R41)</f>
        <v>146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419">
        <v>4211.0</v>
      </c>
      <c r="B43" s="420" t="s">
        <v>10257</v>
      </c>
      <c r="C43" s="420">
        <v>2008.0</v>
      </c>
      <c r="D43" s="497">
        <v>39800.0</v>
      </c>
      <c r="E43" s="420" t="s">
        <v>10662</v>
      </c>
      <c r="F43" s="420" t="s">
        <v>65</v>
      </c>
      <c r="G43" s="420" t="s">
        <v>552</v>
      </c>
      <c r="H43" s="420" t="s">
        <v>163</v>
      </c>
      <c r="I43" s="497">
        <v>40689.0</v>
      </c>
      <c r="J43" s="422">
        <v>5.0</v>
      </c>
      <c r="K43" s="635" t="s">
        <v>228</v>
      </c>
      <c r="L43" s="422" t="s">
        <v>254</v>
      </c>
      <c r="M43" s="658">
        <f t="shared" si="1"/>
        <v>889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4.25" customHeight="1">
      <c r="A44" s="425">
        <v>4311.0</v>
      </c>
      <c r="B44" s="426" t="s">
        <v>10663</v>
      </c>
      <c r="C44" s="426">
        <v>2008.0</v>
      </c>
      <c r="D44" s="500">
        <v>39539.0</v>
      </c>
      <c r="E44" s="426" t="s">
        <v>10664</v>
      </c>
      <c r="F44" s="622" t="s">
        <v>10665</v>
      </c>
      <c r="G44" s="426" t="s">
        <v>565</v>
      </c>
      <c r="H44" s="426" t="s">
        <v>2539</v>
      </c>
      <c r="I44" s="500">
        <v>40690.0</v>
      </c>
      <c r="J44" s="428">
        <v>5.0</v>
      </c>
      <c r="K44" s="637" t="s">
        <v>238</v>
      </c>
      <c r="L44" s="428" t="s">
        <v>260</v>
      </c>
      <c r="M44" s="657">
        <f t="shared" si="1"/>
        <v>1151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4411.0</v>
      </c>
      <c r="B45" s="420" t="s">
        <v>10666</v>
      </c>
      <c r="C45" s="420">
        <v>2009.0</v>
      </c>
      <c r="D45" s="497">
        <v>40031.0</v>
      </c>
      <c r="E45" s="420" t="s">
        <v>10667</v>
      </c>
      <c r="F45" s="420" t="s">
        <v>44</v>
      </c>
      <c r="G45" s="420" t="s">
        <v>552</v>
      </c>
      <c r="H45" s="420" t="s">
        <v>56</v>
      </c>
      <c r="I45" s="497">
        <v>40690.0</v>
      </c>
      <c r="J45" s="422">
        <v>5.0</v>
      </c>
      <c r="K45" s="635" t="s">
        <v>228</v>
      </c>
      <c r="L45" s="422" t="s">
        <v>256</v>
      </c>
      <c r="M45" s="658">
        <f t="shared" si="1"/>
        <v>659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4511.0</v>
      </c>
      <c r="B46" s="426" t="s">
        <v>10668</v>
      </c>
      <c r="C46" s="426">
        <v>2005.0</v>
      </c>
      <c r="D46" s="500">
        <v>38533.0</v>
      </c>
      <c r="E46" s="426" t="s">
        <v>10669</v>
      </c>
      <c r="F46" s="426" t="s">
        <v>31</v>
      </c>
      <c r="G46" s="426" t="s">
        <v>650</v>
      </c>
      <c r="H46" s="426" t="s">
        <v>651</v>
      </c>
      <c r="I46" s="500">
        <v>40690.0</v>
      </c>
      <c r="J46" s="428">
        <v>5.0</v>
      </c>
      <c r="K46" s="638" t="s">
        <v>234</v>
      </c>
      <c r="L46" s="428" t="s">
        <v>258</v>
      </c>
      <c r="M46" s="657">
        <f t="shared" si="1"/>
        <v>2157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4611.0</v>
      </c>
      <c r="B47" s="420" t="s">
        <v>10670</v>
      </c>
      <c r="C47" s="420">
        <v>2010.0</v>
      </c>
      <c r="D47" s="497">
        <v>40231.0</v>
      </c>
      <c r="E47" s="420" t="s">
        <v>10671</v>
      </c>
      <c r="F47" s="420" t="s">
        <v>65</v>
      </c>
      <c r="G47" s="420" t="s">
        <v>552</v>
      </c>
      <c r="H47" s="420" t="s">
        <v>8845</v>
      </c>
      <c r="I47" s="497">
        <v>40693.0</v>
      </c>
      <c r="J47" s="422">
        <v>5.0</v>
      </c>
      <c r="K47" s="638" t="s">
        <v>234</v>
      </c>
      <c r="L47" s="422" t="s">
        <v>256</v>
      </c>
      <c r="M47" s="658">
        <f t="shared" si="1"/>
        <v>462</v>
      </c>
      <c r="N47" s="198"/>
      <c r="O47" s="353" t="s">
        <v>195</v>
      </c>
      <c r="P47" s="342">
        <f>COUNTIF($J$2:$J$476,"1")</f>
        <v>1</v>
      </c>
      <c r="Q47" s="332"/>
      <c r="R47" s="333"/>
      <c r="S47" s="354">
        <f>(P47/P59)</f>
        <v>0.006849315068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4711.0</v>
      </c>
      <c r="B48" s="426" t="s">
        <v>10672</v>
      </c>
      <c r="C48" s="426">
        <v>2009.0</v>
      </c>
      <c r="D48" s="500">
        <v>40154.0</v>
      </c>
      <c r="E48" s="426" t="s">
        <v>10673</v>
      </c>
      <c r="F48" s="426" t="s">
        <v>10674</v>
      </c>
      <c r="G48" s="426" t="s">
        <v>565</v>
      </c>
      <c r="H48" s="426" t="s">
        <v>10675</v>
      </c>
      <c r="I48" s="500">
        <v>40694.0</v>
      </c>
      <c r="J48" s="428">
        <v>5.0</v>
      </c>
      <c r="K48" s="636" t="s">
        <v>850</v>
      </c>
      <c r="L48" s="428" t="s">
        <v>260</v>
      </c>
      <c r="M48" s="657">
        <f t="shared" si="1"/>
        <v>540</v>
      </c>
      <c r="N48" s="198"/>
      <c r="O48" s="321" t="s">
        <v>197</v>
      </c>
      <c r="P48" s="344">
        <f>COUNTIF($J$2:$J$476,"2")</f>
        <v>4</v>
      </c>
      <c r="Q48" s="113"/>
      <c r="R48" s="114"/>
      <c r="S48" s="345">
        <f>(P48/P59)</f>
        <v>0.02739726027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4811.0</v>
      </c>
      <c r="B49" s="420" t="s">
        <v>10676</v>
      </c>
      <c r="C49" s="420">
        <v>2008.0</v>
      </c>
      <c r="D49" s="497">
        <v>39778.0</v>
      </c>
      <c r="E49" s="420" t="s">
        <v>10677</v>
      </c>
      <c r="F49" s="420" t="s">
        <v>963</v>
      </c>
      <c r="G49" s="420" t="s">
        <v>17</v>
      </c>
      <c r="H49" s="420" t="s">
        <v>50</v>
      </c>
      <c r="I49" s="497">
        <v>40695.0</v>
      </c>
      <c r="J49" s="422">
        <v>6.0</v>
      </c>
      <c r="K49" s="635" t="s">
        <v>228</v>
      </c>
      <c r="L49" s="422" t="s">
        <v>258</v>
      </c>
      <c r="M49" s="658">
        <f t="shared" si="1"/>
        <v>917</v>
      </c>
      <c r="N49" s="198"/>
      <c r="O49" s="322" t="s">
        <v>199</v>
      </c>
      <c r="P49" s="346">
        <f>COUNTIF($J$2:$J$476,"3")</f>
        <v>14</v>
      </c>
      <c r="Q49" s="113"/>
      <c r="R49" s="114"/>
      <c r="S49" s="343">
        <f>(P49/P59)</f>
        <v>0.09589041096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4911.0</v>
      </c>
      <c r="B50" s="426" t="s">
        <v>10678</v>
      </c>
      <c r="C50" s="426">
        <v>2009.0</v>
      </c>
      <c r="D50" s="500">
        <v>39882.0</v>
      </c>
      <c r="E50" s="426" t="s">
        <v>10679</v>
      </c>
      <c r="F50" s="426" t="s">
        <v>4226</v>
      </c>
      <c r="G50" s="426" t="s">
        <v>552</v>
      </c>
      <c r="H50" s="426" t="s">
        <v>3811</v>
      </c>
      <c r="I50" s="500">
        <v>40695.0</v>
      </c>
      <c r="J50" s="428">
        <v>6.0</v>
      </c>
      <c r="K50" s="635" t="s">
        <v>228</v>
      </c>
      <c r="L50" s="428" t="s">
        <v>256</v>
      </c>
      <c r="M50" s="657">
        <f t="shared" si="1"/>
        <v>813</v>
      </c>
      <c r="N50" s="198"/>
      <c r="O50" s="321" t="s">
        <v>201</v>
      </c>
      <c r="P50" s="344">
        <f>COUNTIF($J$2:$J$476,"4")</f>
        <v>6</v>
      </c>
      <c r="Q50" s="113"/>
      <c r="R50" s="114"/>
      <c r="S50" s="345">
        <f>(P50/P59)</f>
        <v>0.04109589041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5011.0</v>
      </c>
      <c r="B51" s="420" t="s">
        <v>10680</v>
      </c>
      <c r="C51" s="420">
        <v>2008.0</v>
      </c>
      <c r="D51" s="497">
        <v>39685.0</v>
      </c>
      <c r="E51" s="420" t="s">
        <v>10681</v>
      </c>
      <c r="F51" s="420" t="s">
        <v>10682</v>
      </c>
      <c r="G51" s="420" t="s">
        <v>565</v>
      </c>
      <c r="H51" s="420" t="s">
        <v>10683</v>
      </c>
      <c r="I51" s="497">
        <v>40695.0</v>
      </c>
      <c r="J51" s="422">
        <v>6.0</v>
      </c>
      <c r="K51" s="637" t="s">
        <v>238</v>
      </c>
      <c r="L51" s="422" t="s">
        <v>260</v>
      </c>
      <c r="M51" s="658">
        <f t="shared" si="1"/>
        <v>1010</v>
      </c>
      <c r="N51" s="198"/>
      <c r="O51" s="322" t="s">
        <v>203</v>
      </c>
      <c r="P51" s="346">
        <f>COUNTIF($J$2:$J$476,"5")</f>
        <v>22</v>
      </c>
      <c r="Q51" s="113"/>
      <c r="R51" s="114"/>
      <c r="S51" s="343">
        <f>(P51/P59)</f>
        <v>0.1506849315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5111.0</v>
      </c>
      <c r="B52" s="426" t="s">
        <v>10684</v>
      </c>
      <c r="C52" s="426">
        <v>2009.0</v>
      </c>
      <c r="D52" s="500">
        <v>39904.0</v>
      </c>
      <c r="E52" s="426" t="s">
        <v>10685</v>
      </c>
      <c r="F52" s="426" t="s">
        <v>10686</v>
      </c>
      <c r="G52" s="426" t="s">
        <v>650</v>
      </c>
      <c r="H52" s="426" t="s">
        <v>158</v>
      </c>
      <c r="I52" s="500">
        <v>40707.0</v>
      </c>
      <c r="J52" s="428">
        <v>6.0</v>
      </c>
      <c r="K52" s="635" t="s">
        <v>228</v>
      </c>
      <c r="L52" s="428" t="s">
        <v>256</v>
      </c>
      <c r="M52" s="657">
        <f t="shared" si="1"/>
        <v>803</v>
      </c>
      <c r="N52" s="198"/>
      <c r="O52" s="321" t="s">
        <v>205</v>
      </c>
      <c r="P52" s="344">
        <f>COUNTIF($J$2:$J$476,"6")</f>
        <v>6</v>
      </c>
      <c r="Q52" s="113"/>
      <c r="R52" s="114"/>
      <c r="S52" s="345">
        <f>(P52/P59)</f>
        <v>0.04109589041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419">
        <v>5211.0</v>
      </c>
      <c r="B53" s="420" t="s">
        <v>10687</v>
      </c>
      <c r="C53" s="420">
        <v>2007.0</v>
      </c>
      <c r="D53" s="497">
        <v>39440.0</v>
      </c>
      <c r="E53" s="420" t="s">
        <v>10688</v>
      </c>
      <c r="F53" s="420" t="s">
        <v>10686</v>
      </c>
      <c r="G53" s="420" t="s">
        <v>650</v>
      </c>
      <c r="H53" s="420" t="s">
        <v>158</v>
      </c>
      <c r="I53" s="497">
        <v>40707.0</v>
      </c>
      <c r="J53" s="422">
        <v>6.0</v>
      </c>
      <c r="K53" s="635" t="s">
        <v>228</v>
      </c>
      <c r="L53" s="422" t="s">
        <v>256</v>
      </c>
      <c r="M53" s="658">
        <f t="shared" si="1"/>
        <v>1267</v>
      </c>
      <c r="N53" s="198"/>
      <c r="O53" s="322" t="s">
        <v>207</v>
      </c>
      <c r="P53" s="346">
        <f>COUNTIF($J$2:$J$476,"7")</f>
        <v>13</v>
      </c>
      <c r="Q53" s="113"/>
      <c r="R53" s="114"/>
      <c r="S53" s="343">
        <f>(P53/P59)</f>
        <v>0.08904109589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5311.0</v>
      </c>
      <c r="B54" s="426" t="s">
        <v>10689</v>
      </c>
      <c r="C54" s="426">
        <v>2005.0</v>
      </c>
      <c r="D54" s="500">
        <v>38400.0</v>
      </c>
      <c r="E54" s="426" t="s">
        <v>10690</v>
      </c>
      <c r="F54" s="426" t="s">
        <v>666</v>
      </c>
      <c r="G54" s="426" t="s">
        <v>650</v>
      </c>
      <c r="H54" s="426" t="s">
        <v>705</v>
      </c>
      <c r="I54" s="500">
        <v>40730.0</v>
      </c>
      <c r="J54" s="428">
        <v>6.0</v>
      </c>
      <c r="K54" s="635" t="s">
        <v>228</v>
      </c>
      <c r="L54" s="428" t="s">
        <v>258</v>
      </c>
      <c r="M54" s="657">
        <f t="shared" si="1"/>
        <v>2330</v>
      </c>
      <c r="N54" s="198"/>
      <c r="O54" s="321" t="s">
        <v>209</v>
      </c>
      <c r="P54" s="344">
        <f>COUNTIF($J$2:$J$476,"8")</f>
        <v>16</v>
      </c>
      <c r="Q54" s="113"/>
      <c r="R54" s="114"/>
      <c r="S54" s="345">
        <f>(P54/P59)</f>
        <v>0.1095890411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5411.0</v>
      </c>
      <c r="B55" s="420" t="s">
        <v>10691</v>
      </c>
      <c r="C55" s="420">
        <v>2001.0</v>
      </c>
      <c r="D55" s="497">
        <v>37222.0</v>
      </c>
      <c r="E55" s="420" t="s">
        <v>10692</v>
      </c>
      <c r="F55" s="420" t="s">
        <v>785</v>
      </c>
      <c r="G55" s="420" t="s">
        <v>650</v>
      </c>
      <c r="H55" s="420" t="s">
        <v>158</v>
      </c>
      <c r="I55" s="497">
        <v>40732.0</v>
      </c>
      <c r="J55" s="422">
        <v>7.0</v>
      </c>
      <c r="K55" s="635" t="s">
        <v>228</v>
      </c>
      <c r="L55" s="422" t="s">
        <v>256</v>
      </c>
      <c r="M55" s="658">
        <f t="shared" si="1"/>
        <v>3510</v>
      </c>
      <c r="N55" s="198"/>
      <c r="O55" s="322" t="s">
        <v>211</v>
      </c>
      <c r="P55" s="346">
        <f>COUNTIF($J$2:$J$476,"9")</f>
        <v>21</v>
      </c>
      <c r="Q55" s="113"/>
      <c r="R55" s="114"/>
      <c r="S55" s="343">
        <f>(P55/P59)</f>
        <v>0.1438356164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5511.0</v>
      </c>
      <c r="B56" s="426" t="s">
        <v>10693</v>
      </c>
      <c r="C56" s="426">
        <v>2008.0</v>
      </c>
      <c r="D56" s="500">
        <v>39771.0</v>
      </c>
      <c r="E56" s="426" t="s">
        <v>10694</v>
      </c>
      <c r="F56" s="426" t="s">
        <v>963</v>
      </c>
      <c r="G56" s="426" t="s">
        <v>17</v>
      </c>
      <c r="H56" s="426" t="s">
        <v>10628</v>
      </c>
      <c r="I56" s="500">
        <v>40732.0</v>
      </c>
      <c r="J56" s="428">
        <v>7.0</v>
      </c>
      <c r="K56" s="635" t="s">
        <v>228</v>
      </c>
      <c r="L56" s="428" t="s">
        <v>258</v>
      </c>
      <c r="M56" s="657">
        <f t="shared" si="1"/>
        <v>961</v>
      </c>
      <c r="N56" s="198"/>
      <c r="O56" s="321" t="s">
        <v>213</v>
      </c>
      <c r="P56" s="344">
        <f>COUNTIF($J$2:$J$476,"10")</f>
        <v>12</v>
      </c>
      <c r="Q56" s="113"/>
      <c r="R56" s="114"/>
      <c r="S56" s="345">
        <f>(P56/P59)</f>
        <v>0.08219178082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5611.0</v>
      </c>
      <c r="B57" s="420" t="s">
        <v>10695</v>
      </c>
      <c r="C57" s="420">
        <v>2008.0</v>
      </c>
      <c r="D57" s="497">
        <v>39686.0</v>
      </c>
      <c r="E57" s="420" t="s">
        <v>10696</v>
      </c>
      <c r="F57" s="420" t="s">
        <v>134</v>
      </c>
      <c r="G57" s="420" t="s">
        <v>17</v>
      </c>
      <c r="H57" s="420" t="s">
        <v>1501</v>
      </c>
      <c r="I57" s="497">
        <v>40730.0</v>
      </c>
      <c r="J57" s="422">
        <v>7.0</v>
      </c>
      <c r="K57" s="637" t="s">
        <v>238</v>
      </c>
      <c r="L57" s="422" t="s">
        <v>258</v>
      </c>
      <c r="M57" s="658">
        <f t="shared" si="1"/>
        <v>1044</v>
      </c>
      <c r="N57" s="198"/>
      <c r="O57" s="322" t="s">
        <v>215</v>
      </c>
      <c r="P57" s="346">
        <f>COUNTIF($J$2:$J$476,"11")</f>
        <v>6</v>
      </c>
      <c r="Q57" s="113"/>
      <c r="R57" s="114"/>
      <c r="S57" s="343">
        <f>(P57/P59)</f>
        <v>0.04109589041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5711.0</v>
      </c>
      <c r="B58" s="426" t="s">
        <v>10697</v>
      </c>
      <c r="C58" s="426">
        <v>2009.0</v>
      </c>
      <c r="D58" s="500">
        <v>39871.0</v>
      </c>
      <c r="E58" s="426" t="s">
        <v>10698</v>
      </c>
      <c r="F58" s="426" t="s">
        <v>963</v>
      </c>
      <c r="G58" s="426" t="s">
        <v>17</v>
      </c>
      <c r="H58" s="426" t="s">
        <v>5016</v>
      </c>
      <c r="I58" s="500">
        <v>40732.0</v>
      </c>
      <c r="J58" s="428">
        <v>7.0</v>
      </c>
      <c r="K58" s="635" t="s">
        <v>228</v>
      </c>
      <c r="L58" s="428" t="s">
        <v>258</v>
      </c>
      <c r="M58" s="657">
        <f t="shared" si="1"/>
        <v>861</v>
      </c>
      <c r="N58" s="198"/>
      <c r="O58" s="355" t="s">
        <v>217</v>
      </c>
      <c r="P58" s="344">
        <f>COUNTIF($J$2:$J$476,"12")</f>
        <v>25</v>
      </c>
      <c r="Q58" s="113"/>
      <c r="R58" s="114"/>
      <c r="S58" s="356">
        <f>(P58/P59)</f>
        <v>0.1712328767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5811.0</v>
      </c>
      <c r="B59" s="420" t="s">
        <v>10699</v>
      </c>
      <c r="C59" s="420">
        <v>2008.0</v>
      </c>
      <c r="D59" s="497">
        <v>39451.0</v>
      </c>
      <c r="E59" s="420" t="s">
        <v>10700</v>
      </c>
      <c r="F59" s="420" t="s">
        <v>6666</v>
      </c>
      <c r="G59" s="420" t="s">
        <v>17</v>
      </c>
      <c r="H59" s="420" t="s">
        <v>158</v>
      </c>
      <c r="I59" s="497">
        <v>40737.0</v>
      </c>
      <c r="J59" s="422">
        <v>7.0</v>
      </c>
      <c r="K59" s="638" t="s">
        <v>234</v>
      </c>
      <c r="L59" s="422" t="s">
        <v>256</v>
      </c>
      <c r="M59" s="658">
        <f t="shared" si="1"/>
        <v>1286</v>
      </c>
      <c r="N59" s="198"/>
      <c r="O59" s="348" t="s">
        <v>219</v>
      </c>
      <c r="P59" s="349">
        <f>SUM(P47:R58)</f>
        <v>146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5911.0</v>
      </c>
      <c r="B60" s="426" t="s">
        <v>10701</v>
      </c>
      <c r="C60" s="426">
        <v>2009.0</v>
      </c>
      <c r="D60" s="500">
        <v>40093.0</v>
      </c>
      <c r="E60" s="426" t="s">
        <v>10702</v>
      </c>
      <c r="F60" s="426" t="s">
        <v>1968</v>
      </c>
      <c r="G60" s="426" t="s">
        <v>650</v>
      </c>
      <c r="H60" s="426" t="s">
        <v>633</v>
      </c>
      <c r="I60" s="500">
        <v>40736.0</v>
      </c>
      <c r="J60" s="428">
        <v>7.0</v>
      </c>
      <c r="K60" s="638" t="s">
        <v>234</v>
      </c>
      <c r="L60" s="428" t="s">
        <v>254</v>
      </c>
      <c r="M60" s="657">
        <f t="shared" si="1"/>
        <v>643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6011.0</v>
      </c>
      <c r="B61" s="420" t="s">
        <v>10703</v>
      </c>
      <c r="C61" s="420">
        <v>2009.0</v>
      </c>
      <c r="D61" s="497">
        <v>40093.0</v>
      </c>
      <c r="E61" s="420" t="s">
        <v>10704</v>
      </c>
      <c r="F61" s="420" t="s">
        <v>1968</v>
      </c>
      <c r="G61" s="420" t="s">
        <v>650</v>
      </c>
      <c r="H61" s="420" t="s">
        <v>633</v>
      </c>
      <c r="I61" s="497">
        <v>40742.0</v>
      </c>
      <c r="J61" s="422">
        <v>7.0</v>
      </c>
      <c r="K61" s="638" t="s">
        <v>234</v>
      </c>
      <c r="L61" s="422" t="s">
        <v>254</v>
      </c>
      <c r="M61" s="658">
        <f t="shared" si="1"/>
        <v>649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425">
        <v>6111.0</v>
      </c>
      <c r="B62" s="426" t="s">
        <v>10705</v>
      </c>
      <c r="C62" s="426">
        <v>2009.0</v>
      </c>
      <c r="D62" s="500">
        <v>40093.0</v>
      </c>
      <c r="E62" s="426" t="s">
        <v>10706</v>
      </c>
      <c r="F62" s="426" t="s">
        <v>1968</v>
      </c>
      <c r="G62" s="426" t="s">
        <v>650</v>
      </c>
      <c r="H62" s="426" t="s">
        <v>633</v>
      </c>
      <c r="I62" s="500">
        <v>40745.0</v>
      </c>
      <c r="J62" s="428">
        <v>7.0</v>
      </c>
      <c r="K62" s="638" t="s">
        <v>234</v>
      </c>
      <c r="L62" s="428" t="s">
        <v>254</v>
      </c>
      <c r="M62" s="657">
        <f t="shared" si="1"/>
        <v>652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419">
        <v>6211.0</v>
      </c>
      <c r="B63" s="420" t="s">
        <v>10707</v>
      </c>
      <c r="C63" s="420">
        <v>2009.0</v>
      </c>
      <c r="D63" s="497">
        <v>39877.0</v>
      </c>
      <c r="E63" s="420" t="s">
        <v>10708</v>
      </c>
      <c r="F63" s="420" t="s">
        <v>102</v>
      </c>
      <c r="G63" s="420" t="s">
        <v>650</v>
      </c>
      <c r="H63" s="420" t="s">
        <v>158</v>
      </c>
      <c r="I63" s="497">
        <v>40750.0</v>
      </c>
      <c r="J63" s="422">
        <v>7.0</v>
      </c>
      <c r="K63" s="637" t="s">
        <v>238</v>
      </c>
      <c r="L63" s="422" t="s">
        <v>258</v>
      </c>
      <c r="M63" s="658">
        <f t="shared" si="1"/>
        <v>873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425">
        <v>6311.0</v>
      </c>
      <c r="B64" s="426" t="s">
        <v>10709</v>
      </c>
      <c r="C64" s="426">
        <v>2010.0</v>
      </c>
      <c r="D64" s="500">
        <v>40210.0</v>
      </c>
      <c r="E64" s="426" t="s">
        <v>10710</v>
      </c>
      <c r="F64" s="426" t="s">
        <v>10711</v>
      </c>
      <c r="G64" s="426" t="s">
        <v>565</v>
      </c>
      <c r="H64" s="426" t="s">
        <v>7420</v>
      </c>
      <c r="I64" s="500">
        <v>40750.0</v>
      </c>
      <c r="J64" s="428">
        <v>7.0</v>
      </c>
      <c r="K64" s="636" t="s">
        <v>244</v>
      </c>
      <c r="L64" s="428" t="s">
        <v>260</v>
      </c>
      <c r="M64" s="657">
        <f t="shared" si="1"/>
        <v>540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44</v>
      </c>
      <c r="T64" s="366">
        <f>(S64/S76)</f>
        <v>0.301369863</v>
      </c>
      <c r="U64" s="198"/>
      <c r="V64" s="198"/>
      <c r="W64" s="198"/>
      <c r="X64" s="198"/>
      <c r="Y64" s="198"/>
      <c r="Z64" s="198"/>
    </row>
    <row r="65" ht="12.75" customHeight="1">
      <c r="A65" s="419">
        <v>6411.0</v>
      </c>
      <c r="B65" s="420" t="s">
        <v>10712</v>
      </c>
      <c r="C65" s="420">
        <v>2009.0</v>
      </c>
      <c r="D65" s="497">
        <v>39878.0</v>
      </c>
      <c r="E65" s="420" t="s">
        <v>10713</v>
      </c>
      <c r="F65" s="420" t="s">
        <v>102</v>
      </c>
      <c r="G65" s="420" t="s">
        <v>552</v>
      </c>
      <c r="H65" s="420" t="s">
        <v>158</v>
      </c>
      <c r="I65" s="497">
        <v>40750.0</v>
      </c>
      <c r="J65" s="422">
        <v>7.0</v>
      </c>
      <c r="K65" s="637" t="s">
        <v>238</v>
      </c>
      <c r="L65" s="422" t="s">
        <v>258</v>
      </c>
      <c r="M65" s="658">
        <f t="shared" si="1"/>
        <v>872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6511.0</v>
      </c>
      <c r="B66" s="426" t="s">
        <v>10714</v>
      </c>
      <c r="C66" s="426">
        <v>2010.0</v>
      </c>
      <c r="D66" s="500">
        <v>40309.0</v>
      </c>
      <c r="E66" s="426" t="s">
        <v>10715</v>
      </c>
      <c r="F66" s="426" t="s">
        <v>10716</v>
      </c>
      <c r="G66" s="426" t="s">
        <v>650</v>
      </c>
      <c r="H66" s="426" t="s">
        <v>633</v>
      </c>
      <c r="I66" s="500">
        <v>40750.0</v>
      </c>
      <c r="J66" s="428">
        <v>7.0</v>
      </c>
      <c r="K66" s="637" t="s">
        <v>238</v>
      </c>
      <c r="L66" s="428" t="s">
        <v>258</v>
      </c>
      <c r="M66" s="657">
        <f t="shared" si="1"/>
        <v>441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6611.0</v>
      </c>
      <c r="B67" s="420" t="s">
        <v>10717</v>
      </c>
      <c r="C67" s="420">
        <v>2008.0</v>
      </c>
      <c r="D67" s="497">
        <v>39805.0</v>
      </c>
      <c r="E67" s="420" t="s">
        <v>10718</v>
      </c>
      <c r="F67" s="420" t="s">
        <v>774</v>
      </c>
      <c r="G67" s="420" t="s">
        <v>17</v>
      </c>
      <c r="H67" s="420" t="s">
        <v>2964</v>
      </c>
      <c r="I67" s="497">
        <v>40753.0</v>
      </c>
      <c r="J67" s="422">
        <v>7.0</v>
      </c>
      <c r="K67" s="637" t="s">
        <v>238</v>
      </c>
      <c r="L67" s="422" t="s">
        <v>256</v>
      </c>
      <c r="M67" s="658">
        <f t="shared" si="1"/>
        <v>948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31</v>
      </c>
      <c r="T67" s="374">
        <f>(S67/S76)</f>
        <v>0.2123287671</v>
      </c>
      <c r="U67" s="198"/>
      <c r="V67" s="198"/>
      <c r="W67" s="198"/>
      <c r="X67" s="198"/>
      <c r="Y67" s="198"/>
      <c r="Z67" s="198"/>
    </row>
    <row r="68" ht="12.75" customHeight="1">
      <c r="A68" s="425">
        <v>6711.0</v>
      </c>
      <c r="B68" s="426" t="s">
        <v>10719</v>
      </c>
      <c r="C68" s="426">
        <v>2008.0</v>
      </c>
      <c r="D68" s="500">
        <v>39700.0</v>
      </c>
      <c r="E68" s="426" t="s">
        <v>10720</v>
      </c>
      <c r="F68" s="426" t="s">
        <v>10721</v>
      </c>
      <c r="G68" s="426" t="s">
        <v>17</v>
      </c>
      <c r="H68" s="426" t="s">
        <v>1501</v>
      </c>
      <c r="I68" s="500">
        <v>40763.0</v>
      </c>
      <c r="J68" s="428">
        <v>8.0</v>
      </c>
      <c r="K68" s="637" t="s">
        <v>238</v>
      </c>
      <c r="L68" s="428" t="s">
        <v>256</v>
      </c>
      <c r="M68" s="657">
        <f t="shared" si="1"/>
        <v>1063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419">
        <v>6811.0</v>
      </c>
      <c r="B69" s="420" t="s">
        <v>10722</v>
      </c>
      <c r="C69" s="420">
        <v>2008.0</v>
      </c>
      <c r="D69" s="497">
        <v>39771.0</v>
      </c>
      <c r="E69" s="420" t="s">
        <v>10723</v>
      </c>
      <c r="F69" s="420" t="s">
        <v>666</v>
      </c>
      <c r="G69" s="420" t="s">
        <v>17</v>
      </c>
      <c r="H69" s="420" t="s">
        <v>10628</v>
      </c>
      <c r="I69" s="497">
        <v>40763.0</v>
      </c>
      <c r="J69" s="422">
        <v>8.0</v>
      </c>
      <c r="K69" s="637" t="s">
        <v>238</v>
      </c>
      <c r="L69" s="422" t="s">
        <v>256</v>
      </c>
      <c r="M69" s="658">
        <f t="shared" si="1"/>
        <v>992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56</v>
      </c>
      <c r="T69" s="377">
        <f>(S69/S76)</f>
        <v>0.3835616438</v>
      </c>
      <c r="U69" s="198"/>
      <c r="V69" s="198"/>
      <c r="W69" s="198"/>
      <c r="X69" s="198"/>
      <c r="Y69" s="198"/>
      <c r="Z69" s="198"/>
    </row>
    <row r="70" ht="12.75" customHeight="1">
      <c r="A70" s="425">
        <v>6911.0</v>
      </c>
      <c r="B70" s="426" t="s">
        <v>10724</v>
      </c>
      <c r="C70" s="426">
        <v>2008.0</v>
      </c>
      <c r="D70" s="500">
        <v>39588.0</v>
      </c>
      <c r="E70" s="426" t="s">
        <v>10725</v>
      </c>
      <c r="F70" s="426" t="s">
        <v>4263</v>
      </c>
      <c r="G70" s="426" t="s">
        <v>552</v>
      </c>
      <c r="H70" s="426" t="s">
        <v>7403</v>
      </c>
      <c r="I70" s="500">
        <v>40773.0</v>
      </c>
      <c r="J70" s="428">
        <v>8.0</v>
      </c>
      <c r="K70" s="635" t="s">
        <v>228</v>
      </c>
      <c r="L70" s="428" t="s">
        <v>256</v>
      </c>
      <c r="M70" s="657">
        <f t="shared" si="1"/>
        <v>1185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7011.0</v>
      </c>
      <c r="B71" s="420" t="s">
        <v>10726</v>
      </c>
      <c r="C71" s="420">
        <v>2008.0</v>
      </c>
      <c r="D71" s="497">
        <v>39588.0</v>
      </c>
      <c r="E71" s="420" t="s">
        <v>10727</v>
      </c>
      <c r="F71" s="420" t="s">
        <v>4263</v>
      </c>
      <c r="G71" s="420" t="s">
        <v>552</v>
      </c>
      <c r="H71" s="420" t="s">
        <v>7403</v>
      </c>
      <c r="I71" s="497">
        <v>40773.0</v>
      </c>
      <c r="J71" s="422">
        <v>8.0</v>
      </c>
      <c r="K71" s="635" t="s">
        <v>228</v>
      </c>
      <c r="L71" s="422" t="s">
        <v>256</v>
      </c>
      <c r="M71" s="658">
        <f t="shared" si="1"/>
        <v>1185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7111.0</v>
      </c>
      <c r="B72" s="426" t="s">
        <v>10728</v>
      </c>
      <c r="C72" s="426">
        <v>2010.0</v>
      </c>
      <c r="D72" s="500">
        <v>40344.0</v>
      </c>
      <c r="E72" s="426" t="s">
        <v>10729</v>
      </c>
      <c r="F72" s="426" t="s">
        <v>1401</v>
      </c>
      <c r="G72" s="426" t="s">
        <v>552</v>
      </c>
      <c r="H72" s="426" t="s">
        <v>45</v>
      </c>
      <c r="I72" s="500">
        <v>40779.0</v>
      </c>
      <c r="J72" s="428">
        <v>8.0</v>
      </c>
      <c r="K72" s="637" t="s">
        <v>238</v>
      </c>
      <c r="L72" s="428" t="s">
        <v>258</v>
      </c>
      <c r="M72" s="657">
        <f t="shared" si="1"/>
        <v>435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10</v>
      </c>
      <c r="T72" s="380">
        <f>(S72/S76)</f>
        <v>0.06849315068</v>
      </c>
      <c r="U72" s="198"/>
      <c r="V72" s="198"/>
      <c r="W72" s="198"/>
      <c r="X72" s="198"/>
      <c r="Y72" s="198"/>
      <c r="Z72" s="198"/>
    </row>
    <row r="73" ht="12.75" customHeight="1">
      <c r="A73" s="419">
        <v>7211.0</v>
      </c>
      <c r="B73" s="420" t="s">
        <v>10730</v>
      </c>
      <c r="C73" s="420">
        <v>2008.0</v>
      </c>
      <c r="D73" s="497">
        <v>39750.0</v>
      </c>
      <c r="E73" s="420" t="s">
        <v>10731</v>
      </c>
      <c r="F73" s="420" t="s">
        <v>947</v>
      </c>
      <c r="G73" s="420" t="s">
        <v>17</v>
      </c>
      <c r="H73" s="420" t="s">
        <v>50</v>
      </c>
      <c r="I73" s="497">
        <v>40778.0</v>
      </c>
      <c r="J73" s="422">
        <v>8.0</v>
      </c>
      <c r="K73" s="637" t="s">
        <v>238</v>
      </c>
      <c r="L73" s="422" t="s">
        <v>258</v>
      </c>
      <c r="M73" s="658">
        <f t="shared" si="1"/>
        <v>1028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425">
        <v>7311.0</v>
      </c>
      <c r="B74" s="426" t="s">
        <v>10732</v>
      </c>
      <c r="C74" s="426">
        <v>2009.0</v>
      </c>
      <c r="D74" s="500">
        <v>39993.0</v>
      </c>
      <c r="E74" s="426" t="s">
        <v>10733</v>
      </c>
      <c r="F74" s="426" t="s">
        <v>963</v>
      </c>
      <c r="G74" s="426" t="s">
        <v>17</v>
      </c>
      <c r="H74" s="426" t="s">
        <v>8981</v>
      </c>
      <c r="I74" s="500">
        <v>40778.0</v>
      </c>
      <c r="J74" s="428">
        <v>8.0</v>
      </c>
      <c r="K74" s="635" t="s">
        <v>228</v>
      </c>
      <c r="L74" s="428" t="s">
        <v>258</v>
      </c>
      <c r="M74" s="657">
        <f t="shared" si="1"/>
        <v>785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5</v>
      </c>
      <c r="T74" s="380">
        <f>(S74/S76)</f>
        <v>0.03424657534</v>
      </c>
      <c r="U74" s="198"/>
      <c r="V74" s="198"/>
      <c r="W74" s="198"/>
      <c r="X74" s="198"/>
      <c r="Y74" s="198"/>
      <c r="Z74" s="198"/>
    </row>
    <row r="75" ht="12.75" customHeight="1">
      <c r="A75" s="419">
        <v>7411.0</v>
      </c>
      <c r="B75" s="420" t="s">
        <v>10734</v>
      </c>
      <c r="C75" s="420">
        <v>2011.0</v>
      </c>
      <c r="D75" s="497">
        <v>40602.0</v>
      </c>
      <c r="E75" s="420" t="s">
        <v>10735</v>
      </c>
      <c r="F75" s="420" t="s">
        <v>963</v>
      </c>
      <c r="G75" s="420" t="s">
        <v>17</v>
      </c>
      <c r="H75" s="420" t="s">
        <v>7403</v>
      </c>
      <c r="I75" s="497">
        <v>40779.0</v>
      </c>
      <c r="J75" s="422">
        <v>8.0</v>
      </c>
      <c r="K75" s="635" t="s">
        <v>228</v>
      </c>
      <c r="L75" s="422" t="s">
        <v>258</v>
      </c>
      <c r="M75" s="658">
        <f t="shared" si="1"/>
        <v>177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7511.0</v>
      </c>
      <c r="B76" s="426" t="s">
        <v>10736</v>
      </c>
      <c r="C76" s="426">
        <v>2009.0</v>
      </c>
      <c r="D76" s="500">
        <v>39933.0</v>
      </c>
      <c r="E76" s="426" t="s">
        <v>10737</v>
      </c>
      <c r="F76" s="426" t="s">
        <v>563</v>
      </c>
      <c r="G76" s="426" t="s">
        <v>17</v>
      </c>
      <c r="H76" s="426" t="s">
        <v>8845</v>
      </c>
      <c r="I76" s="500">
        <v>40779.0</v>
      </c>
      <c r="J76" s="428">
        <v>8.0</v>
      </c>
      <c r="K76" s="638" t="s">
        <v>234</v>
      </c>
      <c r="L76" s="428" t="s">
        <v>256</v>
      </c>
      <c r="M76" s="657">
        <f t="shared" si="1"/>
        <v>846</v>
      </c>
      <c r="N76" s="198"/>
      <c r="O76" s="386" t="s">
        <v>219</v>
      </c>
      <c r="P76" s="332"/>
      <c r="Q76" s="332"/>
      <c r="R76" s="387"/>
      <c r="S76" s="388">
        <f>SUM(S64:S75)</f>
        <v>146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7611.0</v>
      </c>
      <c r="B77" s="420" t="s">
        <v>10738</v>
      </c>
      <c r="C77" s="420">
        <v>2011.0</v>
      </c>
      <c r="D77" s="497">
        <v>40647.0</v>
      </c>
      <c r="E77" s="420" t="s">
        <v>10739</v>
      </c>
      <c r="F77" s="420" t="s">
        <v>963</v>
      </c>
      <c r="G77" s="420" t="s">
        <v>17</v>
      </c>
      <c r="H77" s="420" t="s">
        <v>583</v>
      </c>
      <c r="I77" s="497">
        <v>40776.0</v>
      </c>
      <c r="J77" s="422">
        <v>8.0</v>
      </c>
      <c r="K77" s="635" t="s">
        <v>228</v>
      </c>
      <c r="L77" s="422" t="s">
        <v>258</v>
      </c>
      <c r="M77" s="658">
        <f t="shared" si="1"/>
        <v>129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7711.0</v>
      </c>
      <c r="B78" s="426" t="s">
        <v>10740</v>
      </c>
      <c r="C78" s="426">
        <v>2008.0</v>
      </c>
      <c r="D78" s="500">
        <v>39813.0</v>
      </c>
      <c r="E78" s="426" t="s">
        <v>10741</v>
      </c>
      <c r="F78" s="426" t="s">
        <v>1843</v>
      </c>
      <c r="G78" s="426" t="s">
        <v>17</v>
      </c>
      <c r="H78" s="426" t="s">
        <v>10628</v>
      </c>
      <c r="I78" s="500">
        <v>40781.0</v>
      </c>
      <c r="J78" s="428">
        <v>8.0</v>
      </c>
      <c r="K78" s="637" t="s">
        <v>238</v>
      </c>
      <c r="L78" s="428" t="s">
        <v>260</v>
      </c>
      <c r="M78" s="657">
        <f t="shared" si="1"/>
        <v>968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419">
        <v>7811.0</v>
      </c>
      <c r="B79" s="420" t="s">
        <v>10742</v>
      </c>
      <c r="C79" s="420">
        <v>2009.0</v>
      </c>
      <c r="D79" s="497">
        <v>39902.0</v>
      </c>
      <c r="E79" s="420" t="s">
        <v>10743</v>
      </c>
      <c r="F79" s="420" t="s">
        <v>4572</v>
      </c>
      <c r="G79" s="420" t="s">
        <v>17</v>
      </c>
      <c r="H79" s="420" t="s">
        <v>10628</v>
      </c>
      <c r="I79" s="497">
        <v>40779.0</v>
      </c>
      <c r="J79" s="422">
        <v>8.0</v>
      </c>
      <c r="K79" s="637" t="s">
        <v>238</v>
      </c>
      <c r="L79" s="422" t="s">
        <v>258</v>
      </c>
      <c r="M79" s="658">
        <f t="shared" si="1"/>
        <v>877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7911.0</v>
      </c>
      <c r="B80" s="426" t="s">
        <v>10744</v>
      </c>
      <c r="C80" s="426">
        <v>2008.0</v>
      </c>
      <c r="D80" s="500">
        <v>39644.0</v>
      </c>
      <c r="E80" s="426" t="s">
        <v>10745</v>
      </c>
      <c r="F80" s="426" t="s">
        <v>715</v>
      </c>
      <c r="G80" s="426" t="s">
        <v>17</v>
      </c>
      <c r="H80" s="426" t="s">
        <v>163</v>
      </c>
      <c r="I80" s="500">
        <v>40780.0</v>
      </c>
      <c r="J80" s="428">
        <v>8.0</v>
      </c>
      <c r="K80" s="635" t="s">
        <v>228</v>
      </c>
      <c r="L80" s="428" t="s">
        <v>258</v>
      </c>
      <c r="M80" s="657">
        <f t="shared" si="1"/>
        <v>1136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8011.0</v>
      </c>
      <c r="B81" s="420" t="s">
        <v>10746</v>
      </c>
      <c r="C81" s="420">
        <v>2009.0</v>
      </c>
      <c r="D81" s="497">
        <v>39933.0</v>
      </c>
      <c r="E81" s="420" t="s">
        <v>10747</v>
      </c>
      <c r="F81" s="420" t="s">
        <v>1464</v>
      </c>
      <c r="G81" s="420" t="s">
        <v>17</v>
      </c>
      <c r="H81" s="420" t="s">
        <v>56</v>
      </c>
      <c r="I81" s="497">
        <v>40779.0</v>
      </c>
      <c r="J81" s="422">
        <v>8.0</v>
      </c>
      <c r="K81" s="637" t="s">
        <v>238</v>
      </c>
      <c r="L81" s="422" t="s">
        <v>256</v>
      </c>
      <c r="M81" s="658">
        <f t="shared" si="1"/>
        <v>846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6</v>
      </c>
      <c r="T81" s="395">
        <f>(S81/S85)</f>
        <v>0.04109589041</v>
      </c>
      <c r="U81" s="198"/>
      <c r="V81" s="198"/>
      <c r="W81" s="198"/>
      <c r="X81" s="198"/>
      <c r="Y81" s="198"/>
      <c r="Z81" s="198"/>
    </row>
    <row r="82" ht="13.5" customHeight="1">
      <c r="A82" s="425">
        <v>8111.0</v>
      </c>
      <c r="B82" s="426" t="s">
        <v>10748</v>
      </c>
      <c r="C82" s="426">
        <v>2009.0</v>
      </c>
      <c r="D82" s="500">
        <v>39847.0</v>
      </c>
      <c r="E82" s="426" t="s">
        <v>10749</v>
      </c>
      <c r="F82" s="426" t="s">
        <v>900</v>
      </c>
      <c r="G82" s="426" t="s">
        <v>552</v>
      </c>
      <c r="H82" s="426" t="s">
        <v>9672</v>
      </c>
      <c r="I82" s="500">
        <v>40786.0</v>
      </c>
      <c r="J82" s="428">
        <v>8.0</v>
      </c>
      <c r="K82" s="635" t="s">
        <v>228</v>
      </c>
      <c r="L82" s="428" t="s">
        <v>258</v>
      </c>
      <c r="M82" s="657">
        <f t="shared" si="1"/>
        <v>939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67</v>
      </c>
      <c r="T82" s="398">
        <f>(S82/S85)</f>
        <v>0.4589041096</v>
      </c>
      <c r="U82" s="198"/>
      <c r="V82" s="198"/>
      <c r="W82" s="198"/>
      <c r="X82" s="198"/>
      <c r="Y82" s="198"/>
      <c r="Z82" s="198"/>
    </row>
    <row r="83" ht="13.5" customHeight="1">
      <c r="A83" s="419">
        <v>8211.0</v>
      </c>
      <c r="B83" s="420" t="s">
        <v>10750</v>
      </c>
      <c r="C83" s="420">
        <v>2005.0</v>
      </c>
      <c r="D83" s="497">
        <v>38415.0</v>
      </c>
      <c r="E83" s="420" t="s">
        <v>10751</v>
      </c>
      <c r="F83" s="420" t="s">
        <v>666</v>
      </c>
      <c r="G83" s="420" t="s">
        <v>650</v>
      </c>
      <c r="H83" s="420" t="s">
        <v>705</v>
      </c>
      <c r="I83" s="497">
        <v>40786.0</v>
      </c>
      <c r="J83" s="422">
        <v>8.0</v>
      </c>
      <c r="K83" s="637" t="s">
        <v>238</v>
      </c>
      <c r="L83" s="422" t="s">
        <v>258</v>
      </c>
      <c r="M83" s="658">
        <f t="shared" si="1"/>
        <v>2371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56</v>
      </c>
      <c r="T83" s="395">
        <f>(S83/S85)</f>
        <v>0.3835616438</v>
      </c>
      <c r="U83" s="198"/>
      <c r="V83" s="198"/>
      <c r="W83" s="198"/>
      <c r="X83" s="198"/>
      <c r="Y83" s="198"/>
      <c r="Z83" s="198"/>
    </row>
    <row r="84" ht="14.25" customHeight="1">
      <c r="A84" s="425">
        <v>8311.0</v>
      </c>
      <c r="B84" s="426" t="s">
        <v>10752</v>
      </c>
      <c r="C84" s="426">
        <v>2007.0</v>
      </c>
      <c r="D84" s="500">
        <v>39413.0</v>
      </c>
      <c r="E84" s="426" t="s">
        <v>10753</v>
      </c>
      <c r="F84" s="426" t="s">
        <v>719</v>
      </c>
      <c r="G84" s="426" t="s">
        <v>552</v>
      </c>
      <c r="H84" s="426" t="s">
        <v>3519</v>
      </c>
      <c r="I84" s="500">
        <v>40787.0</v>
      </c>
      <c r="J84" s="428">
        <v>9.0</v>
      </c>
      <c r="K84" s="635" t="s">
        <v>228</v>
      </c>
      <c r="L84" s="428" t="s">
        <v>256</v>
      </c>
      <c r="M84" s="657">
        <f t="shared" si="1"/>
        <v>1374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17</v>
      </c>
      <c r="T84" s="398">
        <f>(S84/S85)</f>
        <v>0.1164383562</v>
      </c>
      <c r="U84" s="198"/>
      <c r="V84" s="198"/>
      <c r="W84" s="198"/>
      <c r="X84" s="198"/>
      <c r="Y84" s="198"/>
      <c r="Z84" s="198"/>
    </row>
    <row r="85" ht="12.75" customHeight="1">
      <c r="A85" s="419">
        <v>8411.0</v>
      </c>
      <c r="B85" s="420" t="s">
        <v>10754</v>
      </c>
      <c r="C85" s="420">
        <v>2009.0</v>
      </c>
      <c r="D85" s="497">
        <v>39884.0</v>
      </c>
      <c r="E85" s="420" t="s">
        <v>10755</v>
      </c>
      <c r="F85" s="420" t="s">
        <v>1108</v>
      </c>
      <c r="G85" s="420" t="s">
        <v>17</v>
      </c>
      <c r="H85" s="420" t="s">
        <v>66</v>
      </c>
      <c r="I85" s="497">
        <v>40787.0</v>
      </c>
      <c r="J85" s="422">
        <v>9.0</v>
      </c>
      <c r="K85" s="637" t="s">
        <v>238</v>
      </c>
      <c r="L85" s="422" t="s">
        <v>256</v>
      </c>
      <c r="M85" s="658">
        <f t="shared" si="1"/>
        <v>903</v>
      </c>
      <c r="N85" s="198"/>
      <c r="O85" s="358" t="s">
        <v>219</v>
      </c>
      <c r="P85" s="359"/>
      <c r="Q85" s="359"/>
      <c r="R85" s="360"/>
      <c r="S85" s="388">
        <f>SUM(S81:S84)</f>
        <v>146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425">
        <v>8511.0</v>
      </c>
      <c r="B86" s="426" t="s">
        <v>10756</v>
      </c>
      <c r="C86" s="426">
        <v>2007.0</v>
      </c>
      <c r="D86" s="500">
        <v>39353.0</v>
      </c>
      <c r="E86" s="426" t="s">
        <v>10757</v>
      </c>
      <c r="F86" s="426" t="s">
        <v>10758</v>
      </c>
      <c r="G86" s="426" t="s">
        <v>552</v>
      </c>
      <c r="H86" s="426" t="s">
        <v>9672</v>
      </c>
      <c r="I86" s="500">
        <v>40802.0</v>
      </c>
      <c r="J86" s="428">
        <v>9.0</v>
      </c>
      <c r="K86" s="637" t="s">
        <v>238</v>
      </c>
      <c r="L86" s="428" t="s">
        <v>256</v>
      </c>
      <c r="M86" s="657">
        <f t="shared" si="1"/>
        <v>1449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4.25" customHeight="1">
      <c r="A87" s="419">
        <v>8611.0</v>
      </c>
      <c r="B87" s="420" t="s">
        <v>10759</v>
      </c>
      <c r="C87" s="420">
        <v>2009.0</v>
      </c>
      <c r="D87" s="497">
        <v>40177.0</v>
      </c>
      <c r="E87" s="420" t="s">
        <v>10760</v>
      </c>
      <c r="F87" s="623" t="s">
        <v>3761</v>
      </c>
      <c r="G87" s="420" t="s">
        <v>565</v>
      </c>
      <c r="H87" s="420" t="s">
        <v>6534</v>
      </c>
      <c r="I87" s="497">
        <v>40798.0</v>
      </c>
      <c r="J87" s="422">
        <v>9.0</v>
      </c>
      <c r="K87" s="637" t="s">
        <v>238</v>
      </c>
      <c r="L87" s="422" t="s">
        <v>260</v>
      </c>
      <c r="M87" s="658">
        <f t="shared" si="1"/>
        <v>621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425">
        <v>8711.0</v>
      </c>
      <c r="B88" s="426" t="s">
        <v>10761</v>
      </c>
      <c r="C88" s="426">
        <v>2006.0</v>
      </c>
      <c r="D88" s="500">
        <v>39021.0</v>
      </c>
      <c r="E88" s="426" t="s">
        <v>10762</v>
      </c>
      <c r="F88" s="426" t="s">
        <v>2453</v>
      </c>
      <c r="G88" s="426" t="s">
        <v>650</v>
      </c>
      <c r="H88" s="426" t="s">
        <v>1002</v>
      </c>
      <c r="I88" s="500">
        <v>40802.0</v>
      </c>
      <c r="J88" s="428">
        <v>9.0</v>
      </c>
      <c r="K88" s="635" t="s">
        <v>228</v>
      </c>
      <c r="L88" s="428" t="s">
        <v>258</v>
      </c>
      <c r="M88" s="657">
        <f t="shared" si="1"/>
        <v>1781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419">
        <v>8811.0</v>
      </c>
      <c r="B89" s="420" t="s">
        <v>10763</v>
      </c>
      <c r="C89" s="420">
        <v>2008.0</v>
      </c>
      <c r="D89" s="497">
        <v>39808.0</v>
      </c>
      <c r="E89" s="420" t="s">
        <v>10764</v>
      </c>
      <c r="F89" s="420" t="s">
        <v>6747</v>
      </c>
      <c r="G89" s="420" t="s">
        <v>552</v>
      </c>
      <c r="H89" s="420" t="s">
        <v>8845</v>
      </c>
      <c r="I89" s="497">
        <v>40802.0</v>
      </c>
      <c r="J89" s="422">
        <v>9.0</v>
      </c>
      <c r="K89" s="635" t="s">
        <v>228</v>
      </c>
      <c r="L89" s="422" t="s">
        <v>256</v>
      </c>
      <c r="M89" s="658">
        <f t="shared" si="1"/>
        <v>994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425">
        <v>8911.0</v>
      </c>
      <c r="B90" s="426" t="s">
        <v>10765</v>
      </c>
      <c r="C90" s="426">
        <v>2009.0</v>
      </c>
      <c r="D90" s="500">
        <v>39843.0</v>
      </c>
      <c r="E90" s="426" t="s">
        <v>10766</v>
      </c>
      <c r="F90" s="426" t="s">
        <v>963</v>
      </c>
      <c r="G90" s="426" t="s">
        <v>17</v>
      </c>
      <c r="H90" s="426" t="s">
        <v>5016</v>
      </c>
      <c r="I90" s="500">
        <v>40802.0</v>
      </c>
      <c r="J90" s="428">
        <v>9.0</v>
      </c>
      <c r="K90" s="635" t="s">
        <v>228</v>
      </c>
      <c r="L90" s="428" t="s">
        <v>258</v>
      </c>
      <c r="M90" s="657">
        <f t="shared" si="1"/>
        <v>959</v>
      </c>
      <c r="N90" s="198"/>
      <c r="O90" s="412" t="s">
        <v>270</v>
      </c>
      <c r="P90" s="413" t="str">
        <f>AVERAGEIF(G2:G476,"PT",M2:M476)</f>
        <v>#DIV/0!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9011.0</v>
      </c>
      <c r="B91" s="420" t="s">
        <v>10767</v>
      </c>
      <c r="C91" s="420">
        <v>2009.0</v>
      </c>
      <c r="D91" s="497">
        <v>40168.0</v>
      </c>
      <c r="E91" s="420" t="s">
        <v>10768</v>
      </c>
      <c r="F91" s="420" t="s">
        <v>7186</v>
      </c>
      <c r="G91" s="420" t="s">
        <v>650</v>
      </c>
      <c r="H91" s="420" t="s">
        <v>633</v>
      </c>
      <c r="I91" s="497">
        <v>40802.0</v>
      </c>
      <c r="J91" s="422">
        <v>9.0</v>
      </c>
      <c r="K91" s="636" t="s">
        <v>244</v>
      </c>
      <c r="L91" s="422" t="s">
        <v>258</v>
      </c>
      <c r="M91" s="658">
        <f t="shared" si="1"/>
        <v>634</v>
      </c>
      <c r="N91" s="198"/>
      <c r="O91" s="414" t="s">
        <v>34</v>
      </c>
      <c r="P91" s="415">
        <f>AVERAGEIF(G2:G477,"PTN",M2:M477)</f>
        <v>1680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9111.0</v>
      </c>
      <c r="B92" s="426" t="s">
        <v>10769</v>
      </c>
      <c r="C92" s="426">
        <v>2008.0</v>
      </c>
      <c r="D92" s="500">
        <v>39580.0</v>
      </c>
      <c r="E92" s="426" t="s">
        <v>10770</v>
      </c>
      <c r="F92" s="426" t="s">
        <v>10771</v>
      </c>
      <c r="G92" s="426" t="s">
        <v>650</v>
      </c>
      <c r="H92" s="426" t="s">
        <v>158</v>
      </c>
      <c r="I92" s="500">
        <v>40807.0</v>
      </c>
      <c r="J92" s="428">
        <v>9.0</v>
      </c>
      <c r="K92" s="637" t="s">
        <v>238</v>
      </c>
      <c r="L92" s="428" t="s">
        <v>256</v>
      </c>
      <c r="M92" s="657">
        <f t="shared" si="1"/>
        <v>1227</v>
      </c>
      <c r="N92" s="198"/>
      <c r="O92" s="412" t="s">
        <v>17</v>
      </c>
      <c r="P92" s="413">
        <f>AVERAGEIF(G2:G476,"PTE",M2:M476)</f>
        <v>927.75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5.0" customHeight="1">
      <c r="A93" s="419">
        <v>9211.0</v>
      </c>
      <c r="B93" s="420" t="s">
        <v>10772</v>
      </c>
      <c r="C93" s="420">
        <v>2011.0</v>
      </c>
      <c r="D93" s="497">
        <v>40744.0</v>
      </c>
      <c r="E93" s="420" t="s">
        <v>10773</v>
      </c>
      <c r="F93" s="623" t="s">
        <v>5332</v>
      </c>
      <c r="G93" s="420" t="s">
        <v>569</v>
      </c>
      <c r="H93" s="420" t="s">
        <v>10774</v>
      </c>
      <c r="I93" s="497">
        <v>40807.0</v>
      </c>
      <c r="J93" s="422">
        <v>9.0</v>
      </c>
      <c r="K93" s="636" t="s">
        <v>850</v>
      </c>
      <c r="L93" s="422" t="s">
        <v>260</v>
      </c>
      <c r="M93" s="658">
        <f t="shared" si="1"/>
        <v>63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9311.0</v>
      </c>
      <c r="B94" s="426" t="s">
        <v>10775</v>
      </c>
      <c r="C94" s="426">
        <v>2009.0</v>
      </c>
      <c r="D94" s="500">
        <v>40093.0</v>
      </c>
      <c r="E94" s="426" t="s">
        <v>10776</v>
      </c>
      <c r="F94" s="426" t="s">
        <v>1968</v>
      </c>
      <c r="G94" s="426" t="s">
        <v>650</v>
      </c>
      <c r="H94" s="426" t="s">
        <v>633</v>
      </c>
      <c r="I94" s="500">
        <v>40807.0</v>
      </c>
      <c r="J94" s="428">
        <v>9.0</v>
      </c>
      <c r="K94" s="638" t="s">
        <v>234</v>
      </c>
      <c r="L94" s="428" t="s">
        <v>254</v>
      </c>
      <c r="M94" s="657">
        <f t="shared" si="1"/>
        <v>714</v>
      </c>
      <c r="N94" s="198"/>
      <c r="O94" s="412" t="s">
        <v>650</v>
      </c>
      <c r="P94" s="413">
        <f>AVERAGEIF(G2:G476,"PF",M2:M476)</f>
        <v>1254.84375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9411.0</v>
      </c>
      <c r="B95" s="420" t="s">
        <v>10777</v>
      </c>
      <c r="C95" s="420">
        <v>2008.0</v>
      </c>
      <c r="D95" s="497">
        <v>39758.0</v>
      </c>
      <c r="E95" s="420" t="s">
        <v>10778</v>
      </c>
      <c r="F95" s="420" t="s">
        <v>9763</v>
      </c>
      <c r="G95" s="420" t="s">
        <v>650</v>
      </c>
      <c r="H95" s="420" t="s">
        <v>601</v>
      </c>
      <c r="I95" s="497">
        <v>40808.0</v>
      </c>
      <c r="J95" s="422">
        <v>9.0</v>
      </c>
      <c r="K95" s="637" t="s">
        <v>238</v>
      </c>
      <c r="L95" s="422" t="s">
        <v>256</v>
      </c>
      <c r="M95" s="658">
        <f t="shared" si="1"/>
        <v>1050</v>
      </c>
      <c r="N95" s="198"/>
      <c r="O95" s="414" t="s">
        <v>547</v>
      </c>
      <c r="P95" s="415">
        <f>AVERAGEIF(G2:G476,"PFN",M2:M476)</f>
        <v>1683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9511.0</v>
      </c>
      <c r="B96" s="426" t="s">
        <v>10779</v>
      </c>
      <c r="C96" s="426">
        <v>2008.0</v>
      </c>
      <c r="D96" s="500">
        <v>39647.0</v>
      </c>
      <c r="E96" s="426" t="s">
        <v>10780</v>
      </c>
      <c r="F96" s="426" t="s">
        <v>7186</v>
      </c>
      <c r="G96" s="426" t="s">
        <v>17</v>
      </c>
      <c r="H96" s="426" t="s">
        <v>163</v>
      </c>
      <c r="I96" s="500">
        <v>40808.0</v>
      </c>
      <c r="J96" s="428">
        <v>9.0</v>
      </c>
      <c r="K96" s="637" t="s">
        <v>238</v>
      </c>
      <c r="L96" s="428" t="s">
        <v>258</v>
      </c>
      <c r="M96" s="657">
        <f t="shared" si="1"/>
        <v>1161</v>
      </c>
      <c r="N96" s="198"/>
      <c r="O96" s="412" t="s">
        <v>552</v>
      </c>
      <c r="P96" s="413">
        <f>AVERAGEIF(G2:G476,"PF/PTE",M2:M476)</f>
        <v>976.3888889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9611.0</v>
      </c>
      <c r="B97" s="420" t="s">
        <v>10781</v>
      </c>
      <c r="C97" s="420">
        <v>2010.0</v>
      </c>
      <c r="D97" s="497">
        <v>40533.0</v>
      </c>
      <c r="E97" s="420" t="s">
        <v>10782</v>
      </c>
      <c r="F97" s="623" t="s">
        <v>10783</v>
      </c>
      <c r="G97" s="420" t="s">
        <v>565</v>
      </c>
      <c r="H97" s="420" t="s">
        <v>3523</v>
      </c>
      <c r="I97" s="497">
        <v>40809.0</v>
      </c>
      <c r="J97" s="422">
        <v>9.0</v>
      </c>
      <c r="K97" s="636" t="s">
        <v>850</v>
      </c>
      <c r="L97" s="422" t="s">
        <v>260</v>
      </c>
      <c r="M97" s="658">
        <f t="shared" si="1"/>
        <v>276</v>
      </c>
      <c r="N97" s="198"/>
      <c r="O97" s="414" t="s">
        <v>565</v>
      </c>
      <c r="P97" s="415">
        <f>AVERAGEIF(G2:G476,"Bio",M2:M476)</f>
        <v>765.3846154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9711.0</v>
      </c>
      <c r="B98" s="426" t="s">
        <v>10784</v>
      </c>
      <c r="C98" s="426">
        <v>2008.0</v>
      </c>
      <c r="D98" s="500">
        <v>39701.0</v>
      </c>
      <c r="E98" s="426" t="s">
        <v>10785</v>
      </c>
      <c r="F98" s="426" t="s">
        <v>25</v>
      </c>
      <c r="G98" s="426" t="s">
        <v>552</v>
      </c>
      <c r="H98" s="426" t="s">
        <v>9536</v>
      </c>
      <c r="I98" s="500">
        <v>40812.0</v>
      </c>
      <c r="J98" s="428">
        <v>9.0</v>
      </c>
      <c r="K98" s="635" t="s">
        <v>228</v>
      </c>
      <c r="L98" s="428" t="s">
        <v>256</v>
      </c>
      <c r="M98" s="657">
        <f t="shared" si="1"/>
        <v>1111</v>
      </c>
      <c r="N98" s="198"/>
      <c r="O98" s="412" t="s">
        <v>569</v>
      </c>
      <c r="P98" s="413">
        <f>AVERAGEIF(G2:G476,"Bio/Org",M2:M476)</f>
        <v>99.66666667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9811.0</v>
      </c>
      <c r="B99" s="420" t="s">
        <v>10786</v>
      </c>
      <c r="C99" s="420">
        <v>2009.0</v>
      </c>
      <c r="D99" s="497">
        <v>40147.0</v>
      </c>
      <c r="E99" s="420" t="s">
        <v>10787</v>
      </c>
      <c r="F99" s="420" t="s">
        <v>171</v>
      </c>
      <c r="G99" s="420" t="s">
        <v>17</v>
      </c>
      <c r="H99" s="420" t="s">
        <v>596</v>
      </c>
      <c r="I99" s="497">
        <v>40814.0</v>
      </c>
      <c r="J99" s="422">
        <v>9.0</v>
      </c>
      <c r="K99" s="637" t="s">
        <v>238</v>
      </c>
      <c r="L99" s="422" t="s">
        <v>256</v>
      </c>
      <c r="M99" s="658">
        <f t="shared" si="1"/>
        <v>667</v>
      </c>
      <c r="N99" s="198"/>
      <c r="O99" s="416" t="s">
        <v>275</v>
      </c>
      <c r="P99" s="417">
        <f>AVERAGE(M2:M494)</f>
        <v>990.2876712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9911.0</v>
      </c>
      <c r="B100" s="426" t="s">
        <v>10788</v>
      </c>
      <c r="C100" s="426">
        <v>2008.0</v>
      </c>
      <c r="D100" s="500">
        <v>39813.0</v>
      </c>
      <c r="E100" s="426" t="s">
        <v>10789</v>
      </c>
      <c r="F100" s="426" t="s">
        <v>7068</v>
      </c>
      <c r="G100" s="426" t="s">
        <v>650</v>
      </c>
      <c r="H100" s="426" t="s">
        <v>2964</v>
      </c>
      <c r="I100" s="500">
        <v>40814.0</v>
      </c>
      <c r="J100" s="428">
        <v>9.0</v>
      </c>
      <c r="K100" s="635" t="s">
        <v>228</v>
      </c>
      <c r="L100" s="428" t="s">
        <v>256</v>
      </c>
      <c r="M100" s="657">
        <f t="shared" si="1"/>
        <v>1001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10011.0</v>
      </c>
      <c r="B101" s="420" t="s">
        <v>10790</v>
      </c>
      <c r="C101" s="420">
        <v>2009.0</v>
      </c>
      <c r="D101" s="497">
        <v>39905.0</v>
      </c>
      <c r="E101" s="420" t="s">
        <v>10791</v>
      </c>
      <c r="F101" s="420" t="s">
        <v>65</v>
      </c>
      <c r="G101" s="420" t="s">
        <v>650</v>
      </c>
      <c r="H101" s="420" t="s">
        <v>158</v>
      </c>
      <c r="I101" s="497">
        <v>40814.0</v>
      </c>
      <c r="J101" s="422">
        <v>9.0</v>
      </c>
      <c r="K101" s="637" t="s">
        <v>238</v>
      </c>
      <c r="L101" s="422" t="s">
        <v>256</v>
      </c>
      <c r="M101" s="658">
        <f t="shared" si="1"/>
        <v>909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10111.0</v>
      </c>
      <c r="B102" s="426" t="s">
        <v>10792</v>
      </c>
      <c r="C102" s="426">
        <v>2008.0</v>
      </c>
      <c r="D102" s="500">
        <v>39771.0</v>
      </c>
      <c r="E102" s="426" t="s">
        <v>10793</v>
      </c>
      <c r="F102" s="426" t="s">
        <v>10794</v>
      </c>
      <c r="G102" s="426" t="s">
        <v>17</v>
      </c>
      <c r="H102" s="426" t="s">
        <v>929</v>
      </c>
      <c r="I102" s="500">
        <v>40815.0</v>
      </c>
      <c r="J102" s="428">
        <v>9.0</v>
      </c>
      <c r="K102" s="637" t="s">
        <v>238</v>
      </c>
      <c r="L102" s="428" t="s">
        <v>256</v>
      </c>
      <c r="M102" s="657">
        <f t="shared" si="1"/>
        <v>1044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10211.0</v>
      </c>
      <c r="B103" s="420" t="s">
        <v>10795</v>
      </c>
      <c r="C103" s="420">
        <v>2009.0</v>
      </c>
      <c r="D103" s="497">
        <v>39959.0</v>
      </c>
      <c r="E103" s="420" t="s">
        <v>10796</v>
      </c>
      <c r="F103" s="420" t="s">
        <v>171</v>
      </c>
      <c r="G103" s="420" t="s">
        <v>17</v>
      </c>
      <c r="H103" s="420" t="s">
        <v>8845</v>
      </c>
      <c r="I103" s="497">
        <v>40816.0</v>
      </c>
      <c r="J103" s="422">
        <v>9.0</v>
      </c>
      <c r="K103" s="637" t="s">
        <v>238</v>
      </c>
      <c r="L103" s="422" t="s">
        <v>256</v>
      </c>
      <c r="M103" s="658">
        <f t="shared" si="1"/>
        <v>857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10311.0</v>
      </c>
      <c r="B104" s="426" t="s">
        <v>10797</v>
      </c>
      <c r="C104" s="426">
        <v>2009.0</v>
      </c>
      <c r="D104" s="500">
        <v>40149.0</v>
      </c>
      <c r="E104" s="426" t="s">
        <v>10798</v>
      </c>
      <c r="F104" s="426" t="s">
        <v>563</v>
      </c>
      <c r="G104" s="426" t="s">
        <v>17</v>
      </c>
      <c r="H104" s="426" t="s">
        <v>8160</v>
      </c>
      <c r="I104" s="500">
        <v>40816.0</v>
      </c>
      <c r="J104" s="428">
        <v>9.0</v>
      </c>
      <c r="K104" s="638" t="s">
        <v>234</v>
      </c>
      <c r="L104" s="428" t="s">
        <v>256</v>
      </c>
      <c r="M104" s="657">
        <f t="shared" si="1"/>
        <v>667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10411.0</v>
      </c>
      <c r="B105" s="420" t="s">
        <v>10799</v>
      </c>
      <c r="C105" s="420">
        <v>2009.0</v>
      </c>
      <c r="D105" s="497">
        <v>40150.0</v>
      </c>
      <c r="E105" s="420" t="s">
        <v>10800</v>
      </c>
      <c r="F105" s="420" t="s">
        <v>10801</v>
      </c>
      <c r="G105" s="420" t="s">
        <v>650</v>
      </c>
      <c r="H105" s="420" t="s">
        <v>7777</v>
      </c>
      <c r="I105" s="497">
        <v>40819.0</v>
      </c>
      <c r="J105" s="422">
        <v>10.0</v>
      </c>
      <c r="K105" s="637" t="s">
        <v>238</v>
      </c>
      <c r="L105" s="422" t="s">
        <v>258</v>
      </c>
      <c r="M105" s="658">
        <f t="shared" si="1"/>
        <v>669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10511.0</v>
      </c>
      <c r="B106" s="426" t="s">
        <v>10802</v>
      </c>
      <c r="C106" s="426">
        <v>2009.0</v>
      </c>
      <c r="D106" s="500">
        <v>40070.0</v>
      </c>
      <c r="E106" s="426" t="s">
        <v>10803</v>
      </c>
      <c r="F106" s="426" t="s">
        <v>1926</v>
      </c>
      <c r="G106" s="426" t="s">
        <v>552</v>
      </c>
      <c r="H106" s="426" t="s">
        <v>45</v>
      </c>
      <c r="I106" s="500">
        <v>40823.0</v>
      </c>
      <c r="J106" s="428">
        <v>10.0</v>
      </c>
      <c r="K106" s="635" t="s">
        <v>228</v>
      </c>
      <c r="L106" s="428" t="s">
        <v>256</v>
      </c>
      <c r="M106" s="657">
        <f t="shared" si="1"/>
        <v>753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10611.0</v>
      </c>
      <c r="B107" s="420" t="s">
        <v>10804</v>
      </c>
      <c r="C107" s="420">
        <v>2009.0</v>
      </c>
      <c r="D107" s="497">
        <v>40087.0</v>
      </c>
      <c r="E107" s="420" t="s">
        <v>10805</v>
      </c>
      <c r="F107" s="420" t="s">
        <v>1926</v>
      </c>
      <c r="G107" s="420" t="s">
        <v>552</v>
      </c>
      <c r="H107" s="420" t="s">
        <v>45</v>
      </c>
      <c r="I107" s="497">
        <v>40823.0</v>
      </c>
      <c r="J107" s="422">
        <v>10.0</v>
      </c>
      <c r="K107" s="635" t="s">
        <v>228</v>
      </c>
      <c r="L107" s="422" t="s">
        <v>256</v>
      </c>
      <c r="M107" s="658">
        <f t="shared" si="1"/>
        <v>736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10711.0</v>
      </c>
      <c r="B108" s="426" t="s">
        <v>10806</v>
      </c>
      <c r="C108" s="426">
        <v>2010.0</v>
      </c>
      <c r="D108" s="500">
        <v>40379.0</v>
      </c>
      <c r="E108" s="426" t="s">
        <v>10807</v>
      </c>
      <c r="F108" s="426" t="s">
        <v>2343</v>
      </c>
      <c r="G108" s="426" t="s">
        <v>565</v>
      </c>
      <c r="H108" s="426" t="s">
        <v>10808</v>
      </c>
      <c r="I108" s="500">
        <v>40823.0</v>
      </c>
      <c r="J108" s="428">
        <v>10.0</v>
      </c>
      <c r="K108" s="636" t="s">
        <v>244</v>
      </c>
      <c r="L108" s="428" t="s">
        <v>260</v>
      </c>
      <c r="M108" s="657">
        <f t="shared" si="1"/>
        <v>444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10811.0</v>
      </c>
      <c r="B109" s="420" t="s">
        <v>10809</v>
      </c>
      <c r="C109" s="420">
        <v>2010.0</v>
      </c>
      <c r="D109" s="497">
        <v>40358.0</v>
      </c>
      <c r="E109" s="420" t="s">
        <v>10810</v>
      </c>
      <c r="F109" s="420" t="s">
        <v>1464</v>
      </c>
      <c r="G109" s="420" t="s">
        <v>17</v>
      </c>
      <c r="H109" s="420" t="s">
        <v>6011</v>
      </c>
      <c r="I109" s="497">
        <v>40823.0</v>
      </c>
      <c r="J109" s="422">
        <v>10.0</v>
      </c>
      <c r="K109" s="637" t="s">
        <v>238</v>
      </c>
      <c r="L109" s="422" t="s">
        <v>256</v>
      </c>
      <c r="M109" s="658">
        <f t="shared" si="1"/>
        <v>465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10911.0</v>
      </c>
      <c r="B110" s="426" t="s">
        <v>10811</v>
      </c>
      <c r="C110" s="426">
        <v>2009.0</v>
      </c>
      <c r="D110" s="500">
        <v>40150.0</v>
      </c>
      <c r="E110" s="426" t="s">
        <v>10812</v>
      </c>
      <c r="F110" s="426" t="s">
        <v>10801</v>
      </c>
      <c r="G110" s="426" t="s">
        <v>650</v>
      </c>
      <c r="H110" s="426" t="s">
        <v>7777</v>
      </c>
      <c r="I110" s="500">
        <v>40830.0</v>
      </c>
      <c r="J110" s="428">
        <v>10.0</v>
      </c>
      <c r="K110" s="637" t="s">
        <v>238</v>
      </c>
      <c r="L110" s="428" t="s">
        <v>258</v>
      </c>
      <c r="M110" s="657">
        <f t="shared" si="1"/>
        <v>680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11011.0</v>
      </c>
      <c r="B111" s="420" t="s">
        <v>10813</v>
      </c>
      <c r="C111" s="420">
        <v>2009.0</v>
      </c>
      <c r="D111" s="497">
        <v>39904.0</v>
      </c>
      <c r="E111" s="420" t="s">
        <v>10814</v>
      </c>
      <c r="F111" s="420" t="s">
        <v>1846</v>
      </c>
      <c r="G111" s="420" t="s">
        <v>17</v>
      </c>
      <c r="H111" s="420" t="s">
        <v>2539</v>
      </c>
      <c r="I111" s="497">
        <v>40835.0</v>
      </c>
      <c r="J111" s="422">
        <v>10.0</v>
      </c>
      <c r="K111" s="638" t="s">
        <v>234</v>
      </c>
      <c r="L111" s="422" t="s">
        <v>256</v>
      </c>
      <c r="M111" s="658">
        <f t="shared" si="1"/>
        <v>931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11111.0</v>
      </c>
      <c r="B112" s="426" t="s">
        <v>10815</v>
      </c>
      <c r="C112" s="426">
        <v>2009.0</v>
      </c>
      <c r="D112" s="500">
        <v>39953.0</v>
      </c>
      <c r="E112" s="426" t="s">
        <v>10816</v>
      </c>
      <c r="F112" s="426" t="s">
        <v>563</v>
      </c>
      <c r="G112" s="426" t="s">
        <v>17</v>
      </c>
      <c r="H112" s="426" t="s">
        <v>66</v>
      </c>
      <c r="I112" s="500">
        <v>40836.0</v>
      </c>
      <c r="J112" s="428">
        <v>10.0</v>
      </c>
      <c r="K112" s="638" t="s">
        <v>234</v>
      </c>
      <c r="L112" s="428" t="s">
        <v>256</v>
      </c>
      <c r="M112" s="657">
        <f t="shared" si="1"/>
        <v>883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11211.0</v>
      </c>
      <c r="B113" s="420" t="s">
        <v>10817</v>
      </c>
      <c r="C113" s="420">
        <v>2010.0</v>
      </c>
      <c r="D113" s="497">
        <v>40315.0</v>
      </c>
      <c r="E113" s="420" t="s">
        <v>10818</v>
      </c>
      <c r="F113" s="420" t="s">
        <v>963</v>
      </c>
      <c r="G113" s="420" t="s">
        <v>17</v>
      </c>
      <c r="H113" s="420" t="s">
        <v>1501</v>
      </c>
      <c r="I113" s="497">
        <v>40837.0</v>
      </c>
      <c r="J113" s="422">
        <v>10.0</v>
      </c>
      <c r="K113" s="635" t="s">
        <v>228</v>
      </c>
      <c r="L113" s="422" t="s">
        <v>258</v>
      </c>
      <c r="M113" s="658">
        <f t="shared" si="1"/>
        <v>522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11311.0</v>
      </c>
      <c r="B114" s="426" t="s">
        <v>10819</v>
      </c>
      <c r="C114" s="426">
        <v>2010.0</v>
      </c>
      <c r="D114" s="500">
        <v>40361.0</v>
      </c>
      <c r="E114" s="426" t="s">
        <v>10820</v>
      </c>
      <c r="F114" s="426" t="s">
        <v>963</v>
      </c>
      <c r="G114" s="426" t="s">
        <v>17</v>
      </c>
      <c r="H114" s="426" t="s">
        <v>87</v>
      </c>
      <c r="I114" s="500">
        <v>40837.0</v>
      </c>
      <c r="J114" s="428">
        <v>10.0</v>
      </c>
      <c r="K114" s="635" t="s">
        <v>228</v>
      </c>
      <c r="L114" s="428" t="s">
        <v>258</v>
      </c>
      <c r="M114" s="657">
        <f t="shared" si="1"/>
        <v>476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11411.0</v>
      </c>
      <c r="B115" s="420" t="s">
        <v>10821</v>
      </c>
      <c r="C115" s="420">
        <v>2009.0</v>
      </c>
      <c r="D115" s="497">
        <v>40079.0</v>
      </c>
      <c r="E115" s="420" t="s">
        <v>10822</v>
      </c>
      <c r="F115" s="420" t="s">
        <v>963</v>
      </c>
      <c r="G115" s="420" t="s">
        <v>17</v>
      </c>
      <c r="H115" s="420" t="s">
        <v>130</v>
      </c>
      <c r="I115" s="497">
        <v>40837.0</v>
      </c>
      <c r="J115" s="422">
        <v>10.0</v>
      </c>
      <c r="K115" s="635" t="s">
        <v>228</v>
      </c>
      <c r="L115" s="422" t="s">
        <v>258</v>
      </c>
      <c r="M115" s="658">
        <f t="shared" si="1"/>
        <v>758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11511.0</v>
      </c>
      <c r="B116" s="426" t="s">
        <v>10823</v>
      </c>
      <c r="C116" s="426">
        <v>2010.0</v>
      </c>
      <c r="D116" s="500">
        <v>40326.0</v>
      </c>
      <c r="E116" s="426" t="s">
        <v>10824</v>
      </c>
      <c r="F116" s="426" t="s">
        <v>963</v>
      </c>
      <c r="G116" s="426" t="s">
        <v>17</v>
      </c>
      <c r="H116" s="426" t="s">
        <v>7907</v>
      </c>
      <c r="I116" s="500">
        <v>40837.0</v>
      </c>
      <c r="J116" s="428">
        <v>10.0</v>
      </c>
      <c r="K116" s="635" t="s">
        <v>228</v>
      </c>
      <c r="L116" s="428" t="s">
        <v>258</v>
      </c>
      <c r="M116" s="657">
        <f t="shared" si="1"/>
        <v>511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11611.0</v>
      </c>
      <c r="B117" s="420" t="s">
        <v>10825</v>
      </c>
      <c r="C117" s="420">
        <v>2008.0</v>
      </c>
      <c r="D117" s="497">
        <v>39801.0</v>
      </c>
      <c r="E117" s="420" t="s">
        <v>10826</v>
      </c>
      <c r="F117" s="420" t="s">
        <v>719</v>
      </c>
      <c r="G117" s="420" t="s">
        <v>552</v>
      </c>
      <c r="H117" s="420" t="s">
        <v>1501</v>
      </c>
      <c r="I117" s="497">
        <v>40848.0</v>
      </c>
      <c r="J117" s="422">
        <v>11.0</v>
      </c>
      <c r="K117" s="635" t="s">
        <v>228</v>
      </c>
      <c r="L117" s="422" t="s">
        <v>256</v>
      </c>
      <c r="M117" s="658">
        <f t="shared" si="1"/>
        <v>1047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11711.0</v>
      </c>
      <c r="B118" s="426" t="s">
        <v>10827</v>
      </c>
      <c r="C118" s="426">
        <v>2006.0</v>
      </c>
      <c r="D118" s="500">
        <v>39073.0</v>
      </c>
      <c r="E118" s="426" t="s">
        <v>10828</v>
      </c>
      <c r="F118" s="426" t="s">
        <v>10829</v>
      </c>
      <c r="G118" s="426" t="s">
        <v>650</v>
      </c>
      <c r="H118" s="426" t="s">
        <v>8578</v>
      </c>
      <c r="I118" s="500">
        <v>40854.0</v>
      </c>
      <c r="J118" s="428">
        <v>11.0</v>
      </c>
      <c r="K118" s="637" t="s">
        <v>238</v>
      </c>
      <c r="L118" s="428" t="s">
        <v>258</v>
      </c>
      <c r="M118" s="657">
        <f t="shared" si="1"/>
        <v>1781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11811.0</v>
      </c>
      <c r="B119" s="420" t="s">
        <v>10830</v>
      </c>
      <c r="C119" s="420">
        <v>2009.0</v>
      </c>
      <c r="D119" s="497">
        <v>40127.0</v>
      </c>
      <c r="E119" s="420" t="s">
        <v>10831</v>
      </c>
      <c r="F119" s="420" t="s">
        <v>947</v>
      </c>
      <c r="G119" s="420" t="s">
        <v>552</v>
      </c>
      <c r="H119" s="420" t="s">
        <v>50</v>
      </c>
      <c r="I119" s="497">
        <v>40850.0</v>
      </c>
      <c r="J119" s="422">
        <v>11.0</v>
      </c>
      <c r="K119" s="638" t="s">
        <v>234</v>
      </c>
      <c r="L119" s="422" t="s">
        <v>258</v>
      </c>
      <c r="M119" s="658">
        <f t="shared" si="1"/>
        <v>723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11911.0</v>
      </c>
      <c r="B120" s="426" t="s">
        <v>10832</v>
      </c>
      <c r="C120" s="426">
        <v>2010.0</v>
      </c>
      <c r="D120" s="500">
        <v>40379.0</v>
      </c>
      <c r="E120" s="426" t="s">
        <v>10833</v>
      </c>
      <c r="F120" s="426" t="s">
        <v>3972</v>
      </c>
      <c r="G120" s="426" t="s">
        <v>650</v>
      </c>
      <c r="H120" s="426" t="s">
        <v>5180</v>
      </c>
      <c r="I120" s="500">
        <v>40851.0</v>
      </c>
      <c r="J120" s="428">
        <v>11.0</v>
      </c>
      <c r="K120" s="637" t="s">
        <v>238</v>
      </c>
      <c r="L120" s="428" t="s">
        <v>256</v>
      </c>
      <c r="M120" s="657">
        <f t="shared" si="1"/>
        <v>472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12011.0</v>
      </c>
      <c r="B121" s="420" t="s">
        <v>10834</v>
      </c>
      <c r="C121" s="420">
        <v>2009.0</v>
      </c>
      <c r="D121" s="497">
        <v>40057.0</v>
      </c>
      <c r="E121" s="420" t="s">
        <v>10835</v>
      </c>
      <c r="F121" s="420" t="s">
        <v>711</v>
      </c>
      <c r="G121" s="420" t="s">
        <v>17</v>
      </c>
      <c r="H121" s="420" t="s">
        <v>7403</v>
      </c>
      <c r="I121" s="497">
        <v>40858.0</v>
      </c>
      <c r="J121" s="422">
        <v>11.0</v>
      </c>
      <c r="K121" s="638" t="s">
        <v>234</v>
      </c>
      <c r="L121" s="422" t="s">
        <v>258</v>
      </c>
      <c r="M121" s="658">
        <f t="shared" si="1"/>
        <v>801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12111.0</v>
      </c>
      <c r="B122" s="426" t="s">
        <v>10836</v>
      </c>
      <c r="C122" s="426">
        <v>2010.0</v>
      </c>
      <c r="D122" s="500">
        <v>40266.0</v>
      </c>
      <c r="E122" s="426" t="s">
        <v>10837</v>
      </c>
      <c r="F122" s="426" t="s">
        <v>563</v>
      </c>
      <c r="G122" s="426" t="s">
        <v>17</v>
      </c>
      <c r="H122" s="426" t="s">
        <v>50</v>
      </c>
      <c r="I122" s="500">
        <v>40876.0</v>
      </c>
      <c r="J122" s="428">
        <v>11.0</v>
      </c>
      <c r="K122" s="638" t="s">
        <v>234</v>
      </c>
      <c r="L122" s="428" t="s">
        <v>256</v>
      </c>
      <c r="M122" s="657">
        <f t="shared" si="1"/>
        <v>610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12211.0</v>
      </c>
      <c r="B123" s="420" t="s">
        <v>10838</v>
      </c>
      <c r="C123" s="420">
        <v>2006.0</v>
      </c>
      <c r="D123" s="497">
        <v>39059.0</v>
      </c>
      <c r="E123" s="420" t="s">
        <v>10839</v>
      </c>
      <c r="F123" s="420" t="s">
        <v>44</v>
      </c>
      <c r="G123" s="420" t="s">
        <v>17</v>
      </c>
      <c r="H123" s="420" t="s">
        <v>2964</v>
      </c>
      <c r="I123" s="497">
        <v>40878.0</v>
      </c>
      <c r="J123" s="422">
        <v>12.0</v>
      </c>
      <c r="K123" s="635" t="s">
        <v>228</v>
      </c>
      <c r="L123" s="422" t="s">
        <v>258</v>
      </c>
      <c r="M123" s="658">
        <f t="shared" si="1"/>
        <v>1819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12311.0</v>
      </c>
      <c r="B124" s="426" t="s">
        <v>10840</v>
      </c>
      <c r="C124" s="426">
        <v>2008.0</v>
      </c>
      <c r="D124" s="500">
        <v>39491.0</v>
      </c>
      <c r="E124" s="426" t="s">
        <v>10841</v>
      </c>
      <c r="F124" s="426" t="s">
        <v>666</v>
      </c>
      <c r="G124" s="426" t="s">
        <v>17</v>
      </c>
      <c r="H124" s="426" t="s">
        <v>50</v>
      </c>
      <c r="I124" s="500">
        <v>40878.0</v>
      </c>
      <c r="J124" s="428">
        <v>12.0</v>
      </c>
      <c r="K124" s="638" t="s">
        <v>234</v>
      </c>
      <c r="L124" s="428" t="s">
        <v>256</v>
      </c>
      <c r="M124" s="657">
        <f t="shared" si="1"/>
        <v>1387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12411.0</v>
      </c>
      <c r="B125" s="420" t="s">
        <v>10842</v>
      </c>
      <c r="C125" s="420">
        <v>2009.0</v>
      </c>
      <c r="D125" s="497">
        <v>40175.0</v>
      </c>
      <c r="E125" s="420" t="s">
        <v>10843</v>
      </c>
      <c r="F125" s="420" t="s">
        <v>10844</v>
      </c>
      <c r="G125" s="420" t="s">
        <v>650</v>
      </c>
      <c r="H125" s="420" t="s">
        <v>651</v>
      </c>
      <c r="I125" s="497">
        <v>40878.0</v>
      </c>
      <c r="J125" s="422">
        <v>12.0</v>
      </c>
      <c r="K125" s="638" t="s">
        <v>234</v>
      </c>
      <c r="L125" s="422" t="s">
        <v>256</v>
      </c>
      <c r="M125" s="658">
        <f t="shared" si="1"/>
        <v>703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12511.0</v>
      </c>
      <c r="B126" s="426" t="s">
        <v>10845</v>
      </c>
      <c r="C126" s="426">
        <v>2009.0</v>
      </c>
      <c r="D126" s="500">
        <v>39849.0</v>
      </c>
      <c r="E126" s="426" t="s">
        <v>10846</v>
      </c>
      <c r="F126" s="622" t="s">
        <v>3761</v>
      </c>
      <c r="G126" s="426" t="s">
        <v>565</v>
      </c>
      <c r="H126" s="426" t="s">
        <v>10808</v>
      </c>
      <c r="I126" s="500">
        <v>40878.0</v>
      </c>
      <c r="J126" s="428">
        <v>12.0</v>
      </c>
      <c r="K126" s="636" t="s">
        <v>244</v>
      </c>
      <c r="L126" s="428" t="s">
        <v>260</v>
      </c>
      <c r="M126" s="657">
        <f t="shared" si="1"/>
        <v>1029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12611.0</v>
      </c>
      <c r="B127" s="420" t="s">
        <v>10847</v>
      </c>
      <c r="C127" s="420">
        <v>2009.0</v>
      </c>
      <c r="D127" s="497">
        <v>39987.0</v>
      </c>
      <c r="E127" s="420" t="s">
        <v>10848</v>
      </c>
      <c r="F127" s="420" t="s">
        <v>1408</v>
      </c>
      <c r="G127" s="420" t="s">
        <v>17</v>
      </c>
      <c r="H127" s="420" t="s">
        <v>9536</v>
      </c>
      <c r="I127" s="497">
        <v>40882.0</v>
      </c>
      <c r="J127" s="422">
        <v>12.0</v>
      </c>
      <c r="K127" s="637" t="s">
        <v>238</v>
      </c>
      <c r="L127" s="422" t="s">
        <v>256</v>
      </c>
      <c r="M127" s="658">
        <f t="shared" si="1"/>
        <v>895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12711.0</v>
      </c>
      <c r="B128" s="426" t="s">
        <v>10849</v>
      </c>
      <c r="C128" s="426">
        <v>2009.0</v>
      </c>
      <c r="D128" s="500">
        <v>39954.0</v>
      </c>
      <c r="E128" s="426" t="s">
        <v>10850</v>
      </c>
      <c r="F128" s="426" t="s">
        <v>1203</v>
      </c>
      <c r="G128" s="426" t="s">
        <v>17</v>
      </c>
      <c r="H128" s="426" t="s">
        <v>10628</v>
      </c>
      <c r="I128" s="500">
        <v>40891.0</v>
      </c>
      <c r="J128" s="428">
        <v>12.0</v>
      </c>
      <c r="K128" s="637" t="s">
        <v>238</v>
      </c>
      <c r="L128" s="428" t="s">
        <v>256</v>
      </c>
      <c r="M128" s="657">
        <f t="shared" si="1"/>
        <v>937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12811.0</v>
      </c>
      <c r="B129" s="420" t="s">
        <v>10851</v>
      </c>
      <c r="C129" s="420">
        <v>2009.0</v>
      </c>
      <c r="D129" s="497">
        <v>39855.0</v>
      </c>
      <c r="E129" s="420" t="s">
        <v>10852</v>
      </c>
      <c r="F129" s="420" t="s">
        <v>1203</v>
      </c>
      <c r="G129" s="420" t="s">
        <v>17</v>
      </c>
      <c r="H129" s="420" t="s">
        <v>1501</v>
      </c>
      <c r="I129" s="497">
        <v>40891.0</v>
      </c>
      <c r="J129" s="422">
        <v>12.0</v>
      </c>
      <c r="K129" s="637" t="s">
        <v>238</v>
      </c>
      <c r="L129" s="422" t="s">
        <v>256</v>
      </c>
      <c r="M129" s="658">
        <f t="shared" si="1"/>
        <v>1036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12911.0</v>
      </c>
      <c r="B130" s="426" t="s">
        <v>10853</v>
      </c>
      <c r="C130" s="426">
        <v>2009.0</v>
      </c>
      <c r="D130" s="500">
        <v>40057.0</v>
      </c>
      <c r="E130" s="426" t="s">
        <v>10854</v>
      </c>
      <c r="F130" s="426" t="s">
        <v>947</v>
      </c>
      <c r="G130" s="426" t="s">
        <v>552</v>
      </c>
      <c r="H130" s="426" t="s">
        <v>50</v>
      </c>
      <c r="I130" s="500">
        <v>40891.0</v>
      </c>
      <c r="J130" s="428">
        <v>12.0</v>
      </c>
      <c r="K130" s="638" t="s">
        <v>234</v>
      </c>
      <c r="L130" s="428" t="s">
        <v>258</v>
      </c>
      <c r="M130" s="657">
        <f t="shared" si="1"/>
        <v>834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13011.0</v>
      </c>
      <c r="B131" s="420" t="s">
        <v>10855</v>
      </c>
      <c r="C131" s="420">
        <v>2008.0</v>
      </c>
      <c r="D131" s="497">
        <v>39750.0</v>
      </c>
      <c r="E131" s="420" t="s">
        <v>10856</v>
      </c>
      <c r="F131" s="420" t="s">
        <v>666</v>
      </c>
      <c r="G131" s="420" t="s">
        <v>552</v>
      </c>
      <c r="H131" s="420" t="s">
        <v>1501</v>
      </c>
      <c r="I131" s="497">
        <v>40892.0</v>
      </c>
      <c r="J131" s="422">
        <v>12.0</v>
      </c>
      <c r="K131" s="637" t="s">
        <v>238</v>
      </c>
      <c r="L131" s="422" t="s">
        <v>258</v>
      </c>
      <c r="M131" s="658">
        <f t="shared" si="1"/>
        <v>1142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13111.0</v>
      </c>
      <c r="B132" s="585" t="s">
        <v>3889</v>
      </c>
      <c r="C132" s="585" t="s">
        <v>3889</v>
      </c>
      <c r="D132" s="540" t="s">
        <v>3889</v>
      </c>
      <c r="E132" s="585" t="s">
        <v>3889</v>
      </c>
      <c r="F132" s="585" t="s">
        <v>3889</v>
      </c>
      <c r="G132" s="585" t="s">
        <v>3889</v>
      </c>
      <c r="H132" s="585" t="s">
        <v>3889</v>
      </c>
      <c r="I132" s="540" t="s">
        <v>3889</v>
      </c>
      <c r="J132" s="321" t="s">
        <v>3889</v>
      </c>
      <c r="K132" s="321" t="s">
        <v>3889</v>
      </c>
      <c r="L132" s="321" t="s">
        <v>3889</v>
      </c>
      <c r="M132" s="659" t="s">
        <v>3889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13211.0</v>
      </c>
      <c r="B133" s="420" t="s">
        <v>10857</v>
      </c>
      <c r="C133" s="420">
        <v>2008.0</v>
      </c>
      <c r="D133" s="497">
        <v>39771.0</v>
      </c>
      <c r="E133" s="420" t="s">
        <v>10858</v>
      </c>
      <c r="F133" s="420" t="s">
        <v>666</v>
      </c>
      <c r="G133" s="420" t="s">
        <v>17</v>
      </c>
      <c r="H133" s="420" t="s">
        <v>66</v>
      </c>
      <c r="I133" s="497">
        <v>40892.0</v>
      </c>
      <c r="J133" s="422">
        <v>12.0</v>
      </c>
      <c r="K133" s="638" t="s">
        <v>234</v>
      </c>
      <c r="L133" s="422" t="s">
        <v>258</v>
      </c>
      <c r="M133" s="658">
        <f t="shared" ref="M133:M148" si="2">I133-D133</f>
        <v>1121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13311.0</v>
      </c>
      <c r="B134" s="426" t="s">
        <v>10859</v>
      </c>
      <c r="C134" s="426">
        <v>2009.0</v>
      </c>
      <c r="D134" s="500">
        <v>39842.0</v>
      </c>
      <c r="E134" s="426" t="s">
        <v>10860</v>
      </c>
      <c r="F134" s="622" t="s">
        <v>2614</v>
      </c>
      <c r="G134" s="426" t="s">
        <v>565</v>
      </c>
      <c r="H134" s="426" t="s">
        <v>10808</v>
      </c>
      <c r="I134" s="500">
        <v>40898.0</v>
      </c>
      <c r="J134" s="428">
        <v>12.0</v>
      </c>
      <c r="K134" s="636" t="s">
        <v>244</v>
      </c>
      <c r="L134" s="428" t="s">
        <v>260</v>
      </c>
      <c r="M134" s="657">
        <f t="shared" si="2"/>
        <v>1056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13411.0</v>
      </c>
      <c r="B135" s="420" t="s">
        <v>10861</v>
      </c>
      <c r="C135" s="420">
        <v>2009.0</v>
      </c>
      <c r="D135" s="497">
        <v>39987.0</v>
      </c>
      <c r="E135" s="420" t="s">
        <v>10862</v>
      </c>
      <c r="F135" s="420" t="s">
        <v>10086</v>
      </c>
      <c r="G135" s="420" t="s">
        <v>650</v>
      </c>
      <c r="H135" s="420" t="s">
        <v>651</v>
      </c>
      <c r="I135" s="497">
        <v>40898.0</v>
      </c>
      <c r="J135" s="422">
        <v>12.0</v>
      </c>
      <c r="K135" s="638" t="s">
        <v>234</v>
      </c>
      <c r="L135" s="422" t="s">
        <v>256</v>
      </c>
      <c r="M135" s="658">
        <f t="shared" si="2"/>
        <v>911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13511.0</v>
      </c>
      <c r="B136" s="426" t="s">
        <v>10863</v>
      </c>
      <c r="C136" s="426">
        <v>2009.0</v>
      </c>
      <c r="D136" s="500">
        <v>39988.0</v>
      </c>
      <c r="E136" s="426" t="s">
        <v>10864</v>
      </c>
      <c r="F136" s="426" t="s">
        <v>10086</v>
      </c>
      <c r="G136" s="426" t="s">
        <v>650</v>
      </c>
      <c r="H136" s="426" t="s">
        <v>651</v>
      </c>
      <c r="I136" s="500">
        <v>40898.0</v>
      </c>
      <c r="J136" s="428">
        <v>12.0</v>
      </c>
      <c r="K136" s="638" t="s">
        <v>234</v>
      </c>
      <c r="L136" s="428" t="s">
        <v>256</v>
      </c>
      <c r="M136" s="657">
        <f t="shared" si="2"/>
        <v>910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13611.0</v>
      </c>
      <c r="B137" s="420" t="s">
        <v>10865</v>
      </c>
      <c r="C137" s="420">
        <v>2008.0</v>
      </c>
      <c r="D137" s="497">
        <v>39808.0</v>
      </c>
      <c r="E137" s="420" t="s">
        <v>10866</v>
      </c>
      <c r="F137" s="420" t="s">
        <v>900</v>
      </c>
      <c r="G137" s="420" t="s">
        <v>552</v>
      </c>
      <c r="H137" s="420" t="s">
        <v>8845</v>
      </c>
      <c r="I137" s="497">
        <v>40900.0</v>
      </c>
      <c r="J137" s="422">
        <v>12.0</v>
      </c>
      <c r="K137" s="637" t="s">
        <v>238</v>
      </c>
      <c r="L137" s="422" t="s">
        <v>258</v>
      </c>
      <c r="M137" s="658">
        <f t="shared" si="2"/>
        <v>1092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13711.0</v>
      </c>
      <c r="B138" s="426" t="s">
        <v>10867</v>
      </c>
      <c r="C138" s="426">
        <v>2008.0</v>
      </c>
      <c r="D138" s="500">
        <v>39700.0</v>
      </c>
      <c r="E138" s="426" t="s">
        <v>10868</v>
      </c>
      <c r="F138" s="426" t="s">
        <v>947</v>
      </c>
      <c r="G138" s="426" t="s">
        <v>552</v>
      </c>
      <c r="H138" s="426" t="s">
        <v>583</v>
      </c>
      <c r="I138" s="500">
        <v>40900.0</v>
      </c>
      <c r="J138" s="428">
        <v>12.0</v>
      </c>
      <c r="K138" s="637" t="s">
        <v>238</v>
      </c>
      <c r="L138" s="428" t="s">
        <v>258</v>
      </c>
      <c r="M138" s="657">
        <f t="shared" si="2"/>
        <v>1200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13811.0</v>
      </c>
      <c r="B139" s="420" t="s">
        <v>10869</v>
      </c>
      <c r="C139" s="420">
        <v>2009.0</v>
      </c>
      <c r="D139" s="497">
        <v>39948.0</v>
      </c>
      <c r="E139" s="420" t="s">
        <v>10870</v>
      </c>
      <c r="F139" s="420" t="s">
        <v>65</v>
      </c>
      <c r="G139" s="420" t="s">
        <v>552</v>
      </c>
      <c r="H139" s="420" t="s">
        <v>5016</v>
      </c>
      <c r="I139" s="497">
        <v>40900.0</v>
      </c>
      <c r="J139" s="422">
        <v>12.0</v>
      </c>
      <c r="K139" s="638" t="s">
        <v>234</v>
      </c>
      <c r="L139" s="422" t="s">
        <v>256</v>
      </c>
      <c r="M139" s="658">
        <f t="shared" si="2"/>
        <v>952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425">
        <v>13911.0</v>
      </c>
      <c r="B140" s="426" t="s">
        <v>10871</v>
      </c>
      <c r="C140" s="426">
        <v>2011.0</v>
      </c>
      <c r="D140" s="500">
        <v>40813.0</v>
      </c>
      <c r="E140" s="426" t="s">
        <v>10872</v>
      </c>
      <c r="F140" s="622" t="s">
        <v>5332</v>
      </c>
      <c r="G140" s="426" t="s">
        <v>569</v>
      </c>
      <c r="H140" s="426" t="s">
        <v>10873</v>
      </c>
      <c r="I140" s="500">
        <v>40900.0</v>
      </c>
      <c r="J140" s="428">
        <v>12.0</v>
      </c>
      <c r="K140" s="636" t="s">
        <v>850</v>
      </c>
      <c r="L140" s="428" t="s">
        <v>260</v>
      </c>
      <c r="M140" s="657">
        <f t="shared" si="2"/>
        <v>87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419">
        <v>14011.0</v>
      </c>
      <c r="B141" s="420" t="s">
        <v>10874</v>
      </c>
      <c r="C141" s="420">
        <v>2007.0</v>
      </c>
      <c r="D141" s="497">
        <v>39335.0</v>
      </c>
      <c r="E141" s="420" t="s">
        <v>10875</v>
      </c>
      <c r="F141" s="420" t="s">
        <v>7583</v>
      </c>
      <c r="G141" s="420" t="s">
        <v>552</v>
      </c>
      <c r="H141" s="420" t="s">
        <v>5016</v>
      </c>
      <c r="I141" s="497">
        <v>40903.0</v>
      </c>
      <c r="J141" s="422">
        <v>12.0</v>
      </c>
      <c r="K141" s="637" t="s">
        <v>238</v>
      </c>
      <c r="L141" s="422" t="s">
        <v>258</v>
      </c>
      <c r="M141" s="658">
        <f t="shared" si="2"/>
        <v>1568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425">
        <v>14111.0</v>
      </c>
      <c r="B142" s="426" t="s">
        <v>10876</v>
      </c>
      <c r="C142" s="426">
        <v>2007.0</v>
      </c>
      <c r="D142" s="500">
        <v>39310.0</v>
      </c>
      <c r="E142" s="426" t="s">
        <v>10877</v>
      </c>
      <c r="F142" s="426" t="s">
        <v>711</v>
      </c>
      <c r="G142" s="426" t="s">
        <v>17</v>
      </c>
      <c r="H142" s="426" t="s">
        <v>9672</v>
      </c>
      <c r="I142" s="500">
        <v>40903.0</v>
      </c>
      <c r="J142" s="428">
        <v>12.0</v>
      </c>
      <c r="K142" s="637" t="s">
        <v>238</v>
      </c>
      <c r="L142" s="428" t="s">
        <v>256</v>
      </c>
      <c r="M142" s="657">
        <f t="shared" si="2"/>
        <v>1593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419">
        <v>14211.0</v>
      </c>
      <c r="B143" s="420" t="s">
        <v>10878</v>
      </c>
      <c r="C143" s="420">
        <v>2010.0</v>
      </c>
      <c r="D143" s="497">
        <v>40430.0</v>
      </c>
      <c r="E143" s="420" t="s">
        <v>10879</v>
      </c>
      <c r="F143" s="420" t="s">
        <v>10880</v>
      </c>
      <c r="G143" s="420" t="s">
        <v>650</v>
      </c>
      <c r="H143" s="420" t="s">
        <v>601</v>
      </c>
      <c r="I143" s="497">
        <v>40904.0</v>
      </c>
      <c r="J143" s="422">
        <v>12.0</v>
      </c>
      <c r="K143" s="637" t="s">
        <v>238</v>
      </c>
      <c r="L143" s="422" t="s">
        <v>256</v>
      </c>
      <c r="M143" s="658">
        <f t="shared" si="2"/>
        <v>474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425">
        <v>14311.0</v>
      </c>
      <c r="B144" s="426" t="s">
        <v>10881</v>
      </c>
      <c r="C144" s="426">
        <v>2009.0</v>
      </c>
      <c r="D144" s="500">
        <v>39902.0</v>
      </c>
      <c r="E144" s="426" t="s">
        <v>10882</v>
      </c>
      <c r="F144" s="426" t="s">
        <v>563</v>
      </c>
      <c r="G144" s="426" t="s">
        <v>17</v>
      </c>
      <c r="H144" s="426" t="s">
        <v>7403</v>
      </c>
      <c r="I144" s="500">
        <v>40905.0</v>
      </c>
      <c r="J144" s="428">
        <v>12.0</v>
      </c>
      <c r="K144" s="638" t="s">
        <v>234</v>
      </c>
      <c r="L144" s="428" t="s">
        <v>256</v>
      </c>
      <c r="M144" s="657">
        <f t="shared" si="2"/>
        <v>1003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419">
        <v>14411.0</v>
      </c>
      <c r="B145" s="420" t="s">
        <v>10883</v>
      </c>
      <c r="C145" s="420">
        <v>2011.0</v>
      </c>
      <c r="D145" s="497">
        <v>40756.0</v>
      </c>
      <c r="E145" s="420" t="s">
        <v>10884</v>
      </c>
      <c r="F145" s="623" t="s">
        <v>5332</v>
      </c>
      <c r="G145" s="420" t="s">
        <v>569</v>
      </c>
      <c r="H145" s="420" t="s">
        <v>2384</v>
      </c>
      <c r="I145" s="497">
        <v>40905.0</v>
      </c>
      <c r="J145" s="422">
        <v>12.0</v>
      </c>
      <c r="K145" s="636" t="s">
        <v>850</v>
      </c>
      <c r="L145" s="422" t="s">
        <v>260</v>
      </c>
      <c r="M145" s="658">
        <f t="shared" si="2"/>
        <v>149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425">
        <v>14511.0</v>
      </c>
      <c r="B146" s="426" t="s">
        <v>10885</v>
      </c>
      <c r="C146" s="426">
        <v>2008.0</v>
      </c>
      <c r="D146" s="500">
        <v>39605.0</v>
      </c>
      <c r="E146" s="426" t="s">
        <v>10886</v>
      </c>
      <c r="F146" s="426" t="s">
        <v>551</v>
      </c>
      <c r="G146" s="426" t="s">
        <v>552</v>
      </c>
      <c r="H146" s="426" t="s">
        <v>9672</v>
      </c>
      <c r="I146" s="500">
        <v>40906.0</v>
      </c>
      <c r="J146" s="428">
        <v>12.0</v>
      </c>
      <c r="K146" s="637" t="s">
        <v>238</v>
      </c>
      <c r="L146" s="428" t="s">
        <v>256</v>
      </c>
      <c r="M146" s="657">
        <f t="shared" si="2"/>
        <v>1301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419">
        <v>14611.0</v>
      </c>
      <c r="B147" s="420" t="s">
        <v>10887</v>
      </c>
      <c r="C147" s="420">
        <v>2009.0</v>
      </c>
      <c r="D147" s="497">
        <v>40014.0</v>
      </c>
      <c r="E147" s="420" t="s">
        <v>10888</v>
      </c>
      <c r="F147" s="420" t="s">
        <v>4263</v>
      </c>
      <c r="G147" s="420" t="s">
        <v>552</v>
      </c>
      <c r="H147" s="420" t="s">
        <v>66</v>
      </c>
      <c r="I147" s="497">
        <v>40907.0</v>
      </c>
      <c r="J147" s="422">
        <v>12.0</v>
      </c>
      <c r="K147" s="635" t="s">
        <v>228</v>
      </c>
      <c r="L147" s="422" t="s">
        <v>256</v>
      </c>
      <c r="M147" s="658">
        <f t="shared" si="2"/>
        <v>893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425">
        <v>14711.0</v>
      </c>
      <c r="B148" s="426" t="s">
        <v>10889</v>
      </c>
      <c r="C148" s="426">
        <v>2008.0</v>
      </c>
      <c r="D148" s="500">
        <v>39710.0</v>
      </c>
      <c r="E148" s="426" t="s">
        <v>10890</v>
      </c>
      <c r="F148" s="426" t="s">
        <v>715</v>
      </c>
      <c r="G148" s="426" t="s">
        <v>552</v>
      </c>
      <c r="H148" s="426" t="s">
        <v>163</v>
      </c>
      <c r="I148" s="500">
        <v>40907.0</v>
      </c>
      <c r="J148" s="428">
        <v>12.0</v>
      </c>
      <c r="K148" s="635" t="s">
        <v>228</v>
      </c>
      <c r="L148" s="428" t="s">
        <v>258</v>
      </c>
      <c r="M148" s="657">
        <f t="shared" si="2"/>
        <v>1197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198"/>
      <c r="B149" s="198"/>
      <c r="C149" s="198"/>
      <c r="D149" s="615"/>
      <c r="E149" s="198"/>
      <c r="F149" s="198"/>
      <c r="G149" s="198"/>
      <c r="H149" s="198"/>
      <c r="I149" s="615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4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4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4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4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4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4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4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4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4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4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4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4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4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4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4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4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4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4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4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4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4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4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4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4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4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4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4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4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4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4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4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4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4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4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4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4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4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4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4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4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4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4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4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4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4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4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4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4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4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4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4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4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4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4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4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4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4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4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4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4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4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4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4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4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4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4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4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4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4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4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4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4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4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4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4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4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4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4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4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4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4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4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4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4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4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4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4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4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4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4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4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4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4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4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4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4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4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4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4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4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4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4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4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4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4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4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4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4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4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4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4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4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4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4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4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4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4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4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4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4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4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4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4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4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4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4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4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4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4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4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4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4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4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4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4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4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4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4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4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4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4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4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4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4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4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4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4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4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4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4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4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4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4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4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4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4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4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4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4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4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4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4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4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4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4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4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4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4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4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4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4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4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4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4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4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4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4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4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4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4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4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4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4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4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4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4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4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4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4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4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4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4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4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4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4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4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4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4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4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4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4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4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4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4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4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4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4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4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4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4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4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4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4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4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4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4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4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4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4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4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4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4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4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4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4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4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4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4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4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4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4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4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4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4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4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4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4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4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4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4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4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4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4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4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4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4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4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4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4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4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4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4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4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4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4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4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4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4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4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4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4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4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4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4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4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4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4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4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4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4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4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4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4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4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4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4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4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4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4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4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4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4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4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4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4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4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4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4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4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4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4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4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4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4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4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4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4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4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4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4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4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4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4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4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4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4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4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4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4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4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4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4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4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4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4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4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4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4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4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4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4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4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4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4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4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4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4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4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4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4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4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4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4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4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4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4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4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4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4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4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4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4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4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4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4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4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4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4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4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4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4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4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4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4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4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4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4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4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4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4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4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4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4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4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4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4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4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4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4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4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4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4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4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4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4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4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4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4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4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4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4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4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4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4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4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4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4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4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4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4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4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4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4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4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4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4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4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4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4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4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4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4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4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4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4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4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4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4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4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4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4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4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4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4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4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4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4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4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4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4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4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4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4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4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4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4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4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4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4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4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4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4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4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4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4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4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4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4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4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4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4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4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4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4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4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4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4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4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4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4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4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4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4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4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4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4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4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4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4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4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4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4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4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4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4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4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4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4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4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4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4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4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4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4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4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4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4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4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4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4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4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4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4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4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4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4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4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4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4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4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4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4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4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4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4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4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4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4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4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4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4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4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4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4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4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4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4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4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4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4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4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4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4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4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4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4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4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4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4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4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4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4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4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4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4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4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4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4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4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4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4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4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4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4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4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4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4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4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4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4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4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4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4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4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4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4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4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4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4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4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4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4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4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4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4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4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4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4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4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4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4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4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4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4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4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4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4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4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4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4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4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4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4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4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4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4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4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4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4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4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4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4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4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4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4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4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4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4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4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4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4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4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4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4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4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4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4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4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4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4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4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4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4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4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4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4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4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4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4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4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4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4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4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4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4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4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4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4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4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4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4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4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4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4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4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4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4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4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4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4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4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4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4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4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4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4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4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4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4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4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4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4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4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4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4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4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4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4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4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4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4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4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4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4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4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4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4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4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4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4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4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4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4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4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4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4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4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4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4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4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4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4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4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4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4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4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4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4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4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4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4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4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4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4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4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4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4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4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4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4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4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4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4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4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4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4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4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4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4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4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4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4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4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4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4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4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4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4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4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4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4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4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4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4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4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4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4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4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4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4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4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4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4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4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4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4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4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4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4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4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4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4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4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4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4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4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4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4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4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4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4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4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4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4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4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4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4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4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4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4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4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4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4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4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4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4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4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4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4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4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4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4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4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4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4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4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4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4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4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4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4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4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4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4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4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4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4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4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4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4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4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4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4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4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4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4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4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4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4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4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4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4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4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4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4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4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4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4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4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4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4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4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4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4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4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4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4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4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4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4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4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4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4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4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4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4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4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4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4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4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4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4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4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4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4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4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4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4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4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4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4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4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4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4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4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4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4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4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4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4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4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4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4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4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4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4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4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4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4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4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4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4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86"/>
    <col customWidth="1" min="2" max="2" width="24.71"/>
    <col customWidth="1" min="3" max="3" width="26.86"/>
    <col customWidth="1" min="4" max="4" width="32.0"/>
    <col customWidth="1" min="5" max="5" width="35.29"/>
    <col customWidth="1" min="6" max="6" width="34.86"/>
    <col customWidth="1" min="7" max="7" width="12.29"/>
    <col customWidth="1" min="8" max="8" width="24.29"/>
    <col customWidth="1" min="9" max="9" width="24.43"/>
    <col customWidth="1" min="10" max="10" width="24.14"/>
    <col customWidth="1" min="11" max="11" width="60.14"/>
    <col customWidth="1" min="12" max="12" width="58.86"/>
    <col customWidth="1" min="13" max="13" width="45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110.0</v>
      </c>
      <c r="B2" s="426" t="s">
        <v>10891</v>
      </c>
      <c r="C2" s="426">
        <v>2008.0</v>
      </c>
      <c r="D2" s="500">
        <v>39561.0</v>
      </c>
      <c r="E2" s="426" t="s">
        <v>10892</v>
      </c>
      <c r="F2" s="426" t="s">
        <v>10893</v>
      </c>
      <c r="G2" s="426" t="s">
        <v>17</v>
      </c>
      <c r="H2" s="426" t="s">
        <v>10894</v>
      </c>
      <c r="I2" s="500">
        <v>40186.0</v>
      </c>
      <c r="J2" s="428">
        <v>1.0</v>
      </c>
      <c r="K2" s="635" t="s">
        <v>228</v>
      </c>
      <c r="L2" s="428" t="s">
        <v>256</v>
      </c>
      <c r="M2" s="319">
        <f t="shared" ref="M2:M105" si="1">I2-D2</f>
        <v>625</v>
      </c>
      <c r="N2" s="198"/>
      <c r="O2" s="545" t="s">
        <v>10895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210.0</v>
      </c>
      <c r="B3" s="420" t="s">
        <v>10896</v>
      </c>
      <c r="C3" s="420">
        <v>2007.0</v>
      </c>
      <c r="D3" s="497">
        <v>39443.0</v>
      </c>
      <c r="E3" s="420" t="s">
        <v>10897</v>
      </c>
      <c r="F3" s="420" t="s">
        <v>10898</v>
      </c>
      <c r="G3" s="420" t="s">
        <v>17</v>
      </c>
      <c r="H3" s="420" t="s">
        <v>4427</v>
      </c>
      <c r="I3" s="497">
        <v>40186.0</v>
      </c>
      <c r="J3" s="422">
        <v>1.0</v>
      </c>
      <c r="K3" s="635" t="s">
        <v>228</v>
      </c>
      <c r="L3" s="422" t="s">
        <v>256</v>
      </c>
      <c r="M3" s="316">
        <f t="shared" si="1"/>
        <v>743</v>
      </c>
      <c r="N3" s="198"/>
      <c r="O3" s="320" t="s">
        <v>27</v>
      </c>
      <c r="P3" s="320">
        <f>COUNTIF($G$2:$G$476,"PT")</f>
        <v>2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310.0</v>
      </c>
      <c r="B4" s="426" t="s">
        <v>10899</v>
      </c>
      <c r="C4" s="426">
        <v>2008.0</v>
      </c>
      <c r="D4" s="500">
        <v>39654.0</v>
      </c>
      <c r="E4" s="426" t="s">
        <v>10900</v>
      </c>
      <c r="F4" s="426" t="s">
        <v>1846</v>
      </c>
      <c r="G4" s="426" t="s">
        <v>552</v>
      </c>
      <c r="H4" s="426" t="s">
        <v>1612</v>
      </c>
      <c r="I4" s="500">
        <v>40189.0</v>
      </c>
      <c r="J4" s="428">
        <v>1.0</v>
      </c>
      <c r="K4" s="637" t="s">
        <v>238</v>
      </c>
      <c r="L4" s="428" t="s">
        <v>258</v>
      </c>
      <c r="M4" s="319">
        <f t="shared" si="1"/>
        <v>535</v>
      </c>
      <c r="N4" s="198"/>
      <c r="O4" s="321" t="s">
        <v>34</v>
      </c>
      <c r="P4" s="321">
        <f>COUNTIF($G$2:$G$476,"PTN")</f>
        <v>0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410.0</v>
      </c>
      <c r="B5" s="420" t="s">
        <v>10901</v>
      </c>
      <c r="C5" s="420">
        <v>2004.0</v>
      </c>
      <c r="D5" s="497">
        <v>38327.0</v>
      </c>
      <c r="E5" s="420" t="s">
        <v>10902</v>
      </c>
      <c r="F5" s="420" t="s">
        <v>167</v>
      </c>
      <c r="G5" s="420" t="s">
        <v>46</v>
      </c>
      <c r="H5" s="420" t="s">
        <v>2272</v>
      </c>
      <c r="I5" s="497">
        <v>40189.0</v>
      </c>
      <c r="J5" s="422">
        <v>1.0</v>
      </c>
      <c r="K5" s="638" t="s">
        <v>234</v>
      </c>
      <c r="L5" s="422" t="s">
        <v>256</v>
      </c>
      <c r="M5" s="316">
        <f t="shared" si="1"/>
        <v>1862</v>
      </c>
      <c r="N5" s="198"/>
      <c r="O5" s="322" t="s">
        <v>40</v>
      </c>
      <c r="P5" s="322">
        <f>COUNTIF($G$2:$G$476,"PTE")</f>
        <v>35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510.0</v>
      </c>
      <c r="B6" s="426" t="s">
        <v>10903</v>
      </c>
      <c r="C6" s="426">
        <v>2008.0</v>
      </c>
      <c r="D6" s="500">
        <v>39562.0</v>
      </c>
      <c r="E6" s="426" t="s">
        <v>10904</v>
      </c>
      <c r="F6" s="426" t="s">
        <v>2453</v>
      </c>
      <c r="G6" s="426" t="s">
        <v>552</v>
      </c>
      <c r="H6" s="426" t="s">
        <v>56</v>
      </c>
      <c r="I6" s="500">
        <v>40192.0</v>
      </c>
      <c r="J6" s="428">
        <v>1.0</v>
      </c>
      <c r="K6" s="637" t="s">
        <v>238</v>
      </c>
      <c r="L6" s="428" t="s">
        <v>258</v>
      </c>
      <c r="M6" s="319">
        <f t="shared" si="1"/>
        <v>630</v>
      </c>
      <c r="N6" s="198"/>
      <c r="O6" s="321" t="s">
        <v>46</v>
      </c>
      <c r="P6" s="321">
        <f>COUNTIF($G$2:$G$476,"Pré-Mistura")</f>
        <v>2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610.0</v>
      </c>
      <c r="B7" s="420" t="s">
        <v>10905</v>
      </c>
      <c r="C7" s="420">
        <v>2008.0</v>
      </c>
      <c r="D7" s="497">
        <v>39742.0</v>
      </c>
      <c r="E7" s="420" t="s">
        <v>10906</v>
      </c>
      <c r="F7" s="420" t="s">
        <v>10907</v>
      </c>
      <c r="G7" s="420" t="s">
        <v>547</v>
      </c>
      <c r="H7" s="420" t="s">
        <v>923</v>
      </c>
      <c r="I7" s="497">
        <v>40205.0</v>
      </c>
      <c r="J7" s="422">
        <v>1.0</v>
      </c>
      <c r="K7" s="638" t="s">
        <v>234</v>
      </c>
      <c r="L7" s="422" t="s">
        <v>254</v>
      </c>
      <c r="M7" s="316">
        <f t="shared" si="1"/>
        <v>463</v>
      </c>
      <c r="N7" s="198"/>
      <c r="O7" s="322" t="s">
        <v>553</v>
      </c>
      <c r="P7" s="322">
        <f>COUNTIF($G$2:$G$476,"PF")</f>
        <v>26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710.0</v>
      </c>
      <c r="B8" s="426" t="s">
        <v>10908</v>
      </c>
      <c r="C8" s="426">
        <v>2008.0</v>
      </c>
      <c r="D8" s="500">
        <v>34514.0</v>
      </c>
      <c r="E8" s="426" t="s">
        <v>10909</v>
      </c>
      <c r="F8" s="426" t="s">
        <v>10910</v>
      </c>
      <c r="G8" s="426" t="s">
        <v>650</v>
      </c>
      <c r="H8" s="426" t="s">
        <v>10911</v>
      </c>
      <c r="I8" s="500">
        <v>40206.0</v>
      </c>
      <c r="J8" s="428">
        <v>1.0</v>
      </c>
      <c r="K8" s="635" t="s">
        <v>228</v>
      </c>
      <c r="L8" s="428" t="s">
        <v>254</v>
      </c>
      <c r="M8" s="319">
        <f t="shared" si="1"/>
        <v>5692</v>
      </c>
      <c r="N8" s="198"/>
      <c r="O8" s="321" t="s">
        <v>547</v>
      </c>
      <c r="P8" s="321">
        <f>COUNTIF($G$2:$G$476,"PFN")</f>
        <v>1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810.0</v>
      </c>
      <c r="B9" s="420" t="s">
        <v>10912</v>
      </c>
      <c r="C9" s="420">
        <v>2006.0</v>
      </c>
      <c r="D9" s="497">
        <v>38835.0</v>
      </c>
      <c r="E9" s="420" t="s">
        <v>10913</v>
      </c>
      <c r="F9" s="420" t="s">
        <v>10914</v>
      </c>
      <c r="G9" s="420" t="s">
        <v>650</v>
      </c>
      <c r="H9" s="420" t="s">
        <v>10915</v>
      </c>
      <c r="I9" s="497">
        <v>40233.0</v>
      </c>
      <c r="J9" s="422">
        <v>2.0</v>
      </c>
      <c r="K9" s="638" t="s">
        <v>234</v>
      </c>
      <c r="L9" s="422" t="s">
        <v>258</v>
      </c>
      <c r="M9" s="316">
        <f t="shared" si="1"/>
        <v>1398</v>
      </c>
      <c r="N9" s="198"/>
      <c r="O9" s="322" t="s">
        <v>560</v>
      </c>
      <c r="P9" s="322">
        <f>COUNTIF($G$2:$G$476,"PF/PTE")</f>
        <v>34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910.0</v>
      </c>
      <c r="B10" s="426" t="s">
        <v>10916</v>
      </c>
      <c r="C10" s="426">
        <v>2007.0</v>
      </c>
      <c r="D10" s="500">
        <v>39384.0</v>
      </c>
      <c r="E10" s="426" t="s">
        <v>10917</v>
      </c>
      <c r="F10" s="426" t="s">
        <v>10918</v>
      </c>
      <c r="G10" s="426" t="s">
        <v>17</v>
      </c>
      <c r="H10" s="426" t="s">
        <v>5016</v>
      </c>
      <c r="I10" s="500">
        <v>40233.0</v>
      </c>
      <c r="J10" s="428">
        <v>2.0</v>
      </c>
      <c r="K10" s="637" t="s">
        <v>238</v>
      </c>
      <c r="L10" s="428" t="s">
        <v>258</v>
      </c>
      <c r="M10" s="319">
        <f t="shared" si="1"/>
        <v>849</v>
      </c>
      <c r="N10" s="198"/>
      <c r="O10" s="321" t="s">
        <v>565</v>
      </c>
      <c r="P10" s="321">
        <f>COUNTIF($G$2:$G$476,"Bio")</f>
        <v>4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3.5" customHeight="1">
      <c r="A11" s="419">
        <v>1010.0</v>
      </c>
      <c r="B11" s="420" t="s">
        <v>10919</v>
      </c>
      <c r="C11" s="420">
        <v>2008.0</v>
      </c>
      <c r="D11" s="497">
        <v>39731.0</v>
      </c>
      <c r="E11" s="420" t="s">
        <v>10920</v>
      </c>
      <c r="F11" s="420" t="s">
        <v>10921</v>
      </c>
      <c r="G11" s="420" t="s">
        <v>552</v>
      </c>
      <c r="H11" s="420" t="s">
        <v>56</v>
      </c>
      <c r="I11" s="497">
        <v>40235.0</v>
      </c>
      <c r="J11" s="422">
        <v>2.0</v>
      </c>
      <c r="K11" s="635" t="s">
        <v>228</v>
      </c>
      <c r="L11" s="422" t="s">
        <v>258</v>
      </c>
      <c r="M11" s="316">
        <f t="shared" si="1"/>
        <v>504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4.25" customHeight="1">
      <c r="A12" s="425">
        <v>1110.0</v>
      </c>
      <c r="B12" s="426" t="s">
        <v>10922</v>
      </c>
      <c r="C12" s="426">
        <v>2006.0</v>
      </c>
      <c r="D12" s="500">
        <v>39052.0</v>
      </c>
      <c r="E12" s="426" t="s">
        <v>10923</v>
      </c>
      <c r="F12" s="426" t="s">
        <v>10924</v>
      </c>
      <c r="G12" s="426" t="s">
        <v>650</v>
      </c>
      <c r="H12" s="426" t="s">
        <v>10925</v>
      </c>
      <c r="I12" s="500">
        <v>40238.0</v>
      </c>
      <c r="J12" s="428">
        <v>3.0</v>
      </c>
      <c r="K12" s="635" t="s">
        <v>228</v>
      </c>
      <c r="L12" s="428" t="s">
        <v>256</v>
      </c>
      <c r="M12" s="319">
        <f t="shared" si="1"/>
        <v>1186</v>
      </c>
      <c r="N12" s="198"/>
      <c r="O12" s="324" t="s">
        <v>51</v>
      </c>
      <c r="P12" s="325">
        <f>SUM(P3:P11)</f>
        <v>104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4.25" customHeight="1">
      <c r="A13" s="419">
        <v>1210.0</v>
      </c>
      <c r="B13" s="420" t="s">
        <v>10926</v>
      </c>
      <c r="C13" s="420">
        <v>2007.0</v>
      </c>
      <c r="D13" s="497">
        <v>39101.0</v>
      </c>
      <c r="E13" s="420" t="s">
        <v>10927</v>
      </c>
      <c r="F13" s="420" t="s">
        <v>3810</v>
      </c>
      <c r="G13" s="420" t="s">
        <v>17</v>
      </c>
      <c r="H13" s="420" t="s">
        <v>10915</v>
      </c>
      <c r="I13" s="497">
        <v>40241.0</v>
      </c>
      <c r="J13" s="422">
        <v>3.0</v>
      </c>
      <c r="K13" s="637" t="s">
        <v>238</v>
      </c>
      <c r="L13" s="422" t="s">
        <v>258</v>
      </c>
      <c r="M13" s="316">
        <f t="shared" si="1"/>
        <v>1140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4.25" customHeight="1">
      <c r="A14" s="425">
        <v>1310.0</v>
      </c>
      <c r="B14" s="426" t="s">
        <v>10928</v>
      </c>
      <c r="C14" s="426">
        <v>1999.0</v>
      </c>
      <c r="D14" s="500">
        <v>36294.0</v>
      </c>
      <c r="E14" s="426" t="s">
        <v>10929</v>
      </c>
      <c r="F14" s="426" t="s">
        <v>31</v>
      </c>
      <c r="G14" s="426" t="s">
        <v>552</v>
      </c>
      <c r="H14" s="426" t="s">
        <v>7403</v>
      </c>
      <c r="I14" s="500">
        <v>40245.0</v>
      </c>
      <c r="J14" s="428">
        <v>3.0</v>
      </c>
      <c r="K14" s="635" t="s">
        <v>228</v>
      </c>
      <c r="L14" s="428" t="s">
        <v>258</v>
      </c>
      <c r="M14" s="319">
        <f t="shared" si="1"/>
        <v>3951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5.75" customHeight="1">
      <c r="A15" s="419">
        <v>1410.0</v>
      </c>
      <c r="B15" s="420" t="s">
        <v>10930</v>
      </c>
      <c r="C15" s="420">
        <v>2006.0</v>
      </c>
      <c r="D15" s="497">
        <v>38849.0</v>
      </c>
      <c r="E15" s="420" t="s">
        <v>10931</v>
      </c>
      <c r="F15" s="420" t="s">
        <v>10932</v>
      </c>
      <c r="G15" s="420" t="s">
        <v>650</v>
      </c>
      <c r="H15" s="420" t="s">
        <v>143</v>
      </c>
      <c r="I15" s="497">
        <v>40260.0</v>
      </c>
      <c r="J15" s="422">
        <v>3.0</v>
      </c>
      <c r="K15" s="635" t="s">
        <v>228</v>
      </c>
      <c r="L15" s="422" t="s">
        <v>258</v>
      </c>
      <c r="M15" s="316">
        <f t="shared" si="1"/>
        <v>1411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5.75" customHeight="1">
      <c r="A16" s="425">
        <v>1510.0</v>
      </c>
      <c r="B16" s="426" t="s">
        <v>10933</v>
      </c>
      <c r="C16" s="426">
        <v>2008.0</v>
      </c>
      <c r="D16" s="500">
        <v>39540.0</v>
      </c>
      <c r="E16" s="426" t="s">
        <v>10934</v>
      </c>
      <c r="F16" s="426" t="s">
        <v>666</v>
      </c>
      <c r="G16" s="426" t="s">
        <v>552</v>
      </c>
      <c r="H16" s="426" t="s">
        <v>10935</v>
      </c>
      <c r="I16" s="500">
        <v>40268.0</v>
      </c>
      <c r="J16" s="428">
        <v>3.0</v>
      </c>
      <c r="K16" s="635" t="s">
        <v>228</v>
      </c>
      <c r="L16" s="428" t="s">
        <v>258</v>
      </c>
      <c r="M16" s="319">
        <f t="shared" si="1"/>
        <v>728</v>
      </c>
      <c r="N16" s="198"/>
      <c r="O16" s="331" t="s">
        <v>10936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419">
        <v>1610.0</v>
      </c>
      <c r="B17" s="420" t="s">
        <v>10937</v>
      </c>
      <c r="C17" s="420">
        <v>2006.0</v>
      </c>
      <c r="D17" s="497">
        <v>38866.0</v>
      </c>
      <c r="E17" s="420" t="s">
        <v>10938</v>
      </c>
      <c r="F17" s="420" t="s">
        <v>10939</v>
      </c>
      <c r="G17" s="420" t="s">
        <v>552</v>
      </c>
      <c r="H17" s="420" t="s">
        <v>10894</v>
      </c>
      <c r="I17" s="497">
        <v>40273.0</v>
      </c>
      <c r="J17" s="422">
        <v>4.0</v>
      </c>
      <c r="K17" s="637" t="s">
        <v>238</v>
      </c>
      <c r="L17" s="422" t="s">
        <v>256</v>
      </c>
      <c r="M17" s="316">
        <f t="shared" si="1"/>
        <v>1407</v>
      </c>
      <c r="N17" s="198"/>
      <c r="O17" s="334" t="s">
        <v>10940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425">
        <v>1710.0</v>
      </c>
      <c r="B18" s="426" t="s">
        <v>10941</v>
      </c>
      <c r="C18" s="426">
        <v>2008.0</v>
      </c>
      <c r="D18" s="500">
        <v>39808.0</v>
      </c>
      <c r="E18" s="426" t="s">
        <v>10942</v>
      </c>
      <c r="F18" s="426" t="s">
        <v>10943</v>
      </c>
      <c r="G18" s="426" t="s">
        <v>552</v>
      </c>
      <c r="H18" s="426" t="s">
        <v>8845</v>
      </c>
      <c r="I18" s="500">
        <v>40275.0</v>
      </c>
      <c r="J18" s="428">
        <v>4.0</v>
      </c>
      <c r="K18" s="635" t="s">
        <v>228</v>
      </c>
      <c r="L18" s="428" t="s">
        <v>256</v>
      </c>
      <c r="M18" s="319">
        <f t="shared" si="1"/>
        <v>467</v>
      </c>
      <c r="N18" s="198"/>
      <c r="O18" s="335" t="s">
        <v>10944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419">
        <v>1810.0</v>
      </c>
      <c r="B19" s="420" t="s">
        <v>10945</v>
      </c>
      <c r="C19" s="420">
        <v>2008.0</v>
      </c>
      <c r="D19" s="497">
        <v>39562.0</v>
      </c>
      <c r="E19" s="420" t="s">
        <v>10946</v>
      </c>
      <c r="F19" s="420" t="s">
        <v>666</v>
      </c>
      <c r="G19" s="420" t="s">
        <v>552</v>
      </c>
      <c r="H19" s="420" t="s">
        <v>56</v>
      </c>
      <c r="I19" s="497">
        <v>40276.0</v>
      </c>
      <c r="J19" s="422">
        <v>4.0</v>
      </c>
      <c r="K19" s="635" t="s">
        <v>228</v>
      </c>
      <c r="L19" s="422" t="s">
        <v>258</v>
      </c>
      <c r="M19" s="316">
        <f t="shared" si="1"/>
        <v>714</v>
      </c>
      <c r="N19" s="198"/>
      <c r="O19" s="334" t="s">
        <v>10947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425">
        <v>1910.0</v>
      </c>
      <c r="B20" s="426" t="s">
        <v>10948</v>
      </c>
      <c r="C20" s="426">
        <v>2008.0</v>
      </c>
      <c r="D20" s="500">
        <v>39640.0</v>
      </c>
      <c r="E20" s="426" t="s">
        <v>10949</v>
      </c>
      <c r="F20" s="426" t="s">
        <v>10943</v>
      </c>
      <c r="G20" s="426" t="s">
        <v>17</v>
      </c>
      <c r="H20" s="426" t="s">
        <v>1749</v>
      </c>
      <c r="I20" s="500">
        <v>40280.0</v>
      </c>
      <c r="J20" s="428">
        <v>4.0</v>
      </c>
      <c r="K20" s="635" t="s">
        <v>228</v>
      </c>
      <c r="L20" s="428" t="s">
        <v>256</v>
      </c>
      <c r="M20" s="319">
        <f t="shared" si="1"/>
        <v>640</v>
      </c>
      <c r="N20" s="198"/>
      <c r="O20" s="335" t="s">
        <v>10950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419">
        <v>2010.0</v>
      </c>
      <c r="B21" s="420" t="s">
        <v>10951</v>
      </c>
      <c r="C21" s="420">
        <v>2006.0</v>
      </c>
      <c r="D21" s="497">
        <v>38747.0</v>
      </c>
      <c r="E21" s="420" t="s">
        <v>10952</v>
      </c>
      <c r="F21" s="420" t="s">
        <v>8841</v>
      </c>
      <c r="G21" s="420" t="s">
        <v>552</v>
      </c>
      <c r="H21" s="420" t="s">
        <v>5402</v>
      </c>
      <c r="I21" s="497">
        <v>40294.0</v>
      </c>
      <c r="J21" s="422">
        <v>4.0</v>
      </c>
      <c r="K21" s="635" t="s">
        <v>228</v>
      </c>
      <c r="L21" s="422" t="s">
        <v>256</v>
      </c>
      <c r="M21" s="316">
        <f t="shared" si="1"/>
        <v>1547</v>
      </c>
      <c r="N21" s="198"/>
      <c r="O21" s="334" t="s">
        <v>10953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2110.0</v>
      </c>
      <c r="B22" s="426" t="s">
        <v>10954</v>
      </c>
      <c r="C22" s="426">
        <v>2001.0</v>
      </c>
      <c r="D22" s="500">
        <v>36923.0</v>
      </c>
      <c r="E22" s="426" t="s">
        <v>10955</v>
      </c>
      <c r="F22" s="426" t="s">
        <v>10956</v>
      </c>
      <c r="G22" s="426" t="s">
        <v>552</v>
      </c>
      <c r="H22" s="426" t="s">
        <v>10957</v>
      </c>
      <c r="I22" s="500">
        <v>40295.0</v>
      </c>
      <c r="J22" s="428">
        <v>4.0</v>
      </c>
      <c r="K22" s="635" t="s">
        <v>228</v>
      </c>
      <c r="L22" s="428" t="s">
        <v>258</v>
      </c>
      <c r="M22" s="319">
        <f t="shared" si="1"/>
        <v>3372</v>
      </c>
      <c r="N22" s="198"/>
      <c r="O22" s="335" t="s">
        <v>10958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3.5" customHeight="1">
      <c r="A23" s="419">
        <v>2210.0</v>
      </c>
      <c r="B23" s="420" t="s">
        <v>10959</v>
      </c>
      <c r="C23" s="420">
        <v>2006.0</v>
      </c>
      <c r="D23" s="497">
        <v>39079.0</v>
      </c>
      <c r="E23" s="420" t="s">
        <v>10960</v>
      </c>
      <c r="F23" s="420" t="s">
        <v>10961</v>
      </c>
      <c r="G23" s="420" t="s">
        <v>650</v>
      </c>
      <c r="H23" s="420" t="s">
        <v>10962</v>
      </c>
      <c r="I23" s="497">
        <v>40297.0</v>
      </c>
      <c r="J23" s="422">
        <v>4.0</v>
      </c>
      <c r="K23" s="635" t="s">
        <v>228</v>
      </c>
      <c r="L23" s="422" t="s">
        <v>258</v>
      </c>
      <c r="M23" s="316">
        <f t="shared" si="1"/>
        <v>1218</v>
      </c>
      <c r="N23" s="198"/>
      <c r="O23" s="334" t="s">
        <v>10963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3.5" customHeight="1">
      <c r="A24" s="425">
        <v>2310.0</v>
      </c>
      <c r="B24" s="426" t="s">
        <v>10964</v>
      </c>
      <c r="C24" s="426">
        <v>2000.0</v>
      </c>
      <c r="D24" s="500">
        <v>36868.0</v>
      </c>
      <c r="E24" s="426" t="s">
        <v>10965</v>
      </c>
      <c r="F24" s="426" t="s">
        <v>7179</v>
      </c>
      <c r="G24" s="426" t="s">
        <v>650</v>
      </c>
      <c r="H24" s="426" t="s">
        <v>2964</v>
      </c>
      <c r="I24" s="500">
        <v>40303.0</v>
      </c>
      <c r="J24" s="428">
        <v>5.0</v>
      </c>
      <c r="K24" s="635" t="s">
        <v>228</v>
      </c>
      <c r="L24" s="428" t="s">
        <v>258</v>
      </c>
      <c r="M24" s="319">
        <f t="shared" si="1"/>
        <v>3435</v>
      </c>
      <c r="N24" s="198"/>
      <c r="O24" s="336" t="s">
        <v>10966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2410.0</v>
      </c>
      <c r="B25" s="420" t="s">
        <v>10967</v>
      </c>
      <c r="C25" s="420">
        <v>2009.0</v>
      </c>
      <c r="D25" s="497">
        <v>39909.0</v>
      </c>
      <c r="E25" s="420" t="s">
        <v>10968</v>
      </c>
      <c r="F25" s="420" t="s">
        <v>5332</v>
      </c>
      <c r="G25" s="420" t="s">
        <v>565</v>
      </c>
      <c r="H25" s="420" t="s">
        <v>10969</v>
      </c>
      <c r="I25" s="497">
        <v>40322.0</v>
      </c>
      <c r="J25" s="422">
        <v>5.0</v>
      </c>
      <c r="K25" s="636" t="s">
        <v>850</v>
      </c>
      <c r="L25" s="422" t="s">
        <v>260</v>
      </c>
      <c r="M25" s="316">
        <f t="shared" si="1"/>
        <v>413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2510.0</v>
      </c>
      <c r="B26" s="426" t="s">
        <v>10970</v>
      </c>
      <c r="C26" s="426">
        <v>2008.0</v>
      </c>
      <c r="D26" s="500">
        <v>39518.0</v>
      </c>
      <c r="E26" s="426" t="s">
        <v>10971</v>
      </c>
      <c r="F26" s="426" t="s">
        <v>10972</v>
      </c>
      <c r="G26" s="426" t="s">
        <v>17</v>
      </c>
      <c r="H26" s="426" t="s">
        <v>4427</v>
      </c>
      <c r="I26" s="500">
        <v>40323.0</v>
      </c>
      <c r="J26" s="428">
        <v>5.0</v>
      </c>
      <c r="K26" s="636" t="s">
        <v>244</v>
      </c>
      <c r="L26" s="428" t="s">
        <v>256</v>
      </c>
      <c r="M26" s="319">
        <f t="shared" si="1"/>
        <v>805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2610.0</v>
      </c>
      <c r="B27" s="420" t="s">
        <v>10973</v>
      </c>
      <c r="C27" s="420">
        <v>2006.0</v>
      </c>
      <c r="D27" s="497">
        <v>38951.0</v>
      </c>
      <c r="E27" s="420" t="s">
        <v>10974</v>
      </c>
      <c r="F27" s="420" t="s">
        <v>10914</v>
      </c>
      <c r="G27" s="420" t="s">
        <v>650</v>
      </c>
      <c r="H27" s="420" t="s">
        <v>10915</v>
      </c>
      <c r="I27" s="497">
        <v>40329.0</v>
      </c>
      <c r="J27" s="422">
        <v>5.0</v>
      </c>
      <c r="K27" s="638" t="s">
        <v>234</v>
      </c>
      <c r="L27" s="422" t="s">
        <v>258</v>
      </c>
      <c r="M27" s="316">
        <f t="shared" si="1"/>
        <v>1378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2710.0</v>
      </c>
      <c r="B28" s="426" t="s">
        <v>10975</v>
      </c>
      <c r="C28" s="426">
        <v>2007.0</v>
      </c>
      <c r="D28" s="500">
        <v>39106.0</v>
      </c>
      <c r="E28" s="426" t="s">
        <v>10976</v>
      </c>
      <c r="F28" s="426" t="s">
        <v>666</v>
      </c>
      <c r="G28" s="426" t="s">
        <v>552</v>
      </c>
      <c r="H28" s="426" t="s">
        <v>9033</v>
      </c>
      <c r="I28" s="500">
        <v>40330.0</v>
      </c>
      <c r="J28" s="428">
        <v>6.0</v>
      </c>
      <c r="K28" s="635" t="s">
        <v>228</v>
      </c>
      <c r="L28" s="428" t="s">
        <v>258</v>
      </c>
      <c r="M28" s="319">
        <f t="shared" si="1"/>
        <v>1224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2810.0</v>
      </c>
      <c r="B29" s="420" t="s">
        <v>10977</v>
      </c>
      <c r="C29" s="420">
        <v>2008.0</v>
      </c>
      <c r="D29" s="497">
        <v>39700.0</v>
      </c>
      <c r="E29" s="420" t="s">
        <v>10978</v>
      </c>
      <c r="F29" s="420" t="s">
        <v>5738</v>
      </c>
      <c r="G29" s="420" t="s">
        <v>565</v>
      </c>
      <c r="H29" s="420" t="s">
        <v>10969</v>
      </c>
      <c r="I29" s="497">
        <v>40333.0</v>
      </c>
      <c r="J29" s="422">
        <v>6.0</v>
      </c>
      <c r="K29" s="636" t="s">
        <v>850</v>
      </c>
      <c r="L29" s="422" t="s">
        <v>260</v>
      </c>
      <c r="M29" s="316">
        <f t="shared" si="1"/>
        <v>633</v>
      </c>
      <c r="N29" s="198"/>
      <c r="O29" s="322">
        <v>1996.0</v>
      </c>
      <c r="P29" s="342">
        <f>COUNTIF($C$2:$C$503,"1996")</f>
        <v>1</v>
      </c>
      <c r="Q29" s="332"/>
      <c r="R29" s="333"/>
      <c r="S29" s="343">
        <f>P29/P42</f>
        <v>0.009615384615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425">
        <v>2910.0</v>
      </c>
      <c r="B30" s="426" t="s">
        <v>10979</v>
      </c>
      <c r="C30" s="426">
        <v>1999.0</v>
      </c>
      <c r="D30" s="500">
        <v>36455.0</v>
      </c>
      <c r="E30" s="426" t="s">
        <v>10980</v>
      </c>
      <c r="F30" s="426" t="s">
        <v>739</v>
      </c>
      <c r="G30" s="426" t="s">
        <v>650</v>
      </c>
      <c r="H30" s="426" t="s">
        <v>10981</v>
      </c>
      <c r="I30" s="500">
        <v>40340.0</v>
      </c>
      <c r="J30" s="428">
        <v>6.0</v>
      </c>
      <c r="K30" s="635" t="s">
        <v>228</v>
      </c>
      <c r="L30" s="428" t="s">
        <v>258</v>
      </c>
      <c r="M30" s="319">
        <f t="shared" si="1"/>
        <v>3885</v>
      </c>
      <c r="N30" s="198"/>
      <c r="O30" s="321">
        <v>1999.0</v>
      </c>
      <c r="P30" s="344">
        <f>COUNTIF($C$2:$C$503,"1999")</f>
        <v>3</v>
      </c>
      <c r="Q30" s="113"/>
      <c r="R30" s="114"/>
      <c r="S30" s="345">
        <f>P30/P42</f>
        <v>0.02884615385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419">
        <v>3010.0</v>
      </c>
      <c r="B31" s="420" t="s">
        <v>10982</v>
      </c>
      <c r="C31" s="420">
        <v>2008.0</v>
      </c>
      <c r="D31" s="497">
        <v>39485.0</v>
      </c>
      <c r="E31" s="420" t="s">
        <v>10983</v>
      </c>
      <c r="F31" s="420" t="s">
        <v>3497</v>
      </c>
      <c r="G31" s="420" t="s">
        <v>552</v>
      </c>
      <c r="H31" s="420" t="s">
        <v>4427</v>
      </c>
      <c r="I31" s="497">
        <v>40343.0</v>
      </c>
      <c r="J31" s="422">
        <v>6.0</v>
      </c>
      <c r="K31" s="635" t="s">
        <v>228</v>
      </c>
      <c r="L31" s="422" t="s">
        <v>256</v>
      </c>
      <c r="M31" s="316">
        <f t="shared" si="1"/>
        <v>858</v>
      </c>
      <c r="N31" s="198"/>
      <c r="O31" s="322">
        <v>2000.0</v>
      </c>
      <c r="P31" s="346">
        <f>COUNTIF($C$2:$C$503,"2000")</f>
        <v>1</v>
      </c>
      <c r="Q31" s="113"/>
      <c r="R31" s="114"/>
      <c r="S31" s="343">
        <f>P31/P42</f>
        <v>0.009615384615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3110.0</v>
      </c>
      <c r="B32" s="426" t="s">
        <v>10984</v>
      </c>
      <c r="C32" s="426">
        <v>2008.0</v>
      </c>
      <c r="D32" s="500">
        <v>39647.0</v>
      </c>
      <c r="E32" s="426" t="s">
        <v>10985</v>
      </c>
      <c r="F32" s="426" t="s">
        <v>666</v>
      </c>
      <c r="G32" s="426" t="s">
        <v>17</v>
      </c>
      <c r="H32" s="426" t="s">
        <v>10986</v>
      </c>
      <c r="I32" s="500">
        <v>40350.0</v>
      </c>
      <c r="J32" s="428">
        <v>6.0</v>
      </c>
      <c r="K32" s="638" t="s">
        <v>234</v>
      </c>
      <c r="L32" s="428" t="s">
        <v>258</v>
      </c>
      <c r="M32" s="319">
        <f t="shared" si="1"/>
        <v>703</v>
      </c>
      <c r="N32" s="198"/>
      <c r="O32" s="321">
        <v>2001.0</v>
      </c>
      <c r="P32" s="344">
        <f>COUNTIF($C$2:$C$503,"2001")</f>
        <v>2</v>
      </c>
      <c r="Q32" s="113"/>
      <c r="R32" s="114"/>
      <c r="S32" s="345">
        <f>P32/P42</f>
        <v>0.01923076923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3210.0</v>
      </c>
      <c r="B33" s="420" t="s">
        <v>10987</v>
      </c>
      <c r="C33" s="420">
        <v>2007.0</v>
      </c>
      <c r="D33" s="497">
        <v>39351.0</v>
      </c>
      <c r="E33" s="420" t="s">
        <v>10988</v>
      </c>
      <c r="F33" s="420" t="s">
        <v>6595</v>
      </c>
      <c r="G33" s="420" t="s">
        <v>17</v>
      </c>
      <c r="H33" s="420" t="s">
        <v>10989</v>
      </c>
      <c r="I33" s="497">
        <v>40351.0</v>
      </c>
      <c r="J33" s="422">
        <v>6.0</v>
      </c>
      <c r="K33" s="635" t="s">
        <v>228</v>
      </c>
      <c r="L33" s="422" t="s">
        <v>258</v>
      </c>
      <c r="M33" s="316">
        <f t="shared" si="1"/>
        <v>1000</v>
      </c>
      <c r="N33" s="198"/>
      <c r="O33" s="322">
        <v>2002.0</v>
      </c>
      <c r="P33" s="346">
        <f>COUNTIF($C$2:$C$503,"2002")</f>
        <v>0</v>
      </c>
      <c r="Q33" s="113"/>
      <c r="R33" s="114"/>
      <c r="S33" s="343">
        <f>P33/P42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3310.0</v>
      </c>
      <c r="B34" s="426" t="s">
        <v>10990</v>
      </c>
      <c r="C34" s="426">
        <v>2006.0</v>
      </c>
      <c r="D34" s="500">
        <v>39071.0</v>
      </c>
      <c r="E34" s="426" t="s">
        <v>10991</v>
      </c>
      <c r="F34" s="426" t="s">
        <v>666</v>
      </c>
      <c r="G34" s="426" t="s">
        <v>552</v>
      </c>
      <c r="H34" s="426" t="s">
        <v>7403</v>
      </c>
      <c r="I34" s="500">
        <v>40352.0</v>
      </c>
      <c r="J34" s="428">
        <v>6.0</v>
      </c>
      <c r="K34" s="637" t="s">
        <v>238</v>
      </c>
      <c r="L34" s="428" t="s">
        <v>258</v>
      </c>
      <c r="M34" s="319">
        <f t="shared" si="1"/>
        <v>1281</v>
      </c>
      <c r="N34" s="198"/>
      <c r="O34" s="321">
        <v>2003.0</v>
      </c>
      <c r="P34" s="344">
        <f>COUNTIF($C$2:$C$503,"2003")</f>
        <v>0</v>
      </c>
      <c r="Q34" s="113"/>
      <c r="R34" s="114"/>
      <c r="S34" s="345">
        <f>P34/P42</f>
        <v>0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3410.0</v>
      </c>
      <c r="B35" s="420" t="s">
        <v>10992</v>
      </c>
      <c r="C35" s="420">
        <v>2009.0</v>
      </c>
      <c r="D35" s="497">
        <v>39860.0</v>
      </c>
      <c r="E35" s="420" t="s">
        <v>10993</v>
      </c>
      <c r="F35" s="420" t="s">
        <v>1203</v>
      </c>
      <c r="G35" s="420" t="s">
        <v>17</v>
      </c>
      <c r="H35" s="420" t="s">
        <v>1979</v>
      </c>
      <c r="I35" s="497">
        <v>40353.0</v>
      </c>
      <c r="J35" s="422">
        <v>6.0</v>
      </c>
      <c r="K35" s="637" t="s">
        <v>238</v>
      </c>
      <c r="L35" s="422" t="s">
        <v>256</v>
      </c>
      <c r="M35" s="316">
        <f t="shared" si="1"/>
        <v>493</v>
      </c>
      <c r="N35" s="198"/>
      <c r="O35" s="322">
        <v>2004.0</v>
      </c>
      <c r="P35" s="346">
        <f>COUNTIF($C$2:$C$503,"2004")</f>
        <v>2</v>
      </c>
      <c r="Q35" s="113"/>
      <c r="R35" s="114"/>
      <c r="S35" s="343">
        <f>P35/P42</f>
        <v>0.01923076923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3510.0</v>
      </c>
      <c r="B36" s="426" t="s">
        <v>10994</v>
      </c>
      <c r="C36" s="426">
        <v>2007.0</v>
      </c>
      <c r="D36" s="500">
        <v>39413.0</v>
      </c>
      <c r="E36" s="426" t="s">
        <v>10995</v>
      </c>
      <c r="F36" s="426" t="s">
        <v>10996</v>
      </c>
      <c r="G36" s="426" t="s">
        <v>17</v>
      </c>
      <c r="H36" s="426" t="s">
        <v>8845</v>
      </c>
      <c r="I36" s="500">
        <v>40353.0</v>
      </c>
      <c r="J36" s="428">
        <v>6.0</v>
      </c>
      <c r="K36" s="637" t="s">
        <v>238</v>
      </c>
      <c r="L36" s="428" t="s">
        <v>256</v>
      </c>
      <c r="M36" s="319">
        <f t="shared" si="1"/>
        <v>940</v>
      </c>
      <c r="N36" s="198"/>
      <c r="O36" s="321">
        <v>2005.0</v>
      </c>
      <c r="P36" s="344">
        <f>COUNTIF($C$2:$C$503,"2005")</f>
        <v>1</v>
      </c>
      <c r="Q36" s="113"/>
      <c r="R36" s="114"/>
      <c r="S36" s="345">
        <f>P36/P42</f>
        <v>0.009615384615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3610.0</v>
      </c>
      <c r="B37" s="420" t="s">
        <v>10997</v>
      </c>
      <c r="C37" s="420">
        <v>2009.0</v>
      </c>
      <c r="D37" s="497">
        <v>40147.0</v>
      </c>
      <c r="E37" s="420" t="s">
        <v>10998</v>
      </c>
      <c r="F37" s="420" t="s">
        <v>2873</v>
      </c>
      <c r="G37" s="420" t="s">
        <v>552</v>
      </c>
      <c r="H37" s="420" t="s">
        <v>1979</v>
      </c>
      <c r="I37" s="497">
        <v>40353.0</v>
      </c>
      <c r="J37" s="422">
        <v>6.0</v>
      </c>
      <c r="K37" s="635" t="s">
        <v>228</v>
      </c>
      <c r="L37" s="422" t="s">
        <v>256</v>
      </c>
      <c r="M37" s="316">
        <f t="shared" si="1"/>
        <v>206</v>
      </c>
      <c r="N37" s="198"/>
      <c r="O37" s="322">
        <v>2006.0</v>
      </c>
      <c r="P37" s="346">
        <f>COUNTIF($C$2:$C$503,"2006")</f>
        <v>17</v>
      </c>
      <c r="Q37" s="113"/>
      <c r="R37" s="114"/>
      <c r="S37" s="343">
        <f>P37/P42</f>
        <v>0.1634615385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3710.0</v>
      </c>
      <c r="B38" s="426" t="s">
        <v>10999</v>
      </c>
      <c r="C38" s="426">
        <v>2008.0</v>
      </c>
      <c r="D38" s="500">
        <v>39506.0</v>
      </c>
      <c r="E38" s="426" t="s">
        <v>11000</v>
      </c>
      <c r="F38" s="426" t="s">
        <v>11001</v>
      </c>
      <c r="G38" s="426" t="s">
        <v>17</v>
      </c>
      <c r="H38" s="426" t="s">
        <v>11002</v>
      </c>
      <c r="I38" s="500">
        <v>40357.0</v>
      </c>
      <c r="J38" s="428">
        <v>6.0</v>
      </c>
      <c r="K38" s="635" t="s">
        <v>228</v>
      </c>
      <c r="L38" s="428" t="s">
        <v>256</v>
      </c>
      <c r="M38" s="319">
        <f t="shared" si="1"/>
        <v>851</v>
      </c>
      <c r="N38" s="198"/>
      <c r="O38" s="321">
        <v>2007.0</v>
      </c>
      <c r="P38" s="344">
        <f>COUNTIF($C$2:$C$503,"2007")</f>
        <v>14</v>
      </c>
      <c r="Q38" s="113"/>
      <c r="R38" s="114"/>
      <c r="S38" s="345">
        <f>P38/P42</f>
        <v>0.1346153846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3810.0</v>
      </c>
      <c r="B39" s="420" t="s">
        <v>11003</v>
      </c>
      <c r="C39" s="420">
        <v>2007.0</v>
      </c>
      <c r="D39" s="497">
        <v>39391.0</v>
      </c>
      <c r="E39" s="420" t="s">
        <v>11004</v>
      </c>
      <c r="F39" s="420" t="s">
        <v>2071</v>
      </c>
      <c r="G39" s="420" t="s">
        <v>552</v>
      </c>
      <c r="H39" s="420" t="s">
        <v>11005</v>
      </c>
      <c r="I39" s="497">
        <v>40358.0</v>
      </c>
      <c r="J39" s="422">
        <v>6.0</v>
      </c>
      <c r="K39" s="637" t="s">
        <v>238</v>
      </c>
      <c r="L39" s="422" t="s">
        <v>256</v>
      </c>
      <c r="M39" s="316">
        <f t="shared" si="1"/>
        <v>967</v>
      </c>
      <c r="N39" s="198"/>
      <c r="O39" s="322">
        <v>2008.0</v>
      </c>
      <c r="P39" s="346">
        <f>COUNTIF($C$2:$C$503,"2008")</f>
        <v>43</v>
      </c>
      <c r="Q39" s="113"/>
      <c r="R39" s="114"/>
      <c r="S39" s="343">
        <f>P39/P42</f>
        <v>0.4134615385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3910.0</v>
      </c>
      <c r="B40" s="426" t="s">
        <v>11006</v>
      </c>
      <c r="C40" s="426">
        <v>2008.0</v>
      </c>
      <c r="D40" s="500">
        <v>39813.0</v>
      </c>
      <c r="E40" s="426" t="s">
        <v>11007</v>
      </c>
      <c r="F40" s="426" t="s">
        <v>10943</v>
      </c>
      <c r="G40" s="426" t="s">
        <v>17</v>
      </c>
      <c r="H40" s="426" t="s">
        <v>11008</v>
      </c>
      <c r="I40" s="500">
        <v>40359.0</v>
      </c>
      <c r="J40" s="428">
        <v>6.0</v>
      </c>
      <c r="K40" s="638" t="s">
        <v>234</v>
      </c>
      <c r="L40" s="428" t="s">
        <v>256</v>
      </c>
      <c r="M40" s="319">
        <f t="shared" si="1"/>
        <v>546</v>
      </c>
      <c r="N40" s="198"/>
      <c r="O40" s="321">
        <v>2009.0</v>
      </c>
      <c r="P40" s="344">
        <f>COUNTIF($C$2:$C$503,"2009")</f>
        <v>19</v>
      </c>
      <c r="Q40" s="113"/>
      <c r="R40" s="114"/>
      <c r="S40" s="345">
        <f>P40/P42</f>
        <v>0.1826923077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419">
        <v>4010.0</v>
      </c>
      <c r="B41" s="420" t="s">
        <v>11009</v>
      </c>
      <c r="C41" s="420">
        <v>2004.0</v>
      </c>
      <c r="D41" s="497">
        <v>38288.0</v>
      </c>
      <c r="E41" s="420" t="s">
        <v>11010</v>
      </c>
      <c r="F41" s="420" t="s">
        <v>11011</v>
      </c>
      <c r="G41" s="420" t="s">
        <v>270</v>
      </c>
      <c r="H41" s="420" t="s">
        <v>10915</v>
      </c>
      <c r="I41" s="497">
        <v>40364.0</v>
      </c>
      <c r="J41" s="422">
        <v>7.0</v>
      </c>
      <c r="K41" s="638" t="s">
        <v>234</v>
      </c>
      <c r="L41" s="422" t="s">
        <v>254</v>
      </c>
      <c r="M41" s="316">
        <f t="shared" si="1"/>
        <v>2076</v>
      </c>
      <c r="N41" s="198"/>
      <c r="O41" s="322">
        <v>2010.0</v>
      </c>
      <c r="P41" s="346">
        <f>COUNTIF($C$2:$C$503,"2010")</f>
        <v>1</v>
      </c>
      <c r="Q41" s="113"/>
      <c r="R41" s="114"/>
      <c r="S41" s="343">
        <f>P41/P42</f>
        <v>0.009615384615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425">
        <v>4110.0</v>
      </c>
      <c r="B42" s="426" t="s">
        <v>11012</v>
      </c>
      <c r="C42" s="426">
        <v>2009.0</v>
      </c>
      <c r="D42" s="500">
        <v>39846.0</v>
      </c>
      <c r="E42" s="426" t="s">
        <v>11013</v>
      </c>
      <c r="F42" s="426" t="s">
        <v>65</v>
      </c>
      <c r="G42" s="426" t="s">
        <v>552</v>
      </c>
      <c r="H42" s="426" t="s">
        <v>8845</v>
      </c>
      <c r="I42" s="500">
        <v>40365.0</v>
      </c>
      <c r="J42" s="428">
        <v>7.0</v>
      </c>
      <c r="K42" s="638" t="s">
        <v>234</v>
      </c>
      <c r="L42" s="428" t="s">
        <v>254</v>
      </c>
      <c r="M42" s="319">
        <f t="shared" si="1"/>
        <v>519</v>
      </c>
      <c r="N42" s="198"/>
      <c r="O42" s="348" t="s">
        <v>179</v>
      </c>
      <c r="P42" s="349">
        <f>SUM(P29:R41)</f>
        <v>104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419">
        <v>4210.0</v>
      </c>
      <c r="B43" s="420" t="s">
        <v>11014</v>
      </c>
      <c r="C43" s="420">
        <v>2006.0</v>
      </c>
      <c r="D43" s="497">
        <v>38923.0</v>
      </c>
      <c r="E43" s="420" t="s">
        <v>11015</v>
      </c>
      <c r="F43" s="420" t="s">
        <v>1232</v>
      </c>
      <c r="G43" s="420" t="s">
        <v>552</v>
      </c>
      <c r="H43" s="420" t="s">
        <v>9033</v>
      </c>
      <c r="I43" s="497">
        <v>40368.0</v>
      </c>
      <c r="J43" s="422">
        <v>7.0</v>
      </c>
      <c r="K43" s="635" t="s">
        <v>228</v>
      </c>
      <c r="L43" s="422" t="s">
        <v>256</v>
      </c>
      <c r="M43" s="316">
        <f t="shared" si="1"/>
        <v>1445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425">
        <v>4310.0</v>
      </c>
      <c r="B44" s="426" t="s">
        <v>11016</v>
      </c>
      <c r="C44" s="426">
        <v>2008.0</v>
      </c>
      <c r="D44" s="500">
        <v>39799.0</v>
      </c>
      <c r="E44" s="426" t="s">
        <v>11017</v>
      </c>
      <c r="F44" s="426" t="s">
        <v>10914</v>
      </c>
      <c r="G44" s="426" t="s">
        <v>17</v>
      </c>
      <c r="H44" s="426" t="s">
        <v>1791</v>
      </c>
      <c r="I44" s="500">
        <v>40378.0</v>
      </c>
      <c r="J44" s="428">
        <v>7.0</v>
      </c>
      <c r="K44" s="637" t="s">
        <v>238</v>
      </c>
      <c r="L44" s="428" t="s">
        <v>258</v>
      </c>
      <c r="M44" s="319">
        <f t="shared" si="1"/>
        <v>579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4410.0</v>
      </c>
      <c r="B45" s="420" t="s">
        <v>11018</v>
      </c>
      <c r="C45" s="420">
        <v>2009.0</v>
      </c>
      <c r="D45" s="497">
        <v>39875.0</v>
      </c>
      <c r="E45" s="420" t="s">
        <v>11019</v>
      </c>
      <c r="F45" s="420" t="s">
        <v>65</v>
      </c>
      <c r="G45" s="420" t="s">
        <v>552</v>
      </c>
      <c r="H45" s="420" t="s">
        <v>8845</v>
      </c>
      <c r="I45" s="497">
        <v>40378.0</v>
      </c>
      <c r="J45" s="422">
        <v>7.0</v>
      </c>
      <c r="K45" s="638" t="s">
        <v>234</v>
      </c>
      <c r="L45" s="422" t="s">
        <v>256</v>
      </c>
      <c r="M45" s="316">
        <f t="shared" si="1"/>
        <v>503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4510.0</v>
      </c>
      <c r="B46" s="426" t="s">
        <v>11020</v>
      </c>
      <c r="C46" s="426">
        <v>2008.0</v>
      </c>
      <c r="D46" s="500">
        <v>39640.0</v>
      </c>
      <c r="E46" s="426" t="s">
        <v>11021</v>
      </c>
      <c r="F46" s="426" t="s">
        <v>6595</v>
      </c>
      <c r="G46" s="426" t="s">
        <v>17</v>
      </c>
      <c r="H46" s="426" t="s">
        <v>10986</v>
      </c>
      <c r="I46" s="500">
        <v>40380.0</v>
      </c>
      <c r="J46" s="428">
        <v>7.0</v>
      </c>
      <c r="K46" s="635" t="s">
        <v>228</v>
      </c>
      <c r="L46" s="428" t="s">
        <v>258</v>
      </c>
      <c r="M46" s="319">
        <f t="shared" si="1"/>
        <v>740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4610.0</v>
      </c>
      <c r="B47" s="420" t="s">
        <v>11022</v>
      </c>
      <c r="C47" s="420">
        <v>2008.0</v>
      </c>
      <c r="D47" s="497">
        <v>39813.0</v>
      </c>
      <c r="E47" s="420" t="s">
        <v>11023</v>
      </c>
      <c r="F47" s="420" t="s">
        <v>10914</v>
      </c>
      <c r="G47" s="420" t="s">
        <v>17</v>
      </c>
      <c r="H47" s="420" t="s">
        <v>10935</v>
      </c>
      <c r="I47" s="497">
        <v>40382.0</v>
      </c>
      <c r="J47" s="422">
        <v>7.0</v>
      </c>
      <c r="K47" s="637" t="s">
        <v>238</v>
      </c>
      <c r="L47" s="422" t="s">
        <v>258</v>
      </c>
      <c r="M47" s="316">
        <f t="shared" si="1"/>
        <v>569</v>
      </c>
      <c r="N47" s="198"/>
      <c r="O47" s="353" t="s">
        <v>195</v>
      </c>
      <c r="P47" s="342">
        <f>COUNTIF($J$2:$J$476,"1")</f>
        <v>7</v>
      </c>
      <c r="Q47" s="332"/>
      <c r="R47" s="333"/>
      <c r="S47" s="354">
        <f>(P47/P59)</f>
        <v>0.06730769231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4710.0</v>
      </c>
      <c r="B48" s="426" t="s">
        <v>11024</v>
      </c>
      <c r="C48" s="426">
        <v>2008.0</v>
      </c>
      <c r="D48" s="500">
        <v>39667.0</v>
      </c>
      <c r="E48" s="426" t="s">
        <v>11025</v>
      </c>
      <c r="F48" s="426" t="s">
        <v>65</v>
      </c>
      <c r="G48" s="426" t="s">
        <v>17</v>
      </c>
      <c r="H48" s="426" t="s">
        <v>1749</v>
      </c>
      <c r="I48" s="500">
        <v>40385.0</v>
      </c>
      <c r="J48" s="428">
        <v>7.0</v>
      </c>
      <c r="K48" s="635" t="s">
        <v>228</v>
      </c>
      <c r="L48" s="428" t="s">
        <v>254</v>
      </c>
      <c r="M48" s="319">
        <f t="shared" si="1"/>
        <v>718</v>
      </c>
      <c r="N48" s="198"/>
      <c r="O48" s="321" t="s">
        <v>197</v>
      </c>
      <c r="P48" s="344">
        <f>COUNTIF($J$2:$J$476,"2")</f>
        <v>3</v>
      </c>
      <c r="Q48" s="113"/>
      <c r="R48" s="114"/>
      <c r="S48" s="345">
        <f>(P48/P59)</f>
        <v>0.02884615385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4810.0</v>
      </c>
      <c r="B49" s="420" t="s">
        <v>11026</v>
      </c>
      <c r="C49" s="420">
        <v>2007.0</v>
      </c>
      <c r="D49" s="497">
        <v>39427.0</v>
      </c>
      <c r="E49" s="420" t="s">
        <v>11027</v>
      </c>
      <c r="F49" s="420" t="s">
        <v>11028</v>
      </c>
      <c r="G49" s="420" t="s">
        <v>650</v>
      </c>
      <c r="H49" s="420" t="s">
        <v>1802</v>
      </c>
      <c r="I49" s="497">
        <v>40392.0</v>
      </c>
      <c r="J49" s="422">
        <v>8.0</v>
      </c>
      <c r="K49" s="635" t="s">
        <v>228</v>
      </c>
      <c r="L49" s="422" t="s">
        <v>256</v>
      </c>
      <c r="M49" s="316">
        <f t="shared" si="1"/>
        <v>965</v>
      </c>
      <c r="N49" s="198"/>
      <c r="O49" s="322" t="s">
        <v>199</v>
      </c>
      <c r="P49" s="346">
        <f>COUNTIF($J$2:$J$476,"3")</f>
        <v>5</v>
      </c>
      <c r="Q49" s="113"/>
      <c r="R49" s="114"/>
      <c r="S49" s="343">
        <f>(P49/P59)</f>
        <v>0.04807692308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4910.0</v>
      </c>
      <c r="B50" s="426" t="s">
        <v>11029</v>
      </c>
      <c r="C50" s="426">
        <v>1996.0</v>
      </c>
      <c r="D50" s="500">
        <v>35230.0</v>
      </c>
      <c r="E50" s="426" t="s">
        <v>11030</v>
      </c>
      <c r="F50" s="426" t="s">
        <v>11031</v>
      </c>
      <c r="G50" s="426" t="s">
        <v>650</v>
      </c>
      <c r="H50" s="426" t="s">
        <v>1947</v>
      </c>
      <c r="I50" s="500">
        <v>40393.0</v>
      </c>
      <c r="J50" s="428">
        <v>8.0</v>
      </c>
      <c r="K50" s="636" t="s">
        <v>244</v>
      </c>
      <c r="L50" s="428" t="s">
        <v>258</v>
      </c>
      <c r="M50" s="319">
        <f t="shared" si="1"/>
        <v>5163</v>
      </c>
      <c r="N50" s="198"/>
      <c r="O50" s="321" t="s">
        <v>201</v>
      </c>
      <c r="P50" s="344">
        <f>COUNTIF($J$2:$J$476,"4")</f>
        <v>7</v>
      </c>
      <c r="Q50" s="113"/>
      <c r="R50" s="114"/>
      <c r="S50" s="345">
        <f>(P50/P59)</f>
        <v>0.06730769231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5010.0</v>
      </c>
      <c r="B51" s="420" t="s">
        <v>11032</v>
      </c>
      <c r="C51" s="420">
        <v>2006.0</v>
      </c>
      <c r="D51" s="497">
        <v>39001.0</v>
      </c>
      <c r="E51" s="420" t="s">
        <v>11033</v>
      </c>
      <c r="F51" s="420" t="s">
        <v>5338</v>
      </c>
      <c r="G51" s="420" t="s">
        <v>650</v>
      </c>
      <c r="H51" s="420" t="s">
        <v>1947</v>
      </c>
      <c r="I51" s="497">
        <v>40393.0</v>
      </c>
      <c r="J51" s="422">
        <v>8.0</v>
      </c>
      <c r="K51" s="637" t="s">
        <v>238</v>
      </c>
      <c r="L51" s="422" t="s">
        <v>258</v>
      </c>
      <c r="M51" s="316">
        <f t="shared" si="1"/>
        <v>1392</v>
      </c>
      <c r="N51" s="198"/>
      <c r="O51" s="322" t="s">
        <v>203</v>
      </c>
      <c r="P51" s="346">
        <f>COUNTIF($J$2:$J$476,"5")</f>
        <v>4</v>
      </c>
      <c r="Q51" s="113"/>
      <c r="R51" s="114"/>
      <c r="S51" s="343">
        <f>(P51/P59)</f>
        <v>0.03846153846</v>
      </c>
      <c r="T51" s="25"/>
      <c r="U51" s="198"/>
      <c r="V51" s="198"/>
      <c r="W51" s="198"/>
      <c r="X51" s="198"/>
      <c r="Y51" s="198"/>
      <c r="Z51" s="198"/>
    </row>
    <row r="52" ht="13.5" customHeight="1">
      <c r="A52" s="425">
        <v>5110.0</v>
      </c>
      <c r="B52" s="426" t="s">
        <v>11034</v>
      </c>
      <c r="C52" s="426">
        <v>2006.0</v>
      </c>
      <c r="D52" s="500">
        <v>39080.0</v>
      </c>
      <c r="E52" s="426" t="s">
        <v>11035</v>
      </c>
      <c r="F52" s="426" t="s">
        <v>11036</v>
      </c>
      <c r="G52" s="426" t="s">
        <v>650</v>
      </c>
      <c r="H52" s="426" t="s">
        <v>923</v>
      </c>
      <c r="I52" s="500">
        <v>40393.0</v>
      </c>
      <c r="J52" s="428">
        <v>8.0</v>
      </c>
      <c r="K52" s="637" t="s">
        <v>238</v>
      </c>
      <c r="L52" s="428" t="s">
        <v>254</v>
      </c>
      <c r="M52" s="319">
        <f t="shared" si="1"/>
        <v>1313</v>
      </c>
      <c r="N52" s="198"/>
      <c r="O52" s="321" t="s">
        <v>205</v>
      </c>
      <c r="P52" s="344">
        <f>COUNTIF($J$2:$J$476,"6")</f>
        <v>13</v>
      </c>
      <c r="Q52" s="113"/>
      <c r="R52" s="114"/>
      <c r="S52" s="345">
        <f>(P52/P59)</f>
        <v>0.125</v>
      </c>
      <c r="T52" s="25"/>
      <c r="U52" s="198"/>
      <c r="V52" s="198"/>
      <c r="W52" s="198"/>
      <c r="X52" s="198"/>
      <c r="Y52" s="198"/>
      <c r="Z52" s="198"/>
    </row>
    <row r="53" ht="13.5" customHeight="1">
      <c r="A53" s="419">
        <v>5210.0</v>
      </c>
      <c r="B53" s="420" t="s">
        <v>11037</v>
      </c>
      <c r="C53" s="420">
        <v>2006.0</v>
      </c>
      <c r="D53" s="497">
        <v>38989.0</v>
      </c>
      <c r="E53" s="420" t="s">
        <v>11038</v>
      </c>
      <c r="F53" s="420" t="s">
        <v>11036</v>
      </c>
      <c r="G53" s="420" t="s">
        <v>650</v>
      </c>
      <c r="H53" s="420" t="s">
        <v>923</v>
      </c>
      <c r="I53" s="497">
        <v>40393.0</v>
      </c>
      <c r="J53" s="422">
        <v>8.0</v>
      </c>
      <c r="K53" s="637" t="s">
        <v>238</v>
      </c>
      <c r="L53" s="422" t="s">
        <v>254</v>
      </c>
      <c r="M53" s="316">
        <f t="shared" si="1"/>
        <v>1404</v>
      </c>
      <c r="N53" s="198"/>
      <c r="O53" s="322" t="s">
        <v>207</v>
      </c>
      <c r="P53" s="346">
        <f>COUNTIF($J$2:$J$476,"7")</f>
        <v>8</v>
      </c>
      <c r="Q53" s="113"/>
      <c r="R53" s="114"/>
      <c r="S53" s="343">
        <f>(P53/P59)</f>
        <v>0.07692307692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5310.0</v>
      </c>
      <c r="B54" s="426" t="s">
        <v>11039</v>
      </c>
      <c r="C54" s="426">
        <v>2006.0</v>
      </c>
      <c r="D54" s="500">
        <v>38898.0</v>
      </c>
      <c r="E54" s="426" t="s">
        <v>11040</v>
      </c>
      <c r="F54" s="426" t="s">
        <v>11041</v>
      </c>
      <c r="G54" s="426" t="s">
        <v>270</v>
      </c>
      <c r="H54" s="426" t="s">
        <v>10915</v>
      </c>
      <c r="I54" s="500">
        <v>40402.0</v>
      </c>
      <c r="J54" s="428">
        <v>8.0</v>
      </c>
      <c r="K54" s="638" t="s">
        <v>234</v>
      </c>
      <c r="L54" s="428" t="s">
        <v>258</v>
      </c>
      <c r="M54" s="319">
        <f t="shared" si="1"/>
        <v>1504</v>
      </c>
      <c r="N54" s="198"/>
      <c r="O54" s="321" t="s">
        <v>209</v>
      </c>
      <c r="P54" s="344">
        <f>COUNTIF($J$2:$J$476,"8")</f>
        <v>14</v>
      </c>
      <c r="Q54" s="113"/>
      <c r="R54" s="114"/>
      <c r="S54" s="345">
        <f>(P54/P59)</f>
        <v>0.1346153846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5410.0</v>
      </c>
      <c r="B55" s="420" t="s">
        <v>11042</v>
      </c>
      <c r="C55" s="420">
        <v>2008.0</v>
      </c>
      <c r="D55" s="497">
        <v>39758.0</v>
      </c>
      <c r="E55" s="420" t="s">
        <v>11043</v>
      </c>
      <c r="F55" s="420" t="s">
        <v>3497</v>
      </c>
      <c r="G55" s="420" t="s">
        <v>17</v>
      </c>
      <c r="H55" s="420" t="s">
        <v>5402</v>
      </c>
      <c r="I55" s="497">
        <v>40414.0</v>
      </c>
      <c r="J55" s="422">
        <v>8.0</v>
      </c>
      <c r="K55" s="635" t="s">
        <v>228</v>
      </c>
      <c r="L55" s="422" t="s">
        <v>256</v>
      </c>
      <c r="M55" s="316">
        <f t="shared" si="1"/>
        <v>656</v>
      </c>
      <c r="N55" s="198"/>
      <c r="O55" s="322" t="s">
        <v>211</v>
      </c>
      <c r="P55" s="346">
        <f>COUNTIF($J$2:$J$476,"9")</f>
        <v>13</v>
      </c>
      <c r="Q55" s="113"/>
      <c r="R55" s="114"/>
      <c r="S55" s="343">
        <f>(P55/P59)</f>
        <v>0.125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5510.0</v>
      </c>
      <c r="B56" s="426" t="s">
        <v>11044</v>
      </c>
      <c r="C56" s="426">
        <v>2007.0</v>
      </c>
      <c r="D56" s="500">
        <v>39307.0</v>
      </c>
      <c r="E56" s="426" t="s">
        <v>11045</v>
      </c>
      <c r="F56" s="426" t="s">
        <v>11046</v>
      </c>
      <c r="G56" s="426" t="s">
        <v>17</v>
      </c>
      <c r="H56" s="426" t="s">
        <v>5402</v>
      </c>
      <c r="I56" s="500">
        <v>40417.0</v>
      </c>
      <c r="J56" s="428">
        <v>8.0</v>
      </c>
      <c r="K56" s="637" t="s">
        <v>238</v>
      </c>
      <c r="L56" s="428" t="s">
        <v>258</v>
      </c>
      <c r="M56" s="319">
        <f t="shared" si="1"/>
        <v>1110</v>
      </c>
      <c r="N56" s="198"/>
      <c r="O56" s="321" t="s">
        <v>213</v>
      </c>
      <c r="P56" s="344">
        <f>COUNTIF($J$2:$J$476,"10")</f>
        <v>8</v>
      </c>
      <c r="Q56" s="113"/>
      <c r="R56" s="114"/>
      <c r="S56" s="345">
        <f>(P56/P59)</f>
        <v>0.07692307692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5610.0</v>
      </c>
      <c r="B57" s="420" t="s">
        <v>11047</v>
      </c>
      <c r="C57" s="420">
        <v>2007.0</v>
      </c>
      <c r="D57" s="497">
        <v>39428.0</v>
      </c>
      <c r="E57" s="420" t="s">
        <v>11048</v>
      </c>
      <c r="F57" s="420" t="s">
        <v>1846</v>
      </c>
      <c r="G57" s="420" t="s">
        <v>552</v>
      </c>
      <c r="H57" s="420" t="s">
        <v>10989</v>
      </c>
      <c r="I57" s="497">
        <v>40417.0</v>
      </c>
      <c r="J57" s="422">
        <v>8.0</v>
      </c>
      <c r="K57" s="638" t="s">
        <v>234</v>
      </c>
      <c r="L57" s="422" t="s">
        <v>258</v>
      </c>
      <c r="M57" s="316">
        <f t="shared" si="1"/>
        <v>989</v>
      </c>
      <c r="N57" s="198"/>
      <c r="O57" s="322" t="s">
        <v>215</v>
      </c>
      <c r="P57" s="346">
        <f>COUNTIF($J$2:$J$476,"11")</f>
        <v>11</v>
      </c>
      <c r="Q57" s="113"/>
      <c r="R57" s="114"/>
      <c r="S57" s="343">
        <f>(P57/P59)</f>
        <v>0.1057692308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5710.0</v>
      </c>
      <c r="B58" s="426" t="s">
        <v>11049</v>
      </c>
      <c r="C58" s="426">
        <v>2006.0</v>
      </c>
      <c r="D58" s="500">
        <v>39021.0</v>
      </c>
      <c r="E58" s="426" t="s">
        <v>11050</v>
      </c>
      <c r="F58" s="426" t="s">
        <v>11051</v>
      </c>
      <c r="G58" s="426" t="s">
        <v>650</v>
      </c>
      <c r="H58" s="426" t="s">
        <v>1947</v>
      </c>
      <c r="I58" s="500">
        <v>40417.0</v>
      </c>
      <c r="J58" s="428">
        <v>8.0</v>
      </c>
      <c r="K58" s="637" t="s">
        <v>238</v>
      </c>
      <c r="L58" s="428" t="s">
        <v>258</v>
      </c>
      <c r="M58" s="319">
        <f t="shared" si="1"/>
        <v>1396</v>
      </c>
      <c r="N58" s="198"/>
      <c r="O58" s="355" t="s">
        <v>217</v>
      </c>
      <c r="P58" s="344">
        <f>COUNTIF($J$2:$J$476,"12")</f>
        <v>11</v>
      </c>
      <c r="Q58" s="113"/>
      <c r="R58" s="114"/>
      <c r="S58" s="356">
        <f>(P58/P59)</f>
        <v>0.1057692308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5810.0</v>
      </c>
      <c r="B59" s="420" t="s">
        <v>11052</v>
      </c>
      <c r="C59" s="420">
        <v>2007.0</v>
      </c>
      <c r="D59" s="497">
        <v>39405.0</v>
      </c>
      <c r="E59" s="420" t="s">
        <v>11053</v>
      </c>
      <c r="F59" s="420" t="s">
        <v>10918</v>
      </c>
      <c r="G59" s="420" t="s">
        <v>552</v>
      </c>
      <c r="H59" s="420" t="s">
        <v>45</v>
      </c>
      <c r="I59" s="497">
        <v>40421.0</v>
      </c>
      <c r="J59" s="422">
        <v>8.0</v>
      </c>
      <c r="K59" s="635" t="s">
        <v>228</v>
      </c>
      <c r="L59" s="422" t="s">
        <v>258</v>
      </c>
      <c r="M59" s="316">
        <f t="shared" si="1"/>
        <v>1016</v>
      </c>
      <c r="N59" s="198"/>
      <c r="O59" s="348" t="s">
        <v>219</v>
      </c>
      <c r="P59" s="349">
        <f>SUM(P47:R58)</f>
        <v>104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5910.0</v>
      </c>
      <c r="B60" s="426" t="s">
        <v>11054</v>
      </c>
      <c r="C60" s="426">
        <v>2009.0</v>
      </c>
      <c r="D60" s="500">
        <v>39891.0</v>
      </c>
      <c r="E60" s="426" t="s">
        <v>11055</v>
      </c>
      <c r="F60" s="426" t="s">
        <v>3497</v>
      </c>
      <c r="G60" s="426" t="s">
        <v>17</v>
      </c>
      <c r="H60" s="426" t="s">
        <v>10935</v>
      </c>
      <c r="I60" s="500">
        <v>40421.0</v>
      </c>
      <c r="J60" s="428">
        <v>8.0</v>
      </c>
      <c r="K60" s="635" t="s">
        <v>228</v>
      </c>
      <c r="L60" s="428" t="s">
        <v>256</v>
      </c>
      <c r="M60" s="319">
        <f t="shared" si="1"/>
        <v>530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6010.0</v>
      </c>
      <c r="B61" s="420" t="s">
        <v>11056</v>
      </c>
      <c r="C61" s="420">
        <v>2005.0</v>
      </c>
      <c r="D61" s="497">
        <v>38700.0</v>
      </c>
      <c r="E61" s="420" t="s">
        <v>11057</v>
      </c>
      <c r="F61" s="420" t="s">
        <v>11058</v>
      </c>
      <c r="G61" s="420" t="s">
        <v>650</v>
      </c>
      <c r="H61" s="420" t="s">
        <v>10894</v>
      </c>
      <c r="I61" s="497">
        <v>40421.0</v>
      </c>
      <c r="J61" s="422">
        <v>8.0</v>
      </c>
      <c r="K61" s="637" t="s">
        <v>238</v>
      </c>
      <c r="L61" s="422" t="s">
        <v>256</v>
      </c>
      <c r="M61" s="316">
        <f t="shared" si="1"/>
        <v>1721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425">
        <v>6110.0</v>
      </c>
      <c r="B62" s="426" t="s">
        <v>11059</v>
      </c>
      <c r="C62" s="426">
        <v>2008.0</v>
      </c>
      <c r="D62" s="500">
        <v>39771.0</v>
      </c>
      <c r="E62" s="426" t="s">
        <v>11060</v>
      </c>
      <c r="F62" s="426" t="s">
        <v>2307</v>
      </c>
      <c r="G62" s="426" t="s">
        <v>552</v>
      </c>
      <c r="H62" s="426" t="s">
        <v>5989</v>
      </c>
      <c r="I62" s="500">
        <v>40421.0</v>
      </c>
      <c r="J62" s="428">
        <v>8.0</v>
      </c>
      <c r="K62" s="635" t="s">
        <v>228</v>
      </c>
      <c r="L62" s="428" t="s">
        <v>256</v>
      </c>
      <c r="M62" s="319">
        <f t="shared" si="1"/>
        <v>650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419">
        <v>6210.0</v>
      </c>
      <c r="B63" s="420" t="s">
        <v>11061</v>
      </c>
      <c r="C63" s="420">
        <v>2008.0</v>
      </c>
      <c r="D63" s="497">
        <v>39475.0</v>
      </c>
      <c r="E63" s="420" t="s">
        <v>11062</v>
      </c>
      <c r="F63" s="420" t="s">
        <v>11063</v>
      </c>
      <c r="G63" s="420" t="s">
        <v>650</v>
      </c>
      <c r="H63" s="420" t="s">
        <v>10962</v>
      </c>
      <c r="I63" s="497">
        <v>40423.0</v>
      </c>
      <c r="J63" s="422">
        <v>9.0</v>
      </c>
      <c r="K63" s="637" t="s">
        <v>238</v>
      </c>
      <c r="L63" s="422" t="s">
        <v>258</v>
      </c>
      <c r="M63" s="316">
        <f t="shared" si="1"/>
        <v>948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425">
        <v>6310.0</v>
      </c>
      <c r="B64" s="426" t="s">
        <v>11064</v>
      </c>
      <c r="C64" s="426">
        <v>2008.0</v>
      </c>
      <c r="D64" s="500">
        <v>39475.0</v>
      </c>
      <c r="E64" s="426" t="s">
        <v>11065</v>
      </c>
      <c r="F64" s="426" t="s">
        <v>11063</v>
      </c>
      <c r="G64" s="426" t="s">
        <v>650</v>
      </c>
      <c r="H64" s="426" t="s">
        <v>10962</v>
      </c>
      <c r="I64" s="500">
        <v>40423.0</v>
      </c>
      <c r="J64" s="428">
        <v>9.0</v>
      </c>
      <c r="K64" s="637" t="s">
        <v>238</v>
      </c>
      <c r="L64" s="428" t="s">
        <v>258</v>
      </c>
      <c r="M64" s="319">
        <f t="shared" si="1"/>
        <v>948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46</v>
      </c>
      <c r="T64" s="366">
        <f>(S64/S76)</f>
        <v>0.4423076923</v>
      </c>
      <c r="U64" s="198"/>
      <c r="V64" s="198"/>
      <c r="W64" s="198"/>
      <c r="X64" s="198"/>
      <c r="Y64" s="198"/>
      <c r="Z64" s="198"/>
    </row>
    <row r="65" ht="12.75" customHeight="1">
      <c r="A65" s="419">
        <v>6410.0</v>
      </c>
      <c r="B65" s="420" t="s">
        <v>11066</v>
      </c>
      <c r="C65" s="420">
        <v>2008.0</v>
      </c>
      <c r="D65" s="497">
        <v>39750.0</v>
      </c>
      <c r="E65" s="420" t="s">
        <v>11067</v>
      </c>
      <c r="F65" s="420" t="s">
        <v>666</v>
      </c>
      <c r="G65" s="420" t="s">
        <v>552</v>
      </c>
      <c r="H65" s="420" t="s">
        <v>11068</v>
      </c>
      <c r="I65" s="497">
        <v>40423.0</v>
      </c>
      <c r="J65" s="422">
        <v>9.0</v>
      </c>
      <c r="K65" s="637" t="s">
        <v>238</v>
      </c>
      <c r="L65" s="422" t="s">
        <v>258</v>
      </c>
      <c r="M65" s="316">
        <f t="shared" si="1"/>
        <v>673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6510.0</v>
      </c>
      <c r="B66" s="426" t="s">
        <v>11069</v>
      </c>
      <c r="C66" s="426">
        <v>2008.0</v>
      </c>
      <c r="D66" s="500">
        <v>39455.0</v>
      </c>
      <c r="E66" s="426" t="s">
        <v>11070</v>
      </c>
      <c r="F66" s="426" t="s">
        <v>11071</v>
      </c>
      <c r="G66" s="426" t="s">
        <v>650</v>
      </c>
      <c r="H66" s="426" t="s">
        <v>10915</v>
      </c>
      <c r="I66" s="500">
        <v>40434.0</v>
      </c>
      <c r="J66" s="428">
        <v>9.0</v>
      </c>
      <c r="K66" s="635" t="s">
        <v>228</v>
      </c>
      <c r="L66" s="428" t="s">
        <v>256</v>
      </c>
      <c r="M66" s="319">
        <f t="shared" si="1"/>
        <v>979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6610.0</v>
      </c>
      <c r="B67" s="420" t="s">
        <v>11072</v>
      </c>
      <c r="C67" s="420">
        <v>2006.0</v>
      </c>
      <c r="D67" s="497">
        <v>38806.0</v>
      </c>
      <c r="E67" s="420" t="s">
        <v>11073</v>
      </c>
      <c r="F67" s="420" t="s">
        <v>11074</v>
      </c>
      <c r="G67" s="420" t="s">
        <v>650</v>
      </c>
      <c r="H67" s="420" t="s">
        <v>10981</v>
      </c>
      <c r="I67" s="497">
        <v>40435.0</v>
      </c>
      <c r="J67" s="422">
        <v>9.0</v>
      </c>
      <c r="K67" s="635" t="s">
        <v>228</v>
      </c>
      <c r="L67" s="422" t="s">
        <v>258</v>
      </c>
      <c r="M67" s="316">
        <f t="shared" si="1"/>
        <v>1629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20</v>
      </c>
      <c r="T67" s="374">
        <f>(S67/S76)</f>
        <v>0.1923076923</v>
      </c>
      <c r="U67" s="198"/>
      <c r="V67" s="198"/>
      <c r="W67" s="198"/>
      <c r="X67" s="198"/>
      <c r="Y67" s="198"/>
      <c r="Z67" s="198"/>
    </row>
    <row r="68" ht="12.75" customHeight="1">
      <c r="A68" s="425">
        <v>6710.0</v>
      </c>
      <c r="B68" s="426" t="s">
        <v>11075</v>
      </c>
      <c r="C68" s="426">
        <v>2007.0</v>
      </c>
      <c r="D68" s="500">
        <v>39437.0</v>
      </c>
      <c r="E68" s="426" t="s">
        <v>11076</v>
      </c>
      <c r="F68" s="426" t="s">
        <v>11077</v>
      </c>
      <c r="G68" s="426" t="s">
        <v>650</v>
      </c>
      <c r="H68" s="426" t="s">
        <v>923</v>
      </c>
      <c r="I68" s="500">
        <v>40435.0</v>
      </c>
      <c r="J68" s="428">
        <v>9.0</v>
      </c>
      <c r="K68" s="635" t="s">
        <v>228</v>
      </c>
      <c r="L68" s="428" t="s">
        <v>256</v>
      </c>
      <c r="M68" s="319">
        <f t="shared" si="1"/>
        <v>998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4.25" customHeight="1">
      <c r="A69" s="419">
        <v>6810.0</v>
      </c>
      <c r="B69" s="420" t="s">
        <v>11078</v>
      </c>
      <c r="C69" s="420">
        <v>2008.0</v>
      </c>
      <c r="D69" s="497">
        <v>39470.0</v>
      </c>
      <c r="E69" s="420" t="s">
        <v>11079</v>
      </c>
      <c r="F69" s="420" t="s">
        <v>2343</v>
      </c>
      <c r="G69" s="420" t="s">
        <v>565</v>
      </c>
      <c r="H69" s="420" t="s">
        <v>10774</v>
      </c>
      <c r="I69" s="497">
        <v>40435.0</v>
      </c>
      <c r="J69" s="422">
        <v>9.0</v>
      </c>
      <c r="K69" s="636" t="s">
        <v>244</v>
      </c>
      <c r="L69" s="422" t="s">
        <v>260</v>
      </c>
      <c r="M69" s="316">
        <f t="shared" si="1"/>
        <v>965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33</v>
      </c>
      <c r="T69" s="377">
        <f>(S69/S76)</f>
        <v>0.3173076923</v>
      </c>
      <c r="U69" s="198"/>
      <c r="V69" s="198"/>
      <c r="W69" s="198"/>
      <c r="X69" s="198"/>
      <c r="Y69" s="198"/>
      <c r="Z69" s="198"/>
    </row>
    <row r="70" ht="13.5" customHeight="1">
      <c r="A70" s="425">
        <v>6910.0</v>
      </c>
      <c r="B70" s="426" t="s">
        <v>11080</v>
      </c>
      <c r="C70" s="426">
        <v>2008.0</v>
      </c>
      <c r="D70" s="500">
        <v>39636.0</v>
      </c>
      <c r="E70" s="426" t="s">
        <v>11081</v>
      </c>
      <c r="F70" s="426" t="s">
        <v>2780</v>
      </c>
      <c r="G70" s="426" t="s">
        <v>17</v>
      </c>
      <c r="H70" s="426" t="s">
        <v>10981</v>
      </c>
      <c r="I70" s="500">
        <v>40435.0</v>
      </c>
      <c r="J70" s="428">
        <v>9.0</v>
      </c>
      <c r="K70" s="638" t="s">
        <v>234</v>
      </c>
      <c r="L70" s="428" t="s">
        <v>256</v>
      </c>
      <c r="M70" s="319">
        <f t="shared" si="1"/>
        <v>799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7010.0</v>
      </c>
      <c r="B71" s="420" t="s">
        <v>11082</v>
      </c>
      <c r="C71" s="420">
        <v>2008.0</v>
      </c>
      <c r="D71" s="497">
        <v>39813.0</v>
      </c>
      <c r="E71" s="420" t="s">
        <v>11083</v>
      </c>
      <c r="F71" s="420" t="s">
        <v>2343</v>
      </c>
      <c r="G71" s="420" t="s">
        <v>565</v>
      </c>
      <c r="H71" s="420" t="s">
        <v>2600</v>
      </c>
      <c r="I71" s="497">
        <v>40435.0</v>
      </c>
      <c r="J71" s="422">
        <v>9.0</v>
      </c>
      <c r="K71" s="637" t="s">
        <v>238</v>
      </c>
      <c r="L71" s="422" t="s">
        <v>260</v>
      </c>
      <c r="M71" s="316">
        <f t="shared" si="1"/>
        <v>622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7110.0</v>
      </c>
      <c r="B72" s="426" t="s">
        <v>11084</v>
      </c>
      <c r="C72" s="426">
        <v>2001.0</v>
      </c>
      <c r="D72" s="500">
        <v>37188.0</v>
      </c>
      <c r="E72" s="426" t="s">
        <v>11085</v>
      </c>
      <c r="F72" s="426" t="s">
        <v>2575</v>
      </c>
      <c r="G72" s="426" t="s">
        <v>650</v>
      </c>
      <c r="H72" s="426" t="s">
        <v>10915</v>
      </c>
      <c r="I72" s="500">
        <v>40435.0</v>
      </c>
      <c r="J72" s="428">
        <v>9.0</v>
      </c>
      <c r="K72" s="635" t="s">
        <v>228</v>
      </c>
      <c r="L72" s="428" t="s">
        <v>256</v>
      </c>
      <c r="M72" s="319">
        <f t="shared" si="1"/>
        <v>3247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3</v>
      </c>
      <c r="T72" s="380">
        <f>(S72/S76)</f>
        <v>0.02884615385</v>
      </c>
      <c r="U72" s="198"/>
      <c r="V72" s="198"/>
      <c r="W72" s="198"/>
      <c r="X72" s="198"/>
      <c r="Y72" s="198"/>
      <c r="Z72" s="198"/>
    </row>
    <row r="73" ht="12.75" customHeight="1">
      <c r="A73" s="419">
        <v>7210.0</v>
      </c>
      <c r="B73" s="420" t="s">
        <v>11086</v>
      </c>
      <c r="C73" s="420">
        <v>2009.0</v>
      </c>
      <c r="D73" s="497">
        <v>39885.0</v>
      </c>
      <c r="E73" s="420" t="s">
        <v>11087</v>
      </c>
      <c r="F73" s="420" t="s">
        <v>2071</v>
      </c>
      <c r="G73" s="420" t="s">
        <v>17</v>
      </c>
      <c r="H73" s="420" t="s">
        <v>11088</v>
      </c>
      <c r="I73" s="497">
        <v>40443.0</v>
      </c>
      <c r="J73" s="422">
        <v>9.0</v>
      </c>
      <c r="K73" s="637" t="s">
        <v>238</v>
      </c>
      <c r="L73" s="422" t="s">
        <v>258</v>
      </c>
      <c r="M73" s="316">
        <f t="shared" si="1"/>
        <v>558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425">
        <v>7310.0</v>
      </c>
      <c r="B74" s="426" t="s">
        <v>11089</v>
      </c>
      <c r="C74" s="426">
        <v>2008.0</v>
      </c>
      <c r="D74" s="500">
        <v>39492.0</v>
      </c>
      <c r="E74" s="426" t="s">
        <v>11090</v>
      </c>
      <c r="F74" s="426" t="s">
        <v>2780</v>
      </c>
      <c r="G74" s="426" t="s">
        <v>17</v>
      </c>
      <c r="H74" s="426" t="s">
        <v>10981</v>
      </c>
      <c r="I74" s="500">
        <v>40449.0</v>
      </c>
      <c r="J74" s="428">
        <v>9.0</v>
      </c>
      <c r="K74" s="637" t="s">
        <v>238</v>
      </c>
      <c r="L74" s="428" t="s">
        <v>256</v>
      </c>
      <c r="M74" s="319">
        <f t="shared" si="1"/>
        <v>957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2</v>
      </c>
      <c r="T74" s="380">
        <f>(S74/S76)</f>
        <v>0.01923076923</v>
      </c>
      <c r="U74" s="198"/>
      <c r="V74" s="198"/>
      <c r="W74" s="198"/>
      <c r="X74" s="198"/>
      <c r="Y74" s="198"/>
      <c r="Z74" s="198"/>
    </row>
    <row r="75" ht="12.75" customHeight="1">
      <c r="A75" s="419">
        <v>7410.0</v>
      </c>
      <c r="B75" s="420" t="s">
        <v>11091</v>
      </c>
      <c r="C75" s="420">
        <v>2008.0</v>
      </c>
      <c r="D75" s="497">
        <v>39597.0</v>
      </c>
      <c r="E75" s="420" t="s">
        <v>11092</v>
      </c>
      <c r="F75" s="420" t="s">
        <v>666</v>
      </c>
      <c r="G75" s="420" t="s">
        <v>17</v>
      </c>
      <c r="H75" s="420" t="s">
        <v>11093</v>
      </c>
      <c r="I75" s="497">
        <v>40451.0</v>
      </c>
      <c r="J75" s="422">
        <v>9.0</v>
      </c>
      <c r="K75" s="638" t="s">
        <v>234</v>
      </c>
      <c r="L75" s="422" t="s">
        <v>256</v>
      </c>
      <c r="M75" s="316">
        <f t="shared" si="1"/>
        <v>854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7510.0</v>
      </c>
      <c r="B76" s="426" t="s">
        <v>11094</v>
      </c>
      <c r="C76" s="426">
        <v>2008.0</v>
      </c>
      <c r="D76" s="500">
        <v>39785.0</v>
      </c>
      <c r="E76" s="426" t="s">
        <v>11095</v>
      </c>
      <c r="F76" s="426" t="s">
        <v>10914</v>
      </c>
      <c r="G76" s="426" t="s">
        <v>17</v>
      </c>
      <c r="H76" s="426" t="s">
        <v>1979</v>
      </c>
      <c r="I76" s="500">
        <v>40452.0</v>
      </c>
      <c r="J76" s="428">
        <v>10.0</v>
      </c>
      <c r="K76" s="637" t="s">
        <v>238</v>
      </c>
      <c r="L76" s="428" t="s">
        <v>258</v>
      </c>
      <c r="M76" s="319">
        <f t="shared" si="1"/>
        <v>667</v>
      </c>
      <c r="N76" s="198"/>
      <c r="O76" s="386" t="s">
        <v>219</v>
      </c>
      <c r="P76" s="332"/>
      <c r="Q76" s="332"/>
      <c r="R76" s="387"/>
      <c r="S76" s="388">
        <f>SUM(S64:S75)</f>
        <v>104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7610.0</v>
      </c>
      <c r="B77" s="420" t="s">
        <v>11096</v>
      </c>
      <c r="C77" s="420">
        <v>2007.0</v>
      </c>
      <c r="D77" s="497">
        <v>39351.0</v>
      </c>
      <c r="E77" s="420" t="s">
        <v>11097</v>
      </c>
      <c r="F77" s="420" t="s">
        <v>2780</v>
      </c>
      <c r="G77" s="420" t="s">
        <v>17</v>
      </c>
      <c r="H77" s="420" t="s">
        <v>10989</v>
      </c>
      <c r="I77" s="497">
        <v>40459.0</v>
      </c>
      <c r="J77" s="422">
        <v>10.0</v>
      </c>
      <c r="K77" s="637" t="s">
        <v>238</v>
      </c>
      <c r="L77" s="422" t="s">
        <v>256</v>
      </c>
      <c r="M77" s="316">
        <f t="shared" si="1"/>
        <v>1108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7710.0</v>
      </c>
      <c r="B78" s="426" t="s">
        <v>11098</v>
      </c>
      <c r="C78" s="426">
        <v>2009.0</v>
      </c>
      <c r="D78" s="500">
        <v>39834.0</v>
      </c>
      <c r="E78" s="426" t="s">
        <v>10988</v>
      </c>
      <c r="F78" s="426" t="s">
        <v>6595</v>
      </c>
      <c r="G78" s="426" t="s">
        <v>17</v>
      </c>
      <c r="H78" s="426" t="s">
        <v>1979</v>
      </c>
      <c r="I78" s="500">
        <v>40471.0</v>
      </c>
      <c r="J78" s="428">
        <v>10.0</v>
      </c>
      <c r="K78" s="635" t="s">
        <v>228</v>
      </c>
      <c r="L78" s="428" t="s">
        <v>258</v>
      </c>
      <c r="M78" s="319">
        <f t="shared" si="1"/>
        <v>637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419">
        <v>7810.0</v>
      </c>
      <c r="B79" s="420" t="s">
        <v>11099</v>
      </c>
      <c r="C79" s="420">
        <v>2008.0</v>
      </c>
      <c r="D79" s="497">
        <v>39547.0</v>
      </c>
      <c r="E79" s="420" t="s">
        <v>11100</v>
      </c>
      <c r="F79" s="420" t="s">
        <v>10972</v>
      </c>
      <c r="G79" s="420" t="s">
        <v>552</v>
      </c>
      <c r="H79" s="420" t="s">
        <v>4427</v>
      </c>
      <c r="I79" s="497">
        <v>40472.0</v>
      </c>
      <c r="J79" s="422">
        <v>10.0</v>
      </c>
      <c r="K79" s="637" t="s">
        <v>238</v>
      </c>
      <c r="L79" s="422" t="s">
        <v>258</v>
      </c>
      <c r="M79" s="316">
        <f t="shared" si="1"/>
        <v>925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7910.0</v>
      </c>
      <c r="B80" s="426" t="s">
        <v>11101</v>
      </c>
      <c r="C80" s="426">
        <v>2008.0</v>
      </c>
      <c r="D80" s="500">
        <v>39644.0</v>
      </c>
      <c r="E80" s="426" t="s">
        <v>11102</v>
      </c>
      <c r="F80" s="426" t="s">
        <v>10972</v>
      </c>
      <c r="G80" s="426" t="s">
        <v>552</v>
      </c>
      <c r="H80" s="426" t="s">
        <v>4427</v>
      </c>
      <c r="I80" s="500">
        <v>40472.0</v>
      </c>
      <c r="J80" s="428">
        <v>10.0</v>
      </c>
      <c r="K80" s="637" t="s">
        <v>238</v>
      </c>
      <c r="L80" s="428" t="s">
        <v>258</v>
      </c>
      <c r="M80" s="319">
        <f t="shared" si="1"/>
        <v>828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8010.0</v>
      </c>
      <c r="B81" s="420" t="s">
        <v>11103</v>
      </c>
      <c r="C81" s="420">
        <v>2008.0</v>
      </c>
      <c r="D81" s="497">
        <v>39681.0</v>
      </c>
      <c r="E81" s="420" t="s">
        <v>11104</v>
      </c>
      <c r="F81" s="420" t="s">
        <v>11105</v>
      </c>
      <c r="G81" s="420" t="s">
        <v>17</v>
      </c>
      <c r="H81" s="420" t="s">
        <v>10957</v>
      </c>
      <c r="I81" s="497">
        <v>40472.0</v>
      </c>
      <c r="J81" s="422">
        <v>10.0</v>
      </c>
      <c r="K81" s="635" t="s">
        <v>228</v>
      </c>
      <c r="L81" s="422" t="s">
        <v>254</v>
      </c>
      <c r="M81" s="316">
        <f t="shared" si="1"/>
        <v>791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9</v>
      </c>
      <c r="T81" s="395">
        <f>(S81/S85)</f>
        <v>0.08653846154</v>
      </c>
      <c r="U81" s="198"/>
      <c r="V81" s="198"/>
      <c r="W81" s="198"/>
      <c r="X81" s="198"/>
      <c r="Y81" s="198"/>
      <c r="Z81" s="198"/>
    </row>
    <row r="82" ht="13.5" customHeight="1">
      <c r="A82" s="425">
        <v>8110.0</v>
      </c>
      <c r="B82" s="426" t="s">
        <v>11106</v>
      </c>
      <c r="C82" s="426">
        <v>2006.0</v>
      </c>
      <c r="D82" s="500">
        <v>39001.0</v>
      </c>
      <c r="E82" s="426" t="s">
        <v>11107</v>
      </c>
      <c r="F82" s="426" t="s">
        <v>167</v>
      </c>
      <c r="G82" s="426" t="s">
        <v>17</v>
      </c>
      <c r="H82" s="426" t="s">
        <v>2272</v>
      </c>
      <c r="I82" s="500">
        <v>40472.0</v>
      </c>
      <c r="J82" s="428">
        <v>10.0</v>
      </c>
      <c r="K82" s="638" t="s">
        <v>234</v>
      </c>
      <c r="L82" s="428" t="s">
        <v>256</v>
      </c>
      <c r="M82" s="319">
        <f t="shared" si="1"/>
        <v>1471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41</v>
      </c>
      <c r="T82" s="398">
        <f>(S82/S85)</f>
        <v>0.3942307692</v>
      </c>
      <c r="U82" s="198"/>
      <c r="V82" s="198"/>
      <c r="W82" s="198"/>
      <c r="X82" s="198"/>
      <c r="Y82" s="198"/>
      <c r="Z82" s="198"/>
    </row>
    <row r="83" ht="13.5" customHeight="1">
      <c r="A83" s="419">
        <v>8210.0</v>
      </c>
      <c r="B83" s="420" t="s">
        <v>11108</v>
      </c>
      <c r="C83" s="420">
        <v>2009.0</v>
      </c>
      <c r="D83" s="497">
        <v>40135.0</v>
      </c>
      <c r="E83" s="420" t="s">
        <v>11109</v>
      </c>
      <c r="F83" s="420" t="s">
        <v>4157</v>
      </c>
      <c r="G83" s="420" t="s">
        <v>552</v>
      </c>
      <c r="H83" s="420" t="s">
        <v>1979</v>
      </c>
      <c r="I83" s="497">
        <v>40480.0</v>
      </c>
      <c r="J83" s="422">
        <v>10.0</v>
      </c>
      <c r="K83" s="635" t="s">
        <v>228</v>
      </c>
      <c r="L83" s="422" t="s">
        <v>256</v>
      </c>
      <c r="M83" s="316">
        <f t="shared" si="1"/>
        <v>345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50</v>
      </c>
      <c r="T83" s="395">
        <f>(S83/S85)</f>
        <v>0.4807692308</v>
      </c>
      <c r="U83" s="198"/>
      <c r="V83" s="198"/>
      <c r="W83" s="198"/>
      <c r="X83" s="198"/>
      <c r="Y83" s="198"/>
      <c r="Z83" s="198"/>
    </row>
    <row r="84" ht="14.25" customHeight="1">
      <c r="A84" s="425">
        <v>8310.0</v>
      </c>
      <c r="B84" s="426" t="s">
        <v>11110</v>
      </c>
      <c r="C84" s="426">
        <v>2008.0</v>
      </c>
      <c r="D84" s="500">
        <v>39758.0</v>
      </c>
      <c r="E84" s="426" t="s">
        <v>11111</v>
      </c>
      <c r="F84" s="426" t="s">
        <v>11112</v>
      </c>
      <c r="G84" s="426" t="s">
        <v>17</v>
      </c>
      <c r="H84" s="426" t="s">
        <v>1979</v>
      </c>
      <c r="I84" s="500">
        <v>40486.0</v>
      </c>
      <c r="J84" s="428">
        <v>11.0</v>
      </c>
      <c r="K84" s="638" t="s">
        <v>234</v>
      </c>
      <c r="L84" s="428" t="s">
        <v>256</v>
      </c>
      <c r="M84" s="319">
        <f t="shared" si="1"/>
        <v>728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4</v>
      </c>
      <c r="T84" s="398">
        <f>(S84/S85)</f>
        <v>0.03846153846</v>
      </c>
      <c r="U84" s="198"/>
      <c r="V84" s="198"/>
      <c r="W84" s="198"/>
      <c r="X84" s="198"/>
      <c r="Y84" s="198"/>
      <c r="Z84" s="198"/>
    </row>
    <row r="85" ht="12.75" customHeight="1">
      <c r="A85" s="419">
        <v>8410.0</v>
      </c>
      <c r="B85" s="420" t="s">
        <v>11113</v>
      </c>
      <c r="C85" s="420">
        <v>2009.0</v>
      </c>
      <c r="D85" s="497">
        <v>39843.0</v>
      </c>
      <c r="E85" s="420" t="s">
        <v>11114</v>
      </c>
      <c r="F85" s="420" t="s">
        <v>6595</v>
      </c>
      <c r="G85" s="420" t="s">
        <v>552</v>
      </c>
      <c r="H85" s="420" t="s">
        <v>10935</v>
      </c>
      <c r="I85" s="497">
        <v>40487.0</v>
      </c>
      <c r="J85" s="422">
        <v>11.0</v>
      </c>
      <c r="K85" s="637" t="s">
        <v>238</v>
      </c>
      <c r="L85" s="422" t="s">
        <v>258</v>
      </c>
      <c r="M85" s="316">
        <f t="shared" si="1"/>
        <v>644</v>
      </c>
      <c r="N85" s="198"/>
      <c r="O85" s="358" t="s">
        <v>219</v>
      </c>
      <c r="P85" s="359"/>
      <c r="Q85" s="359"/>
      <c r="R85" s="360"/>
      <c r="S85" s="388">
        <f>SUM(S81:S84)</f>
        <v>104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3.5" customHeight="1">
      <c r="A86" s="425">
        <v>8510.0</v>
      </c>
      <c r="B86" s="426" t="s">
        <v>11115</v>
      </c>
      <c r="C86" s="426">
        <v>2009.0</v>
      </c>
      <c r="D86" s="500">
        <v>40057.0</v>
      </c>
      <c r="E86" s="426" t="s">
        <v>11116</v>
      </c>
      <c r="F86" s="426" t="s">
        <v>739</v>
      </c>
      <c r="G86" s="426" t="s">
        <v>552</v>
      </c>
      <c r="H86" s="426" t="s">
        <v>10894</v>
      </c>
      <c r="I86" s="500">
        <v>40493.0</v>
      </c>
      <c r="J86" s="428">
        <v>11.0</v>
      </c>
      <c r="K86" s="635" t="s">
        <v>228</v>
      </c>
      <c r="L86" s="428" t="s">
        <v>258</v>
      </c>
      <c r="M86" s="319">
        <f t="shared" si="1"/>
        <v>436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419">
        <v>8610.0</v>
      </c>
      <c r="B87" s="420" t="s">
        <v>11117</v>
      </c>
      <c r="C87" s="420">
        <v>2008.0</v>
      </c>
      <c r="D87" s="497">
        <v>39744.0</v>
      </c>
      <c r="E87" s="420" t="s">
        <v>11118</v>
      </c>
      <c r="F87" s="420" t="s">
        <v>11105</v>
      </c>
      <c r="G87" s="420" t="s">
        <v>17</v>
      </c>
      <c r="H87" s="420" t="s">
        <v>4427</v>
      </c>
      <c r="I87" s="497">
        <v>40493.0</v>
      </c>
      <c r="J87" s="422">
        <v>11.0</v>
      </c>
      <c r="K87" s="635" t="s">
        <v>228</v>
      </c>
      <c r="L87" s="422" t="s">
        <v>254</v>
      </c>
      <c r="M87" s="316">
        <f t="shared" si="1"/>
        <v>749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425">
        <v>8710.0</v>
      </c>
      <c r="B88" s="426" t="s">
        <v>11119</v>
      </c>
      <c r="C88" s="426">
        <v>2009.0</v>
      </c>
      <c r="D88" s="500">
        <v>39902.0</v>
      </c>
      <c r="E88" s="426" t="s">
        <v>11120</v>
      </c>
      <c r="F88" s="426" t="s">
        <v>2873</v>
      </c>
      <c r="G88" s="426" t="s">
        <v>17</v>
      </c>
      <c r="H88" s="426" t="s">
        <v>11121</v>
      </c>
      <c r="I88" s="500">
        <v>40493.0</v>
      </c>
      <c r="J88" s="428">
        <v>11.0</v>
      </c>
      <c r="K88" s="635" t="s">
        <v>228</v>
      </c>
      <c r="L88" s="428" t="s">
        <v>258</v>
      </c>
      <c r="M88" s="319">
        <f t="shared" si="1"/>
        <v>591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3.5" customHeight="1">
      <c r="A89" s="419">
        <v>8810.0</v>
      </c>
      <c r="B89" s="420" t="s">
        <v>11122</v>
      </c>
      <c r="C89" s="420">
        <v>1999.0</v>
      </c>
      <c r="D89" s="497">
        <v>36378.0</v>
      </c>
      <c r="E89" s="420" t="s">
        <v>11123</v>
      </c>
      <c r="F89" s="420" t="s">
        <v>6595</v>
      </c>
      <c r="G89" s="420" t="s">
        <v>650</v>
      </c>
      <c r="H89" s="420" t="s">
        <v>2325</v>
      </c>
      <c r="I89" s="497">
        <v>40493.0</v>
      </c>
      <c r="J89" s="422">
        <v>11.0</v>
      </c>
      <c r="K89" s="638" t="s">
        <v>234</v>
      </c>
      <c r="L89" s="422" t="s">
        <v>258</v>
      </c>
      <c r="M89" s="316">
        <f t="shared" si="1"/>
        <v>4115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3.5" customHeight="1">
      <c r="A90" s="425">
        <v>8910.0</v>
      </c>
      <c r="B90" s="426" t="s">
        <v>11124</v>
      </c>
      <c r="C90" s="426">
        <v>2006.0</v>
      </c>
      <c r="D90" s="500">
        <v>38887.0</v>
      </c>
      <c r="E90" s="426" t="s">
        <v>11125</v>
      </c>
      <c r="F90" s="426" t="s">
        <v>6595</v>
      </c>
      <c r="G90" s="426" t="s">
        <v>46</v>
      </c>
      <c r="H90" s="426" t="s">
        <v>11126</v>
      </c>
      <c r="I90" s="500">
        <v>40493.0</v>
      </c>
      <c r="J90" s="428">
        <v>11.0</v>
      </c>
      <c r="K90" s="638" t="s">
        <v>234</v>
      </c>
      <c r="L90" s="428" t="s">
        <v>258</v>
      </c>
      <c r="M90" s="319">
        <f t="shared" si="1"/>
        <v>1606</v>
      </c>
      <c r="N90" s="198"/>
      <c r="O90" s="412" t="s">
        <v>270</v>
      </c>
      <c r="P90" s="413">
        <f>AVERAGEIF(G2:G476,"PT",M2:M476)</f>
        <v>1790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3.5" customHeight="1">
      <c r="A91" s="419">
        <v>9010.0</v>
      </c>
      <c r="B91" s="420" t="s">
        <v>11127</v>
      </c>
      <c r="C91" s="420">
        <v>2008.0</v>
      </c>
      <c r="D91" s="497">
        <v>39749.0</v>
      </c>
      <c r="E91" s="420" t="s">
        <v>11128</v>
      </c>
      <c r="F91" s="420" t="s">
        <v>11129</v>
      </c>
      <c r="G91" s="420" t="s">
        <v>552</v>
      </c>
      <c r="H91" s="420" t="s">
        <v>11093</v>
      </c>
      <c r="I91" s="497">
        <v>40493.0</v>
      </c>
      <c r="J91" s="422">
        <v>11.0</v>
      </c>
      <c r="K91" s="637" t="s">
        <v>238</v>
      </c>
      <c r="L91" s="422" t="s">
        <v>258</v>
      </c>
      <c r="M91" s="316">
        <f t="shared" si="1"/>
        <v>744</v>
      </c>
      <c r="N91" s="198"/>
      <c r="O91" s="414" t="s">
        <v>34</v>
      </c>
      <c r="P91" s="415" t="str">
        <f>AVERAGEIF(G2:G477,"PTN",M2:M477)</f>
        <v>#DIV/0!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4.25" customHeight="1">
      <c r="A92" s="425">
        <v>9110.0</v>
      </c>
      <c r="B92" s="426" t="s">
        <v>11130</v>
      </c>
      <c r="C92" s="426">
        <v>2009.0</v>
      </c>
      <c r="D92" s="500">
        <v>39853.0</v>
      </c>
      <c r="E92" s="426" t="s">
        <v>11131</v>
      </c>
      <c r="F92" s="426" t="s">
        <v>11132</v>
      </c>
      <c r="G92" s="426" t="s">
        <v>552</v>
      </c>
      <c r="H92" s="426" t="s">
        <v>11133</v>
      </c>
      <c r="I92" s="500">
        <v>40493.0</v>
      </c>
      <c r="J92" s="428">
        <v>11.0</v>
      </c>
      <c r="K92" s="638" t="s">
        <v>234</v>
      </c>
      <c r="L92" s="428" t="s">
        <v>258</v>
      </c>
      <c r="M92" s="319">
        <f t="shared" si="1"/>
        <v>640</v>
      </c>
      <c r="N92" s="198"/>
      <c r="O92" s="412" t="s">
        <v>17</v>
      </c>
      <c r="P92" s="413">
        <f>AVERAGEIF(G2:G476,"PTE",M2:M476)</f>
        <v>779.5428571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9210.0</v>
      </c>
      <c r="B93" s="420" t="s">
        <v>11134</v>
      </c>
      <c r="C93" s="420">
        <v>2008.0</v>
      </c>
      <c r="D93" s="497">
        <v>39765.0</v>
      </c>
      <c r="E93" s="420" t="s">
        <v>11135</v>
      </c>
      <c r="F93" s="420" t="s">
        <v>11136</v>
      </c>
      <c r="G93" s="420" t="s">
        <v>650</v>
      </c>
      <c r="H93" s="420" t="s">
        <v>2272</v>
      </c>
      <c r="I93" s="497">
        <v>40493.0</v>
      </c>
      <c r="J93" s="422">
        <v>11.0</v>
      </c>
      <c r="K93" s="637" t="s">
        <v>238</v>
      </c>
      <c r="L93" s="422" t="s">
        <v>256</v>
      </c>
      <c r="M93" s="316">
        <f t="shared" si="1"/>
        <v>728</v>
      </c>
      <c r="N93" s="198"/>
      <c r="O93" s="414" t="s">
        <v>46</v>
      </c>
      <c r="P93" s="415">
        <f>AVERAGEIF(G2:G476,"Pré-Mistura",M2:M476)</f>
        <v>1734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9310.0</v>
      </c>
      <c r="B94" s="426" t="s">
        <v>11137</v>
      </c>
      <c r="C94" s="426">
        <v>2008.0</v>
      </c>
      <c r="D94" s="500">
        <v>39609.0</v>
      </c>
      <c r="E94" s="426" t="s">
        <v>11138</v>
      </c>
      <c r="F94" s="426" t="s">
        <v>11139</v>
      </c>
      <c r="G94" s="426" t="s">
        <v>650</v>
      </c>
      <c r="H94" s="426" t="s">
        <v>2272</v>
      </c>
      <c r="I94" s="500">
        <v>40499.0</v>
      </c>
      <c r="J94" s="428">
        <v>11.0</v>
      </c>
      <c r="K94" s="635" t="s">
        <v>228</v>
      </c>
      <c r="L94" s="428" t="s">
        <v>256</v>
      </c>
      <c r="M94" s="319">
        <f t="shared" si="1"/>
        <v>890</v>
      </c>
      <c r="N94" s="198"/>
      <c r="O94" s="412" t="s">
        <v>650</v>
      </c>
      <c r="P94" s="413">
        <f>AVERAGEIF(G2:G476,"PF",M2:M476)</f>
        <v>1897.423077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3.5" customHeight="1">
      <c r="A95" s="419">
        <v>9410.0</v>
      </c>
      <c r="B95" s="420" t="s">
        <v>11140</v>
      </c>
      <c r="C95" s="420">
        <v>2008.0</v>
      </c>
      <c r="D95" s="497">
        <v>39685.0</v>
      </c>
      <c r="E95" s="420" t="s">
        <v>11141</v>
      </c>
      <c r="F95" s="420" t="s">
        <v>10893</v>
      </c>
      <c r="G95" s="420" t="s">
        <v>17</v>
      </c>
      <c r="H95" s="420" t="s">
        <v>11142</v>
      </c>
      <c r="I95" s="497">
        <v>40514.0</v>
      </c>
      <c r="J95" s="422">
        <v>12.0</v>
      </c>
      <c r="K95" s="635" t="s">
        <v>228</v>
      </c>
      <c r="L95" s="422" t="s">
        <v>258</v>
      </c>
      <c r="M95" s="316">
        <f t="shared" si="1"/>
        <v>829</v>
      </c>
      <c r="N95" s="198"/>
      <c r="O95" s="414" t="s">
        <v>547</v>
      </c>
      <c r="P95" s="415">
        <f>AVERAGEIF(G2:G476,"PFN",M2:M476)</f>
        <v>463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3.5" customHeight="1">
      <c r="A96" s="425">
        <v>9510.0</v>
      </c>
      <c r="B96" s="426" t="s">
        <v>11143</v>
      </c>
      <c r="C96" s="426">
        <v>2008.0</v>
      </c>
      <c r="D96" s="500">
        <v>39699.0</v>
      </c>
      <c r="E96" s="426" t="s">
        <v>11144</v>
      </c>
      <c r="F96" s="426" t="s">
        <v>10893</v>
      </c>
      <c r="G96" s="426" t="s">
        <v>17</v>
      </c>
      <c r="H96" s="426" t="s">
        <v>11121</v>
      </c>
      <c r="I96" s="500">
        <v>40514.0</v>
      </c>
      <c r="J96" s="428">
        <v>12.0</v>
      </c>
      <c r="K96" s="635" t="s">
        <v>228</v>
      </c>
      <c r="L96" s="428" t="s">
        <v>258</v>
      </c>
      <c r="M96" s="319">
        <f t="shared" si="1"/>
        <v>815</v>
      </c>
      <c r="N96" s="198"/>
      <c r="O96" s="412" t="s">
        <v>552</v>
      </c>
      <c r="P96" s="413">
        <f>AVERAGEIF(G2:G476,"PF/PTE",M2:M476)</f>
        <v>951.5588235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9610.0</v>
      </c>
      <c r="B97" s="420" t="s">
        <v>11145</v>
      </c>
      <c r="C97" s="420">
        <v>2008.0</v>
      </c>
      <c r="D97" s="497">
        <v>39735.0</v>
      </c>
      <c r="E97" s="420" t="s">
        <v>11146</v>
      </c>
      <c r="F97" s="420" t="s">
        <v>10914</v>
      </c>
      <c r="G97" s="420" t="s">
        <v>17</v>
      </c>
      <c r="H97" s="420" t="s">
        <v>11147</v>
      </c>
      <c r="I97" s="497">
        <v>40520.0</v>
      </c>
      <c r="J97" s="422">
        <v>12.0</v>
      </c>
      <c r="K97" s="637" t="s">
        <v>238</v>
      </c>
      <c r="L97" s="422" t="s">
        <v>258</v>
      </c>
      <c r="M97" s="316">
        <f t="shared" si="1"/>
        <v>785</v>
      </c>
      <c r="N97" s="198"/>
      <c r="O97" s="414" t="s">
        <v>565</v>
      </c>
      <c r="P97" s="415">
        <f>AVERAGEIF(G2:G476,"Bio",M2:M476)</f>
        <v>658.25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9710.0</v>
      </c>
      <c r="B98" s="426" t="s">
        <v>11148</v>
      </c>
      <c r="C98" s="426">
        <v>2009.0</v>
      </c>
      <c r="D98" s="500">
        <v>39966.0</v>
      </c>
      <c r="E98" s="426" t="s">
        <v>11149</v>
      </c>
      <c r="F98" s="426" t="s">
        <v>11150</v>
      </c>
      <c r="G98" s="426" t="s">
        <v>552</v>
      </c>
      <c r="H98" s="426" t="s">
        <v>583</v>
      </c>
      <c r="I98" s="500">
        <v>40522.0</v>
      </c>
      <c r="J98" s="428">
        <v>12.0</v>
      </c>
      <c r="K98" s="635" t="s">
        <v>228</v>
      </c>
      <c r="L98" s="428" t="s">
        <v>256</v>
      </c>
      <c r="M98" s="319">
        <f t="shared" si="1"/>
        <v>556</v>
      </c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9810.0</v>
      </c>
      <c r="B99" s="420" t="s">
        <v>11151</v>
      </c>
      <c r="C99" s="420">
        <v>2009.0</v>
      </c>
      <c r="D99" s="497">
        <v>39981.0</v>
      </c>
      <c r="E99" s="420" t="s">
        <v>11152</v>
      </c>
      <c r="F99" s="420" t="s">
        <v>11150</v>
      </c>
      <c r="G99" s="420" t="s">
        <v>552</v>
      </c>
      <c r="H99" s="420" t="s">
        <v>583</v>
      </c>
      <c r="I99" s="497">
        <v>40522.0</v>
      </c>
      <c r="J99" s="422">
        <v>12.0</v>
      </c>
      <c r="K99" s="635" t="s">
        <v>228</v>
      </c>
      <c r="L99" s="422" t="s">
        <v>256</v>
      </c>
      <c r="M99" s="316">
        <f t="shared" si="1"/>
        <v>541</v>
      </c>
      <c r="N99" s="198"/>
      <c r="O99" s="416" t="s">
        <v>275</v>
      </c>
      <c r="P99" s="417">
        <f>AVERAGE(M2:M494)</f>
        <v>1145.326923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9910.0</v>
      </c>
      <c r="B100" s="426" t="s">
        <v>11153</v>
      </c>
      <c r="C100" s="426">
        <v>2009.0</v>
      </c>
      <c r="D100" s="500">
        <v>40057.0</v>
      </c>
      <c r="E100" s="426" t="s">
        <v>11154</v>
      </c>
      <c r="F100" s="426" t="s">
        <v>6595</v>
      </c>
      <c r="G100" s="426" t="s">
        <v>552</v>
      </c>
      <c r="H100" s="426" t="s">
        <v>66</v>
      </c>
      <c r="I100" s="500">
        <v>40528.0</v>
      </c>
      <c r="J100" s="428">
        <v>12.0</v>
      </c>
      <c r="K100" s="637" t="s">
        <v>238</v>
      </c>
      <c r="L100" s="428" t="s">
        <v>258</v>
      </c>
      <c r="M100" s="319">
        <f t="shared" si="1"/>
        <v>471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10010.0</v>
      </c>
      <c r="B101" s="420" t="s">
        <v>11155</v>
      </c>
      <c r="C101" s="420">
        <v>2010.0</v>
      </c>
      <c r="D101" s="497">
        <v>39099.0</v>
      </c>
      <c r="E101" s="420" t="s">
        <v>11156</v>
      </c>
      <c r="F101" s="420" t="s">
        <v>1150</v>
      </c>
      <c r="G101" s="420" t="s">
        <v>552</v>
      </c>
      <c r="H101" s="420" t="s">
        <v>66</v>
      </c>
      <c r="I101" s="497">
        <v>40528.0</v>
      </c>
      <c r="J101" s="422">
        <v>12.0</v>
      </c>
      <c r="K101" s="635" t="s">
        <v>228</v>
      </c>
      <c r="L101" s="422" t="s">
        <v>256</v>
      </c>
      <c r="M101" s="316">
        <f t="shared" si="1"/>
        <v>1429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10110.0</v>
      </c>
      <c r="B102" s="426" t="s">
        <v>11157</v>
      </c>
      <c r="C102" s="426">
        <v>2009.0</v>
      </c>
      <c r="D102" s="500">
        <v>39987.0</v>
      </c>
      <c r="E102" s="426" t="s">
        <v>11158</v>
      </c>
      <c r="F102" s="426" t="s">
        <v>1203</v>
      </c>
      <c r="G102" s="426" t="s">
        <v>650</v>
      </c>
      <c r="H102" s="426" t="s">
        <v>5180</v>
      </c>
      <c r="I102" s="500">
        <v>40533.0</v>
      </c>
      <c r="J102" s="428">
        <v>12.0</v>
      </c>
      <c r="K102" s="635" t="s">
        <v>228</v>
      </c>
      <c r="L102" s="428" t="s">
        <v>256</v>
      </c>
      <c r="M102" s="319">
        <f t="shared" si="1"/>
        <v>546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10210.0</v>
      </c>
      <c r="B103" s="420" t="s">
        <v>11159</v>
      </c>
      <c r="C103" s="420">
        <v>2009.0</v>
      </c>
      <c r="D103" s="497">
        <v>39925.0</v>
      </c>
      <c r="E103" s="420" t="s">
        <v>11160</v>
      </c>
      <c r="F103" s="420" t="s">
        <v>65</v>
      </c>
      <c r="G103" s="420" t="s">
        <v>552</v>
      </c>
      <c r="H103" s="420" t="s">
        <v>596</v>
      </c>
      <c r="I103" s="497">
        <v>40533.0</v>
      </c>
      <c r="J103" s="422">
        <v>12.0</v>
      </c>
      <c r="K103" s="638" t="s">
        <v>234</v>
      </c>
      <c r="L103" s="422" t="s">
        <v>256</v>
      </c>
      <c r="M103" s="316">
        <f t="shared" si="1"/>
        <v>608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10310.0</v>
      </c>
      <c r="B104" s="426" t="s">
        <v>11161</v>
      </c>
      <c r="C104" s="426">
        <v>2007.0</v>
      </c>
      <c r="D104" s="500">
        <v>39185.0</v>
      </c>
      <c r="E104" s="426" t="s">
        <v>11162</v>
      </c>
      <c r="F104" s="426" t="s">
        <v>11046</v>
      </c>
      <c r="G104" s="426" t="s">
        <v>650</v>
      </c>
      <c r="H104" s="426" t="s">
        <v>5180</v>
      </c>
      <c r="I104" s="500">
        <v>40533.0</v>
      </c>
      <c r="J104" s="428">
        <v>12.0</v>
      </c>
      <c r="K104" s="637" t="s">
        <v>238</v>
      </c>
      <c r="L104" s="428" t="s">
        <v>258</v>
      </c>
      <c r="M104" s="319">
        <f t="shared" si="1"/>
        <v>1348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10410.0</v>
      </c>
      <c r="B105" s="420" t="s">
        <v>11163</v>
      </c>
      <c r="C105" s="420">
        <v>2009.0</v>
      </c>
      <c r="D105" s="497">
        <v>39834.0</v>
      </c>
      <c r="E105" s="420" t="s">
        <v>11164</v>
      </c>
      <c r="F105" s="420" t="s">
        <v>4263</v>
      </c>
      <c r="G105" s="420" t="s">
        <v>17</v>
      </c>
      <c r="H105" s="420" t="s">
        <v>66</v>
      </c>
      <c r="I105" s="497">
        <v>40542.0</v>
      </c>
      <c r="J105" s="422">
        <v>12.0</v>
      </c>
      <c r="K105" s="638" t="s">
        <v>234</v>
      </c>
      <c r="L105" s="422" t="s">
        <v>256</v>
      </c>
      <c r="M105" s="316">
        <f t="shared" si="1"/>
        <v>708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198"/>
      <c r="C106" s="198"/>
      <c r="D106" s="615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hidden="1" customHeight="1">
      <c r="A107" s="660"/>
      <c r="B107" s="660"/>
      <c r="C107" s="660"/>
      <c r="D107" s="661"/>
      <c r="E107" s="662"/>
      <c r="F107" s="662"/>
      <c r="G107" s="662"/>
      <c r="H107" s="662"/>
      <c r="I107" s="661"/>
      <c r="J107" s="663"/>
      <c r="K107" s="663"/>
      <c r="L107" s="663"/>
      <c r="M107" s="664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hidden="1" customHeight="1">
      <c r="A108" s="660"/>
      <c r="B108" s="660"/>
      <c r="C108" s="660"/>
      <c r="D108" s="661"/>
      <c r="E108" s="662"/>
      <c r="F108" s="662"/>
      <c r="G108" s="662"/>
      <c r="H108" s="662"/>
      <c r="I108" s="661"/>
      <c r="J108" s="663"/>
      <c r="K108" s="663"/>
      <c r="L108" s="663"/>
      <c r="M108" s="664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hidden="1" customHeight="1">
      <c r="A109" s="660"/>
      <c r="B109" s="660"/>
      <c r="C109" s="660"/>
      <c r="D109" s="661"/>
      <c r="E109" s="662"/>
      <c r="F109" s="662"/>
      <c r="G109" s="662"/>
      <c r="H109" s="662"/>
      <c r="I109" s="661"/>
      <c r="J109" s="663"/>
      <c r="K109" s="663"/>
      <c r="L109" s="663"/>
      <c r="M109" s="664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hidden="1" customHeight="1">
      <c r="A110" s="660"/>
      <c r="B110" s="660"/>
      <c r="C110" s="660"/>
      <c r="D110" s="661"/>
      <c r="E110" s="662"/>
      <c r="F110" s="662"/>
      <c r="G110" s="662"/>
      <c r="H110" s="662"/>
      <c r="I110" s="661"/>
      <c r="J110" s="663"/>
      <c r="K110" s="663"/>
      <c r="L110" s="663"/>
      <c r="M110" s="664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hidden="1" customHeight="1">
      <c r="A111" s="660"/>
      <c r="B111" s="660"/>
      <c r="C111" s="660"/>
      <c r="D111" s="661"/>
      <c r="E111" s="662"/>
      <c r="F111" s="662"/>
      <c r="G111" s="662"/>
      <c r="H111" s="662"/>
      <c r="I111" s="661"/>
      <c r="J111" s="663"/>
      <c r="K111" s="663"/>
      <c r="L111" s="663"/>
      <c r="M111" s="664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hidden="1" customHeight="1">
      <c r="A112" s="660"/>
      <c r="B112" s="660"/>
      <c r="C112" s="660"/>
      <c r="D112" s="661"/>
      <c r="E112" s="662"/>
      <c r="F112" s="662"/>
      <c r="G112" s="662"/>
      <c r="H112" s="662"/>
      <c r="I112" s="661"/>
      <c r="J112" s="663"/>
      <c r="K112" s="663"/>
      <c r="L112" s="663"/>
      <c r="M112" s="664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hidden="1" customHeight="1">
      <c r="A113" s="660"/>
      <c r="B113" s="660"/>
      <c r="C113" s="660"/>
      <c r="D113" s="661"/>
      <c r="E113" s="662"/>
      <c r="F113" s="662"/>
      <c r="G113" s="662"/>
      <c r="H113" s="662"/>
      <c r="I113" s="661"/>
      <c r="J113" s="663"/>
      <c r="K113" s="663"/>
      <c r="L113" s="663"/>
      <c r="M113" s="664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hidden="1" customHeight="1">
      <c r="A114" s="660"/>
      <c r="B114" s="660"/>
      <c r="C114" s="660"/>
      <c r="D114" s="661"/>
      <c r="E114" s="662"/>
      <c r="F114" s="662"/>
      <c r="G114" s="662"/>
      <c r="H114" s="662"/>
      <c r="I114" s="661"/>
      <c r="J114" s="662"/>
      <c r="K114" s="662"/>
      <c r="L114" s="662"/>
      <c r="M114" s="664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hidden="1" customHeight="1">
      <c r="A115" s="660"/>
      <c r="B115" s="660"/>
      <c r="C115" s="660"/>
      <c r="D115" s="661"/>
      <c r="E115" s="662"/>
      <c r="F115" s="662"/>
      <c r="G115" s="662"/>
      <c r="H115" s="662"/>
      <c r="I115" s="661"/>
      <c r="J115" s="662"/>
      <c r="K115" s="662"/>
      <c r="L115" s="662"/>
      <c r="M115" s="664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hidden="1" customHeight="1">
      <c r="A116" s="665"/>
      <c r="B116" s="665"/>
      <c r="C116" s="665"/>
      <c r="D116" s="666"/>
      <c r="E116" s="256"/>
      <c r="F116" s="256"/>
      <c r="G116" s="256"/>
      <c r="H116" s="256"/>
      <c r="I116" s="666"/>
      <c r="J116" s="256"/>
      <c r="K116" s="256"/>
      <c r="L116" s="256"/>
      <c r="M116" s="667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hidden="1" customHeight="1">
      <c r="A117" s="665"/>
      <c r="B117" s="665"/>
      <c r="C117" s="665"/>
      <c r="D117" s="666"/>
      <c r="E117" s="256"/>
      <c r="F117" s="256"/>
      <c r="G117" s="256"/>
      <c r="H117" s="256"/>
      <c r="I117" s="666"/>
      <c r="J117" s="256"/>
      <c r="K117" s="256"/>
      <c r="L117" s="256"/>
      <c r="M117" s="667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hidden="1" customHeight="1">
      <c r="A118" s="665"/>
      <c r="B118" s="665"/>
      <c r="C118" s="665"/>
      <c r="D118" s="666"/>
      <c r="E118" s="256"/>
      <c r="F118" s="256"/>
      <c r="G118" s="256"/>
      <c r="H118" s="256"/>
      <c r="I118" s="666"/>
      <c r="J118" s="256"/>
      <c r="K118" s="256"/>
      <c r="L118" s="256"/>
      <c r="M118" s="66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hidden="1" customHeight="1">
      <c r="A119" s="665"/>
      <c r="B119" s="665"/>
      <c r="C119" s="665"/>
      <c r="D119" s="666"/>
      <c r="E119" s="256"/>
      <c r="F119" s="256"/>
      <c r="G119" s="256"/>
      <c r="H119" s="256"/>
      <c r="I119" s="666"/>
      <c r="J119" s="256"/>
      <c r="K119" s="256"/>
      <c r="L119" s="256"/>
      <c r="M119" s="667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hidden="1" customHeight="1">
      <c r="A120" s="665"/>
      <c r="B120" s="665"/>
      <c r="C120" s="665"/>
      <c r="D120" s="666"/>
      <c r="E120" s="256"/>
      <c r="F120" s="256"/>
      <c r="G120" s="256"/>
      <c r="H120" s="256"/>
      <c r="I120" s="666"/>
      <c r="J120" s="256"/>
      <c r="K120" s="256"/>
      <c r="L120" s="256"/>
      <c r="M120" s="667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hidden="1" customHeight="1">
      <c r="A121" s="665"/>
      <c r="B121" s="665"/>
      <c r="C121" s="665"/>
      <c r="D121" s="666"/>
      <c r="E121" s="256"/>
      <c r="F121" s="256"/>
      <c r="G121" s="256"/>
      <c r="H121" s="256"/>
      <c r="I121" s="666"/>
      <c r="J121" s="256"/>
      <c r="K121" s="256"/>
      <c r="L121" s="256"/>
      <c r="M121" s="66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hidden="1" customHeight="1">
      <c r="A122" s="665"/>
      <c r="B122" s="665"/>
      <c r="C122" s="665"/>
      <c r="D122" s="666"/>
      <c r="E122" s="256"/>
      <c r="F122" s="256"/>
      <c r="G122" s="256"/>
      <c r="H122" s="256"/>
      <c r="I122" s="666"/>
      <c r="J122" s="256"/>
      <c r="K122" s="256"/>
      <c r="L122" s="256"/>
      <c r="M122" s="667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hidden="1" customHeight="1">
      <c r="A123" s="665"/>
      <c r="B123" s="665"/>
      <c r="C123" s="665"/>
      <c r="D123" s="666"/>
      <c r="E123" s="256"/>
      <c r="F123" s="256"/>
      <c r="G123" s="256"/>
      <c r="H123" s="256"/>
      <c r="I123" s="666"/>
      <c r="J123" s="256"/>
      <c r="K123" s="256"/>
      <c r="L123" s="256"/>
      <c r="M123" s="667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hidden="1" customHeight="1">
      <c r="A124" s="665"/>
      <c r="B124" s="665"/>
      <c r="C124" s="665"/>
      <c r="D124" s="666"/>
      <c r="E124" s="256"/>
      <c r="F124" s="256"/>
      <c r="G124" s="256"/>
      <c r="H124" s="256"/>
      <c r="I124" s="666"/>
      <c r="J124" s="256"/>
      <c r="K124" s="256"/>
      <c r="L124" s="256"/>
      <c r="M124" s="66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hidden="1" customHeight="1">
      <c r="A125" s="665"/>
      <c r="B125" s="665"/>
      <c r="C125" s="665"/>
      <c r="D125" s="666"/>
      <c r="E125" s="256"/>
      <c r="F125" s="256"/>
      <c r="G125" s="256"/>
      <c r="H125" s="256"/>
      <c r="I125" s="666"/>
      <c r="J125" s="256"/>
      <c r="K125" s="256"/>
      <c r="L125" s="256"/>
      <c r="M125" s="667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hidden="1" customHeight="1">
      <c r="A126" s="665"/>
      <c r="B126" s="665"/>
      <c r="C126" s="665"/>
      <c r="D126" s="666"/>
      <c r="E126" s="256"/>
      <c r="F126" s="256"/>
      <c r="G126" s="256"/>
      <c r="H126" s="256"/>
      <c r="I126" s="666"/>
      <c r="J126" s="256"/>
      <c r="K126" s="256"/>
      <c r="L126" s="256"/>
      <c r="M126" s="667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hidden="1" customHeight="1">
      <c r="A127" s="665"/>
      <c r="B127" s="665"/>
      <c r="C127" s="665"/>
      <c r="D127" s="666"/>
      <c r="E127" s="256"/>
      <c r="F127" s="256"/>
      <c r="G127" s="256"/>
      <c r="H127" s="256"/>
      <c r="I127" s="666"/>
      <c r="J127" s="256"/>
      <c r="K127" s="256"/>
      <c r="L127" s="256"/>
      <c r="M127" s="66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hidden="1" customHeight="1">
      <c r="A128" s="665"/>
      <c r="B128" s="665"/>
      <c r="C128" s="665"/>
      <c r="D128" s="666"/>
      <c r="E128" s="256"/>
      <c r="F128" s="256"/>
      <c r="G128" s="256"/>
      <c r="H128" s="256"/>
      <c r="I128" s="666"/>
      <c r="J128" s="256"/>
      <c r="K128" s="256"/>
      <c r="L128" s="256"/>
      <c r="M128" s="667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hidden="1" customHeight="1">
      <c r="A129" s="665"/>
      <c r="B129" s="665"/>
      <c r="C129" s="665"/>
      <c r="D129" s="666"/>
      <c r="E129" s="256"/>
      <c r="F129" s="256"/>
      <c r="G129" s="256"/>
      <c r="H129" s="256"/>
      <c r="I129" s="666"/>
      <c r="J129" s="256"/>
      <c r="K129" s="256"/>
      <c r="L129" s="256"/>
      <c r="M129" s="667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hidden="1" customHeight="1">
      <c r="A130" s="665"/>
      <c r="B130" s="665"/>
      <c r="C130" s="665"/>
      <c r="D130" s="666"/>
      <c r="E130" s="256"/>
      <c r="F130" s="256"/>
      <c r="G130" s="256"/>
      <c r="H130" s="256"/>
      <c r="I130" s="666"/>
      <c r="J130" s="256"/>
      <c r="K130" s="256"/>
      <c r="L130" s="256"/>
      <c r="M130" s="66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hidden="1" customHeight="1">
      <c r="A131" s="665"/>
      <c r="B131" s="665"/>
      <c r="C131" s="665"/>
      <c r="D131" s="666"/>
      <c r="E131" s="256"/>
      <c r="F131" s="256"/>
      <c r="G131" s="256"/>
      <c r="H131" s="256"/>
      <c r="I131" s="666"/>
      <c r="J131" s="256"/>
      <c r="K131" s="256"/>
      <c r="L131" s="256"/>
      <c r="M131" s="667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hidden="1" customHeight="1">
      <c r="A132" s="665"/>
      <c r="B132" s="665"/>
      <c r="C132" s="665"/>
      <c r="D132" s="666"/>
      <c r="E132" s="256"/>
      <c r="F132" s="256"/>
      <c r="G132" s="256"/>
      <c r="H132" s="256"/>
      <c r="I132" s="666"/>
      <c r="J132" s="256"/>
      <c r="K132" s="256"/>
      <c r="L132" s="256"/>
      <c r="M132" s="667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hidden="1" customHeight="1">
      <c r="A133" s="665"/>
      <c r="B133" s="665"/>
      <c r="C133" s="665"/>
      <c r="D133" s="666"/>
      <c r="E133" s="256"/>
      <c r="F133" s="256"/>
      <c r="G133" s="256"/>
      <c r="H133" s="256"/>
      <c r="I133" s="666"/>
      <c r="J133" s="256"/>
      <c r="K133" s="256"/>
      <c r="L133" s="256"/>
      <c r="M133" s="66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hidden="1" customHeight="1">
      <c r="A134" s="665"/>
      <c r="B134" s="665"/>
      <c r="C134" s="665"/>
      <c r="D134" s="666"/>
      <c r="E134" s="256"/>
      <c r="F134" s="256"/>
      <c r="G134" s="256"/>
      <c r="H134" s="256"/>
      <c r="I134" s="666"/>
      <c r="J134" s="256"/>
      <c r="K134" s="256"/>
      <c r="L134" s="256"/>
      <c r="M134" s="667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hidden="1" customHeight="1">
      <c r="A135" s="665"/>
      <c r="B135" s="665"/>
      <c r="C135" s="665"/>
      <c r="D135" s="666"/>
      <c r="E135" s="256"/>
      <c r="F135" s="256"/>
      <c r="G135" s="256"/>
      <c r="H135" s="256"/>
      <c r="I135" s="666"/>
      <c r="J135" s="256"/>
      <c r="K135" s="256"/>
      <c r="L135" s="256"/>
      <c r="M135" s="667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hidden="1" customHeight="1">
      <c r="A136" s="665"/>
      <c r="B136" s="665"/>
      <c r="C136" s="665"/>
      <c r="D136" s="666"/>
      <c r="E136" s="256"/>
      <c r="F136" s="256"/>
      <c r="G136" s="256"/>
      <c r="H136" s="256"/>
      <c r="I136" s="666"/>
      <c r="J136" s="256"/>
      <c r="K136" s="256"/>
      <c r="L136" s="256"/>
      <c r="M136" s="66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hidden="1" customHeight="1">
      <c r="A137" s="665"/>
      <c r="B137" s="665"/>
      <c r="C137" s="665"/>
      <c r="D137" s="666"/>
      <c r="E137" s="256"/>
      <c r="F137" s="256"/>
      <c r="G137" s="256"/>
      <c r="H137" s="256"/>
      <c r="I137" s="666"/>
      <c r="J137" s="256"/>
      <c r="K137" s="256"/>
      <c r="L137" s="256"/>
      <c r="M137" s="667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hidden="1" customHeight="1">
      <c r="A138" s="665"/>
      <c r="B138" s="665"/>
      <c r="C138" s="665"/>
      <c r="D138" s="666"/>
      <c r="E138" s="256"/>
      <c r="F138" s="256"/>
      <c r="G138" s="256"/>
      <c r="H138" s="256"/>
      <c r="I138" s="666"/>
      <c r="J138" s="256"/>
      <c r="K138" s="256"/>
      <c r="L138" s="256"/>
      <c r="M138" s="667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hidden="1" customHeight="1">
      <c r="A139" s="665"/>
      <c r="B139" s="665"/>
      <c r="C139" s="665"/>
      <c r="D139" s="666"/>
      <c r="E139" s="256"/>
      <c r="F139" s="256"/>
      <c r="G139" s="256"/>
      <c r="H139" s="256"/>
      <c r="I139" s="666"/>
      <c r="J139" s="256"/>
      <c r="K139" s="256"/>
      <c r="L139" s="256"/>
      <c r="M139" s="66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hidden="1" customHeight="1">
      <c r="A140" s="665"/>
      <c r="B140" s="665"/>
      <c r="C140" s="665"/>
      <c r="D140" s="666"/>
      <c r="E140" s="256"/>
      <c r="F140" s="256"/>
      <c r="G140" s="256"/>
      <c r="H140" s="256"/>
      <c r="I140" s="666"/>
      <c r="J140" s="256"/>
      <c r="K140" s="256"/>
      <c r="L140" s="256"/>
      <c r="M140" s="667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hidden="1" customHeight="1">
      <c r="A141" s="665"/>
      <c r="B141" s="665"/>
      <c r="C141" s="665"/>
      <c r="D141" s="666"/>
      <c r="E141" s="256"/>
      <c r="F141" s="256"/>
      <c r="G141" s="256"/>
      <c r="H141" s="256"/>
      <c r="I141" s="666"/>
      <c r="J141" s="256"/>
      <c r="K141" s="256"/>
      <c r="L141" s="256"/>
      <c r="M141" s="667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hidden="1" customHeight="1">
      <c r="A142" s="665"/>
      <c r="B142" s="665"/>
      <c r="C142" s="665"/>
      <c r="D142" s="666"/>
      <c r="E142" s="256"/>
      <c r="F142" s="256"/>
      <c r="G142" s="256"/>
      <c r="H142" s="256"/>
      <c r="I142" s="666"/>
      <c r="J142" s="256"/>
      <c r="K142" s="256"/>
      <c r="L142" s="256"/>
      <c r="M142" s="66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hidden="1" customHeight="1">
      <c r="A143" s="665"/>
      <c r="B143" s="665"/>
      <c r="C143" s="665"/>
      <c r="D143" s="666"/>
      <c r="E143" s="256"/>
      <c r="F143" s="256"/>
      <c r="G143" s="256"/>
      <c r="H143" s="256"/>
      <c r="I143" s="666"/>
      <c r="J143" s="256"/>
      <c r="K143" s="256"/>
      <c r="L143" s="256"/>
      <c r="M143" s="667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hidden="1" customHeight="1">
      <c r="A144" s="665"/>
      <c r="B144" s="665"/>
      <c r="C144" s="665"/>
      <c r="D144" s="666"/>
      <c r="E144" s="256"/>
      <c r="F144" s="256"/>
      <c r="G144" s="256"/>
      <c r="H144" s="256"/>
      <c r="I144" s="666"/>
      <c r="J144" s="256"/>
      <c r="K144" s="256"/>
      <c r="L144" s="256"/>
      <c r="M144" s="667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hidden="1" customHeight="1">
      <c r="A145" s="665"/>
      <c r="B145" s="665"/>
      <c r="C145" s="665"/>
      <c r="D145" s="666"/>
      <c r="E145" s="256"/>
      <c r="F145" s="256"/>
      <c r="G145" s="256"/>
      <c r="H145" s="256"/>
      <c r="I145" s="666"/>
      <c r="J145" s="256"/>
      <c r="K145" s="256"/>
      <c r="L145" s="256"/>
      <c r="M145" s="66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hidden="1" customHeight="1">
      <c r="A146" s="665"/>
      <c r="B146" s="665"/>
      <c r="C146" s="665"/>
      <c r="D146" s="666"/>
      <c r="E146" s="256"/>
      <c r="F146" s="256"/>
      <c r="G146" s="256"/>
      <c r="H146" s="256"/>
      <c r="I146" s="666"/>
      <c r="J146" s="256"/>
      <c r="K146" s="256"/>
      <c r="L146" s="256"/>
      <c r="M146" s="667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hidden="1" customHeight="1">
      <c r="A147" s="665"/>
      <c r="B147" s="665"/>
      <c r="C147" s="665"/>
      <c r="D147" s="666"/>
      <c r="E147" s="256"/>
      <c r="F147" s="256"/>
      <c r="G147" s="256"/>
      <c r="H147" s="256"/>
      <c r="I147" s="666"/>
      <c r="J147" s="256"/>
      <c r="K147" s="256"/>
      <c r="L147" s="256"/>
      <c r="M147" s="667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hidden="1" customHeight="1">
      <c r="A148" s="665"/>
      <c r="B148" s="665"/>
      <c r="C148" s="665"/>
      <c r="D148" s="666"/>
      <c r="E148" s="256"/>
      <c r="F148" s="256"/>
      <c r="G148" s="256"/>
      <c r="H148" s="256"/>
      <c r="I148" s="666"/>
      <c r="J148" s="256"/>
      <c r="K148" s="256"/>
      <c r="L148" s="256"/>
      <c r="M148" s="66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hidden="1" customHeight="1">
      <c r="A149" s="665"/>
      <c r="B149" s="665"/>
      <c r="C149" s="665"/>
      <c r="D149" s="666"/>
      <c r="E149" s="256"/>
      <c r="F149" s="256"/>
      <c r="G149" s="256"/>
      <c r="H149" s="256"/>
      <c r="I149" s="666"/>
      <c r="J149" s="256"/>
      <c r="K149" s="256"/>
      <c r="L149" s="256"/>
      <c r="M149" s="667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hidden="1" customHeight="1">
      <c r="A150" s="665"/>
      <c r="B150" s="665"/>
      <c r="C150" s="665"/>
      <c r="D150" s="666"/>
      <c r="E150" s="256"/>
      <c r="F150" s="256"/>
      <c r="G150" s="256"/>
      <c r="H150" s="256"/>
      <c r="I150" s="666"/>
      <c r="J150" s="256"/>
      <c r="K150" s="256"/>
      <c r="L150" s="256"/>
      <c r="M150" s="667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hidden="1" customHeight="1">
      <c r="A151" s="665"/>
      <c r="B151" s="665"/>
      <c r="C151" s="665"/>
      <c r="D151" s="666"/>
      <c r="E151" s="256"/>
      <c r="F151" s="256"/>
      <c r="G151" s="256"/>
      <c r="H151" s="256"/>
      <c r="I151" s="666"/>
      <c r="J151" s="256"/>
      <c r="K151" s="256"/>
      <c r="L151" s="256"/>
      <c r="M151" s="66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hidden="1" customHeight="1">
      <c r="A152" s="665"/>
      <c r="B152" s="665"/>
      <c r="C152" s="665"/>
      <c r="D152" s="666"/>
      <c r="E152" s="256"/>
      <c r="F152" s="256"/>
      <c r="G152" s="256"/>
      <c r="H152" s="256"/>
      <c r="I152" s="666"/>
      <c r="J152" s="256"/>
      <c r="K152" s="256"/>
      <c r="L152" s="256"/>
      <c r="M152" s="667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hidden="1" customHeight="1">
      <c r="A153" s="665"/>
      <c r="B153" s="665"/>
      <c r="C153" s="665"/>
      <c r="D153" s="666"/>
      <c r="E153" s="256"/>
      <c r="F153" s="256"/>
      <c r="G153" s="256"/>
      <c r="H153" s="256"/>
      <c r="I153" s="666"/>
      <c r="J153" s="256"/>
      <c r="K153" s="256"/>
      <c r="L153" s="256"/>
      <c r="M153" s="667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hidden="1" customHeight="1">
      <c r="A154" s="665"/>
      <c r="B154" s="665"/>
      <c r="C154" s="665"/>
      <c r="D154" s="666"/>
      <c r="E154" s="256"/>
      <c r="F154" s="256"/>
      <c r="G154" s="256"/>
      <c r="H154" s="256"/>
      <c r="I154" s="666"/>
      <c r="J154" s="256"/>
      <c r="K154" s="256"/>
      <c r="L154" s="256"/>
      <c r="M154" s="66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hidden="1" customHeight="1">
      <c r="A155" s="665"/>
      <c r="B155" s="665"/>
      <c r="C155" s="665"/>
      <c r="D155" s="666"/>
      <c r="E155" s="256"/>
      <c r="F155" s="256"/>
      <c r="G155" s="256"/>
      <c r="H155" s="256"/>
      <c r="I155" s="666"/>
      <c r="J155" s="256"/>
      <c r="K155" s="256"/>
      <c r="L155" s="256"/>
      <c r="M155" s="667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hidden="1" customHeight="1">
      <c r="A156" s="665"/>
      <c r="B156" s="665"/>
      <c r="C156" s="665"/>
      <c r="D156" s="666"/>
      <c r="E156" s="256"/>
      <c r="F156" s="256"/>
      <c r="G156" s="256"/>
      <c r="H156" s="256"/>
      <c r="I156" s="666"/>
      <c r="J156" s="256"/>
      <c r="K156" s="256"/>
      <c r="L156" s="256"/>
      <c r="M156" s="667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hidden="1" customHeight="1">
      <c r="A157" s="665"/>
      <c r="B157" s="665"/>
      <c r="C157" s="665"/>
      <c r="D157" s="666"/>
      <c r="E157" s="256"/>
      <c r="F157" s="256"/>
      <c r="G157" s="256"/>
      <c r="H157" s="256"/>
      <c r="I157" s="666"/>
      <c r="J157" s="256"/>
      <c r="K157" s="256"/>
      <c r="L157" s="256"/>
      <c r="M157" s="66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hidden="1" customHeight="1">
      <c r="A158" s="665"/>
      <c r="B158" s="665"/>
      <c r="C158" s="665"/>
      <c r="D158" s="666"/>
      <c r="E158" s="256"/>
      <c r="F158" s="256"/>
      <c r="G158" s="256"/>
      <c r="H158" s="256"/>
      <c r="I158" s="666"/>
      <c r="J158" s="256"/>
      <c r="K158" s="256"/>
      <c r="L158" s="256"/>
      <c r="M158" s="667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hidden="1" customHeight="1">
      <c r="A159" s="665"/>
      <c r="B159" s="665"/>
      <c r="C159" s="665"/>
      <c r="D159" s="666"/>
      <c r="E159" s="256"/>
      <c r="F159" s="256"/>
      <c r="G159" s="256"/>
      <c r="H159" s="256"/>
      <c r="I159" s="666"/>
      <c r="J159" s="256"/>
      <c r="K159" s="256"/>
      <c r="L159" s="256"/>
      <c r="M159" s="667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hidden="1" customHeight="1">
      <c r="A160" s="665"/>
      <c r="B160" s="665"/>
      <c r="C160" s="665"/>
      <c r="D160" s="666"/>
      <c r="E160" s="256"/>
      <c r="F160" s="256"/>
      <c r="G160" s="256"/>
      <c r="H160" s="256"/>
      <c r="I160" s="666"/>
      <c r="J160" s="256"/>
      <c r="K160" s="256"/>
      <c r="L160" s="256"/>
      <c r="M160" s="66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hidden="1" customHeight="1">
      <c r="A161" s="665"/>
      <c r="B161" s="665"/>
      <c r="C161" s="665"/>
      <c r="D161" s="666"/>
      <c r="E161" s="256"/>
      <c r="F161" s="256"/>
      <c r="G161" s="256"/>
      <c r="H161" s="256"/>
      <c r="I161" s="666"/>
      <c r="J161" s="256"/>
      <c r="K161" s="256"/>
      <c r="L161" s="256"/>
      <c r="M161" s="667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hidden="1" customHeight="1">
      <c r="A162" s="665"/>
      <c r="B162" s="665"/>
      <c r="C162" s="665"/>
      <c r="D162" s="666"/>
      <c r="E162" s="256"/>
      <c r="F162" s="256"/>
      <c r="G162" s="256"/>
      <c r="H162" s="256"/>
      <c r="I162" s="666"/>
      <c r="J162" s="256"/>
      <c r="K162" s="256"/>
      <c r="L162" s="256"/>
      <c r="M162" s="667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hidden="1" customHeight="1">
      <c r="A163" s="665"/>
      <c r="B163" s="665"/>
      <c r="C163" s="665"/>
      <c r="D163" s="666"/>
      <c r="E163" s="256"/>
      <c r="F163" s="256"/>
      <c r="G163" s="256"/>
      <c r="H163" s="256"/>
      <c r="I163" s="666"/>
      <c r="J163" s="256"/>
      <c r="K163" s="256"/>
      <c r="L163" s="256"/>
      <c r="M163" s="66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hidden="1" customHeight="1">
      <c r="A164" s="665"/>
      <c r="B164" s="665"/>
      <c r="C164" s="665"/>
      <c r="D164" s="666"/>
      <c r="E164" s="256"/>
      <c r="F164" s="256"/>
      <c r="G164" s="256"/>
      <c r="H164" s="256"/>
      <c r="I164" s="666"/>
      <c r="J164" s="256"/>
      <c r="K164" s="256"/>
      <c r="L164" s="256"/>
      <c r="M164" s="667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hidden="1" customHeight="1">
      <c r="A165" s="665"/>
      <c r="B165" s="665"/>
      <c r="C165" s="665"/>
      <c r="D165" s="666"/>
      <c r="E165" s="256"/>
      <c r="F165" s="256"/>
      <c r="G165" s="256"/>
      <c r="H165" s="256"/>
      <c r="I165" s="666"/>
      <c r="J165" s="256"/>
      <c r="K165" s="256"/>
      <c r="L165" s="256"/>
      <c r="M165" s="667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hidden="1" customHeight="1">
      <c r="A166" s="665"/>
      <c r="B166" s="665"/>
      <c r="C166" s="665"/>
      <c r="D166" s="666"/>
      <c r="E166" s="256"/>
      <c r="F166" s="256"/>
      <c r="G166" s="256"/>
      <c r="H166" s="256"/>
      <c r="I166" s="666"/>
      <c r="J166" s="256"/>
      <c r="K166" s="256"/>
      <c r="L166" s="256"/>
      <c r="M166" s="66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hidden="1" customHeight="1">
      <c r="A167" s="665"/>
      <c r="B167" s="665"/>
      <c r="C167" s="665"/>
      <c r="D167" s="666"/>
      <c r="E167" s="256"/>
      <c r="F167" s="256"/>
      <c r="G167" s="256"/>
      <c r="H167" s="256"/>
      <c r="I167" s="666"/>
      <c r="J167" s="256"/>
      <c r="K167" s="256"/>
      <c r="L167" s="256"/>
      <c r="M167" s="667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hidden="1" customHeight="1">
      <c r="A168" s="665"/>
      <c r="B168" s="665"/>
      <c r="C168" s="665"/>
      <c r="D168" s="666"/>
      <c r="E168" s="256"/>
      <c r="F168" s="256"/>
      <c r="G168" s="256"/>
      <c r="H168" s="256"/>
      <c r="I168" s="666"/>
      <c r="J168" s="256"/>
      <c r="K168" s="256"/>
      <c r="L168" s="256"/>
      <c r="M168" s="667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hidden="1" customHeight="1">
      <c r="A169" s="665"/>
      <c r="B169" s="665"/>
      <c r="C169" s="665"/>
      <c r="D169" s="666"/>
      <c r="E169" s="256"/>
      <c r="F169" s="256"/>
      <c r="G169" s="256"/>
      <c r="H169" s="256"/>
      <c r="I169" s="666"/>
      <c r="J169" s="256"/>
      <c r="K169" s="256"/>
      <c r="L169" s="256"/>
      <c r="M169" s="667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hidden="1" customHeight="1">
      <c r="A170" s="665"/>
      <c r="B170" s="665"/>
      <c r="C170" s="665"/>
      <c r="D170" s="666"/>
      <c r="E170" s="256"/>
      <c r="F170" s="256"/>
      <c r="G170" s="256"/>
      <c r="H170" s="256"/>
      <c r="I170" s="666"/>
      <c r="J170" s="256"/>
      <c r="K170" s="256"/>
      <c r="L170" s="256"/>
      <c r="M170" s="667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hidden="1" customHeight="1">
      <c r="A171" s="665"/>
      <c r="B171" s="665"/>
      <c r="C171" s="665"/>
      <c r="D171" s="666"/>
      <c r="E171" s="256"/>
      <c r="F171" s="256"/>
      <c r="G171" s="256"/>
      <c r="H171" s="256"/>
      <c r="I171" s="666"/>
      <c r="J171" s="256"/>
      <c r="K171" s="256"/>
      <c r="L171" s="256"/>
      <c r="M171" s="667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hidden="1" customHeight="1">
      <c r="A172" s="665"/>
      <c r="B172" s="665"/>
      <c r="C172" s="665"/>
      <c r="D172" s="666"/>
      <c r="E172" s="256"/>
      <c r="F172" s="256"/>
      <c r="G172" s="256"/>
      <c r="H172" s="256"/>
      <c r="I172" s="666"/>
      <c r="J172" s="256"/>
      <c r="K172" s="256"/>
      <c r="L172" s="256"/>
      <c r="M172" s="667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I$1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2.29"/>
    <col customWidth="1" min="3" max="3" width="23.86"/>
    <col customWidth="1" min="4" max="4" width="24.57"/>
    <col customWidth="1" min="5" max="5" width="39.14"/>
    <col customWidth="1" min="6" max="6" width="41.57"/>
    <col customWidth="1" min="7" max="7" width="11.86"/>
    <col customWidth="1" min="8" max="8" width="27.57"/>
    <col customWidth="1" min="9" max="9" width="23.29"/>
    <col customWidth="1" min="10" max="10" width="24.14"/>
    <col customWidth="1" min="11" max="11" width="41.29"/>
    <col customWidth="1" min="12" max="12" width="58.86"/>
    <col customWidth="1" min="13" max="13" width="37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425">
        <v>109.0</v>
      </c>
      <c r="B2" s="426" t="s">
        <v>11165</v>
      </c>
      <c r="C2" s="426">
        <v>2007.0</v>
      </c>
      <c r="D2" s="500">
        <v>39370.0</v>
      </c>
      <c r="E2" s="426" t="s">
        <v>11166</v>
      </c>
      <c r="F2" s="426" t="s">
        <v>11167</v>
      </c>
      <c r="G2" s="426" t="s">
        <v>17</v>
      </c>
      <c r="H2" s="426" t="s">
        <v>11168</v>
      </c>
      <c r="I2" s="500">
        <v>39820.0</v>
      </c>
      <c r="J2" s="428">
        <v>1.0</v>
      </c>
      <c r="K2" s="635" t="s">
        <v>228</v>
      </c>
      <c r="L2" s="428" t="s">
        <v>256</v>
      </c>
      <c r="M2" s="319">
        <f t="shared" ref="M2:M44" si="1">I2-D2</f>
        <v>450</v>
      </c>
      <c r="N2" s="198"/>
      <c r="O2" s="545" t="s">
        <v>11169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419">
        <v>209.0</v>
      </c>
      <c r="B3" s="420" t="s">
        <v>11170</v>
      </c>
      <c r="C3" s="420">
        <v>2006.0</v>
      </c>
      <c r="D3" s="497">
        <v>38799.0</v>
      </c>
      <c r="E3" s="420" t="s">
        <v>11171</v>
      </c>
      <c r="F3" s="420" t="s">
        <v>10686</v>
      </c>
      <c r="G3" s="420" t="s">
        <v>547</v>
      </c>
      <c r="H3" s="420" t="s">
        <v>923</v>
      </c>
      <c r="I3" s="497">
        <v>39826.0</v>
      </c>
      <c r="J3" s="422">
        <v>1.0</v>
      </c>
      <c r="K3" s="638" t="s">
        <v>234</v>
      </c>
      <c r="L3" s="420" t="s">
        <v>260</v>
      </c>
      <c r="M3" s="316">
        <f t="shared" si="1"/>
        <v>1027</v>
      </c>
      <c r="N3" s="198"/>
      <c r="O3" s="320" t="s">
        <v>27</v>
      </c>
      <c r="P3" s="320">
        <f>COUNTIF($G$2:$G$476,"PT")</f>
        <v>4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425">
        <v>309.0</v>
      </c>
      <c r="B4" s="426" t="s">
        <v>11172</v>
      </c>
      <c r="C4" s="426">
        <v>2006.0</v>
      </c>
      <c r="D4" s="500">
        <v>39003.0</v>
      </c>
      <c r="E4" s="426" t="s">
        <v>11173</v>
      </c>
      <c r="F4" s="426" t="s">
        <v>2046</v>
      </c>
      <c r="G4" s="426" t="s">
        <v>552</v>
      </c>
      <c r="H4" s="426" t="s">
        <v>11174</v>
      </c>
      <c r="I4" s="500">
        <v>39828.0</v>
      </c>
      <c r="J4" s="428">
        <v>1.0</v>
      </c>
      <c r="K4" s="635" t="s">
        <v>228</v>
      </c>
      <c r="L4" s="428" t="s">
        <v>256</v>
      </c>
      <c r="M4" s="319">
        <f t="shared" si="1"/>
        <v>825</v>
      </c>
      <c r="N4" s="198"/>
      <c r="O4" s="321" t="s">
        <v>34</v>
      </c>
      <c r="P4" s="321">
        <f>COUNTIF($G$2:$G$476,"PTN")</f>
        <v>4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419">
        <v>409.0</v>
      </c>
      <c r="B5" s="420" t="s">
        <v>11175</v>
      </c>
      <c r="C5" s="420">
        <v>2006.0</v>
      </c>
      <c r="D5" s="497">
        <v>39016.0</v>
      </c>
      <c r="E5" s="420" t="s">
        <v>11176</v>
      </c>
      <c r="F5" s="420" t="s">
        <v>11177</v>
      </c>
      <c r="G5" s="420" t="s">
        <v>650</v>
      </c>
      <c r="H5" s="420" t="s">
        <v>10915</v>
      </c>
      <c r="I5" s="497">
        <v>39828.0</v>
      </c>
      <c r="J5" s="422">
        <v>1.0</v>
      </c>
      <c r="K5" s="638" t="s">
        <v>234</v>
      </c>
      <c r="L5" s="420" t="s">
        <v>256</v>
      </c>
      <c r="M5" s="316">
        <f t="shared" si="1"/>
        <v>812</v>
      </c>
      <c r="N5" s="198"/>
      <c r="O5" s="322" t="s">
        <v>40</v>
      </c>
      <c r="P5" s="322">
        <f>COUNTIF($G$2:$G$476,"PTE")</f>
        <v>28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425">
        <v>509.0</v>
      </c>
      <c r="B6" s="426" t="s">
        <v>11178</v>
      </c>
      <c r="C6" s="426">
        <v>2006.0</v>
      </c>
      <c r="D6" s="500">
        <v>38946.0</v>
      </c>
      <c r="E6" s="426" t="s">
        <v>11179</v>
      </c>
      <c r="F6" s="426" t="s">
        <v>11180</v>
      </c>
      <c r="G6" s="426" t="s">
        <v>552</v>
      </c>
      <c r="H6" s="426" t="s">
        <v>8274</v>
      </c>
      <c r="I6" s="500">
        <v>39829.0</v>
      </c>
      <c r="J6" s="428">
        <v>1.0</v>
      </c>
      <c r="K6" s="635" t="s">
        <v>228</v>
      </c>
      <c r="L6" s="428" t="s">
        <v>256</v>
      </c>
      <c r="M6" s="319">
        <f t="shared" si="1"/>
        <v>883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419">
        <v>609.0</v>
      </c>
      <c r="B7" s="420" t="s">
        <v>11181</v>
      </c>
      <c r="C7" s="420">
        <v>2007.0</v>
      </c>
      <c r="D7" s="497">
        <v>39279.0</v>
      </c>
      <c r="E7" s="420" t="s">
        <v>11182</v>
      </c>
      <c r="F7" s="420" t="s">
        <v>947</v>
      </c>
      <c r="G7" s="420" t="s">
        <v>552</v>
      </c>
      <c r="H7" s="420" t="s">
        <v>11183</v>
      </c>
      <c r="I7" s="497">
        <v>39829.0</v>
      </c>
      <c r="J7" s="422">
        <v>1.0</v>
      </c>
      <c r="K7" s="637" t="s">
        <v>238</v>
      </c>
      <c r="L7" s="420" t="s">
        <v>256</v>
      </c>
      <c r="M7" s="316">
        <f t="shared" si="1"/>
        <v>550</v>
      </c>
      <c r="N7" s="198"/>
      <c r="O7" s="322" t="s">
        <v>553</v>
      </c>
      <c r="P7" s="322">
        <f>COUNTIF($G$2:$G$476,"PF")</f>
        <v>30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425">
        <v>709.0</v>
      </c>
      <c r="B8" s="426" t="s">
        <v>11184</v>
      </c>
      <c r="C8" s="426">
        <v>2007.0</v>
      </c>
      <c r="D8" s="500">
        <v>39246.0</v>
      </c>
      <c r="E8" s="426" t="s">
        <v>11185</v>
      </c>
      <c r="F8" s="426" t="s">
        <v>11180</v>
      </c>
      <c r="G8" s="426" t="s">
        <v>17</v>
      </c>
      <c r="H8" s="426" t="s">
        <v>11093</v>
      </c>
      <c r="I8" s="500">
        <v>39832.0</v>
      </c>
      <c r="J8" s="428">
        <v>1.0</v>
      </c>
      <c r="K8" s="635" t="s">
        <v>228</v>
      </c>
      <c r="L8" s="428" t="s">
        <v>256</v>
      </c>
      <c r="M8" s="319">
        <f t="shared" si="1"/>
        <v>586</v>
      </c>
      <c r="N8" s="198"/>
      <c r="O8" s="321" t="s">
        <v>547</v>
      </c>
      <c r="P8" s="321">
        <f>COUNTIF($G$2:$G$476,"PFN")</f>
        <v>7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419">
        <v>809.0</v>
      </c>
      <c r="B9" s="420" t="s">
        <v>11186</v>
      </c>
      <c r="C9" s="420">
        <v>2006.0</v>
      </c>
      <c r="D9" s="497">
        <v>38761.0</v>
      </c>
      <c r="E9" s="420" t="s">
        <v>11187</v>
      </c>
      <c r="F9" s="420" t="s">
        <v>10686</v>
      </c>
      <c r="G9" s="420" t="s">
        <v>547</v>
      </c>
      <c r="H9" s="420" t="s">
        <v>923</v>
      </c>
      <c r="I9" s="497">
        <v>39832.0</v>
      </c>
      <c r="J9" s="422">
        <v>1.0</v>
      </c>
      <c r="K9" s="638" t="s">
        <v>234</v>
      </c>
      <c r="L9" s="420" t="s">
        <v>260</v>
      </c>
      <c r="M9" s="316">
        <f t="shared" si="1"/>
        <v>1071</v>
      </c>
      <c r="N9" s="198"/>
      <c r="O9" s="322" t="s">
        <v>560</v>
      </c>
      <c r="P9" s="322">
        <f>COUNTIF($G$2:$G$476,"PF/PTE")</f>
        <v>62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425">
        <v>909.0</v>
      </c>
      <c r="B10" s="426" t="s">
        <v>11188</v>
      </c>
      <c r="C10" s="426">
        <v>2004.0</v>
      </c>
      <c r="D10" s="500">
        <v>38343.0</v>
      </c>
      <c r="E10" s="426" t="s">
        <v>11189</v>
      </c>
      <c r="F10" s="426" t="s">
        <v>1823</v>
      </c>
      <c r="G10" s="426" t="s">
        <v>552</v>
      </c>
      <c r="H10" s="426" t="s">
        <v>10981</v>
      </c>
      <c r="I10" s="500">
        <v>39843.0</v>
      </c>
      <c r="J10" s="428">
        <v>1.0</v>
      </c>
      <c r="K10" s="635" t="s">
        <v>228</v>
      </c>
      <c r="L10" s="428" t="s">
        <v>256</v>
      </c>
      <c r="M10" s="319">
        <f t="shared" si="1"/>
        <v>1500</v>
      </c>
      <c r="N10" s="198"/>
      <c r="O10" s="321" t="s">
        <v>565</v>
      </c>
      <c r="P10" s="321">
        <f>COUNTIF($G$2:$G$476,"Bio")</f>
        <v>2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419">
        <v>1009.0</v>
      </c>
      <c r="B11" s="420" t="s">
        <v>11190</v>
      </c>
      <c r="C11" s="420">
        <v>1998.0</v>
      </c>
      <c r="D11" s="497">
        <v>36115.0</v>
      </c>
      <c r="E11" s="420" t="s">
        <v>11191</v>
      </c>
      <c r="F11" s="420" t="s">
        <v>11192</v>
      </c>
      <c r="G11" s="420" t="s">
        <v>650</v>
      </c>
      <c r="H11" s="420" t="s">
        <v>2272</v>
      </c>
      <c r="I11" s="497">
        <v>39847.0</v>
      </c>
      <c r="J11" s="422">
        <v>2.0</v>
      </c>
      <c r="K11" s="638" t="s">
        <v>234</v>
      </c>
      <c r="L11" s="420" t="s">
        <v>256</v>
      </c>
      <c r="M11" s="316">
        <f t="shared" si="1"/>
        <v>3732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425">
        <v>1109.0</v>
      </c>
      <c r="B12" s="426" t="s">
        <v>11193</v>
      </c>
      <c r="C12" s="426">
        <v>2008.0</v>
      </c>
      <c r="D12" s="500">
        <v>39476.0</v>
      </c>
      <c r="E12" s="426" t="s">
        <v>11194</v>
      </c>
      <c r="F12" s="426" t="s">
        <v>3078</v>
      </c>
      <c r="G12" s="426" t="s">
        <v>552</v>
      </c>
      <c r="H12" s="426" t="s">
        <v>11005</v>
      </c>
      <c r="I12" s="500">
        <v>39850.0</v>
      </c>
      <c r="J12" s="428">
        <v>2.0</v>
      </c>
      <c r="K12" s="637" t="s">
        <v>238</v>
      </c>
      <c r="L12" s="428" t="s">
        <v>256</v>
      </c>
      <c r="M12" s="319">
        <f t="shared" si="1"/>
        <v>374</v>
      </c>
      <c r="N12" s="198"/>
      <c r="O12" s="324" t="s">
        <v>51</v>
      </c>
      <c r="P12" s="325">
        <f>SUM(P3:P11)</f>
        <v>137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419">
        <v>1209.0</v>
      </c>
      <c r="B13" s="420" t="s">
        <v>11195</v>
      </c>
      <c r="C13" s="420">
        <v>2006.0</v>
      </c>
      <c r="D13" s="497">
        <v>39069.0</v>
      </c>
      <c r="E13" s="420" t="s">
        <v>11196</v>
      </c>
      <c r="F13" s="420" t="s">
        <v>11197</v>
      </c>
      <c r="G13" s="420" t="s">
        <v>650</v>
      </c>
      <c r="H13" s="420" t="s">
        <v>2272</v>
      </c>
      <c r="I13" s="497">
        <v>39856.0</v>
      </c>
      <c r="J13" s="422">
        <v>2.0</v>
      </c>
      <c r="K13" s="638" t="s">
        <v>234</v>
      </c>
      <c r="L13" s="420" t="s">
        <v>256</v>
      </c>
      <c r="M13" s="316">
        <f t="shared" si="1"/>
        <v>787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425">
        <v>1309.0</v>
      </c>
      <c r="B14" s="426" t="s">
        <v>11198</v>
      </c>
      <c r="C14" s="426">
        <v>2003.0</v>
      </c>
      <c r="D14" s="500">
        <v>37971.0</v>
      </c>
      <c r="E14" s="426" t="s">
        <v>11199</v>
      </c>
      <c r="F14" s="426" t="s">
        <v>11200</v>
      </c>
      <c r="G14" s="426" t="s">
        <v>34</v>
      </c>
      <c r="H14" s="426" t="s">
        <v>1802</v>
      </c>
      <c r="I14" s="500">
        <v>39857.0</v>
      </c>
      <c r="J14" s="428">
        <v>2.0</v>
      </c>
      <c r="K14" s="637" t="s">
        <v>238</v>
      </c>
      <c r="L14" s="428" t="s">
        <v>258</v>
      </c>
      <c r="M14" s="319">
        <f t="shared" si="1"/>
        <v>1886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419">
        <v>1409.0</v>
      </c>
      <c r="B15" s="420" t="s">
        <v>11201</v>
      </c>
      <c r="C15" s="420">
        <v>2008.0</v>
      </c>
      <c r="D15" s="497">
        <v>39563.0</v>
      </c>
      <c r="E15" s="420" t="s">
        <v>11202</v>
      </c>
      <c r="F15" s="420" t="s">
        <v>11203</v>
      </c>
      <c r="G15" s="420" t="s">
        <v>552</v>
      </c>
      <c r="H15" s="420" t="s">
        <v>1791</v>
      </c>
      <c r="I15" s="497">
        <v>39857.0</v>
      </c>
      <c r="J15" s="422">
        <v>2.0</v>
      </c>
      <c r="K15" s="635" t="s">
        <v>228</v>
      </c>
      <c r="L15" s="420" t="s">
        <v>256</v>
      </c>
      <c r="M15" s="316">
        <f t="shared" si="1"/>
        <v>294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425">
        <v>1509.0</v>
      </c>
      <c r="B16" s="426" t="s">
        <v>11204</v>
      </c>
      <c r="C16" s="426">
        <v>2008.0</v>
      </c>
      <c r="D16" s="500">
        <v>39531.0</v>
      </c>
      <c r="E16" s="426" t="s">
        <v>11205</v>
      </c>
      <c r="F16" s="426" t="s">
        <v>11203</v>
      </c>
      <c r="G16" s="426" t="s">
        <v>552</v>
      </c>
      <c r="H16" s="426" t="s">
        <v>1791</v>
      </c>
      <c r="I16" s="500">
        <v>39857.0</v>
      </c>
      <c r="J16" s="428">
        <v>2.0</v>
      </c>
      <c r="K16" s="635" t="s">
        <v>228</v>
      </c>
      <c r="L16" s="428" t="s">
        <v>256</v>
      </c>
      <c r="M16" s="319">
        <f t="shared" si="1"/>
        <v>326</v>
      </c>
      <c r="N16" s="198"/>
      <c r="O16" s="331" t="s">
        <v>11206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419">
        <v>1609.0</v>
      </c>
      <c r="B17" s="420" t="s">
        <v>11207</v>
      </c>
      <c r="C17" s="420">
        <v>2007.0</v>
      </c>
      <c r="D17" s="497">
        <v>39444.0</v>
      </c>
      <c r="E17" s="420" t="s">
        <v>11208</v>
      </c>
      <c r="F17" s="420" t="s">
        <v>11180</v>
      </c>
      <c r="G17" s="420" t="s">
        <v>552</v>
      </c>
      <c r="H17" s="420" t="s">
        <v>11093</v>
      </c>
      <c r="I17" s="497">
        <v>39860.0</v>
      </c>
      <c r="J17" s="422">
        <v>2.0</v>
      </c>
      <c r="K17" s="635" t="s">
        <v>228</v>
      </c>
      <c r="L17" s="420" t="s">
        <v>256</v>
      </c>
      <c r="M17" s="316">
        <f t="shared" si="1"/>
        <v>416</v>
      </c>
      <c r="N17" s="198"/>
      <c r="O17" s="334" t="s">
        <v>11209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425">
        <v>1709.0</v>
      </c>
      <c r="B18" s="426" t="s">
        <v>11210</v>
      </c>
      <c r="C18" s="426">
        <v>2003.0</v>
      </c>
      <c r="D18" s="500">
        <v>37977.0</v>
      </c>
      <c r="E18" s="426" t="s">
        <v>11211</v>
      </c>
      <c r="F18" s="426" t="s">
        <v>11200</v>
      </c>
      <c r="G18" s="426" t="s">
        <v>547</v>
      </c>
      <c r="H18" s="426" t="s">
        <v>1802</v>
      </c>
      <c r="I18" s="500">
        <v>39860.0</v>
      </c>
      <c r="J18" s="428">
        <v>2.0</v>
      </c>
      <c r="K18" s="637" t="s">
        <v>238</v>
      </c>
      <c r="L18" s="428" t="s">
        <v>256</v>
      </c>
      <c r="M18" s="319">
        <f t="shared" si="1"/>
        <v>1883</v>
      </c>
      <c r="N18" s="198"/>
      <c r="O18" s="335" t="s">
        <v>11212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419">
        <v>1809.0</v>
      </c>
      <c r="B19" s="420" t="s">
        <v>11213</v>
      </c>
      <c r="C19" s="420">
        <v>2006.0</v>
      </c>
      <c r="D19" s="497">
        <v>39071.0</v>
      </c>
      <c r="E19" s="420" t="s">
        <v>11214</v>
      </c>
      <c r="F19" s="420" t="s">
        <v>11063</v>
      </c>
      <c r="G19" s="420" t="s">
        <v>650</v>
      </c>
      <c r="H19" s="420" t="s">
        <v>11215</v>
      </c>
      <c r="I19" s="497">
        <v>39861.0</v>
      </c>
      <c r="J19" s="422">
        <v>2.0</v>
      </c>
      <c r="K19" s="635" t="s">
        <v>228</v>
      </c>
      <c r="L19" s="420" t="s">
        <v>256</v>
      </c>
      <c r="M19" s="316">
        <f t="shared" si="1"/>
        <v>790</v>
      </c>
      <c r="N19" s="198"/>
      <c r="O19" s="334" t="s">
        <v>11216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425">
        <v>1909.0</v>
      </c>
      <c r="B20" s="426" t="s">
        <v>11217</v>
      </c>
      <c r="C20" s="426">
        <v>2005.0</v>
      </c>
      <c r="D20" s="500">
        <v>38629.0</v>
      </c>
      <c r="E20" s="426" t="s">
        <v>11218</v>
      </c>
      <c r="F20" s="426" t="s">
        <v>11219</v>
      </c>
      <c r="G20" s="426" t="s">
        <v>34</v>
      </c>
      <c r="H20" s="426" t="s">
        <v>10915</v>
      </c>
      <c r="I20" s="500">
        <v>39877.0</v>
      </c>
      <c r="J20" s="428">
        <v>3.0</v>
      </c>
      <c r="K20" s="635" t="s">
        <v>228</v>
      </c>
      <c r="L20" s="428" t="s">
        <v>256</v>
      </c>
      <c r="M20" s="319">
        <f t="shared" si="1"/>
        <v>1248</v>
      </c>
      <c r="N20" s="198"/>
      <c r="O20" s="335" t="s">
        <v>11220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419">
        <v>2009.0</v>
      </c>
      <c r="B21" s="420" t="s">
        <v>11221</v>
      </c>
      <c r="C21" s="420">
        <v>2007.0</v>
      </c>
      <c r="D21" s="497">
        <v>39443.0</v>
      </c>
      <c r="E21" s="420" t="s">
        <v>11222</v>
      </c>
      <c r="F21" s="420" t="s">
        <v>2046</v>
      </c>
      <c r="G21" s="420" t="s">
        <v>552</v>
      </c>
      <c r="H21" s="420" t="s">
        <v>11174</v>
      </c>
      <c r="I21" s="497">
        <v>39881.0</v>
      </c>
      <c r="J21" s="422">
        <v>3.0</v>
      </c>
      <c r="K21" s="635" t="s">
        <v>228</v>
      </c>
      <c r="L21" s="420" t="s">
        <v>256</v>
      </c>
      <c r="M21" s="316">
        <f t="shared" si="1"/>
        <v>438</v>
      </c>
      <c r="N21" s="198"/>
      <c r="O21" s="334" t="s">
        <v>11223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425">
        <v>2109.0</v>
      </c>
      <c r="B22" s="426" t="s">
        <v>11224</v>
      </c>
      <c r="C22" s="426">
        <v>2008.0</v>
      </c>
      <c r="D22" s="500">
        <v>39534.0</v>
      </c>
      <c r="E22" s="426" t="s">
        <v>11225</v>
      </c>
      <c r="F22" s="426" t="s">
        <v>11226</v>
      </c>
      <c r="G22" s="426" t="s">
        <v>650</v>
      </c>
      <c r="H22" s="426" t="s">
        <v>2272</v>
      </c>
      <c r="I22" s="500">
        <v>39885.0</v>
      </c>
      <c r="J22" s="428">
        <v>3.0</v>
      </c>
      <c r="K22" s="636" t="s">
        <v>244</v>
      </c>
      <c r="L22" s="428" t="s">
        <v>256</v>
      </c>
      <c r="M22" s="319">
        <f t="shared" si="1"/>
        <v>351</v>
      </c>
      <c r="N22" s="198"/>
      <c r="O22" s="335" t="s">
        <v>11227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419">
        <v>2209.0</v>
      </c>
      <c r="B23" s="420" t="s">
        <v>11228</v>
      </c>
      <c r="C23" s="420">
        <v>2008.0</v>
      </c>
      <c r="D23" s="497">
        <v>39534.0</v>
      </c>
      <c r="E23" s="420" t="s">
        <v>11229</v>
      </c>
      <c r="F23" s="420" t="s">
        <v>11226</v>
      </c>
      <c r="G23" s="420" t="s">
        <v>650</v>
      </c>
      <c r="H23" s="420" t="s">
        <v>2272</v>
      </c>
      <c r="I23" s="497">
        <v>39885.0</v>
      </c>
      <c r="J23" s="422">
        <v>3.0</v>
      </c>
      <c r="K23" s="636" t="s">
        <v>244</v>
      </c>
      <c r="L23" s="420" t="s">
        <v>256</v>
      </c>
      <c r="M23" s="316">
        <f t="shared" si="1"/>
        <v>351</v>
      </c>
      <c r="N23" s="198"/>
      <c r="O23" s="334" t="s">
        <v>11230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425">
        <v>2309.0</v>
      </c>
      <c r="B24" s="426" t="s">
        <v>11231</v>
      </c>
      <c r="C24" s="426">
        <v>2006.0</v>
      </c>
      <c r="D24" s="500">
        <v>39050.0</v>
      </c>
      <c r="E24" s="426" t="s">
        <v>11232</v>
      </c>
      <c r="F24" s="426" t="s">
        <v>8101</v>
      </c>
      <c r="G24" s="426" t="s">
        <v>650</v>
      </c>
      <c r="H24" s="426" t="s">
        <v>10915</v>
      </c>
      <c r="I24" s="500">
        <v>39889.0</v>
      </c>
      <c r="J24" s="428">
        <v>3.0</v>
      </c>
      <c r="K24" s="637" t="s">
        <v>238</v>
      </c>
      <c r="L24" s="428" t="s">
        <v>258</v>
      </c>
      <c r="M24" s="319">
        <f t="shared" si="1"/>
        <v>839</v>
      </c>
      <c r="N24" s="198"/>
      <c r="O24" s="336" t="s">
        <v>11233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419">
        <v>2409.0</v>
      </c>
      <c r="B25" s="420" t="s">
        <v>11234</v>
      </c>
      <c r="C25" s="420">
        <v>2008.0</v>
      </c>
      <c r="D25" s="497">
        <v>39475.0</v>
      </c>
      <c r="E25" s="420" t="s">
        <v>11235</v>
      </c>
      <c r="F25" s="420" t="s">
        <v>947</v>
      </c>
      <c r="G25" s="420" t="s">
        <v>552</v>
      </c>
      <c r="H25" s="420" t="s">
        <v>596</v>
      </c>
      <c r="I25" s="497">
        <v>39890.0</v>
      </c>
      <c r="J25" s="422">
        <v>3.0</v>
      </c>
      <c r="K25" s="637" t="s">
        <v>238</v>
      </c>
      <c r="L25" s="420" t="s">
        <v>258</v>
      </c>
      <c r="M25" s="316">
        <f t="shared" si="1"/>
        <v>415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425">
        <v>2509.0</v>
      </c>
      <c r="B26" s="426" t="s">
        <v>11236</v>
      </c>
      <c r="C26" s="426">
        <v>2005.0</v>
      </c>
      <c r="D26" s="500">
        <v>38636.0</v>
      </c>
      <c r="E26" s="426" t="s">
        <v>11237</v>
      </c>
      <c r="F26" s="426" t="s">
        <v>11219</v>
      </c>
      <c r="G26" s="426" t="s">
        <v>547</v>
      </c>
      <c r="H26" s="426" t="s">
        <v>10915</v>
      </c>
      <c r="I26" s="500">
        <v>39892.0</v>
      </c>
      <c r="J26" s="428">
        <v>3.0</v>
      </c>
      <c r="K26" s="637" t="s">
        <v>238</v>
      </c>
      <c r="L26" s="428" t="s">
        <v>258</v>
      </c>
      <c r="M26" s="319">
        <f t="shared" si="1"/>
        <v>1256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419">
        <v>2609.0</v>
      </c>
      <c r="B27" s="420" t="s">
        <v>11238</v>
      </c>
      <c r="C27" s="420">
        <v>2008.0</v>
      </c>
      <c r="D27" s="497">
        <v>39506.0</v>
      </c>
      <c r="E27" s="420" t="s">
        <v>11239</v>
      </c>
      <c r="F27" s="420" t="s">
        <v>11240</v>
      </c>
      <c r="G27" s="420" t="s">
        <v>17</v>
      </c>
      <c r="H27" s="420" t="s">
        <v>56</v>
      </c>
      <c r="I27" s="497">
        <v>39895.0</v>
      </c>
      <c r="J27" s="422">
        <v>3.0</v>
      </c>
      <c r="K27" s="637" t="s">
        <v>238</v>
      </c>
      <c r="L27" s="420" t="s">
        <v>256</v>
      </c>
      <c r="M27" s="316">
        <f t="shared" si="1"/>
        <v>389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425">
        <v>2709.0</v>
      </c>
      <c r="B28" s="426" t="s">
        <v>11241</v>
      </c>
      <c r="C28" s="426">
        <v>2007.0</v>
      </c>
      <c r="D28" s="500">
        <v>39171.0</v>
      </c>
      <c r="E28" s="426" t="s">
        <v>11242</v>
      </c>
      <c r="F28" s="426" t="s">
        <v>11129</v>
      </c>
      <c r="G28" s="426" t="s">
        <v>17</v>
      </c>
      <c r="H28" s="426" t="s">
        <v>11005</v>
      </c>
      <c r="I28" s="500">
        <v>39898.0</v>
      </c>
      <c r="J28" s="428">
        <v>3.0</v>
      </c>
      <c r="K28" s="637" t="s">
        <v>238</v>
      </c>
      <c r="L28" s="428" t="s">
        <v>258</v>
      </c>
      <c r="M28" s="319">
        <f t="shared" si="1"/>
        <v>727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419">
        <v>2809.0</v>
      </c>
      <c r="B29" s="420" t="s">
        <v>11243</v>
      </c>
      <c r="C29" s="420">
        <v>2006.0</v>
      </c>
      <c r="D29" s="497">
        <v>38768.0</v>
      </c>
      <c r="E29" s="420" t="s">
        <v>11244</v>
      </c>
      <c r="F29" s="420" t="s">
        <v>134</v>
      </c>
      <c r="G29" s="420" t="s">
        <v>552</v>
      </c>
      <c r="H29" s="420" t="s">
        <v>929</v>
      </c>
      <c r="I29" s="497">
        <v>39902.0</v>
      </c>
      <c r="J29" s="422">
        <v>3.0</v>
      </c>
      <c r="K29" s="635" t="s">
        <v>228</v>
      </c>
      <c r="L29" s="420" t="s">
        <v>256</v>
      </c>
      <c r="M29" s="316">
        <f t="shared" si="1"/>
        <v>1134</v>
      </c>
      <c r="N29" s="198"/>
      <c r="O29" s="322">
        <v>1997.0</v>
      </c>
      <c r="P29" s="346">
        <f>COUNTIF($C$2:$C$503,"1997")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425">
        <v>2909.0</v>
      </c>
      <c r="B30" s="426" t="s">
        <v>11245</v>
      </c>
      <c r="C30" s="426">
        <v>2006.0</v>
      </c>
      <c r="D30" s="500">
        <v>38953.0</v>
      </c>
      <c r="E30" s="426" t="s">
        <v>11246</v>
      </c>
      <c r="F30" s="426" t="s">
        <v>666</v>
      </c>
      <c r="G30" s="426" t="s">
        <v>552</v>
      </c>
      <c r="H30" s="426" t="s">
        <v>5016</v>
      </c>
      <c r="I30" s="500">
        <v>39904.0</v>
      </c>
      <c r="J30" s="428">
        <v>4.0</v>
      </c>
      <c r="K30" s="637" t="s">
        <v>238</v>
      </c>
      <c r="L30" s="428" t="s">
        <v>256</v>
      </c>
      <c r="M30" s="319">
        <f t="shared" si="1"/>
        <v>951</v>
      </c>
      <c r="N30" s="198"/>
      <c r="O30" s="321">
        <v>1998.0</v>
      </c>
      <c r="P30" s="344">
        <f>COUNTIF($C$2:$C$503,"1998")</f>
        <v>2</v>
      </c>
      <c r="Q30" s="113"/>
      <c r="R30" s="114"/>
      <c r="S30" s="345">
        <f>P30/P42</f>
        <v>0.01459854015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419">
        <v>3009.0</v>
      </c>
      <c r="B31" s="420" t="s">
        <v>11247</v>
      </c>
      <c r="C31" s="420">
        <v>2008.0</v>
      </c>
      <c r="D31" s="497">
        <v>39608.0</v>
      </c>
      <c r="E31" s="420" t="s">
        <v>11248</v>
      </c>
      <c r="F31" s="420" t="s">
        <v>44</v>
      </c>
      <c r="G31" s="420" t="s">
        <v>552</v>
      </c>
      <c r="H31" s="420" t="s">
        <v>1791</v>
      </c>
      <c r="I31" s="497">
        <v>39904.0</v>
      </c>
      <c r="J31" s="422">
        <v>4.0</v>
      </c>
      <c r="K31" s="635" t="s">
        <v>228</v>
      </c>
      <c r="L31" s="420" t="s">
        <v>258</v>
      </c>
      <c r="M31" s="316">
        <f t="shared" si="1"/>
        <v>296</v>
      </c>
      <c r="N31" s="198"/>
      <c r="O31" s="322">
        <v>1999.0</v>
      </c>
      <c r="P31" s="346">
        <f>COUNTIF($C$2:$C$503,"1999")</f>
        <v>1</v>
      </c>
      <c r="Q31" s="113"/>
      <c r="R31" s="114"/>
      <c r="S31" s="343">
        <f>P31/P42</f>
        <v>0.007299270073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425">
        <v>3109.0</v>
      </c>
      <c r="B32" s="426" t="s">
        <v>11249</v>
      </c>
      <c r="C32" s="426">
        <v>2006.0</v>
      </c>
      <c r="D32" s="500">
        <v>39001.0</v>
      </c>
      <c r="E32" s="426" t="s">
        <v>11250</v>
      </c>
      <c r="F32" s="426" t="s">
        <v>11251</v>
      </c>
      <c r="G32" s="426" t="s">
        <v>650</v>
      </c>
      <c r="H32" s="426" t="s">
        <v>2272</v>
      </c>
      <c r="I32" s="500">
        <v>39905.0</v>
      </c>
      <c r="J32" s="428">
        <v>4.0</v>
      </c>
      <c r="K32" s="635" t="s">
        <v>228</v>
      </c>
      <c r="L32" s="428" t="s">
        <v>256</v>
      </c>
      <c r="M32" s="319">
        <f t="shared" si="1"/>
        <v>904</v>
      </c>
      <c r="N32" s="198"/>
      <c r="O32" s="321">
        <v>2000.0</v>
      </c>
      <c r="P32" s="344">
        <f>COUNTIF($C$2:$C$503,"2000")</f>
        <v>1</v>
      </c>
      <c r="Q32" s="113"/>
      <c r="R32" s="114"/>
      <c r="S32" s="345">
        <f>P32/P42</f>
        <v>0.007299270073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419">
        <v>3209.0</v>
      </c>
      <c r="B33" s="420" t="s">
        <v>11252</v>
      </c>
      <c r="C33" s="420">
        <v>2007.0</v>
      </c>
      <c r="D33" s="497">
        <v>39283.0</v>
      </c>
      <c r="E33" s="420" t="s">
        <v>11253</v>
      </c>
      <c r="F33" s="420" t="s">
        <v>1544</v>
      </c>
      <c r="G33" s="420" t="s">
        <v>552</v>
      </c>
      <c r="H33" s="420" t="s">
        <v>4427</v>
      </c>
      <c r="I33" s="497">
        <v>39906.0</v>
      </c>
      <c r="J33" s="422">
        <v>4.0</v>
      </c>
      <c r="K33" s="635" t="s">
        <v>228</v>
      </c>
      <c r="L33" s="420" t="s">
        <v>256</v>
      </c>
      <c r="M33" s="316">
        <f t="shared" si="1"/>
        <v>623</v>
      </c>
      <c r="N33" s="198"/>
      <c r="O33" s="322">
        <v>2001.0</v>
      </c>
      <c r="P33" s="346">
        <f>COUNTIF($C$2:$C$503,"2001")</f>
        <v>2</v>
      </c>
      <c r="Q33" s="113"/>
      <c r="R33" s="114"/>
      <c r="S33" s="343">
        <f>P33/P42</f>
        <v>0.01459854015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425">
        <v>3309.0</v>
      </c>
      <c r="B34" s="426" t="s">
        <v>11254</v>
      </c>
      <c r="C34" s="426">
        <v>2008.0</v>
      </c>
      <c r="D34" s="500">
        <v>39675.0</v>
      </c>
      <c r="E34" s="426" t="s">
        <v>11255</v>
      </c>
      <c r="F34" s="426" t="s">
        <v>44</v>
      </c>
      <c r="G34" s="426" t="s">
        <v>552</v>
      </c>
      <c r="H34" s="426" t="s">
        <v>1791</v>
      </c>
      <c r="I34" s="500">
        <v>39909.0</v>
      </c>
      <c r="J34" s="428">
        <v>4.0</v>
      </c>
      <c r="K34" s="635" t="s">
        <v>228</v>
      </c>
      <c r="L34" s="428" t="s">
        <v>258</v>
      </c>
      <c r="M34" s="319">
        <f t="shared" si="1"/>
        <v>234</v>
      </c>
      <c r="N34" s="198"/>
      <c r="O34" s="321">
        <v>2002.0</v>
      </c>
      <c r="P34" s="344">
        <f>COUNTIF($C$2:$C$503,"2002")</f>
        <v>1</v>
      </c>
      <c r="Q34" s="113"/>
      <c r="R34" s="114"/>
      <c r="S34" s="345">
        <f>P34/P42</f>
        <v>0.007299270073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419">
        <v>3409.0</v>
      </c>
      <c r="B35" s="420" t="s">
        <v>11256</v>
      </c>
      <c r="C35" s="420">
        <v>2007.0</v>
      </c>
      <c r="D35" s="497">
        <v>39444.0</v>
      </c>
      <c r="E35" s="420" t="s">
        <v>11257</v>
      </c>
      <c r="F35" s="420" t="s">
        <v>11258</v>
      </c>
      <c r="G35" s="420" t="s">
        <v>552</v>
      </c>
      <c r="H35" s="420" t="s">
        <v>11093</v>
      </c>
      <c r="I35" s="497">
        <v>39909.0</v>
      </c>
      <c r="J35" s="422">
        <v>4.0</v>
      </c>
      <c r="K35" s="635" t="s">
        <v>228</v>
      </c>
      <c r="L35" s="420" t="s">
        <v>256</v>
      </c>
      <c r="M35" s="316">
        <f t="shared" si="1"/>
        <v>465</v>
      </c>
      <c r="N35" s="198"/>
      <c r="O35" s="322">
        <v>2003.0</v>
      </c>
      <c r="P35" s="346">
        <f>COUNTIF($C$2:$C$503,"2003")</f>
        <v>3</v>
      </c>
      <c r="Q35" s="113"/>
      <c r="R35" s="114"/>
      <c r="S35" s="343">
        <f>P35/P42</f>
        <v>0.02189781022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425">
        <v>3509.0</v>
      </c>
      <c r="B36" s="426" t="s">
        <v>11259</v>
      </c>
      <c r="C36" s="426">
        <v>2007.0</v>
      </c>
      <c r="D36" s="500">
        <v>39414.0</v>
      </c>
      <c r="E36" s="426" t="s">
        <v>11260</v>
      </c>
      <c r="F36" s="426" t="s">
        <v>11129</v>
      </c>
      <c r="G36" s="426" t="s">
        <v>17</v>
      </c>
      <c r="H36" s="426" t="s">
        <v>4427</v>
      </c>
      <c r="I36" s="500">
        <v>39938.0</v>
      </c>
      <c r="J36" s="428">
        <v>5.0</v>
      </c>
      <c r="K36" s="637" t="s">
        <v>238</v>
      </c>
      <c r="L36" s="428" t="s">
        <v>258</v>
      </c>
      <c r="M36" s="319">
        <f t="shared" si="1"/>
        <v>524</v>
      </c>
      <c r="N36" s="198"/>
      <c r="O36" s="321">
        <v>2004.0</v>
      </c>
      <c r="P36" s="344">
        <f>COUNTIF($C$2:$C$503,"2004")</f>
        <v>2</v>
      </c>
      <c r="Q36" s="113"/>
      <c r="R36" s="114"/>
      <c r="S36" s="345">
        <f>P36/P42</f>
        <v>0.01459854015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419">
        <v>3609.0</v>
      </c>
      <c r="B37" s="420" t="s">
        <v>11261</v>
      </c>
      <c r="C37" s="420">
        <v>2006.0</v>
      </c>
      <c r="D37" s="497">
        <v>38889.0</v>
      </c>
      <c r="E37" s="420" t="s">
        <v>11262</v>
      </c>
      <c r="F37" s="420" t="s">
        <v>719</v>
      </c>
      <c r="G37" s="420" t="s">
        <v>17</v>
      </c>
      <c r="H37" s="420" t="s">
        <v>5016</v>
      </c>
      <c r="I37" s="497">
        <v>39947.0</v>
      </c>
      <c r="J37" s="422">
        <v>5.0</v>
      </c>
      <c r="K37" s="637" t="s">
        <v>238</v>
      </c>
      <c r="L37" s="420" t="s">
        <v>256</v>
      </c>
      <c r="M37" s="316">
        <f t="shared" si="1"/>
        <v>1058</v>
      </c>
      <c r="N37" s="198"/>
      <c r="O37" s="322">
        <v>2005.0</v>
      </c>
      <c r="P37" s="346">
        <f>COUNTIF($C$2:$C$503,"2005")</f>
        <v>8</v>
      </c>
      <c r="Q37" s="113"/>
      <c r="R37" s="114"/>
      <c r="S37" s="343">
        <f>P37/P42</f>
        <v>0.05839416058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425">
        <v>3709.0</v>
      </c>
      <c r="B38" s="426" t="s">
        <v>11263</v>
      </c>
      <c r="C38" s="426">
        <v>2006.0</v>
      </c>
      <c r="D38" s="500">
        <v>39037.0</v>
      </c>
      <c r="E38" s="426" t="s">
        <v>11264</v>
      </c>
      <c r="F38" s="426" t="s">
        <v>719</v>
      </c>
      <c r="G38" s="426" t="s">
        <v>17</v>
      </c>
      <c r="H38" s="426" t="s">
        <v>740</v>
      </c>
      <c r="I38" s="500">
        <v>39948.0</v>
      </c>
      <c r="J38" s="428">
        <v>5.0</v>
      </c>
      <c r="K38" s="637" t="s">
        <v>238</v>
      </c>
      <c r="L38" s="428" t="s">
        <v>256</v>
      </c>
      <c r="M38" s="319">
        <f t="shared" si="1"/>
        <v>911</v>
      </c>
      <c r="N38" s="198"/>
      <c r="O38" s="321">
        <v>2006.0</v>
      </c>
      <c r="P38" s="344">
        <f>COUNTIF($C$2:$C$503,"2006")</f>
        <v>35</v>
      </c>
      <c r="Q38" s="113"/>
      <c r="R38" s="114"/>
      <c r="S38" s="345">
        <f>P38/P42</f>
        <v>0.2554744526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419">
        <v>3809.0</v>
      </c>
      <c r="B39" s="420" t="s">
        <v>11265</v>
      </c>
      <c r="C39" s="420">
        <v>2007.0</v>
      </c>
      <c r="D39" s="497">
        <v>39127.0</v>
      </c>
      <c r="E39" s="420" t="s">
        <v>11266</v>
      </c>
      <c r="F39" s="420" t="s">
        <v>701</v>
      </c>
      <c r="G39" s="420" t="s">
        <v>650</v>
      </c>
      <c r="H39" s="420" t="s">
        <v>923</v>
      </c>
      <c r="I39" s="497">
        <v>39953.0</v>
      </c>
      <c r="J39" s="422">
        <v>5.0</v>
      </c>
      <c r="K39" s="637" t="s">
        <v>238</v>
      </c>
      <c r="L39" s="420" t="s">
        <v>256</v>
      </c>
      <c r="M39" s="316">
        <f t="shared" si="1"/>
        <v>826</v>
      </c>
      <c r="N39" s="198"/>
      <c r="O39" s="322">
        <v>2007.0</v>
      </c>
      <c r="P39" s="346">
        <f>COUNTIF($C$2:$C$503,"2007")</f>
        <v>47</v>
      </c>
      <c r="Q39" s="113"/>
      <c r="R39" s="114"/>
      <c r="S39" s="343">
        <f>P39/P42</f>
        <v>0.3430656934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425">
        <v>3909.0</v>
      </c>
      <c r="B40" s="426" t="s">
        <v>11267</v>
      </c>
      <c r="C40" s="426">
        <v>2003.0</v>
      </c>
      <c r="D40" s="500">
        <v>37868.0</v>
      </c>
      <c r="E40" s="426" t="s">
        <v>11268</v>
      </c>
      <c r="F40" s="426" t="s">
        <v>1108</v>
      </c>
      <c r="G40" s="426" t="s">
        <v>552</v>
      </c>
      <c r="H40" s="426" t="s">
        <v>10894</v>
      </c>
      <c r="I40" s="500">
        <v>39958.0</v>
      </c>
      <c r="J40" s="428">
        <v>5.0</v>
      </c>
      <c r="K40" s="635" t="s">
        <v>228</v>
      </c>
      <c r="L40" s="428" t="s">
        <v>258</v>
      </c>
      <c r="M40" s="319">
        <f t="shared" si="1"/>
        <v>2090</v>
      </c>
      <c r="N40" s="198"/>
      <c r="O40" s="321">
        <v>2008.0</v>
      </c>
      <c r="P40" s="344">
        <f>COUNTIF($C$2:$C$503,"2008")</f>
        <v>35</v>
      </c>
      <c r="Q40" s="113"/>
      <c r="R40" s="114"/>
      <c r="S40" s="345">
        <f>P40/P42</f>
        <v>0.2554744526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419">
        <v>4009.0</v>
      </c>
      <c r="B41" s="420" t="s">
        <v>11269</v>
      </c>
      <c r="C41" s="420">
        <v>2006.0</v>
      </c>
      <c r="D41" s="497">
        <v>39071.0</v>
      </c>
      <c r="E41" s="420" t="s">
        <v>11270</v>
      </c>
      <c r="F41" s="420" t="s">
        <v>11271</v>
      </c>
      <c r="G41" s="420" t="s">
        <v>270</v>
      </c>
      <c r="H41" s="420" t="s">
        <v>11215</v>
      </c>
      <c r="I41" s="497">
        <v>39965.0</v>
      </c>
      <c r="J41" s="422">
        <v>6.0</v>
      </c>
      <c r="K41" s="635" t="s">
        <v>228</v>
      </c>
      <c r="L41" s="420" t="s">
        <v>256</v>
      </c>
      <c r="M41" s="316">
        <f t="shared" si="1"/>
        <v>894</v>
      </c>
      <c r="N41" s="198"/>
      <c r="O41" s="322">
        <v>2009.0</v>
      </c>
      <c r="P41" s="346">
        <f>COUNTIF($C$2:$C$503,"2009")</f>
        <v>0</v>
      </c>
      <c r="Q41" s="113"/>
      <c r="R41" s="114"/>
      <c r="S41" s="343">
        <f>P41/P42</f>
        <v>0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425">
        <v>4109.0</v>
      </c>
      <c r="B42" s="426" t="s">
        <v>11272</v>
      </c>
      <c r="C42" s="426">
        <v>2007.0</v>
      </c>
      <c r="D42" s="500">
        <v>39444.0</v>
      </c>
      <c r="E42" s="426" t="s">
        <v>11273</v>
      </c>
      <c r="F42" s="426" t="s">
        <v>11063</v>
      </c>
      <c r="G42" s="426" t="s">
        <v>270</v>
      </c>
      <c r="H42" s="426" t="s">
        <v>1727</v>
      </c>
      <c r="I42" s="500">
        <v>39967.0</v>
      </c>
      <c r="J42" s="428">
        <v>6.0</v>
      </c>
      <c r="K42" s="635" t="s">
        <v>228</v>
      </c>
      <c r="L42" s="428" t="s">
        <v>256</v>
      </c>
      <c r="M42" s="319">
        <f t="shared" si="1"/>
        <v>523</v>
      </c>
      <c r="N42" s="198"/>
      <c r="O42" s="348" t="s">
        <v>179</v>
      </c>
      <c r="P42" s="349">
        <f>SUM(P29:R41)</f>
        <v>137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419">
        <v>4209.0</v>
      </c>
      <c r="B43" s="420" t="s">
        <v>11274</v>
      </c>
      <c r="C43" s="420">
        <v>2007.0</v>
      </c>
      <c r="D43" s="497">
        <v>39444.0</v>
      </c>
      <c r="E43" s="420" t="s">
        <v>11275</v>
      </c>
      <c r="F43" s="420" t="s">
        <v>11271</v>
      </c>
      <c r="G43" s="420" t="s">
        <v>270</v>
      </c>
      <c r="H43" s="420" t="s">
        <v>1727</v>
      </c>
      <c r="I43" s="497">
        <v>39967.0</v>
      </c>
      <c r="J43" s="422">
        <v>6.0</v>
      </c>
      <c r="K43" s="635" t="s">
        <v>228</v>
      </c>
      <c r="L43" s="420" t="s">
        <v>256</v>
      </c>
      <c r="M43" s="316">
        <f t="shared" si="1"/>
        <v>523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425">
        <v>4309.0</v>
      </c>
      <c r="B44" s="426" t="s">
        <v>11276</v>
      </c>
      <c r="C44" s="426">
        <v>2008.0</v>
      </c>
      <c r="D44" s="500">
        <v>39554.0</v>
      </c>
      <c r="E44" s="426" t="s">
        <v>11277</v>
      </c>
      <c r="F44" s="426" t="s">
        <v>11278</v>
      </c>
      <c r="G44" s="426" t="s">
        <v>17</v>
      </c>
      <c r="H44" s="426" t="s">
        <v>596</v>
      </c>
      <c r="I44" s="500">
        <v>39970.0</v>
      </c>
      <c r="J44" s="428">
        <v>6.0</v>
      </c>
      <c r="K44" s="635" t="s">
        <v>228</v>
      </c>
      <c r="L44" s="428" t="s">
        <v>254</v>
      </c>
      <c r="M44" s="319">
        <f t="shared" si="1"/>
        <v>416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419">
        <v>4409.0</v>
      </c>
      <c r="B45" s="578" t="s">
        <v>3889</v>
      </c>
      <c r="C45" s="578" t="s">
        <v>3889</v>
      </c>
      <c r="D45" s="579" t="s">
        <v>3889</v>
      </c>
      <c r="E45" s="578" t="s">
        <v>3889</v>
      </c>
      <c r="F45" s="578" t="s">
        <v>3889</v>
      </c>
      <c r="G45" s="578" t="s">
        <v>3889</v>
      </c>
      <c r="H45" s="578" t="s">
        <v>3889</v>
      </c>
      <c r="I45" s="579" t="s">
        <v>3889</v>
      </c>
      <c r="J45" s="322" t="s">
        <v>3889</v>
      </c>
      <c r="K45" s="578" t="s">
        <v>3889</v>
      </c>
      <c r="L45" s="578" t="s">
        <v>3889</v>
      </c>
      <c r="M45" s="668" t="s">
        <v>3889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425">
        <v>4509.0</v>
      </c>
      <c r="B46" s="426" t="s">
        <v>11279</v>
      </c>
      <c r="C46" s="426">
        <v>2006.0</v>
      </c>
      <c r="D46" s="500">
        <v>39056.0</v>
      </c>
      <c r="E46" s="426" t="s">
        <v>11280</v>
      </c>
      <c r="F46" s="426" t="s">
        <v>666</v>
      </c>
      <c r="G46" s="426" t="s">
        <v>552</v>
      </c>
      <c r="H46" s="426" t="s">
        <v>4427</v>
      </c>
      <c r="I46" s="500">
        <v>39970.0</v>
      </c>
      <c r="J46" s="428">
        <v>6.0</v>
      </c>
      <c r="K46" s="637" t="s">
        <v>238</v>
      </c>
      <c r="L46" s="428" t="s">
        <v>258</v>
      </c>
      <c r="M46" s="319">
        <f t="shared" ref="M46:M139" si="2">I46-D46</f>
        <v>914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419">
        <v>4609.0</v>
      </c>
      <c r="B47" s="420" t="s">
        <v>11281</v>
      </c>
      <c r="C47" s="420">
        <v>2006.0</v>
      </c>
      <c r="D47" s="497">
        <v>39056.0</v>
      </c>
      <c r="E47" s="420" t="s">
        <v>11282</v>
      </c>
      <c r="F47" s="420" t="s">
        <v>11240</v>
      </c>
      <c r="G47" s="420" t="s">
        <v>552</v>
      </c>
      <c r="H47" s="420" t="s">
        <v>4427</v>
      </c>
      <c r="I47" s="497">
        <v>39970.0</v>
      </c>
      <c r="J47" s="422">
        <v>6.0</v>
      </c>
      <c r="K47" s="637" t="s">
        <v>238</v>
      </c>
      <c r="L47" s="420" t="s">
        <v>258</v>
      </c>
      <c r="M47" s="316">
        <f t="shared" si="2"/>
        <v>914</v>
      </c>
      <c r="N47" s="198"/>
      <c r="O47" s="353" t="s">
        <v>195</v>
      </c>
      <c r="P47" s="342">
        <f>COUNTIF($J$2:$J$476,"1")</f>
        <v>9</v>
      </c>
      <c r="Q47" s="332"/>
      <c r="R47" s="333"/>
      <c r="S47" s="354">
        <f>(P47/P59)</f>
        <v>0.06569343066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425">
        <v>4709.0</v>
      </c>
      <c r="B48" s="426" t="s">
        <v>11283</v>
      </c>
      <c r="C48" s="426">
        <v>2007.0</v>
      </c>
      <c r="D48" s="500">
        <v>39150.0</v>
      </c>
      <c r="E48" s="426" t="s">
        <v>11284</v>
      </c>
      <c r="F48" s="426" t="s">
        <v>1150</v>
      </c>
      <c r="G48" s="426" t="s">
        <v>650</v>
      </c>
      <c r="H48" s="426" t="s">
        <v>5180</v>
      </c>
      <c r="I48" s="500">
        <v>39239.0</v>
      </c>
      <c r="J48" s="428">
        <v>6.0</v>
      </c>
      <c r="K48" s="635" t="s">
        <v>228</v>
      </c>
      <c r="L48" s="428" t="s">
        <v>256</v>
      </c>
      <c r="M48" s="319">
        <f t="shared" si="2"/>
        <v>89</v>
      </c>
      <c r="N48" s="198"/>
      <c r="O48" s="321" t="s">
        <v>197</v>
      </c>
      <c r="P48" s="344">
        <f>COUNTIF($J$2:$J$476,"2")</f>
        <v>9</v>
      </c>
      <c r="Q48" s="113"/>
      <c r="R48" s="114"/>
      <c r="S48" s="345">
        <f>(P48/P59)</f>
        <v>0.06569343066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419">
        <v>4809.0</v>
      </c>
      <c r="B49" s="420" t="s">
        <v>11285</v>
      </c>
      <c r="C49" s="420">
        <v>2007.0</v>
      </c>
      <c r="D49" s="497">
        <v>39150.0</v>
      </c>
      <c r="E49" s="420" t="s">
        <v>11286</v>
      </c>
      <c r="F49" s="420" t="s">
        <v>1150</v>
      </c>
      <c r="G49" s="420" t="s">
        <v>650</v>
      </c>
      <c r="H49" s="420" t="s">
        <v>5180</v>
      </c>
      <c r="I49" s="497">
        <v>39970.0</v>
      </c>
      <c r="J49" s="422">
        <v>6.0</v>
      </c>
      <c r="K49" s="635" t="s">
        <v>228</v>
      </c>
      <c r="L49" s="420" t="s">
        <v>256</v>
      </c>
      <c r="M49" s="316">
        <f t="shared" si="2"/>
        <v>820</v>
      </c>
      <c r="N49" s="198"/>
      <c r="O49" s="322" t="s">
        <v>199</v>
      </c>
      <c r="P49" s="346">
        <f>COUNTIF($J$2:$J$476,"3")</f>
        <v>10</v>
      </c>
      <c r="Q49" s="113"/>
      <c r="R49" s="114"/>
      <c r="S49" s="343">
        <f>(P49/P59)</f>
        <v>0.07299270073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425">
        <v>4909.0</v>
      </c>
      <c r="B50" s="426" t="s">
        <v>11287</v>
      </c>
      <c r="C50" s="426">
        <v>2007.0</v>
      </c>
      <c r="D50" s="500">
        <v>39185.0</v>
      </c>
      <c r="E50" s="426" t="s">
        <v>11288</v>
      </c>
      <c r="F50" s="426" t="s">
        <v>11129</v>
      </c>
      <c r="G50" s="426" t="s">
        <v>552</v>
      </c>
      <c r="H50" s="426" t="s">
        <v>11005</v>
      </c>
      <c r="I50" s="500">
        <v>39970.0</v>
      </c>
      <c r="J50" s="428">
        <v>6.0</v>
      </c>
      <c r="K50" s="637" t="s">
        <v>238</v>
      </c>
      <c r="L50" s="428" t="s">
        <v>258</v>
      </c>
      <c r="M50" s="319">
        <f t="shared" si="2"/>
        <v>785</v>
      </c>
      <c r="N50" s="198"/>
      <c r="O50" s="321" t="s">
        <v>201</v>
      </c>
      <c r="P50" s="344">
        <f>COUNTIF($J$2:$J$476,"4")</f>
        <v>6</v>
      </c>
      <c r="Q50" s="113"/>
      <c r="R50" s="114"/>
      <c r="S50" s="345">
        <f>(P50/P59)</f>
        <v>0.04379562044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419">
        <v>5009.0</v>
      </c>
      <c r="B51" s="420" t="s">
        <v>11289</v>
      </c>
      <c r="C51" s="420">
        <v>2008.0</v>
      </c>
      <c r="D51" s="497">
        <v>39534.0</v>
      </c>
      <c r="E51" s="420" t="s">
        <v>11290</v>
      </c>
      <c r="F51" s="420" t="s">
        <v>44</v>
      </c>
      <c r="G51" s="420" t="s">
        <v>552</v>
      </c>
      <c r="H51" s="420" t="s">
        <v>11133</v>
      </c>
      <c r="I51" s="497">
        <v>39974.0</v>
      </c>
      <c r="J51" s="422">
        <v>6.0</v>
      </c>
      <c r="K51" s="635" t="s">
        <v>228</v>
      </c>
      <c r="L51" s="420" t="s">
        <v>258</v>
      </c>
      <c r="M51" s="316">
        <f t="shared" si="2"/>
        <v>440</v>
      </c>
      <c r="N51" s="198"/>
      <c r="O51" s="322" t="s">
        <v>203</v>
      </c>
      <c r="P51" s="346">
        <f>COUNTIF($J$2:$J$476,"5")</f>
        <v>5</v>
      </c>
      <c r="Q51" s="113"/>
      <c r="R51" s="114"/>
      <c r="S51" s="343">
        <f>(P51/P59)</f>
        <v>0.03649635036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425">
        <v>5109.0</v>
      </c>
      <c r="B52" s="426" t="s">
        <v>11291</v>
      </c>
      <c r="C52" s="426">
        <v>2007.0</v>
      </c>
      <c r="D52" s="500">
        <v>39435.0</v>
      </c>
      <c r="E52" s="426" t="s">
        <v>11292</v>
      </c>
      <c r="F52" s="426" t="s">
        <v>1232</v>
      </c>
      <c r="G52" s="426" t="s">
        <v>17</v>
      </c>
      <c r="H52" s="426" t="s">
        <v>11133</v>
      </c>
      <c r="I52" s="500">
        <v>39979.0</v>
      </c>
      <c r="J52" s="428">
        <v>6.0</v>
      </c>
      <c r="K52" s="635" t="s">
        <v>228</v>
      </c>
      <c r="L52" s="428" t="s">
        <v>256</v>
      </c>
      <c r="M52" s="319">
        <f t="shared" si="2"/>
        <v>544</v>
      </c>
      <c r="N52" s="198"/>
      <c r="O52" s="321" t="s">
        <v>205</v>
      </c>
      <c r="P52" s="344">
        <f>COUNTIF($J$2:$J$476,"6")</f>
        <v>14</v>
      </c>
      <c r="Q52" s="113"/>
      <c r="R52" s="114"/>
      <c r="S52" s="345">
        <f>(P52/P59)</f>
        <v>0.102189781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419">
        <v>5209.0</v>
      </c>
      <c r="B53" s="420" t="s">
        <v>11293</v>
      </c>
      <c r="C53" s="420">
        <v>1999.0</v>
      </c>
      <c r="D53" s="497">
        <v>36525.0</v>
      </c>
      <c r="E53" s="420" t="s">
        <v>11294</v>
      </c>
      <c r="F53" s="420" t="s">
        <v>10996</v>
      </c>
      <c r="G53" s="420" t="s">
        <v>552</v>
      </c>
      <c r="H53" s="420" t="s">
        <v>10894</v>
      </c>
      <c r="I53" s="497">
        <v>39981.0</v>
      </c>
      <c r="J53" s="422">
        <v>6.0</v>
      </c>
      <c r="K53" s="637" t="s">
        <v>238</v>
      </c>
      <c r="L53" s="420" t="s">
        <v>256</v>
      </c>
      <c r="M53" s="316">
        <f t="shared" si="2"/>
        <v>3456</v>
      </c>
      <c r="N53" s="198"/>
      <c r="O53" s="322" t="s">
        <v>207</v>
      </c>
      <c r="P53" s="346">
        <f>COUNTIF($J$2:$J$476,"7")</f>
        <v>11</v>
      </c>
      <c r="Q53" s="113"/>
      <c r="R53" s="114"/>
      <c r="S53" s="343">
        <f>(P53/P59)</f>
        <v>0.0802919708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425">
        <v>5309.0</v>
      </c>
      <c r="B54" s="426" t="s">
        <v>11295</v>
      </c>
      <c r="C54" s="426">
        <v>2007.0</v>
      </c>
      <c r="D54" s="500">
        <v>39283.0</v>
      </c>
      <c r="E54" s="426" t="s">
        <v>11296</v>
      </c>
      <c r="F54" s="426" t="s">
        <v>1544</v>
      </c>
      <c r="G54" s="426" t="s">
        <v>552</v>
      </c>
      <c r="H54" s="426" t="s">
        <v>4427</v>
      </c>
      <c r="I54" s="500">
        <v>39981.0</v>
      </c>
      <c r="J54" s="428">
        <v>6.0</v>
      </c>
      <c r="K54" s="635" t="s">
        <v>228</v>
      </c>
      <c r="L54" s="428" t="s">
        <v>256</v>
      </c>
      <c r="M54" s="319">
        <f t="shared" si="2"/>
        <v>698</v>
      </c>
      <c r="N54" s="198"/>
      <c r="O54" s="321" t="s">
        <v>209</v>
      </c>
      <c r="P54" s="344">
        <f>COUNTIF($J$2:$J$476,"8")</f>
        <v>14</v>
      </c>
      <c r="Q54" s="113"/>
      <c r="R54" s="114"/>
      <c r="S54" s="345">
        <f>(P54/P59)</f>
        <v>0.102189781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419">
        <v>5409.0</v>
      </c>
      <c r="B55" s="420" t="s">
        <v>11297</v>
      </c>
      <c r="C55" s="420">
        <v>1998.0</v>
      </c>
      <c r="D55" s="497">
        <v>36103.0</v>
      </c>
      <c r="E55" s="420" t="s">
        <v>11298</v>
      </c>
      <c r="F55" s="420" t="s">
        <v>2268</v>
      </c>
      <c r="G55" s="420" t="s">
        <v>650</v>
      </c>
      <c r="H55" s="420" t="s">
        <v>10915</v>
      </c>
      <c r="I55" s="497">
        <v>39993.0</v>
      </c>
      <c r="J55" s="422">
        <v>6.0</v>
      </c>
      <c r="K55" s="635" t="s">
        <v>228</v>
      </c>
      <c r="L55" s="420" t="s">
        <v>258</v>
      </c>
      <c r="M55" s="316">
        <f t="shared" si="2"/>
        <v>3890</v>
      </c>
      <c r="N55" s="198"/>
      <c r="O55" s="322" t="s">
        <v>211</v>
      </c>
      <c r="P55" s="346">
        <f>COUNTIF($J$2:$J$476,"9")</f>
        <v>7</v>
      </c>
      <c r="Q55" s="113"/>
      <c r="R55" s="114"/>
      <c r="S55" s="343">
        <f>(P55/P59)</f>
        <v>0.05109489051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425">
        <v>5509.0</v>
      </c>
      <c r="B56" s="426" t="s">
        <v>11299</v>
      </c>
      <c r="C56" s="426">
        <v>2000.0</v>
      </c>
      <c r="D56" s="500">
        <v>36705.0</v>
      </c>
      <c r="E56" s="426" t="s">
        <v>11300</v>
      </c>
      <c r="F56" s="426" t="s">
        <v>11063</v>
      </c>
      <c r="G56" s="426" t="s">
        <v>650</v>
      </c>
      <c r="H56" s="426" t="s">
        <v>11301</v>
      </c>
      <c r="I56" s="500">
        <v>39995.0</v>
      </c>
      <c r="J56" s="428">
        <v>7.0</v>
      </c>
      <c r="K56" s="636" t="s">
        <v>244</v>
      </c>
      <c r="L56" s="428" t="s">
        <v>256</v>
      </c>
      <c r="M56" s="319">
        <f t="shared" si="2"/>
        <v>3290</v>
      </c>
      <c r="N56" s="198"/>
      <c r="O56" s="321" t="s">
        <v>213</v>
      </c>
      <c r="P56" s="344">
        <f>COUNTIF($J$2:$J$476,"10")</f>
        <v>11</v>
      </c>
      <c r="Q56" s="113"/>
      <c r="R56" s="114"/>
      <c r="S56" s="345">
        <f>(P56/P59)</f>
        <v>0.0802919708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419">
        <v>5609.0</v>
      </c>
      <c r="B57" s="420" t="s">
        <v>11302</v>
      </c>
      <c r="C57" s="420">
        <v>2007.0</v>
      </c>
      <c r="D57" s="497">
        <v>39435.0</v>
      </c>
      <c r="E57" s="420" t="s">
        <v>11303</v>
      </c>
      <c r="F57" s="420" t="s">
        <v>11180</v>
      </c>
      <c r="G57" s="420" t="s">
        <v>552</v>
      </c>
      <c r="H57" s="420" t="s">
        <v>11093</v>
      </c>
      <c r="I57" s="497">
        <v>39996.0</v>
      </c>
      <c r="J57" s="422">
        <v>7.0</v>
      </c>
      <c r="K57" s="635" t="s">
        <v>228</v>
      </c>
      <c r="L57" s="420" t="s">
        <v>256</v>
      </c>
      <c r="M57" s="316">
        <f t="shared" si="2"/>
        <v>561</v>
      </c>
      <c r="N57" s="198"/>
      <c r="O57" s="322" t="s">
        <v>215</v>
      </c>
      <c r="P57" s="346">
        <f>COUNTIF($J$2:$J$476,"11")</f>
        <v>13</v>
      </c>
      <c r="Q57" s="113"/>
      <c r="R57" s="114"/>
      <c r="S57" s="343">
        <f>(P57/P59)</f>
        <v>0.09489051095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425">
        <v>5709.0</v>
      </c>
      <c r="B58" s="426" t="s">
        <v>11304</v>
      </c>
      <c r="C58" s="426">
        <v>2007.0</v>
      </c>
      <c r="D58" s="500">
        <v>39339.0</v>
      </c>
      <c r="E58" s="426" t="s">
        <v>11305</v>
      </c>
      <c r="F58" s="426" t="s">
        <v>25</v>
      </c>
      <c r="G58" s="426" t="s">
        <v>17</v>
      </c>
      <c r="H58" s="426" t="s">
        <v>740</v>
      </c>
      <c r="I58" s="500">
        <v>40007.0</v>
      </c>
      <c r="J58" s="428">
        <v>7.0</v>
      </c>
      <c r="K58" s="637" t="s">
        <v>238</v>
      </c>
      <c r="L58" s="428" t="s">
        <v>256</v>
      </c>
      <c r="M58" s="319">
        <f t="shared" si="2"/>
        <v>668</v>
      </c>
      <c r="N58" s="198"/>
      <c r="O58" s="355" t="s">
        <v>217</v>
      </c>
      <c r="P58" s="344">
        <f>COUNTIF($J$2:$J$476,"12")</f>
        <v>28</v>
      </c>
      <c r="Q58" s="113"/>
      <c r="R58" s="114"/>
      <c r="S58" s="356">
        <f>(P58/P59)</f>
        <v>0.204379562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419">
        <v>5809.0</v>
      </c>
      <c r="B59" s="420" t="s">
        <v>11306</v>
      </c>
      <c r="C59" s="420">
        <v>2006.0</v>
      </c>
      <c r="D59" s="497">
        <v>39001.0</v>
      </c>
      <c r="E59" s="420" t="s">
        <v>11307</v>
      </c>
      <c r="F59" s="420" t="s">
        <v>666</v>
      </c>
      <c r="G59" s="420" t="s">
        <v>552</v>
      </c>
      <c r="H59" s="420" t="s">
        <v>4427</v>
      </c>
      <c r="I59" s="497">
        <v>40011.0</v>
      </c>
      <c r="J59" s="422">
        <v>7.0</v>
      </c>
      <c r="K59" s="637" t="s">
        <v>238</v>
      </c>
      <c r="L59" s="420" t="s">
        <v>258</v>
      </c>
      <c r="M59" s="316">
        <f t="shared" si="2"/>
        <v>1010</v>
      </c>
      <c r="N59" s="198"/>
      <c r="O59" s="348" t="s">
        <v>219</v>
      </c>
      <c r="P59" s="349">
        <f>SUM(P47:R58)</f>
        <v>137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425">
        <v>5909.0</v>
      </c>
      <c r="B60" s="426" t="s">
        <v>11308</v>
      </c>
      <c r="C60" s="426">
        <v>2006.0</v>
      </c>
      <c r="D60" s="500">
        <v>39072.0</v>
      </c>
      <c r="E60" s="426" t="s">
        <v>11309</v>
      </c>
      <c r="F60" s="426" t="s">
        <v>11240</v>
      </c>
      <c r="G60" s="426" t="s">
        <v>552</v>
      </c>
      <c r="H60" s="426" t="s">
        <v>4427</v>
      </c>
      <c r="I60" s="500">
        <v>40011.0</v>
      </c>
      <c r="J60" s="428">
        <v>7.0</v>
      </c>
      <c r="K60" s="635" t="s">
        <v>228</v>
      </c>
      <c r="L60" s="428" t="s">
        <v>258</v>
      </c>
      <c r="M60" s="319">
        <f t="shared" si="2"/>
        <v>939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419">
        <v>6009.0</v>
      </c>
      <c r="B61" s="420" t="s">
        <v>11310</v>
      </c>
      <c r="C61" s="420">
        <v>2006.0</v>
      </c>
      <c r="D61" s="497">
        <v>39072.0</v>
      </c>
      <c r="E61" s="420" t="s">
        <v>11311</v>
      </c>
      <c r="F61" s="420" t="s">
        <v>11240</v>
      </c>
      <c r="G61" s="420" t="s">
        <v>552</v>
      </c>
      <c r="H61" s="420" t="s">
        <v>4427</v>
      </c>
      <c r="I61" s="497">
        <v>40011.0</v>
      </c>
      <c r="J61" s="422">
        <v>7.0</v>
      </c>
      <c r="K61" s="635" t="s">
        <v>228</v>
      </c>
      <c r="L61" s="420" t="s">
        <v>258</v>
      </c>
      <c r="M61" s="316">
        <f t="shared" si="2"/>
        <v>939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425">
        <v>6109.0</v>
      </c>
      <c r="B62" s="426" t="s">
        <v>11312</v>
      </c>
      <c r="C62" s="426">
        <v>2008.0</v>
      </c>
      <c r="D62" s="500">
        <v>39553.0</v>
      </c>
      <c r="E62" s="426" t="s">
        <v>11313</v>
      </c>
      <c r="F62" s="426" t="s">
        <v>11203</v>
      </c>
      <c r="G62" s="426" t="s">
        <v>17</v>
      </c>
      <c r="H62" s="426" t="s">
        <v>8160</v>
      </c>
      <c r="I62" s="500">
        <v>40022.0</v>
      </c>
      <c r="J62" s="428">
        <v>7.0</v>
      </c>
      <c r="K62" s="635" t="s">
        <v>228</v>
      </c>
      <c r="L62" s="428" t="s">
        <v>258</v>
      </c>
      <c r="M62" s="319">
        <f t="shared" si="2"/>
        <v>469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419">
        <v>6209.0</v>
      </c>
      <c r="B63" s="420" t="s">
        <v>11314</v>
      </c>
      <c r="C63" s="420">
        <v>2007.0</v>
      </c>
      <c r="D63" s="497">
        <v>39197.0</v>
      </c>
      <c r="E63" s="420" t="s">
        <v>11315</v>
      </c>
      <c r="F63" s="420" t="s">
        <v>11316</v>
      </c>
      <c r="G63" s="420" t="s">
        <v>650</v>
      </c>
      <c r="H63" s="420" t="s">
        <v>11317</v>
      </c>
      <c r="I63" s="497">
        <v>40025.0</v>
      </c>
      <c r="J63" s="422">
        <v>7.0</v>
      </c>
      <c r="K63" s="637" t="s">
        <v>238</v>
      </c>
      <c r="L63" s="420" t="s">
        <v>258</v>
      </c>
      <c r="M63" s="316">
        <f t="shared" si="2"/>
        <v>828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425">
        <v>6309.0</v>
      </c>
      <c r="B64" s="426" t="s">
        <v>11318</v>
      </c>
      <c r="C64" s="426">
        <v>2007.0</v>
      </c>
      <c r="D64" s="500">
        <v>39296.0</v>
      </c>
      <c r="E64" s="426" t="s">
        <v>11319</v>
      </c>
      <c r="F64" s="426" t="s">
        <v>1232</v>
      </c>
      <c r="G64" s="426" t="s">
        <v>17</v>
      </c>
      <c r="H64" s="426" t="s">
        <v>11320</v>
      </c>
      <c r="I64" s="500">
        <v>40025.0</v>
      </c>
      <c r="J64" s="428">
        <v>7.0</v>
      </c>
      <c r="K64" s="635" t="s">
        <v>228</v>
      </c>
      <c r="L64" s="428" t="s">
        <v>256</v>
      </c>
      <c r="M64" s="319">
        <f t="shared" si="2"/>
        <v>729</v>
      </c>
      <c r="N64" s="198"/>
      <c r="O64" s="522" t="s">
        <v>228</v>
      </c>
      <c r="P64" s="523"/>
      <c r="Q64" s="523"/>
      <c r="R64" s="524"/>
      <c r="S64" s="365">
        <f>COUNTIF($K$2:$K$476,"I - Extremamente tóxico")</f>
        <v>68</v>
      </c>
      <c r="T64" s="366">
        <f>(S64/S76)</f>
        <v>0.496350365</v>
      </c>
      <c r="U64" s="198"/>
      <c r="V64" s="198"/>
      <c r="W64" s="198"/>
      <c r="X64" s="198"/>
      <c r="Y64" s="198"/>
      <c r="Z64" s="198"/>
    </row>
    <row r="65" ht="12.75" customHeight="1">
      <c r="A65" s="419">
        <v>6409.0</v>
      </c>
      <c r="B65" s="420" t="s">
        <v>11321</v>
      </c>
      <c r="C65" s="420">
        <v>2008.0</v>
      </c>
      <c r="D65" s="497">
        <v>39731.0</v>
      </c>
      <c r="E65" s="420" t="s">
        <v>11322</v>
      </c>
      <c r="F65" s="420" t="s">
        <v>11203</v>
      </c>
      <c r="G65" s="420" t="s">
        <v>17</v>
      </c>
      <c r="H65" s="420" t="s">
        <v>11323</v>
      </c>
      <c r="I65" s="497">
        <v>40025.0</v>
      </c>
      <c r="J65" s="422">
        <v>7.0</v>
      </c>
      <c r="K65" s="635" t="s">
        <v>228</v>
      </c>
      <c r="L65" s="420" t="s">
        <v>258</v>
      </c>
      <c r="M65" s="316">
        <f t="shared" si="2"/>
        <v>294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425">
        <v>6509.0</v>
      </c>
      <c r="B66" s="426" t="s">
        <v>11324</v>
      </c>
      <c r="C66" s="426">
        <v>2008.0</v>
      </c>
      <c r="D66" s="500">
        <v>39721.0</v>
      </c>
      <c r="E66" s="426" t="s">
        <v>11325</v>
      </c>
      <c r="F66" s="426" t="s">
        <v>11203</v>
      </c>
      <c r="G66" s="426" t="s">
        <v>17</v>
      </c>
      <c r="H66" s="426" t="s">
        <v>901</v>
      </c>
      <c r="I66" s="500">
        <v>40025.0</v>
      </c>
      <c r="J66" s="428">
        <v>7.0</v>
      </c>
      <c r="K66" s="635" t="s">
        <v>228</v>
      </c>
      <c r="L66" s="428" t="s">
        <v>258</v>
      </c>
      <c r="M66" s="319">
        <f t="shared" si="2"/>
        <v>304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419">
        <v>6609.0</v>
      </c>
      <c r="B67" s="420" t="s">
        <v>11326</v>
      </c>
      <c r="C67" s="420">
        <v>2008.0</v>
      </c>
      <c r="D67" s="497">
        <v>39554.0</v>
      </c>
      <c r="E67" s="420" t="s">
        <v>11327</v>
      </c>
      <c r="F67" s="420" t="s">
        <v>1232</v>
      </c>
      <c r="G67" s="420" t="s">
        <v>17</v>
      </c>
      <c r="H67" s="420" t="s">
        <v>596</v>
      </c>
      <c r="I67" s="497">
        <v>40032.0</v>
      </c>
      <c r="J67" s="422">
        <v>8.0</v>
      </c>
      <c r="K67" s="635" t="s">
        <v>228</v>
      </c>
      <c r="L67" s="420" t="s">
        <v>256</v>
      </c>
      <c r="M67" s="316">
        <f t="shared" si="2"/>
        <v>478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13</v>
      </c>
      <c r="T67" s="374">
        <f>(S67/S76)</f>
        <v>0.09489051095</v>
      </c>
      <c r="U67" s="198"/>
      <c r="V67" s="198"/>
      <c r="W67" s="198"/>
      <c r="X67" s="198"/>
      <c r="Y67" s="198"/>
      <c r="Z67" s="198"/>
    </row>
    <row r="68" ht="12.75" customHeight="1">
      <c r="A68" s="425">
        <v>6709.0</v>
      </c>
      <c r="B68" s="426" t="s">
        <v>11328</v>
      </c>
      <c r="C68" s="426">
        <v>2007.0</v>
      </c>
      <c r="D68" s="500">
        <v>39254.0</v>
      </c>
      <c r="E68" s="426" t="s">
        <v>11329</v>
      </c>
      <c r="F68" s="426" t="s">
        <v>2071</v>
      </c>
      <c r="G68" s="426" t="s">
        <v>650</v>
      </c>
      <c r="H68" s="426" t="s">
        <v>5180</v>
      </c>
      <c r="I68" s="500">
        <v>40035.0</v>
      </c>
      <c r="J68" s="428">
        <v>8.0</v>
      </c>
      <c r="K68" s="635" t="s">
        <v>228</v>
      </c>
      <c r="L68" s="428" t="s">
        <v>258</v>
      </c>
      <c r="M68" s="319">
        <f t="shared" si="2"/>
        <v>781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419">
        <v>6809.0</v>
      </c>
      <c r="B69" s="420" t="s">
        <v>11330</v>
      </c>
      <c r="C69" s="420">
        <v>2005.0</v>
      </c>
      <c r="D69" s="497">
        <v>38448.0</v>
      </c>
      <c r="E69" s="420" t="s">
        <v>11331</v>
      </c>
      <c r="F69" s="420" t="s">
        <v>11332</v>
      </c>
      <c r="G69" s="420" t="s">
        <v>650</v>
      </c>
      <c r="H69" s="420" t="s">
        <v>10915</v>
      </c>
      <c r="I69" s="497">
        <v>40037.0</v>
      </c>
      <c r="J69" s="422">
        <v>8.0</v>
      </c>
      <c r="K69" s="638" t="s">
        <v>234</v>
      </c>
      <c r="L69" s="420" t="s">
        <v>258</v>
      </c>
      <c r="M69" s="316">
        <f t="shared" si="2"/>
        <v>1589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51</v>
      </c>
      <c r="T69" s="377">
        <f>(S69/S76)</f>
        <v>0.3722627737</v>
      </c>
      <c r="U69" s="198"/>
      <c r="V69" s="198"/>
      <c r="W69" s="198"/>
      <c r="X69" s="198"/>
      <c r="Y69" s="198"/>
      <c r="Z69" s="198"/>
    </row>
    <row r="70" ht="12.75" customHeight="1">
      <c r="A70" s="425">
        <v>6909.0</v>
      </c>
      <c r="B70" s="426" t="s">
        <v>11333</v>
      </c>
      <c r="C70" s="426">
        <v>2001.0</v>
      </c>
      <c r="D70" s="500">
        <v>37134.0</v>
      </c>
      <c r="E70" s="426" t="s">
        <v>11334</v>
      </c>
      <c r="F70" s="426" t="s">
        <v>660</v>
      </c>
      <c r="G70" s="426" t="s">
        <v>552</v>
      </c>
      <c r="H70" s="426" t="s">
        <v>5016</v>
      </c>
      <c r="I70" s="500">
        <v>40038.0</v>
      </c>
      <c r="J70" s="428">
        <v>8.0</v>
      </c>
      <c r="K70" s="635" t="s">
        <v>228</v>
      </c>
      <c r="L70" s="428" t="s">
        <v>258</v>
      </c>
      <c r="M70" s="319">
        <f t="shared" si="2"/>
        <v>2904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419">
        <v>7009.0</v>
      </c>
      <c r="B71" s="420" t="s">
        <v>11335</v>
      </c>
      <c r="C71" s="420">
        <v>2005.0</v>
      </c>
      <c r="D71" s="497">
        <v>38490.0</v>
      </c>
      <c r="E71" s="420" t="s">
        <v>11336</v>
      </c>
      <c r="F71" s="420" t="s">
        <v>10517</v>
      </c>
      <c r="G71" s="420" t="s">
        <v>650</v>
      </c>
      <c r="H71" s="420" t="s">
        <v>923</v>
      </c>
      <c r="I71" s="497">
        <v>40038.0</v>
      </c>
      <c r="J71" s="422">
        <v>8.0</v>
      </c>
      <c r="K71" s="635" t="s">
        <v>228</v>
      </c>
      <c r="L71" s="420" t="s">
        <v>256</v>
      </c>
      <c r="M71" s="316">
        <f t="shared" si="2"/>
        <v>1548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425">
        <v>7109.0</v>
      </c>
      <c r="B72" s="426" t="s">
        <v>11337</v>
      </c>
      <c r="C72" s="426">
        <v>2005.0</v>
      </c>
      <c r="D72" s="500">
        <v>38448.0</v>
      </c>
      <c r="E72" s="426" t="s">
        <v>11338</v>
      </c>
      <c r="F72" s="426" t="s">
        <v>10972</v>
      </c>
      <c r="G72" s="426" t="s">
        <v>650</v>
      </c>
      <c r="H72" s="426" t="s">
        <v>10915</v>
      </c>
      <c r="I72" s="500">
        <v>40038.0</v>
      </c>
      <c r="J72" s="428">
        <v>8.0</v>
      </c>
      <c r="K72" s="637" t="s">
        <v>238</v>
      </c>
      <c r="L72" s="428" t="s">
        <v>256</v>
      </c>
      <c r="M72" s="319">
        <f t="shared" si="2"/>
        <v>1590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5</v>
      </c>
      <c r="T72" s="380">
        <f>(S72/S76)</f>
        <v>0.03649635036</v>
      </c>
      <c r="U72" s="198"/>
      <c r="V72" s="198"/>
      <c r="W72" s="198"/>
      <c r="X72" s="198"/>
      <c r="Y72" s="198"/>
      <c r="Z72" s="198"/>
    </row>
    <row r="73" ht="12.75" customHeight="1">
      <c r="A73" s="419">
        <v>7209.0</v>
      </c>
      <c r="B73" s="420" t="s">
        <v>11339</v>
      </c>
      <c r="C73" s="420">
        <v>2007.0</v>
      </c>
      <c r="D73" s="497">
        <v>39386.0</v>
      </c>
      <c r="E73" s="420" t="s">
        <v>11340</v>
      </c>
      <c r="F73" s="420" t="s">
        <v>1401</v>
      </c>
      <c r="G73" s="420" t="s">
        <v>552</v>
      </c>
      <c r="H73" s="420" t="s">
        <v>901</v>
      </c>
      <c r="I73" s="497">
        <v>40039.0</v>
      </c>
      <c r="J73" s="422">
        <v>8.0</v>
      </c>
      <c r="K73" s="635" t="s">
        <v>228</v>
      </c>
      <c r="L73" s="420" t="s">
        <v>256</v>
      </c>
      <c r="M73" s="316">
        <f t="shared" si="2"/>
        <v>653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425">
        <v>7309.0</v>
      </c>
      <c r="B74" s="426" t="s">
        <v>11341</v>
      </c>
      <c r="C74" s="426">
        <v>2006.0</v>
      </c>
      <c r="D74" s="500">
        <v>38930.0</v>
      </c>
      <c r="E74" s="426" t="s">
        <v>11342</v>
      </c>
      <c r="F74" s="426" t="s">
        <v>11271</v>
      </c>
      <c r="G74" s="426" t="s">
        <v>650</v>
      </c>
      <c r="H74" s="426" t="s">
        <v>11215</v>
      </c>
      <c r="I74" s="500">
        <v>40039.0</v>
      </c>
      <c r="J74" s="428">
        <v>8.0</v>
      </c>
      <c r="K74" s="635" t="s">
        <v>228</v>
      </c>
      <c r="L74" s="428" t="s">
        <v>256</v>
      </c>
      <c r="M74" s="319">
        <f t="shared" si="2"/>
        <v>1109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419">
        <v>7409.0</v>
      </c>
      <c r="B75" s="420" t="s">
        <v>11343</v>
      </c>
      <c r="C75" s="420">
        <v>2007.0</v>
      </c>
      <c r="D75" s="497">
        <v>39394.0</v>
      </c>
      <c r="E75" s="420" t="s">
        <v>11344</v>
      </c>
      <c r="F75" s="420" t="s">
        <v>1401</v>
      </c>
      <c r="G75" s="420" t="s">
        <v>552</v>
      </c>
      <c r="H75" s="420" t="s">
        <v>901</v>
      </c>
      <c r="I75" s="497">
        <v>40039.0</v>
      </c>
      <c r="J75" s="422">
        <v>8.0</v>
      </c>
      <c r="K75" s="635" t="s">
        <v>228</v>
      </c>
      <c r="L75" s="420" t="s">
        <v>256</v>
      </c>
      <c r="M75" s="316">
        <f t="shared" si="2"/>
        <v>645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425">
        <v>7509.0</v>
      </c>
      <c r="B76" s="426" t="s">
        <v>11345</v>
      </c>
      <c r="C76" s="426">
        <v>2006.0</v>
      </c>
      <c r="D76" s="500">
        <v>38904.0</v>
      </c>
      <c r="E76" s="426" t="s">
        <v>11346</v>
      </c>
      <c r="F76" s="426" t="s">
        <v>1232</v>
      </c>
      <c r="G76" s="426" t="s">
        <v>17</v>
      </c>
      <c r="H76" s="426" t="s">
        <v>11347</v>
      </c>
      <c r="I76" s="500">
        <v>40039.0</v>
      </c>
      <c r="J76" s="428">
        <v>8.0</v>
      </c>
      <c r="K76" s="635" t="s">
        <v>228</v>
      </c>
      <c r="L76" s="428" t="s">
        <v>256</v>
      </c>
      <c r="M76" s="319">
        <f t="shared" si="2"/>
        <v>1135</v>
      </c>
      <c r="N76" s="198"/>
      <c r="O76" s="386" t="s">
        <v>219</v>
      </c>
      <c r="P76" s="332"/>
      <c r="Q76" s="332"/>
      <c r="R76" s="387"/>
      <c r="S76" s="388">
        <f>SUM(S64:S75)</f>
        <v>137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419">
        <v>7609.0</v>
      </c>
      <c r="B77" s="420" t="s">
        <v>11348</v>
      </c>
      <c r="C77" s="420">
        <v>2006.0</v>
      </c>
      <c r="D77" s="497">
        <v>38819.0</v>
      </c>
      <c r="E77" s="420" t="s">
        <v>11349</v>
      </c>
      <c r="F77" s="420" t="s">
        <v>1232</v>
      </c>
      <c r="G77" s="420" t="s">
        <v>552</v>
      </c>
      <c r="H77" s="420" t="s">
        <v>10894</v>
      </c>
      <c r="I77" s="497">
        <v>40042.0</v>
      </c>
      <c r="J77" s="422">
        <v>8.0</v>
      </c>
      <c r="K77" s="637" t="s">
        <v>238</v>
      </c>
      <c r="L77" s="420" t="s">
        <v>258</v>
      </c>
      <c r="M77" s="316">
        <f t="shared" si="2"/>
        <v>1223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425">
        <v>7709.0</v>
      </c>
      <c r="B78" s="426" t="s">
        <v>11350</v>
      </c>
      <c r="C78" s="426">
        <v>2007.0</v>
      </c>
      <c r="D78" s="500">
        <v>39099.0</v>
      </c>
      <c r="E78" s="426" t="s">
        <v>11351</v>
      </c>
      <c r="F78" s="426" t="s">
        <v>2831</v>
      </c>
      <c r="G78" s="426" t="s">
        <v>650</v>
      </c>
      <c r="H78" s="426" t="s">
        <v>4427</v>
      </c>
      <c r="I78" s="500">
        <v>40053.0</v>
      </c>
      <c r="J78" s="428">
        <v>8.0</v>
      </c>
      <c r="K78" s="638" t="s">
        <v>234</v>
      </c>
      <c r="L78" s="428" t="s">
        <v>260</v>
      </c>
      <c r="M78" s="319">
        <f t="shared" si="2"/>
        <v>954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419">
        <v>7809.0</v>
      </c>
      <c r="B79" s="420" t="s">
        <v>11352</v>
      </c>
      <c r="C79" s="420">
        <v>2007.0</v>
      </c>
      <c r="D79" s="497">
        <v>39433.0</v>
      </c>
      <c r="E79" s="420" t="s">
        <v>11353</v>
      </c>
      <c r="F79" s="420" t="s">
        <v>3961</v>
      </c>
      <c r="G79" s="420" t="s">
        <v>17</v>
      </c>
      <c r="H79" s="420" t="s">
        <v>8274</v>
      </c>
      <c r="I79" s="497">
        <v>40053.0</v>
      </c>
      <c r="J79" s="422">
        <v>8.0</v>
      </c>
      <c r="K79" s="635" t="s">
        <v>228</v>
      </c>
      <c r="L79" s="420" t="s">
        <v>256</v>
      </c>
      <c r="M79" s="316">
        <f t="shared" si="2"/>
        <v>620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425">
        <v>7909.0</v>
      </c>
      <c r="B80" s="426" t="s">
        <v>11354</v>
      </c>
      <c r="C80" s="426">
        <v>2007.0</v>
      </c>
      <c r="D80" s="500">
        <v>39365.0</v>
      </c>
      <c r="E80" s="426" t="s">
        <v>11355</v>
      </c>
      <c r="F80" s="426" t="s">
        <v>11356</v>
      </c>
      <c r="G80" s="426" t="s">
        <v>552</v>
      </c>
      <c r="H80" s="426" t="s">
        <v>740</v>
      </c>
      <c r="I80" s="500">
        <v>40056.0</v>
      </c>
      <c r="J80" s="428">
        <v>8.0</v>
      </c>
      <c r="K80" s="635" t="s">
        <v>228</v>
      </c>
      <c r="L80" s="428" t="s">
        <v>258</v>
      </c>
      <c r="M80" s="319">
        <f t="shared" si="2"/>
        <v>691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419">
        <v>8009.0</v>
      </c>
      <c r="B81" s="420" t="s">
        <v>11357</v>
      </c>
      <c r="C81" s="420">
        <v>2007.0</v>
      </c>
      <c r="D81" s="497">
        <v>39414.0</v>
      </c>
      <c r="E81" s="420" t="s">
        <v>11358</v>
      </c>
      <c r="F81" s="420" t="s">
        <v>11203</v>
      </c>
      <c r="G81" s="420" t="s">
        <v>552</v>
      </c>
      <c r="H81" s="420" t="s">
        <v>1791</v>
      </c>
      <c r="I81" s="497">
        <v>40057.0</v>
      </c>
      <c r="J81" s="422">
        <v>9.0</v>
      </c>
      <c r="K81" s="635" t="s">
        <v>228</v>
      </c>
      <c r="L81" s="420" t="s">
        <v>256</v>
      </c>
      <c r="M81" s="316">
        <f t="shared" si="2"/>
        <v>643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2</v>
      </c>
      <c r="T81" s="395">
        <f>(S81/S85)</f>
        <v>0.01459854015</v>
      </c>
      <c r="U81" s="198"/>
      <c r="V81" s="198"/>
      <c r="W81" s="198"/>
      <c r="X81" s="198"/>
      <c r="Y81" s="198"/>
      <c r="Z81" s="198"/>
    </row>
    <row r="82" ht="13.5" customHeight="1">
      <c r="A82" s="425">
        <v>8109.0</v>
      </c>
      <c r="B82" s="426" t="s">
        <v>11359</v>
      </c>
      <c r="C82" s="426">
        <v>2004.0</v>
      </c>
      <c r="D82" s="500">
        <v>38133.0</v>
      </c>
      <c r="E82" s="426" t="s">
        <v>11360</v>
      </c>
      <c r="F82" s="426" t="s">
        <v>11361</v>
      </c>
      <c r="G82" s="426" t="s">
        <v>552</v>
      </c>
      <c r="H82" s="426" t="s">
        <v>5016</v>
      </c>
      <c r="I82" s="500">
        <v>40057.0</v>
      </c>
      <c r="J82" s="428">
        <v>9.0</v>
      </c>
      <c r="K82" s="635" t="s">
        <v>228</v>
      </c>
      <c r="L82" s="428" t="s">
        <v>256</v>
      </c>
      <c r="M82" s="319">
        <f t="shared" si="2"/>
        <v>1924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79</v>
      </c>
      <c r="T82" s="398">
        <f>(S82/S85)</f>
        <v>0.5766423358</v>
      </c>
      <c r="U82" s="198"/>
      <c r="V82" s="198"/>
      <c r="W82" s="198"/>
      <c r="X82" s="198"/>
      <c r="Y82" s="198"/>
      <c r="Z82" s="198"/>
    </row>
    <row r="83" ht="13.5" customHeight="1">
      <c r="A83" s="419">
        <v>8209.0</v>
      </c>
      <c r="B83" s="420" t="s">
        <v>11362</v>
      </c>
      <c r="C83" s="420">
        <v>2006.0</v>
      </c>
      <c r="D83" s="497">
        <v>38771.0</v>
      </c>
      <c r="E83" s="420" t="s">
        <v>11363</v>
      </c>
      <c r="F83" s="420" t="s">
        <v>8470</v>
      </c>
      <c r="G83" s="420" t="s">
        <v>34</v>
      </c>
      <c r="H83" s="420" t="s">
        <v>1802</v>
      </c>
      <c r="I83" s="497">
        <v>40067.0</v>
      </c>
      <c r="J83" s="422">
        <v>9.0</v>
      </c>
      <c r="K83" s="637" t="s">
        <v>238</v>
      </c>
      <c r="L83" s="420" t="s">
        <v>260</v>
      </c>
      <c r="M83" s="316">
        <f t="shared" si="2"/>
        <v>1296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49</v>
      </c>
      <c r="T83" s="395">
        <f>(S83/S85)</f>
        <v>0.3576642336</v>
      </c>
      <c r="U83" s="198"/>
      <c r="V83" s="198"/>
      <c r="W83" s="198"/>
      <c r="X83" s="198"/>
      <c r="Y83" s="198"/>
      <c r="Z83" s="198"/>
    </row>
    <row r="84" ht="14.25" customHeight="1">
      <c r="A84" s="425">
        <v>8309.0</v>
      </c>
      <c r="B84" s="426" t="s">
        <v>11364</v>
      </c>
      <c r="C84" s="426">
        <v>2006.0</v>
      </c>
      <c r="D84" s="500">
        <v>38959.0</v>
      </c>
      <c r="E84" s="426" t="s">
        <v>11365</v>
      </c>
      <c r="F84" s="426" t="s">
        <v>8470</v>
      </c>
      <c r="G84" s="426" t="s">
        <v>547</v>
      </c>
      <c r="H84" s="426" t="s">
        <v>1802</v>
      </c>
      <c r="I84" s="500">
        <v>40067.0</v>
      </c>
      <c r="J84" s="428">
        <v>9.0</v>
      </c>
      <c r="K84" s="637" t="s">
        <v>238</v>
      </c>
      <c r="L84" s="428" t="s">
        <v>260</v>
      </c>
      <c r="M84" s="319">
        <f t="shared" si="2"/>
        <v>1108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7</v>
      </c>
      <c r="T84" s="398">
        <f>(S84/S85)</f>
        <v>0.05109489051</v>
      </c>
      <c r="U84" s="198"/>
      <c r="V84" s="198"/>
      <c r="W84" s="198"/>
      <c r="X84" s="198"/>
      <c r="Y84" s="198"/>
      <c r="Z84" s="198"/>
    </row>
    <row r="85" ht="12.75" customHeight="1">
      <c r="A85" s="419">
        <v>8409.0</v>
      </c>
      <c r="B85" s="420" t="s">
        <v>11366</v>
      </c>
      <c r="C85" s="420">
        <v>2008.0</v>
      </c>
      <c r="D85" s="497">
        <v>39583.0</v>
      </c>
      <c r="E85" s="420" t="s">
        <v>11367</v>
      </c>
      <c r="F85" s="420" t="s">
        <v>2873</v>
      </c>
      <c r="G85" s="420" t="s">
        <v>552</v>
      </c>
      <c r="H85" s="420" t="s">
        <v>11133</v>
      </c>
      <c r="I85" s="497">
        <v>40072.0</v>
      </c>
      <c r="J85" s="422">
        <v>9.0</v>
      </c>
      <c r="K85" s="635" t="s">
        <v>228</v>
      </c>
      <c r="L85" s="420" t="s">
        <v>256</v>
      </c>
      <c r="M85" s="316">
        <f t="shared" si="2"/>
        <v>489</v>
      </c>
      <c r="N85" s="198"/>
      <c r="O85" s="358" t="s">
        <v>219</v>
      </c>
      <c r="P85" s="359"/>
      <c r="Q85" s="359"/>
      <c r="R85" s="360"/>
      <c r="S85" s="388">
        <f>SUM(S81:S84)</f>
        <v>137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425">
        <v>8509.0</v>
      </c>
      <c r="B86" s="426" t="s">
        <v>11368</v>
      </c>
      <c r="C86" s="426">
        <v>2007.0</v>
      </c>
      <c r="D86" s="500">
        <v>39352.0</v>
      </c>
      <c r="E86" s="426" t="s">
        <v>11369</v>
      </c>
      <c r="F86" s="426" t="s">
        <v>11370</v>
      </c>
      <c r="G86" s="426" t="s">
        <v>552</v>
      </c>
      <c r="H86" s="426" t="s">
        <v>10894</v>
      </c>
      <c r="I86" s="500">
        <v>40072.0</v>
      </c>
      <c r="J86" s="428">
        <v>9.0</v>
      </c>
      <c r="K86" s="637" t="s">
        <v>238</v>
      </c>
      <c r="L86" s="428" t="s">
        <v>256</v>
      </c>
      <c r="M86" s="319">
        <f t="shared" si="2"/>
        <v>720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419">
        <v>8609.0</v>
      </c>
      <c r="B87" s="420" t="s">
        <v>11371</v>
      </c>
      <c r="C87" s="420">
        <v>2007.0</v>
      </c>
      <c r="D87" s="497">
        <v>39429.0</v>
      </c>
      <c r="E87" s="420" t="s">
        <v>11372</v>
      </c>
      <c r="F87" s="420" t="s">
        <v>11372</v>
      </c>
      <c r="G87" s="420" t="s">
        <v>565</v>
      </c>
      <c r="H87" s="420" t="s">
        <v>11373</v>
      </c>
      <c r="I87" s="497">
        <v>40073.0</v>
      </c>
      <c r="J87" s="422">
        <v>9.0</v>
      </c>
      <c r="K87" s="636" t="s">
        <v>244</v>
      </c>
      <c r="L87" s="420" t="s">
        <v>260</v>
      </c>
      <c r="M87" s="316">
        <f t="shared" si="2"/>
        <v>644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425">
        <v>8709.0</v>
      </c>
      <c r="B88" s="426" t="s">
        <v>11374</v>
      </c>
      <c r="C88" s="426">
        <v>2006.0</v>
      </c>
      <c r="D88" s="500">
        <v>39071.0</v>
      </c>
      <c r="E88" s="426" t="s">
        <v>11375</v>
      </c>
      <c r="F88" s="426" t="s">
        <v>11240</v>
      </c>
      <c r="G88" s="426" t="s">
        <v>552</v>
      </c>
      <c r="H88" s="426" t="s">
        <v>11005</v>
      </c>
      <c r="I88" s="500">
        <v>40101.0</v>
      </c>
      <c r="J88" s="428">
        <v>10.0</v>
      </c>
      <c r="K88" s="637" t="s">
        <v>238</v>
      </c>
      <c r="L88" s="428" t="s">
        <v>258</v>
      </c>
      <c r="M88" s="319">
        <f t="shared" si="2"/>
        <v>1030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419">
        <v>8809.0</v>
      </c>
      <c r="B89" s="420" t="s">
        <v>11376</v>
      </c>
      <c r="C89" s="420">
        <v>2007.0</v>
      </c>
      <c r="D89" s="497">
        <v>39344.0</v>
      </c>
      <c r="E89" s="420" t="s">
        <v>11377</v>
      </c>
      <c r="F89" s="420" t="s">
        <v>3972</v>
      </c>
      <c r="G89" s="420" t="s">
        <v>34</v>
      </c>
      <c r="H89" s="420" t="s">
        <v>11378</v>
      </c>
      <c r="I89" s="497">
        <v>40101.0</v>
      </c>
      <c r="J89" s="422">
        <v>10.0</v>
      </c>
      <c r="K89" s="637" t="s">
        <v>238</v>
      </c>
      <c r="L89" s="420" t="s">
        <v>256</v>
      </c>
      <c r="M89" s="316">
        <f t="shared" si="2"/>
        <v>757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425">
        <v>8909.0</v>
      </c>
      <c r="B90" s="426" t="s">
        <v>11379</v>
      </c>
      <c r="C90" s="426">
        <v>2007.0</v>
      </c>
      <c r="D90" s="500">
        <v>39353.0</v>
      </c>
      <c r="E90" s="426" t="s">
        <v>11380</v>
      </c>
      <c r="F90" s="426" t="s">
        <v>3972</v>
      </c>
      <c r="G90" s="426" t="s">
        <v>547</v>
      </c>
      <c r="H90" s="426" t="s">
        <v>11378</v>
      </c>
      <c r="I90" s="500">
        <v>40102.0</v>
      </c>
      <c r="J90" s="428">
        <v>10.0</v>
      </c>
      <c r="K90" s="637" t="s">
        <v>238</v>
      </c>
      <c r="L90" s="428" t="s">
        <v>256</v>
      </c>
      <c r="M90" s="319">
        <f t="shared" si="2"/>
        <v>749</v>
      </c>
      <c r="N90" s="198"/>
      <c r="O90" s="412" t="s">
        <v>270</v>
      </c>
      <c r="P90" s="413">
        <f>AVERAGEIF(G2:G476,"PT",M2:M476)</f>
        <v>1125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419">
        <v>9009.0</v>
      </c>
      <c r="B91" s="420" t="s">
        <v>11381</v>
      </c>
      <c r="C91" s="420">
        <v>2006.0</v>
      </c>
      <c r="D91" s="497">
        <v>39069.0</v>
      </c>
      <c r="E91" s="420" t="s">
        <v>11382</v>
      </c>
      <c r="F91" s="420" t="s">
        <v>44</v>
      </c>
      <c r="G91" s="420" t="s">
        <v>650</v>
      </c>
      <c r="H91" s="420" t="s">
        <v>2272</v>
      </c>
      <c r="I91" s="497">
        <v>40102.0</v>
      </c>
      <c r="J91" s="422">
        <v>10.0</v>
      </c>
      <c r="K91" s="637" t="s">
        <v>238</v>
      </c>
      <c r="L91" s="420" t="s">
        <v>256</v>
      </c>
      <c r="M91" s="316">
        <f t="shared" si="2"/>
        <v>1033</v>
      </c>
      <c r="N91" s="198"/>
      <c r="O91" s="414" t="s">
        <v>34</v>
      </c>
      <c r="P91" s="415">
        <f>AVERAGEIF(G2:G477,"PTN",M2:M477)</f>
        <v>1296.75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425">
        <v>9109.0</v>
      </c>
      <c r="B92" s="426" t="s">
        <v>11383</v>
      </c>
      <c r="C92" s="426">
        <v>2007.0</v>
      </c>
      <c r="D92" s="500">
        <v>39356.0</v>
      </c>
      <c r="E92" s="426" t="s">
        <v>11384</v>
      </c>
      <c r="F92" s="426" t="s">
        <v>1401</v>
      </c>
      <c r="G92" s="426" t="s">
        <v>650</v>
      </c>
      <c r="H92" s="426" t="s">
        <v>5180</v>
      </c>
      <c r="I92" s="500">
        <v>40102.0</v>
      </c>
      <c r="J92" s="428">
        <v>10.0</v>
      </c>
      <c r="K92" s="637" t="s">
        <v>238</v>
      </c>
      <c r="L92" s="428" t="s">
        <v>256</v>
      </c>
      <c r="M92" s="319">
        <f t="shared" si="2"/>
        <v>746</v>
      </c>
      <c r="N92" s="198"/>
      <c r="O92" s="412" t="s">
        <v>17</v>
      </c>
      <c r="P92" s="413">
        <f>AVERAGEIF(G2:G476,"PTE",M2:M476)</f>
        <v>586.2142857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419">
        <v>9209.0</v>
      </c>
      <c r="B93" s="420" t="s">
        <v>11385</v>
      </c>
      <c r="C93" s="420">
        <v>2006.0</v>
      </c>
      <c r="D93" s="497">
        <v>39069.0</v>
      </c>
      <c r="E93" s="420" t="s">
        <v>11386</v>
      </c>
      <c r="F93" s="420" t="s">
        <v>11387</v>
      </c>
      <c r="G93" s="420" t="s">
        <v>650</v>
      </c>
      <c r="H93" s="420" t="s">
        <v>2272</v>
      </c>
      <c r="I93" s="497">
        <v>40102.0</v>
      </c>
      <c r="J93" s="422">
        <v>10.0</v>
      </c>
      <c r="K93" s="637" t="s">
        <v>238</v>
      </c>
      <c r="L93" s="420" t="s">
        <v>256</v>
      </c>
      <c r="M93" s="316">
        <f t="shared" si="2"/>
        <v>1033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425">
        <v>9309.0</v>
      </c>
      <c r="B94" s="426" t="s">
        <v>11388</v>
      </c>
      <c r="C94" s="426">
        <v>2006.0</v>
      </c>
      <c r="D94" s="500">
        <v>39069.0</v>
      </c>
      <c r="E94" s="426" t="s">
        <v>11389</v>
      </c>
      <c r="F94" s="426" t="s">
        <v>11387</v>
      </c>
      <c r="G94" s="426" t="s">
        <v>650</v>
      </c>
      <c r="H94" s="426" t="s">
        <v>2272</v>
      </c>
      <c r="I94" s="500">
        <v>40102.0</v>
      </c>
      <c r="J94" s="428">
        <v>10.0</v>
      </c>
      <c r="K94" s="637" t="s">
        <v>238</v>
      </c>
      <c r="L94" s="428" t="s">
        <v>256</v>
      </c>
      <c r="M94" s="319">
        <f t="shared" si="2"/>
        <v>1033</v>
      </c>
      <c r="N94" s="198"/>
      <c r="O94" s="412" t="s">
        <v>650</v>
      </c>
      <c r="P94" s="413">
        <f>AVERAGEIF(G2:G476,"PF",M2:M476)</f>
        <v>1277.6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419">
        <v>9409.0</v>
      </c>
      <c r="B95" s="420" t="s">
        <v>11390</v>
      </c>
      <c r="C95" s="420">
        <v>2008.0</v>
      </c>
      <c r="D95" s="497">
        <v>39743.0</v>
      </c>
      <c r="E95" s="420" t="s">
        <v>11391</v>
      </c>
      <c r="F95" s="420" t="s">
        <v>660</v>
      </c>
      <c r="G95" s="420" t="s">
        <v>552</v>
      </c>
      <c r="H95" s="420" t="s">
        <v>11133</v>
      </c>
      <c r="I95" s="497">
        <v>40102.0</v>
      </c>
      <c r="J95" s="422">
        <v>10.0</v>
      </c>
      <c r="K95" s="635" t="s">
        <v>228</v>
      </c>
      <c r="L95" s="420" t="s">
        <v>256</v>
      </c>
      <c r="M95" s="316">
        <f t="shared" si="2"/>
        <v>359</v>
      </c>
      <c r="N95" s="198"/>
      <c r="O95" s="414" t="s">
        <v>547</v>
      </c>
      <c r="P95" s="415">
        <f>AVERAGEIF(G2:G476,"PFN",M2:M476)</f>
        <v>1178.285714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425">
        <v>9509.0</v>
      </c>
      <c r="B96" s="426" t="s">
        <v>11392</v>
      </c>
      <c r="C96" s="426">
        <v>2007.0</v>
      </c>
      <c r="D96" s="500">
        <v>39414.0</v>
      </c>
      <c r="E96" s="426" t="s">
        <v>11393</v>
      </c>
      <c r="F96" s="426" t="s">
        <v>1232</v>
      </c>
      <c r="G96" s="426" t="s">
        <v>552</v>
      </c>
      <c r="H96" s="426" t="s">
        <v>740</v>
      </c>
      <c r="I96" s="500">
        <v>40106.0</v>
      </c>
      <c r="J96" s="428">
        <v>10.0</v>
      </c>
      <c r="K96" s="635" t="s">
        <v>228</v>
      </c>
      <c r="L96" s="428" t="s">
        <v>256</v>
      </c>
      <c r="M96" s="319">
        <f t="shared" si="2"/>
        <v>692</v>
      </c>
      <c r="N96" s="198"/>
      <c r="O96" s="412" t="s">
        <v>552</v>
      </c>
      <c r="P96" s="413">
        <f>AVERAGEIF(G2:G476,"PF/PTE",M2:M476)</f>
        <v>840.8709677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419">
        <v>9609.0</v>
      </c>
      <c r="B97" s="420" t="s">
        <v>11394</v>
      </c>
      <c r="C97" s="420">
        <v>2005.0</v>
      </c>
      <c r="D97" s="497">
        <v>38617.0</v>
      </c>
      <c r="E97" s="420" t="s">
        <v>11395</v>
      </c>
      <c r="F97" s="420" t="s">
        <v>11278</v>
      </c>
      <c r="G97" s="420" t="s">
        <v>650</v>
      </c>
      <c r="H97" s="420" t="s">
        <v>923</v>
      </c>
      <c r="I97" s="497">
        <v>40107.0</v>
      </c>
      <c r="J97" s="422">
        <v>10.0</v>
      </c>
      <c r="K97" s="637" t="s">
        <v>238</v>
      </c>
      <c r="L97" s="420" t="s">
        <v>256</v>
      </c>
      <c r="M97" s="316">
        <f t="shared" si="2"/>
        <v>1490</v>
      </c>
      <c r="N97" s="198"/>
      <c r="O97" s="414" t="s">
        <v>565</v>
      </c>
      <c r="P97" s="415">
        <f>AVERAGEIF(G2:G476,"Bio",M2:M476)</f>
        <v>804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425">
        <v>9709.0</v>
      </c>
      <c r="B98" s="426" t="s">
        <v>11396</v>
      </c>
      <c r="C98" s="426">
        <v>2002.0</v>
      </c>
      <c r="D98" s="500">
        <v>37554.0</v>
      </c>
      <c r="E98" s="426" t="s">
        <v>11397</v>
      </c>
      <c r="F98" s="426" t="s">
        <v>10517</v>
      </c>
      <c r="G98" s="426" t="s">
        <v>270</v>
      </c>
      <c r="H98" s="426" t="s">
        <v>11398</v>
      </c>
      <c r="I98" s="500">
        <v>40114.0</v>
      </c>
      <c r="J98" s="428">
        <v>10.0</v>
      </c>
      <c r="K98" s="635" t="s">
        <v>228</v>
      </c>
      <c r="L98" s="428" t="s">
        <v>256</v>
      </c>
      <c r="M98" s="319">
        <f t="shared" si="2"/>
        <v>2560</v>
      </c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419">
        <v>9809.0</v>
      </c>
      <c r="B99" s="420" t="s">
        <v>11399</v>
      </c>
      <c r="C99" s="420">
        <v>2008.0</v>
      </c>
      <c r="D99" s="497">
        <v>39597.0</v>
      </c>
      <c r="E99" s="420" t="s">
        <v>11400</v>
      </c>
      <c r="F99" s="420" t="s">
        <v>8731</v>
      </c>
      <c r="G99" s="420" t="s">
        <v>17</v>
      </c>
      <c r="H99" s="420" t="s">
        <v>11401</v>
      </c>
      <c r="I99" s="497">
        <v>40120.0</v>
      </c>
      <c r="J99" s="422">
        <v>11.0</v>
      </c>
      <c r="K99" s="638" t="s">
        <v>234</v>
      </c>
      <c r="L99" s="420" t="s">
        <v>256</v>
      </c>
      <c r="M99" s="316">
        <f t="shared" si="2"/>
        <v>523</v>
      </c>
      <c r="N99" s="198"/>
      <c r="O99" s="416" t="s">
        <v>275</v>
      </c>
      <c r="P99" s="417">
        <f>AVERAGE(M2:M494)</f>
        <v>922.7664234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425">
        <v>9909.0</v>
      </c>
      <c r="B100" s="426" t="s">
        <v>11402</v>
      </c>
      <c r="C100" s="426">
        <v>2007.0</v>
      </c>
      <c r="D100" s="500">
        <v>39395.0</v>
      </c>
      <c r="E100" s="426" t="s">
        <v>11403</v>
      </c>
      <c r="F100" s="426" t="s">
        <v>11203</v>
      </c>
      <c r="G100" s="426" t="s">
        <v>552</v>
      </c>
      <c r="H100" s="426" t="s">
        <v>4427</v>
      </c>
      <c r="I100" s="500">
        <v>40121.0</v>
      </c>
      <c r="J100" s="428">
        <v>11.0</v>
      </c>
      <c r="K100" s="635" t="s">
        <v>228</v>
      </c>
      <c r="L100" s="428" t="s">
        <v>256</v>
      </c>
      <c r="M100" s="319">
        <f t="shared" si="2"/>
        <v>726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419">
        <v>10009.0</v>
      </c>
      <c r="B101" s="420" t="s">
        <v>11404</v>
      </c>
      <c r="C101" s="420">
        <v>2007.0</v>
      </c>
      <c r="D101" s="497">
        <v>39433.0</v>
      </c>
      <c r="E101" s="420" t="s">
        <v>11405</v>
      </c>
      <c r="F101" s="420" t="s">
        <v>11203</v>
      </c>
      <c r="G101" s="420" t="s">
        <v>552</v>
      </c>
      <c r="H101" s="420" t="s">
        <v>4427</v>
      </c>
      <c r="I101" s="497">
        <v>40121.0</v>
      </c>
      <c r="J101" s="422">
        <v>11.0</v>
      </c>
      <c r="K101" s="635" t="s">
        <v>228</v>
      </c>
      <c r="L101" s="420" t="s">
        <v>256</v>
      </c>
      <c r="M101" s="316">
        <f t="shared" si="2"/>
        <v>688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425">
        <v>10109.0</v>
      </c>
      <c r="B102" s="426" t="s">
        <v>11406</v>
      </c>
      <c r="C102" s="426">
        <v>2008.0</v>
      </c>
      <c r="D102" s="500">
        <v>39554.0</v>
      </c>
      <c r="E102" s="426" t="s">
        <v>11407</v>
      </c>
      <c r="F102" s="426" t="s">
        <v>739</v>
      </c>
      <c r="G102" s="426" t="s">
        <v>17</v>
      </c>
      <c r="H102" s="426" t="s">
        <v>10894</v>
      </c>
      <c r="I102" s="500">
        <v>40121.0</v>
      </c>
      <c r="J102" s="428">
        <v>11.0</v>
      </c>
      <c r="K102" s="638" t="s">
        <v>234</v>
      </c>
      <c r="L102" s="428" t="s">
        <v>258</v>
      </c>
      <c r="M102" s="319">
        <f t="shared" si="2"/>
        <v>567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419">
        <v>10209.0</v>
      </c>
      <c r="B103" s="420" t="s">
        <v>11408</v>
      </c>
      <c r="C103" s="420">
        <v>2007.0</v>
      </c>
      <c r="D103" s="497">
        <v>39433.0</v>
      </c>
      <c r="E103" s="420" t="s">
        <v>11409</v>
      </c>
      <c r="F103" s="420" t="s">
        <v>11129</v>
      </c>
      <c r="G103" s="420" t="s">
        <v>552</v>
      </c>
      <c r="H103" s="420" t="s">
        <v>4427</v>
      </c>
      <c r="I103" s="497">
        <v>40126.0</v>
      </c>
      <c r="J103" s="422">
        <v>11.0</v>
      </c>
      <c r="K103" s="637" t="s">
        <v>238</v>
      </c>
      <c r="L103" s="420" t="s">
        <v>258</v>
      </c>
      <c r="M103" s="316">
        <f t="shared" si="2"/>
        <v>693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425">
        <v>10309.0</v>
      </c>
      <c r="B104" s="426" t="s">
        <v>11410</v>
      </c>
      <c r="C104" s="426">
        <v>2007.0</v>
      </c>
      <c r="D104" s="500">
        <v>39414.0</v>
      </c>
      <c r="E104" s="426" t="s">
        <v>11411</v>
      </c>
      <c r="F104" s="426" t="s">
        <v>11129</v>
      </c>
      <c r="G104" s="426" t="s">
        <v>552</v>
      </c>
      <c r="H104" s="426" t="s">
        <v>4427</v>
      </c>
      <c r="I104" s="500">
        <v>40126.0</v>
      </c>
      <c r="J104" s="428">
        <v>11.0</v>
      </c>
      <c r="K104" s="637" t="s">
        <v>238</v>
      </c>
      <c r="L104" s="428" t="s">
        <v>258</v>
      </c>
      <c r="M104" s="319">
        <f t="shared" si="2"/>
        <v>712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419">
        <v>10409.0</v>
      </c>
      <c r="B105" s="420" t="s">
        <v>11412</v>
      </c>
      <c r="C105" s="420">
        <v>2007.0</v>
      </c>
      <c r="D105" s="497">
        <v>39365.0</v>
      </c>
      <c r="E105" s="420" t="s">
        <v>11413</v>
      </c>
      <c r="F105" s="420" t="s">
        <v>11240</v>
      </c>
      <c r="G105" s="420" t="s">
        <v>552</v>
      </c>
      <c r="H105" s="420" t="s">
        <v>4427</v>
      </c>
      <c r="I105" s="497">
        <v>40130.0</v>
      </c>
      <c r="J105" s="422">
        <v>11.0</v>
      </c>
      <c r="K105" s="637" t="s">
        <v>238</v>
      </c>
      <c r="L105" s="420" t="s">
        <v>258</v>
      </c>
      <c r="M105" s="316">
        <f t="shared" si="2"/>
        <v>765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425">
        <v>10509.0</v>
      </c>
      <c r="B106" s="426" t="s">
        <v>11414</v>
      </c>
      <c r="C106" s="426">
        <v>2007.0</v>
      </c>
      <c r="D106" s="500">
        <v>39444.0</v>
      </c>
      <c r="E106" s="426" t="s">
        <v>11415</v>
      </c>
      <c r="F106" s="426" t="s">
        <v>11063</v>
      </c>
      <c r="G106" s="426" t="s">
        <v>650</v>
      </c>
      <c r="H106" s="426" t="s">
        <v>1727</v>
      </c>
      <c r="I106" s="500">
        <v>40135.0</v>
      </c>
      <c r="J106" s="428">
        <v>11.0</v>
      </c>
      <c r="K106" s="637" t="s">
        <v>238</v>
      </c>
      <c r="L106" s="428" t="s">
        <v>258</v>
      </c>
      <c r="M106" s="319">
        <f t="shared" si="2"/>
        <v>691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419">
        <v>10609.0</v>
      </c>
      <c r="B107" s="420" t="s">
        <v>11416</v>
      </c>
      <c r="C107" s="420">
        <v>2007.0</v>
      </c>
      <c r="D107" s="497">
        <v>39372.0</v>
      </c>
      <c r="E107" s="420" t="s">
        <v>11417</v>
      </c>
      <c r="F107" s="420" t="s">
        <v>2071</v>
      </c>
      <c r="G107" s="420" t="s">
        <v>17</v>
      </c>
      <c r="H107" s="420" t="s">
        <v>11005</v>
      </c>
      <c r="I107" s="497">
        <v>40135.0</v>
      </c>
      <c r="J107" s="422">
        <v>11.0</v>
      </c>
      <c r="K107" s="637" t="s">
        <v>238</v>
      </c>
      <c r="L107" s="420" t="s">
        <v>258</v>
      </c>
      <c r="M107" s="316">
        <f t="shared" si="2"/>
        <v>763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425">
        <v>10709.0</v>
      </c>
      <c r="B108" s="426" t="s">
        <v>11418</v>
      </c>
      <c r="C108" s="426">
        <v>2008.0</v>
      </c>
      <c r="D108" s="500">
        <v>39647.0</v>
      </c>
      <c r="E108" s="426" t="s">
        <v>11419</v>
      </c>
      <c r="F108" s="426" t="s">
        <v>1232</v>
      </c>
      <c r="G108" s="426" t="s">
        <v>552</v>
      </c>
      <c r="H108" s="426" t="s">
        <v>11420</v>
      </c>
      <c r="I108" s="500">
        <v>40136.0</v>
      </c>
      <c r="J108" s="428">
        <v>11.0</v>
      </c>
      <c r="K108" s="635" t="s">
        <v>228</v>
      </c>
      <c r="L108" s="428" t="s">
        <v>256</v>
      </c>
      <c r="M108" s="319">
        <f t="shared" si="2"/>
        <v>489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419">
        <v>10809.0</v>
      </c>
      <c r="B109" s="420" t="s">
        <v>11421</v>
      </c>
      <c r="C109" s="420">
        <v>2008.0</v>
      </c>
      <c r="D109" s="497">
        <v>39769.0</v>
      </c>
      <c r="E109" s="420" t="s">
        <v>11422</v>
      </c>
      <c r="F109" s="420" t="s">
        <v>11203</v>
      </c>
      <c r="G109" s="420" t="s">
        <v>17</v>
      </c>
      <c r="H109" s="420" t="s">
        <v>1979</v>
      </c>
      <c r="I109" s="497">
        <v>40136.0</v>
      </c>
      <c r="J109" s="422">
        <v>11.0</v>
      </c>
      <c r="K109" s="635" t="s">
        <v>228</v>
      </c>
      <c r="L109" s="420" t="s">
        <v>258</v>
      </c>
      <c r="M109" s="316">
        <f t="shared" si="2"/>
        <v>367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425">
        <v>10909.0</v>
      </c>
      <c r="B110" s="426" t="s">
        <v>11423</v>
      </c>
      <c r="C110" s="426">
        <v>2008.0</v>
      </c>
      <c r="D110" s="500">
        <v>39806.0</v>
      </c>
      <c r="E110" s="426" t="s">
        <v>11424</v>
      </c>
      <c r="F110" s="426" t="s">
        <v>11356</v>
      </c>
      <c r="G110" s="426" t="s">
        <v>552</v>
      </c>
      <c r="H110" s="426" t="s">
        <v>1979</v>
      </c>
      <c r="I110" s="500">
        <v>40137.0</v>
      </c>
      <c r="J110" s="428">
        <v>11.0</v>
      </c>
      <c r="K110" s="638" t="s">
        <v>234</v>
      </c>
      <c r="L110" s="428" t="s">
        <v>258</v>
      </c>
      <c r="M110" s="319">
        <f t="shared" si="2"/>
        <v>331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419">
        <v>11009.0</v>
      </c>
      <c r="B111" s="420" t="s">
        <v>11425</v>
      </c>
      <c r="C111" s="420">
        <v>2007.0</v>
      </c>
      <c r="D111" s="497">
        <v>39444.0</v>
      </c>
      <c r="E111" s="420" t="s">
        <v>11426</v>
      </c>
      <c r="F111" s="420" t="s">
        <v>1401</v>
      </c>
      <c r="G111" s="420" t="s">
        <v>552</v>
      </c>
      <c r="H111" s="420" t="s">
        <v>11093</v>
      </c>
      <c r="I111" s="497">
        <v>40147.0</v>
      </c>
      <c r="J111" s="422">
        <v>11.0</v>
      </c>
      <c r="K111" s="637" t="s">
        <v>238</v>
      </c>
      <c r="L111" s="420" t="s">
        <v>258</v>
      </c>
      <c r="M111" s="316">
        <f t="shared" si="2"/>
        <v>703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425">
        <v>11109.0</v>
      </c>
      <c r="B112" s="426" t="s">
        <v>11427</v>
      </c>
      <c r="C112" s="426">
        <v>2007.0</v>
      </c>
      <c r="D112" s="500">
        <v>39395.0</v>
      </c>
      <c r="E112" s="426" t="s">
        <v>11428</v>
      </c>
      <c r="F112" s="426" t="s">
        <v>11356</v>
      </c>
      <c r="G112" s="426" t="s">
        <v>17</v>
      </c>
      <c r="H112" s="426" t="s">
        <v>10989</v>
      </c>
      <c r="I112" s="500">
        <v>40149.0</v>
      </c>
      <c r="J112" s="428">
        <v>12.0</v>
      </c>
      <c r="K112" s="637" t="s">
        <v>238</v>
      </c>
      <c r="L112" s="428" t="s">
        <v>256</v>
      </c>
      <c r="M112" s="319">
        <f t="shared" si="2"/>
        <v>754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419">
        <v>11209.0</v>
      </c>
      <c r="B113" s="420" t="s">
        <v>11429</v>
      </c>
      <c r="C113" s="420">
        <v>2006.0</v>
      </c>
      <c r="D113" s="497">
        <v>39035.0</v>
      </c>
      <c r="E113" s="420" t="s">
        <v>11430</v>
      </c>
      <c r="F113" s="420" t="s">
        <v>660</v>
      </c>
      <c r="G113" s="420" t="s">
        <v>650</v>
      </c>
      <c r="H113" s="420" t="s">
        <v>601</v>
      </c>
      <c r="I113" s="497">
        <v>40151.0</v>
      </c>
      <c r="J113" s="422">
        <v>12.0</v>
      </c>
      <c r="K113" s="635" t="s">
        <v>228</v>
      </c>
      <c r="L113" s="420" t="s">
        <v>258</v>
      </c>
      <c r="M113" s="316">
        <f t="shared" si="2"/>
        <v>1116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425">
        <v>11309.0</v>
      </c>
      <c r="B114" s="426" t="s">
        <v>11431</v>
      </c>
      <c r="C114" s="426">
        <v>2008.0</v>
      </c>
      <c r="D114" s="500">
        <v>39553.0</v>
      </c>
      <c r="E114" s="426" t="s">
        <v>11432</v>
      </c>
      <c r="F114" s="426" t="s">
        <v>65</v>
      </c>
      <c r="G114" s="426" t="s">
        <v>17</v>
      </c>
      <c r="H114" s="426" t="s">
        <v>8160</v>
      </c>
      <c r="I114" s="500">
        <v>40151.0</v>
      </c>
      <c r="J114" s="428">
        <v>12.0</v>
      </c>
      <c r="K114" s="635" t="s">
        <v>228</v>
      </c>
      <c r="L114" s="428" t="s">
        <v>254</v>
      </c>
      <c r="M114" s="319">
        <f t="shared" si="2"/>
        <v>598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419">
        <v>11409.0</v>
      </c>
      <c r="B115" s="420" t="s">
        <v>11433</v>
      </c>
      <c r="C115" s="420">
        <v>2008.0</v>
      </c>
      <c r="D115" s="497">
        <v>39695.0</v>
      </c>
      <c r="E115" s="420" t="s">
        <v>11434</v>
      </c>
      <c r="F115" s="420" t="s">
        <v>7179</v>
      </c>
      <c r="G115" s="420" t="s">
        <v>552</v>
      </c>
      <c r="H115" s="420" t="s">
        <v>1791</v>
      </c>
      <c r="I115" s="497">
        <v>40154.0</v>
      </c>
      <c r="J115" s="422">
        <v>12.0</v>
      </c>
      <c r="K115" s="635" t="s">
        <v>228</v>
      </c>
      <c r="L115" s="420" t="s">
        <v>256</v>
      </c>
      <c r="M115" s="316">
        <f t="shared" si="2"/>
        <v>459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425">
        <v>11509.0</v>
      </c>
      <c r="B116" s="426" t="s">
        <v>11435</v>
      </c>
      <c r="C116" s="426">
        <v>2008.0</v>
      </c>
      <c r="D116" s="500">
        <v>39709.0</v>
      </c>
      <c r="E116" s="426" t="s">
        <v>11436</v>
      </c>
      <c r="F116" s="426" t="s">
        <v>7179</v>
      </c>
      <c r="G116" s="426" t="s">
        <v>552</v>
      </c>
      <c r="H116" s="426" t="s">
        <v>1791</v>
      </c>
      <c r="I116" s="500">
        <v>40154.0</v>
      </c>
      <c r="J116" s="428">
        <v>12.0</v>
      </c>
      <c r="K116" s="635" t="s">
        <v>228</v>
      </c>
      <c r="L116" s="428" t="s">
        <v>256</v>
      </c>
      <c r="M116" s="319">
        <f t="shared" si="2"/>
        <v>445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419">
        <v>11609.0</v>
      </c>
      <c r="B117" s="420" t="s">
        <v>11437</v>
      </c>
      <c r="C117" s="420">
        <v>2007.0</v>
      </c>
      <c r="D117" s="497">
        <v>39443.0</v>
      </c>
      <c r="E117" s="420" t="s">
        <v>11438</v>
      </c>
      <c r="F117" s="420" t="s">
        <v>1232</v>
      </c>
      <c r="G117" s="420" t="s">
        <v>552</v>
      </c>
      <c r="H117" s="420" t="s">
        <v>4427</v>
      </c>
      <c r="I117" s="497">
        <v>40154.0</v>
      </c>
      <c r="J117" s="422">
        <v>12.0</v>
      </c>
      <c r="K117" s="637" t="s">
        <v>238</v>
      </c>
      <c r="L117" s="420" t="s">
        <v>258</v>
      </c>
      <c r="M117" s="316">
        <f t="shared" si="2"/>
        <v>711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425">
        <v>11709.0</v>
      </c>
      <c r="B118" s="426" t="s">
        <v>11439</v>
      </c>
      <c r="C118" s="426">
        <v>2008.0</v>
      </c>
      <c r="D118" s="500">
        <v>39547.0</v>
      </c>
      <c r="E118" s="426" t="s">
        <v>11440</v>
      </c>
      <c r="F118" s="426" t="s">
        <v>4157</v>
      </c>
      <c r="G118" s="426" t="s">
        <v>552</v>
      </c>
      <c r="H118" s="426" t="s">
        <v>1791</v>
      </c>
      <c r="I118" s="500">
        <v>40154.0</v>
      </c>
      <c r="J118" s="428">
        <v>12.0</v>
      </c>
      <c r="K118" s="635" t="s">
        <v>228</v>
      </c>
      <c r="L118" s="428" t="s">
        <v>256</v>
      </c>
      <c r="M118" s="319">
        <f t="shared" si="2"/>
        <v>607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419">
        <v>11809.0</v>
      </c>
      <c r="B119" s="420" t="s">
        <v>11441</v>
      </c>
      <c r="C119" s="420">
        <v>2008.0</v>
      </c>
      <c r="D119" s="497">
        <v>39695.0</v>
      </c>
      <c r="E119" s="420" t="s">
        <v>11442</v>
      </c>
      <c r="F119" s="420" t="s">
        <v>6595</v>
      </c>
      <c r="G119" s="420" t="s">
        <v>552</v>
      </c>
      <c r="H119" s="420" t="s">
        <v>11323</v>
      </c>
      <c r="I119" s="497">
        <v>40156.0</v>
      </c>
      <c r="J119" s="422">
        <v>12.0</v>
      </c>
      <c r="K119" s="637" t="s">
        <v>238</v>
      </c>
      <c r="L119" s="420" t="s">
        <v>258</v>
      </c>
      <c r="M119" s="316">
        <f t="shared" si="2"/>
        <v>461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425">
        <v>11909.0</v>
      </c>
      <c r="B120" s="426" t="s">
        <v>11443</v>
      </c>
      <c r="C120" s="426">
        <v>2008.0</v>
      </c>
      <c r="D120" s="500">
        <v>39700.0</v>
      </c>
      <c r="E120" s="426" t="s">
        <v>11444</v>
      </c>
      <c r="F120" s="426" t="s">
        <v>6595</v>
      </c>
      <c r="G120" s="426" t="s">
        <v>552</v>
      </c>
      <c r="H120" s="426" t="s">
        <v>11323</v>
      </c>
      <c r="I120" s="500">
        <v>40156.0</v>
      </c>
      <c r="J120" s="428">
        <v>12.0</v>
      </c>
      <c r="K120" s="637" t="s">
        <v>238</v>
      </c>
      <c r="L120" s="428" t="s">
        <v>258</v>
      </c>
      <c r="M120" s="319">
        <f t="shared" si="2"/>
        <v>456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419">
        <v>12009.0</v>
      </c>
      <c r="B121" s="420" t="s">
        <v>11445</v>
      </c>
      <c r="C121" s="420">
        <v>2008.0</v>
      </c>
      <c r="D121" s="497">
        <v>39587.0</v>
      </c>
      <c r="E121" s="420" t="s">
        <v>11446</v>
      </c>
      <c r="F121" s="420" t="s">
        <v>2873</v>
      </c>
      <c r="G121" s="420" t="s">
        <v>552</v>
      </c>
      <c r="H121" s="420" t="s">
        <v>11133</v>
      </c>
      <c r="I121" s="497">
        <v>40157.0</v>
      </c>
      <c r="J121" s="422">
        <v>12.0</v>
      </c>
      <c r="K121" s="635" t="s">
        <v>228</v>
      </c>
      <c r="L121" s="420" t="s">
        <v>256</v>
      </c>
      <c r="M121" s="316">
        <f t="shared" si="2"/>
        <v>570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425">
        <v>12109.0</v>
      </c>
      <c r="B122" s="426" t="s">
        <v>11447</v>
      </c>
      <c r="C122" s="426">
        <v>2007.0</v>
      </c>
      <c r="D122" s="500">
        <v>39205.0</v>
      </c>
      <c r="E122" s="426" t="s">
        <v>11448</v>
      </c>
      <c r="F122" s="426" t="s">
        <v>2453</v>
      </c>
      <c r="G122" s="426" t="s">
        <v>552</v>
      </c>
      <c r="H122" s="426" t="s">
        <v>10935</v>
      </c>
      <c r="I122" s="500">
        <v>40157.0</v>
      </c>
      <c r="J122" s="428">
        <v>12.0</v>
      </c>
      <c r="K122" s="637" t="s">
        <v>238</v>
      </c>
      <c r="L122" s="428" t="s">
        <v>258</v>
      </c>
      <c r="M122" s="319">
        <f t="shared" si="2"/>
        <v>952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419">
        <v>12209.0</v>
      </c>
      <c r="B123" s="420" t="s">
        <v>11449</v>
      </c>
      <c r="C123" s="420">
        <v>2008.0</v>
      </c>
      <c r="D123" s="497">
        <v>39616.0</v>
      </c>
      <c r="E123" s="420" t="s">
        <v>11450</v>
      </c>
      <c r="F123" s="420" t="s">
        <v>11129</v>
      </c>
      <c r="G123" s="420" t="s">
        <v>17</v>
      </c>
      <c r="H123" s="420" t="s">
        <v>11093</v>
      </c>
      <c r="I123" s="497">
        <v>40157.0</v>
      </c>
      <c r="J123" s="422">
        <v>12.0</v>
      </c>
      <c r="K123" s="637" t="s">
        <v>238</v>
      </c>
      <c r="L123" s="420" t="s">
        <v>258</v>
      </c>
      <c r="M123" s="316">
        <f t="shared" si="2"/>
        <v>541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425">
        <v>12309.0</v>
      </c>
      <c r="B124" s="426" t="s">
        <v>11451</v>
      </c>
      <c r="C124" s="426">
        <v>2006.0</v>
      </c>
      <c r="D124" s="500">
        <v>39021.0</v>
      </c>
      <c r="E124" s="426" t="s">
        <v>11452</v>
      </c>
      <c r="F124" s="426" t="s">
        <v>11240</v>
      </c>
      <c r="G124" s="426" t="s">
        <v>552</v>
      </c>
      <c r="H124" s="426" t="s">
        <v>11093</v>
      </c>
      <c r="I124" s="500">
        <v>40157.0</v>
      </c>
      <c r="J124" s="428">
        <v>12.0</v>
      </c>
      <c r="K124" s="638" t="s">
        <v>234</v>
      </c>
      <c r="L124" s="428" t="s">
        <v>258</v>
      </c>
      <c r="M124" s="319">
        <f t="shared" si="2"/>
        <v>1136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419">
        <v>12409.0</v>
      </c>
      <c r="B125" s="420" t="s">
        <v>11453</v>
      </c>
      <c r="C125" s="420">
        <v>2008.0</v>
      </c>
      <c r="D125" s="497">
        <v>39680.0</v>
      </c>
      <c r="E125" s="420" t="s">
        <v>11454</v>
      </c>
      <c r="F125" s="420" t="s">
        <v>1232</v>
      </c>
      <c r="G125" s="420" t="s">
        <v>17</v>
      </c>
      <c r="H125" s="420" t="s">
        <v>8160</v>
      </c>
      <c r="I125" s="497">
        <v>40157.0</v>
      </c>
      <c r="J125" s="422">
        <v>12.0</v>
      </c>
      <c r="K125" s="635" t="s">
        <v>228</v>
      </c>
      <c r="L125" s="420" t="s">
        <v>256</v>
      </c>
      <c r="M125" s="316">
        <f t="shared" si="2"/>
        <v>477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425">
        <v>12509.0</v>
      </c>
      <c r="B126" s="426" t="s">
        <v>11455</v>
      </c>
      <c r="C126" s="426">
        <v>2005.0</v>
      </c>
      <c r="D126" s="500">
        <v>38629.0</v>
      </c>
      <c r="E126" s="426" t="s">
        <v>11456</v>
      </c>
      <c r="F126" s="426" t="s">
        <v>2842</v>
      </c>
      <c r="G126" s="426" t="s">
        <v>552</v>
      </c>
      <c r="H126" s="426" t="s">
        <v>11457</v>
      </c>
      <c r="I126" s="500">
        <v>40158.0</v>
      </c>
      <c r="J126" s="428">
        <v>12.0</v>
      </c>
      <c r="K126" s="635" t="s">
        <v>228</v>
      </c>
      <c r="L126" s="428" t="s">
        <v>256</v>
      </c>
      <c r="M126" s="319">
        <f t="shared" si="2"/>
        <v>1529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419">
        <v>12609.0</v>
      </c>
      <c r="B127" s="420" t="s">
        <v>11458</v>
      </c>
      <c r="C127" s="420">
        <v>2001.0</v>
      </c>
      <c r="D127" s="497">
        <v>37252.0</v>
      </c>
      <c r="E127" s="420" t="s">
        <v>11459</v>
      </c>
      <c r="F127" s="420" t="s">
        <v>11356</v>
      </c>
      <c r="G127" s="420" t="s">
        <v>650</v>
      </c>
      <c r="H127" s="420" t="s">
        <v>2964</v>
      </c>
      <c r="I127" s="497">
        <v>40161.0</v>
      </c>
      <c r="J127" s="422">
        <v>12.0</v>
      </c>
      <c r="K127" s="635" t="s">
        <v>228</v>
      </c>
      <c r="L127" s="420" t="s">
        <v>258</v>
      </c>
      <c r="M127" s="316">
        <f t="shared" si="2"/>
        <v>2909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425">
        <v>12709.0</v>
      </c>
      <c r="B128" s="426" t="s">
        <v>11460</v>
      </c>
      <c r="C128" s="426">
        <v>2006.0</v>
      </c>
      <c r="D128" s="500">
        <v>39065.0</v>
      </c>
      <c r="E128" s="426" t="s">
        <v>11461</v>
      </c>
      <c r="F128" s="426" t="s">
        <v>11356</v>
      </c>
      <c r="G128" s="426" t="s">
        <v>650</v>
      </c>
      <c r="H128" s="426" t="s">
        <v>2964</v>
      </c>
      <c r="I128" s="500">
        <v>40161.0</v>
      </c>
      <c r="J128" s="428">
        <v>12.0</v>
      </c>
      <c r="K128" s="635" t="s">
        <v>228</v>
      </c>
      <c r="L128" s="428" t="s">
        <v>258</v>
      </c>
      <c r="M128" s="319">
        <f t="shared" si="2"/>
        <v>1096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419">
        <v>12809.0</v>
      </c>
      <c r="B129" s="420" t="s">
        <v>11462</v>
      </c>
      <c r="C129" s="420">
        <v>2007.0</v>
      </c>
      <c r="D129" s="497">
        <v>39198.0</v>
      </c>
      <c r="E129" s="420" t="s">
        <v>11463</v>
      </c>
      <c r="F129" s="623" t="s">
        <v>11464</v>
      </c>
      <c r="G129" s="420" t="s">
        <v>565</v>
      </c>
      <c r="H129" s="420" t="s">
        <v>11465</v>
      </c>
      <c r="I129" s="497">
        <v>40162.0</v>
      </c>
      <c r="J129" s="422">
        <v>12.0</v>
      </c>
      <c r="K129" s="636" t="s">
        <v>244</v>
      </c>
      <c r="L129" s="420" t="s">
        <v>260</v>
      </c>
      <c r="M129" s="316">
        <f t="shared" si="2"/>
        <v>964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425">
        <v>12909.0</v>
      </c>
      <c r="B130" s="426" t="s">
        <v>11466</v>
      </c>
      <c r="C130" s="426">
        <v>2008.0</v>
      </c>
      <c r="D130" s="500">
        <v>39742.0</v>
      </c>
      <c r="E130" s="426" t="s">
        <v>11467</v>
      </c>
      <c r="F130" s="426" t="s">
        <v>660</v>
      </c>
      <c r="G130" s="426" t="s">
        <v>552</v>
      </c>
      <c r="H130" s="426" t="s">
        <v>11133</v>
      </c>
      <c r="I130" s="500">
        <v>40163.0</v>
      </c>
      <c r="J130" s="428">
        <v>12.0</v>
      </c>
      <c r="K130" s="635" t="s">
        <v>228</v>
      </c>
      <c r="L130" s="428" t="s">
        <v>256</v>
      </c>
      <c r="M130" s="319">
        <f t="shared" si="2"/>
        <v>421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419">
        <v>13009.0</v>
      </c>
      <c r="B131" s="420" t="s">
        <v>11468</v>
      </c>
      <c r="C131" s="420">
        <v>2008.0</v>
      </c>
      <c r="D131" s="497">
        <v>39594.0</v>
      </c>
      <c r="E131" s="420" t="s">
        <v>11469</v>
      </c>
      <c r="F131" s="420" t="s">
        <v>2071</v>
      </c>
      <c r="G131" s="420" t="s">
        <v>17</v>
      </c>
      <c r="H131" s="420" t="s">
        <v>11121</v>
      </c>
      <c r="I131" s="497">
        <v>40168.0</v>
      </c>
      <c r="J131" s="422">
        <v>12.0</v>
      </c>
      <c r="K131" s="637" t="s">
        <v>238</v>
      </c>
      <c r="L131" s="420" t="s">
        <v>258</v>
      </c>
      <c r="M131" s="316">
        <f t="shared" si="2"/>
        <v>574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425">
        <v>13109.0</v>
      </c>
      <c r="B132" s="426" t="s">
        <v>11470</v>
      </c>
      <c r="C132" s="426">
        <v>2008.0</v>
      </c>
      <c r="D132" s="500">
        <v>39605.0</v>
      </c>
      <c r="E132" s="426" t="s">
        <v>11471</v>
      </c>
      <c r="F132" s="426" t="s">
        <v>2071</v>
      </c>
      <c r="G132" s="426" t="s">
        <v>17</v>
      </c>
      <c r="H132" s="426" t="s">
        <v>11133</v>
      </c>
      <c r="I132" s="500">
        <v>40168.0</v>
      </c>
      <c r="J132" s="428">
        <v>12.0</v>
      </c>
      <c r="K132" s="637" t="s">
        <v>238</v>
      </c>
      <c r="L132" s="428" t="s">
        <v>258</v>
      </c>
      <c r="M132" s="319">
        <f t="shared" si="2"/>
        <v>563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419">
        <v>13209.0</v>
      </c>
      <c r="B133" s="420" t="s">
        <v>11472</v>
      </c>
      <c r="C133" s="420">
        <v>2008.0</v>
      </c>
      <c r="D133" s="497">
        <v>39783.0</v>
      </c>
      <c r="E133" s="420" t="s">
        <v>11473</v>
      </c>
      <c r="F133" s="420" t="s">
        <v>2071</v>
      </c>
      <c r="G133" s="420" t="s">
        <v>17</v>
      </c>
      <c r="H133" s="420" t="s">
        <v>901</v>
      </c>
      <c r="I133" s="497">
        <v>40168.0</v>
      </c>
      <c r="J133" s="422">
        <v>12.0</v>
      </c>
      <c r="K133" s="637" t="s">
        <v>238</v>
      </c>
      <c r="L133" s="420" t="s">
        <v>258</v>
      </c>
      <c r="M133" s="316">
        <f t="shared" si="2"/>
        <v>385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425">
        <v>13309.0</v>
      </c>
      <c r="B134" s="426" t="s">
        <v>11474</v>
      </c>
      <c r="C134" s="426">
        <v>2007.0</v>
      </c>
      <c r="D134" s="500">
        <v>39311.0</v>
      </c>
      <c r="E134" s="426" t="s">
        <v>11475</v>
      </c>
      <c r="F134" s="426" t="s">
        <v>8841</v>
      </c>
      <c r="G134" s="426" t="s">
        <v>552</v>
      </c>
      <c r="H134" s="426" t="s">
        <v>56</v>
      </c>
      <c r="I134" s="500">
        <v>40168.0</v>
      </c>
      <c r="J134" s="428">
        <v>12.0</v>
      </c>
      <c r="K134" s="635" t="s">
        <v>228</v>
      </c>
      <c r="L134" s="428" t="s">
        <v>256</v>
      </c>
      <c r="M134" s="319">
        <f t="shared" si="2"/>
        <v>857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419">
        <v>13409.0</v>
      </c>
      <c r="B135" s="420" t="s">
        <v>11476</v>
      </c>
      <c r="C135" s="420">
        <v>2006.0</v>
      </c>
      <c r="D135" s="497">
        <v>38981.0</v>
      </c>
      <c r="E135" s="420" t="s">
        <v>11477</v>
      </c>
      <c r="F135" s="420" t="s">
        <v>11240</v>
      </c>
      <c r="G135" s="420" t="s">
        <v>552</v>
      </c>
      <c r="H135" s="420" t="s">
        <v>5016</v>
      </c>
      <c r="I135" s="497">
        <v>40168.0</v>
      </c>
      <c r="J135" s="422">
        <v>12.0</v>
      </c>
      <c r="K135" s="637" t="s">
        <v>238</v>
      </c>
      <c r="L135" s="420" t="s">
        <v>256</v>
      </c>
      <c r="M135" s="316">
        <f t="shared" si="2"/>
        <v>1187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425">
        <v>13509.0</v>
      </c>
      <c r="B136" s="426" t="s">
        <v>11478</v>
      </c>
      <c r="C136" s="426">
        <v>2006.0</v>
      </c>
      <c r="D136" s="500">
        <v>39017.0</v>
      </c>
      <c r="E136" s="426" t="s">
        <v>11479</v>
      </c>
      <c r="F136" s="426" t="s">
        <v>11480</v>
      </c>
      <c r="G136" s="426" t="s">
        <v>547</v>
      </c>
      <c r="H136" s="426" t="s">
        <v>10915</v>
      </c>
      <c r="I136" s="500">
        <v>40171.0</v>
      </c>
      <c r="J136" s="428">
        <v>12.0</v>
      </c>
      <c r="K136" s="635" t="s">
        <v>228</v>
      </c>
      <c r="L136" s="428" t="s">
        <v>256</v>
      </c>
      <c r="M136" s="319">
        <f t="shared" si="2"/>
        <v>1154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419">
        <v>13609.0</v>
      </c>
      <c r="B137" s="420" t="s">
        <v>11481</v>
      </c>
      <c r="C137" s="420">
        <v>2006.0</v>
      </c>
      <c r="D137" s="497">
        <v>38875.0</v>
      </c>
      <c r="E137" s="420" t="s">
        <v>11482</v>
      </c>
      <c r="F137" s="420" t="s">
        <v>947</v>
      </c>
      <c r="G137" s="420" t="s">
        <v>650</v>
      </c>
      <c r="H137" s="420" t="s">
        <v>10915</v>
      </c>
      <c r="I137" s="497">
        <v>40176.0</v>
      </c>
      <c r="J137" s="422">
        <v>12.0</v>
      </c>
      <c r="K137" s="638" t="s">
        <v>234</v>
      </c>
      <c r="L137" s="420" t="s">
        <v>258</v>
      </c>
      <c r="M137" s="316">
        <f t="shared" si="2"/>
        <v>1301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425">
        <v>13709.0</v>
      </c>
      <c r="B138" s="426" t="s">
        <v>11483</v>
      </c>
      <c r="C138" s="426">
        <v>2006.0</v>
      </c>
      <c r="D138" s="500">
        <v>38849.0</v>
      </c>
      <c r="E138" s="426" t="s">
        <v>11484</v>
      </c>
      <c r="F138" s="426" t="s">
        <v>874</v>
      </c>
      <c r="G138" s="426" t="s">
        <v>552</v>
      </c>
      <c r="H138" s="426" t="s">
        <v>10894</v>
      </c>
      <c r="I138" s="500">
        <v>40177.0</v>
      </c>
      <c r="J138" s="428">
        <v>12.0</v>
      </c>
      <c r="K138" s="637" t="s">
        <v>238</v>
      </c>
      <c r="L138" s="428" t="s">
        <v>256</v>
      </c>
      <c r="M138" s="319">
        <f t="shared" si="2"/>
        <v>1328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419">
        <v>13809.0</v>
      </c>
      <c r="B139" s="420" t="s">
        <v>11485</v>
      </c>
      <c r="C139" s="420">
        <v>2005.0</v>
      </c>
      <c r="D139" s="497">
        <v>38712.0</v>
      </c>
      <c r="E139" s="420" t="s">
        <v>11486</v>
      </c>
      <c r="F139" s="420" t="s">
        <v>3078</v>
      </c>
      <c r="G139" s="420" t="s">
        <v>552</v>
      </c>
      <c r="H139" s="420" t="s">
        <v>10894</v>
      </c>
      <c r="I139" s="497">
        <v>40177.0</v>
      </c>
      <c r="J139" s="422">
        <v>12.0</v>
      </c>
      <c r="K139" s="638" t="s">
        <v>234</v>
      </c>
      <c r="L139" s="420" t="s">
        <v>256</v>
      </c>
      <c r="M139" s="316">
        <f t="shared" si="2"/>
        <v>1465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60"/>
      <c r="B140" s="660"/>
      <c r="C140" s="660"/>
      <c r="D140" s="661"/>
      <c r="E140" s="662"/>
      <c r="F140" s="662"/>
      <c r="G140" s="662"/>
      <c r="H140" s="662"/>
      <c r="I140" s="661"/>
      <c r="J140" s="663"/>
      <c r="K140" s="663"/>
      <c r="L140" s="663"/>
      <c r="M140" s="664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hidden="1" customHeight="1">
      <c r="A141" s="660"/>
      <c r="B141" s="660"/>
      <c r="C141" s="660"/>
      <c r="D141" s="661"/>
      <c r="E141" s="662"/>
      <c r="F141" s="662"/>
      <c r="G141" s="662"/>
      <c r="H141" s="662"/>
      <c r="I141" s="661"/>
      <c r="J141" s="663"/>
      <c r="K141" s="663"/>
      <c r="L141" s="663"/>
      <c r="M141" s="664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hidden="1" customHeight="1">
      <c r="A142" s="660"/>
      <c r="B142" s="660"/>
      <c r="C142" s="660"/>
      <c r="D142" s="661"/>
      <c r="E142" s="662"/>
      <c r="F142" s="662"/>
      <c r="G142" s="662"/>
      <c r="H142" s="662"/>
      <c r="I142" s="661"/>
      <c r="J142" s="663"/>
      <c r="K142" s="663"/>
      <c r="L142" s="663"/>
      <c r="M142" s="664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hidden="1" customHeight="1">
      <c r="A143" s="660"/>
      <c r="B143" s="660"/>
      <c r="C143" s="660"/>
      <c r="D143" s="661"/>
      <c r="E143" s="662"/>
      <c r="F143" s="662"/>
      <c r="G143" s="662"/>
      <c r="H143" s="662"/>
      <c r="I143" s="661"/>
      <c r="J143" s="663"/>
      <c r="K143" s="663"/>
      <c r="L143" s="663"/>
      <c r="M143" s="664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hidden="1" customHeight="1">
      <c r="A144" s="660"/>
      <c r="B144" s="660"/>
      <c r="C144" s="660"/>
      <c r="D144" s="661"/>
      <c r="E144" s="662"/>
      <c r="F144" s="662"/>
      <c r="G144" s="662"/>
      <c r="H144" s="662"/>
      <c r="I144" s="661"/>
      <c r="J144" s="663"/>
      <c r="K144" s="663"/>
      <c r="L144" s="663"/>
      <c r="M144" s="664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hidden="1" customHeight="1">
      <c r="A145" s="660"/>
      <c r="B145" s="660"/>
      <c r="C145" s="660"/>
      <c r="D145" s="661"/>
      <c r="E145" s="662"/>
      <c r="F145" s="662"/>
      <c r="G145" s="662"/>
      <c r="H145" s="662"/>
      <c r="I145" s="661"/>
      <c r="J145" s="663"/>
      <c r="K145" s="663"/>
      <c r="L145" s="663"/>
      <c r="M145" s="664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hidden="1" customHeight="1">
      <c r="A146" s="660"/>
      <c r="B146" s="660"/>
      <c r="C146" s="660"/>
      <c r="D146" s="661"/>
      <c r="E146" s="662"/>
      <c r="F146" s="662"/>
      <c r="G146" s="662"/>
      <c r="H146" s="662"/>
      <c r="I146" s="661"/>
      <c r="J146" s="663"/>
      <c r="K146" s="663"/>
      <c r="L146" s="663"/>
      <c r="M146" s="664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hidden="1" customHeight="1">
      <c r="A147" s="660"/>
      <c r="B147" s="660"/>
      <c r="C147" s="660"/>
      <c r="D147" s="661"/>
      <c r="E147" s="662"/>
      <c r="F147" s="662"/>
      <c r="G147" s="662"/>
      <c r="H147" s="662"/>
      <c r="I147" s="661"/>
      <c r="J147" s="663"/>
      <c r="K147" s="663"/>
      <c r="L147" s="663"/>
      <c r="M147" s="664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hidden="1" customHeight="1">
      <c r="A148" s="660"/>
      <c r="B148" s="660"/>
      <c r="C148" s="660"/>
      <c r="D148" s="661"/>
      <c r="E148" s="662"/>
      <c r="F148" s="662"/>
      <c r="G148" s="662"/>
      <c r="H148" s="662"/>
      <c r="I148" s="661"/>
      <c r="J148" s="663"/>
      <c r="K148" s="663"/>
      <c r="L148" s="663"/>
      <c r="M148" s="664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hidden="1" customHeight="1">
      <c r="A149" s="660"/>
      <c r="B149" s="660"/>
      <c r="C149" s="660"/>
      <c r="D149" s="661"/>
      <c r="E149" s="662"/>
      <c r="F149" s="662"/>
      <c r="G149" s="662"/>
      <c r="H149" s="662"/>
      <c r="I149" s="661"/>
      <c r="J149" s="663"/>
      <c r="K149" s="663"/>
      <c r="L149" s="663"/>
      <c r="M149" s="664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hidden="1" customHeight="1">
      <c r="A150" s="660"/>
      <c r="B150" s="660"/>
      <c r="C150" s="660"/>
      <c r="D150" s="661"/>
      <c r="E150" s="662"/>
      <c r="F150" s="662"/>
      <c r="G150" s="662"/>
      <c r="H150" s="662"/>
      <c r="I150" s="661"/>
      <c r="J150" s="663"/>
      <c r="K150" s="663"/>
      <c r="L150" s="663"/>
      <c r="M150" s="664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hidden="1" customHeight="1">
      <c r="A151" s="660"/>
      <c r="B151" s="660"/>
      <c r="C151" s="660"/>
      <c r="D151" s="661"/>
      <c r="E151" s="662"/>
      <c r="F151" s="662"/>
      <c r="G151" s="662"/>
      <c r="H151" s="662"/>
      <c r="I151" s="661"/>
      <c r="J151" s="663"/>
      <c r="K151" s="663"/>
      <c r="L151" s="663"/>
      <c r="M151" s="664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hidden="1" customHeight="1">
      <c r="A152" s="660"/>
      <c r="B152" s="660"/>
      <c r="C152" s="660"/>
      <c r="D152" s="661"/>
      <c r="E152" s="662"/>
      <c r="F152" s="662"/>
      <c r="G152" s="662"/>
      <c r="H152" s="662"/>
      <c r="I152" s="661"/>
      <c r="J152" s="663"/>
      <c r="K152" s="663"/>
      <c r="L152" s="663"/>
      <c r="M152" s="664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hidden="1" customHeight="1">
      <c r="A153" s="660"/>
      <c r="B153" s="660"/>
      <c r="C153" s="660"/>
      <c r="D153" s="661"/>
      <c r="E153" s="662"/>
      <c r="F153" s="662"/>
      <c r="G153" s="662"/>
      <c r="H153" s="662"/>
      <c r="I153" s="661"/>
      <c r="J153" s="663"/>
      <c r="K153" s="663"/>
      <c r="L153" s="663"/>
      <c r="M153" s="664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hidden="1" customHeight="1">
      <c r="A154" s="660"/>
      <c r="B154" s="660"/>
      <c r="C154" s="660"/>
      <c r="D154" s="661"/>
      <c r="E154" s="662"/>
      <c r="F154" s="662"/>
      <c r="G154" s="662"/>
      <c r="H154" s="662"/>
      <c r="I154" s="661"/>
      <c r="J154" s="663"/>
      <c r="K154" s="663"/>
      <c r="L154" s="663"/>
      <c r="M154" s="664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hidden="1" customHeight="1">
      <c r="A155" s="660"/>
      <c r="B155" s="660"/>
      <c r="C155" s="660"/>
      <c r="D155" s="661"/>
      <c r="E155" s="662"/>
      <c r="F155" s="662"/>
      <c r="G155" s="662"/>
      <c r="H155" s="662"/>
      <c r="I155" s="661"/>
      <c r="J155" s="663"/>
      <c r="K155" s="663"/>
      <c r="L155" s="663"/>
      <c r="M155" s="664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hidden="1" customHeight="1">
      <c r="A156" s="660"/>
      <c r="B156" s="660"/>
      <c r="C156" s="660"/>
      <c r="D156" s="661"/>
      <c r="E156" s="662"/>
      <c r="F156" s="662"/>
      <c r="G156" s="662"/>
      <c r="H156" s="662"/>
      <c r="I156" s="661"/>
      <c r="J156" s="663"/>
      <c r="K156" s="663"/>
      <c r="L156" s="663"/>
      <c r="M156" s="664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hidden="1" customHeight="1">
      <c r="A157" s="660"/>
      <c r="B157" s="660"/>
      <c r="C157" s="660"/>
      <c r="D157" s="661"/>
      <c r="E157" s="662"/>
      <c r="F157" s="662"/>
      <c r="G157" s="662"/>
      <c r="H157" s="662"/>
      <c r="I157" s="661"/>
      <c r="J157" s="663"/>
      <c r="K157" s="663"/>
      <c r="L157" s="663"/>
      <c r="M157" s="664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hidden="1" customHeight="1">
      <c r="A158" s="660"/>
      <c r="B158" s="660"/>
      <c r="C158" s="660"/>
      <c r="D158" s="661"/>
      <c r="E158" s="662"/>
      <c r="F158" s="662"/>
      <c r="G158" s="662"/>
      <c r="H158" s="662"/>
      <c r="I158" s="661"/>
      <c r="J158" s="663"/>
      <c r="K158" s="663"/>
      <c r="L158" s="663"/>
      <c r="M158" s="664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hidden="1" customHeight="1">
      <c r="A159" s="660"/>
      <c r="B159" s="660"/>
      <c r="C159" s="660"/>
      <c r="D159" s="661"/>
      <c r="E159" s="662"/>
      <c r="F159" s="662"/>
      <c r="G159" s="662"/>
      <c r="H159" s="662"/>
      <c r="I159" s="661"/>
      <c r="J159" s="663"/>
      <c r="K159" s="663"/>
      <c r="L159" s="663"/>
      <c r="M159" s="664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hidden="1" customHeight="1">
      <c r="A160" s="660"/>
      <c r="B160" s="660"/>
      <c r="C160" s="660"/>
      <c r="D160" s="661"/>
      <c r="E160" s="662"/>
      <c r="F160" s="662"/>
      <c r="G160" s="662"/>
      <c r="H160" s="662"/>
      <c r="I160" s="661"/>
      <c r="J160" s="663"/>
      <c r="K160" s="663"/>
      <c r="L160" s="663"/>
      <c r="M160" s="664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hidden="1" customHeight="1">
      <c r="A161" s="660"/>
      <c r="B161" s="660"/>
      <c r="C161" s="660"/>
      <c r="D161" s="661"/>
      <c r="E161" s="662"/>
      <c r="F161" s="662"/>
      <c r="G161" s="662"/>
      <c r="H161" s="662"/>
      <c r="I161" s="661"/>
      <c r="J161" s="663"/>
      <c r="K161" s="663"/>
      <c r="L161" s="663"/>
      <c r="M161" s="664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hidden="1" customHeight="1">
      <c r="A162" s="660"/>
      <c r="B162" s="660"/>
      <c r="C162" s="660"/>
      <c r="D162" s="661"/>
      <c r="E162" s="662"/>
      <c r="F162" s="662"/>
      <c r="G162" s="662"/>
      <c r="H162" s="662"/>
      <c r="I162" s="661"/>
      <c r="J162" s="663"/>
      <c r="K162" s="663"/>
      <c r="L162" s="663"/>
      <c r="M162" s="664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hidden="1" customHeight="1">
      <c r="A163" s="660"/>
      <c r="B163" s="660"/>
      <c r="C163" s="660"/>
      <c r="D163" s="661"/>
      <c r="E163" s="662"/>
      <c r="F163" s="662"/>
      <c r="G163" s="662"/>
      <c r="H163" s="662"/>
      <c r="I163" s="661"/>
      <c r="J163" s="663"/>
      <c r="K163" s="663"/>
      <c r="L163" s="663"/>
      <c r="M163" s="664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hidden="1" customHeight="1">
      <c r="A164" s="660"/>
      <c r="B164" s="660"/>
      <c r="C164" s="660"/>
      <c r="D164" s="661"/>
      <c r="E164" s="662"/>
      <c r="F164" s="662"/>
      <c r="G164" s="662"/>
      <c r="H164" s="662"/>
      <c r="I164" s="661"/>
      <c r="J164" s="663"/>
      <c r="K164" s="663"/>
      <c r="L164" s="663"/>
      <c r="M164" s="664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hidden="1" customHeight="1">
      <c r="A165" s="660"/>
      <c r="B165" s="660"/>
      <c r="C165" s="660"/>
      <c r="D165" s="661"/>
      <c r="E165" s="662"/>
      <c r="F165" s="662"/>
      <c r="G165" s="662"/>
      <c r="H165" s="662"/>
      <c r="I165" s="661"/>
      <c r="J165" s="663"/>
      <c r="K165" s="663"/>
      <c r="L165" s="663"/>
      <c r="M165" s="664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hidden="1" customHeight="1">
      <c r="A166" s="660"/>
      <c r="B166" s="660"/>
      <c r="C166" s="660"/>
      <c r="D166" s="661"/>
      <c r="E166" s="662"/>
      <c r="F166" s="662"/>
      <c r="G166" s="662"/>
      <c r="H166" s="662"/>
      <c r="I166" s="661"/>
      <c r="J166" s="663"/>
      <c r="K166" s="663"/>
      <c r="L166" s="663"/>
      <c r="M166" s="664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hidden="1" customHeight="1">
      <c r="A167" s="660"/>
      <c r="B167" s="660"/>
      <c r="C167" s="660"/>
      <c r="D167" s="661"/>
      <c r="E167" s="662"/>
      <c r="F167" s="662"/>
      <c r="G167" s="662"/>
      <c r="H167" s="662"/>
      <c r="I167" s="661"/>
      <c r="J167" s="663"/>
      <c r="K167" s="663"/>
      <c r="L167" s="663"/>
      <c r="M167" s="664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hidden="1" customHeight="1">
      <c r="A168" s="660"/>
      <c r="B168" s="660"/>
      <c r="C168" s="660"/>
      <c r="D168" s="661"/>
      <c r="E168" s="662"/>
      <c r="F168" s="662"/>
      <c r="G168" s="662"/>
      <c r="H168" s="662"/>
      <c r="I168" s="661"/>
      <c r="J168" s="663"/>
      <c r="K168" s="663"/>
      <c r="L168" s="663"/>
      <c r="M168" s="664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hidden="1" customHeight="1">
      <c r="A169" s="660"/>
      <c r="B169" s="660"/>
      <c r="C169" s="660"/>
      <c r="D169" s="661"/>
      <c r="E169" s="662"/>
      <c r="F169" s="662"/>
      <c r="G169" s="662"/>
      <c r="H169" s="662"/>
      <c r="I169" s="661"/>
      <c r="J169" s="663"/>
      <c r="K169" s="663"/>
      <c r="L169" s="663"/>
      <c r="M169" s="664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hidden="1" customHeight="1">
      <c r="A170" s="660"/>
      <c r="B170" s="660"/>
      <c r="C170" s="660"/>
      <c r="D170" s="661"/>
      <c r="E170" s="662"/>
      <c r="F170" s="662"/>
      <c r="G170" s="662"/>
      <c r="H170" s="662"/>
      <c r="I170" s="661"/>
      <c r="J170" s="663"/>
      <c r="K170" s="663"/>
      <c r="L170" s="663"/>
      <c r="M170" s="664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hidden="1" customHeight="1">
      <c r="A171" s="660"/>
      <c r="B171" s="660"/>
      <c r="C171" s="660"/>
      <c r="D171" s="661"/>
      <c r="E171" s="662"/>
      <c r="F171" s="662"/>
      <c r="G171" s="662"/>
      <c r="H171" s="662"/>
      <c r="I171" s="661"/>
      <c r="J171" s="663"/>
      <c r="K171" s="663"/>
      <c r="L171" s="663"/>
      <c r="M171" s="664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hidden="1" customHeight="1">
      <c r="A172" s="660"/>
      <c r="B172" s="660"/>
      <c r="C172" s="660"/>
      <c r="D172" s="661"/>
      <c r="E172" s="662"/>
      <c r="F172" s="662"/>
      <c r="G172" s="662"/>
      <c r="H172" s="662"/>
      <c r="I172" s="661"/>
      <c r="J172" s="663"/>
      <c r="K172" s="663"/>
      <c r="L172" s="663"/>
      <c r="M172" s="664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hidden="1" customHeight="1">
      <c r="A173" s="660"/>
      <c r="B173" s="660"/>
      <c r="C173" s="660"/>
      <c r="D173" s="661"/>
      <c r="E173" s="662"/>
      <c r="F173" s="662"/>
      <c r="G173" s="662"/>
      <c r="H173" s="662"/>
      <c r="I173" s="661"/>
      <c r="J173" s="663"/>
      <c r="K173" s="663"/>
      <c r="L173" s="663"/>
      <c r="M173" s="664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hidden="1" customHeight="1">
      <c r="A174" s="660"/>
      <c r="B174" s="660"/>
      <c r="C174" s="660"/>
      <c r="D174" s="661"/>
      <c r="E174" s="662"/>
      <c r="F174" s="662"/>
      <c r="G174" s="662"/>
      <c r="H174" s="662"/>
      <c r="I174" s="661"/>
      <c r="J174" s="663"/>
      <c r="K174" s="663"/>
      <c r="L174" s="663"/>
      <c r="M174" s="664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hidden="1" customHeight="1">
      <c r="A175" s="660"/>
      <c r="B175" s="660"/>
      <c r="C175" s="660"/>
      <c r="D175" s="661"/>
      <c r="E175" s="662"/>
      <c r="F175" s="662"/>
      <c r="G175" s="662"/>
      <c r="H175" s="662"/>
      <c r="I175" s="661"/>
      <c r="J175" s="663"/>
      <c r="K175" s="663"/>
      <c r="L175" s="663"/>
      <c r="M175" s="664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hidden="1" customHeight="1">
      <c r="A176" s="660"/>
      <c r="B176" s="660"/>
      <c r="C176" s="660"/>
      <c r="D176" s="661"/>
      <c r="E176" s="662"/>
      <c r="F176" s="662"/>
      <c r="G176" s="662"/>
      <c r="H176" s="662"/>
      <c r="I176" s="661"/>
      <c r="J176" s="663"/>
      <c r="K176" s="663"/>
      <c r="L176" s="663"/>
      <c r="M176" s="664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hidden="1" customHeight="1">
      <c r="A177" s="660"/>
      <c r="B177" s="660"/>
      <c r="C177" s="660"/>
      <c r="D177" s="661"/>
      <c r="E177" s="662"/>
      <c r="F177" s="662"/>
      <c r="G177" s="662"/>
      <c r="H177" s="662"/>
      <c r="I177" s="661"/>
      <c r="J177" s="663"/>
      <c r="K177" s="663"/>
      <c r="L177" s="663"/>
      <c r="M177" s="664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hidden="1" customHeight="1">
      <c r="A178" s="660"/>
      <c r="B178" s="660"/>
      <c r="C178" s="660"/>
      <c r="D178" s="661"/>
      <c r="E178" s="662"/>
      <c r="F178" s="662"/>
      <c r="G178" s="662"/>
      <c r="H178" s="662"/>
      <c r="I178" s="661"/>
      <c r="J178" s="663"/>
      <c r="K178" s="663"/>
      <c r="L178" s="663"/>
      <c r="M178" s="664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hidden="1" customHeight="1">
      <c r="A179" s="660"/>
      <c r="B179" s="660"/>
      <c r="C179" s="660"/>
      <c r="D179" s="661"/>
      <c r="E179" s="662"/>
      <c r="F179" s="662"/>
      <c r="G179" s="662"/>
      <c r="H179" s="662"/>
      <c r="I179" s="661"/>
      <c r="J179" s="663"/>
      <c r="K179" s="663"/>
      <c r="L179" s="663"/>
      <c r="M179" s="664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hidden="1" customHeight="1">
      <c r="A180" s="660"/>
      <c r="B180" s="660"/>
      <c r="C180" s="660"/>
      <c r="D180" s="661"/>
      <c r="E180" s="662"/>
      <c r="F180" s="662"/>
      <c r="G180" s="662"/>
      <c r="H180" s="662"/>
      <c r="I180" s="661"/>
      <c r="J180" s="663"/>
      <c r="K180" s="663"/>
      <c r="L180" s="663"/>
      <c r="M180" s="664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hidden="1" customHeight="1">
      <c r="A181" s="660"/>
      <c r="B181" s="660"/>
      <c r="C181" s="660"/>
      <c r="D181" s="661"/>
      <c r="E181" s="662"/>
      <c r="F181" s="662"/>
      <c r="G181" s="662"/>
      <c r="H181" s="662"/>
      <c r="I181" s="661"/>
      <c r="J181" s="663"/>
      <c r="K181" s="663"/>
      <c r="L181" s="663"/>
      <c r="M181" s="664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hidden="1" customHeight="1">
      <c r="A182" s="660"/>
      <c r="B182" s="660"/>
      <c r="C182" s="660"/>
      <c r="D182" s="661"/>
      <c r="E182" s="662"/>
      <c r="F182" s="662"/>
      <c r="G182" s="662"/>
      <c r="H182" s="662"/>
      <c r="I182" s="661"/>
      <c r="J182" s="663"/>
      <c r="K182" s="663"/>
      <c r="L182" s="663"/>
      <c r="M182" s="664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hidden="1" customHeight="1">
      <c r="A183" s="660"/>
      <c r="B183" s="660"/>
      <c r="C183" s="660"/>
      <c r="D183" s="661"/>
      <c r="E183" s="662"/>
      <c r="F183" s="662"/>
      <c r="G183" s="662"/>
      <c r="H183" s="662"/>
      <c r="I183" s="661"/>
      <c r="J183" s="663"/>
      <c r="K183" s="663"/>
      <c r="L183" s="663"/>
      <c r="M183" s="664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hidden="1" customHeight="1">
      <c r="A184" s="660"/>
      <c r="B184" s="660"/>
      <c r="C184" s="660"/>
      <c r="D184" s="661"/>
      <c r="E184" s="662"/>
      <c r="F184" s="662"/>
      <c r="G184" s="662"/>
      <c r="H184" s="662"/>
      <c r="I184" s="661"/>
      <c r="J184" s="663"/>
      <c r="K184" s="663"/>
      <c r="L184" s="663"/>
      <c r="M184" s="664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hidden="1" customHeight="1">
      <c r="A185" s="660"/>
      <c r="B185" s="660"/>
      <c r="C185" s="660"/>
      <c r="D185" s="661"/>
      <c r="E185" s="662"/>
      <c r="F185" s="662"/>
      <c r="G185" s="662"/>
      <c r="H185" s="662"/>
      <c r="I185" s="661"/>
      <c r="J185" s="663"/>
      <c r="K185" s="663"/>
      <c r="L185" s="663"/>
      <c r="M185" s="664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hidden="1" customHeight="1">
      <c r="A186" s="660"/>
      <c r="B186" s="660"/>
      <c r="C186" s="660"/>
      <c r="D186" s="661"/>
      <c r="E186" s="662"/>
      <c r="F186" s="662"/>
      <c r="G186" s="662"/>
      <c r="H186" s="662"/>
      <c r="I186" s="661"/>
      <c r="J186" s="663"/>
      <c r="K186" s="663"/>
      <c r="L186" s="663"/>
      <c r="M186" s="664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hidden="1" customHeight="1">
      <c r="A187" s="660"/>
      <c r="B187" s="660"/>
      <c r="C187" s="660"/>
      <c r="D187" s="661"/>
      <c r="E187" s="662"/>
      <c r="F187" s="662"/>
      <c r="G187" s="662"/>
      <c r="H187" s="662"/>
      <c r="I187" s="661"/>
      <c r="J187" s="663"/>
      <c r="K187" s="663"/>
      <c r="L187" s="663"/>
      <c r="M187" s="664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hidden="1" customHeight="1">
      <c r="A188" s="660"/>
      <c r="B188" s="660"/>
      <c r="C188" s="660"/>
      <c r="D188" s="661"/>
      <c r="E188" s="662"/>
      <c r="F188" s="662"/>
      <c r="G188" s="662"/>
      <c r="H188" s="662"/>
      <c r="I188" s="661"/>
      <c r="J188" s="663"/>
      <c r="K188" s="663"/>
      <c r="L188" s="663"/>
      <c r="M188" s="664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hidden="1" customHeight="1">
      <c r="A189" s="660"/>
      <c r="B189" s="660"/>
      <c r="C189" s="660"/>
      <c r="D189" s="661"/>
      <c r="E189" s="662"/>
      <c r="F189" s="662"/>
      <c r="G189" s="662"/>
      <c r="H189" s="662"/>
      <c r="I189" s="661"/>
      <c r="J189" s="663"/>
      <c r="K189" s="663"/>
      <c r="L189" s="663"/>
      <c r="M189" s="664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hidden="1" customHeight="1">
      <c r="A190" s="660"/>
      <c r="B190" s="660"/>
      <c r="C190" s="660"/>
      <c r="D190" s="661"/>
      <c r="E190" s="662"/>
      <c r="F190" s="662"/>
      <c r="G190" s="662"/>
      <c r="H190" s="662"/>
      <c r="I190" s="661"/>
      <c r="J190" s="663"/>
      <c r="K190" s="663"/>
      <c r="L190" s="663"/>
      <c r="M190" s="664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hidden="1" customHeight="1">
      <c r="A191" s="660"/>
      <c r="B191" s="660"/>
      <c r="C191" s="660"/>
      <c r="D191" s="661"/>
      <c r="E191" s="662"/>
      <c r="F191" s="662"/>
      <c r="G191" s="662"/>
      <c r="H191" s="662"/>
      <c r="I191" s="661"/>
      <c r="J191" s="663"/>
      <c r="K191" s="663"/>
      <c r="L191" s="663"/>
      <c r="M191" s="664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hidden="1" customHeight="1">
      <c r="A192" s="660"/>
      <c r="B192" s="660"/>
      <c r="C192" s="660"/>
      <c r="D192" s="661"/>
      <c r="E192" s="662"/>
      <c r="F192" s="662"/>
      <c r="G192" s="662"/>
      <c r="H192" s="662"/>
      <c r="I192" s="661"/>
      <c r="J192" s="663"/>
      <c r="K192" s="663"/>
      <c r="L192" s="663"/>
      <c r="M192" s="664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hidden="1" customHeight="1">
      <c r="A193" s="660"/>
      <c r="B193" s="660"/>
      <c r="C193" s="660"/>
      <c r="D193" s="661"/>
      <c r="E193" s="662"/>
      <c r="F193" s="663"/>
      <c r="G193" s="662"/>
      <c r="H193" s="662"/>
      <c r="I193" s="669"/>
      <c r="J193" s="670"/>
      <c r="K193" s="670"/>
      <c r="L193" s="670"/>
      <c r="M193" s="671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hidden="1" customHeight="1">
      <c r="A194" s="660"/>
      <c r="B194" s="660"/>
      <c r="C194" s="660"/>
      <c r="D194" s="661"/>
      <c r="E194" s="662"/>
      <c r="F194" s="663"/>
      <c r="G194" s="662"/>
      <c r="H194" s="662"/>
      <c r="I194" s="669"/>
      <c r="J194" s="670"/>
      <c r="K194" s="670"/>
      <c r="L194" s="670"/>
      <c r="M194" s="671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hidden="1" customHeight="1">
      <c r="A195" s="660"/>
      <c r="B195" s="660"/>
      <c r="C195" s="660"/>
      <c r="D195" s="661"/>
      <c r="E195" s="662"/>
      <c r="F195" s="663"/>
      <c r="G195" s="662"/>
      <c r="H195" s="662"/>
      <c r="I195" s="669"/>
      <c r="J195" s="670"/>
      <c r="K195" s="670"/>
      <c r="L195" s="670"/>
      <c r="M195" s="671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hidden="1" customHeight="1">
      <c r="A196" s="660"/>
      <c r="B196" s="660"/>
      <c r="C196" s="660"/>
      <c r="D196" s="661"/>
      <c r="E196" s="662"/>
      <c r="F196" s="663"/>
      <c r="G196" s="662"/>
      <c r="H196" s="662"/>
      <c r="I196" s="669"/>
      <c r="J196" s="670"/>
      <c r="K196" s="670"/>
      <c r="L196" s="670"/>
      <c r="M196" s="671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hidden="1" customHeight="1">
      <c r="A197" s="660"/>
      <c r="B197" s="660"/>
      <c r="C197" s="660"/>
      <c r="D197" s="661"/>
      <c r="E197" s="662"/>
      <c r="F197" s="662"/>
      <c r="G197" s="662"/>
      <c r="H197" s="662"/>
      <c r="I197" s="669"/>
      <c r="J197" s="670"/>
      <c r="K197" s="670"/>
      <c r="L197" s="670"/>
      <c r="M197" s="671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hidden="1" customHeight="1">
      <c r="A198" s="660"/>
      <c r="B198" s="660"/>
      <c r="C198" s="660"/>
      <c r="D198" s="661"/>
      <c r="E198" s="662"/>
      <c r="F198" s="662"/>
      <c r="G198" s="662"/>
      <c r="H198" s="662"/>
      <c r="I198" s="669"/>
      <c r="J198" s="670"/>
      <c r="K198" s="670"/>
      <c r="L198" s="670"/>
      <c r="M198" s="671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hidden="1" customHeight="1">
      <c r="A199" s="660"/>
      <c r="B199" s="660"/>
      <c r="C199" s="660"/>
      <c r="D199" s="661"/>
      <c r="E199" s="662"/>
      <c r="F199" s="662"/>
      <c r="G199" s="662"/>
      <c r="H199" s="662"/>
      <c r="I199" s="669"/>
      <c r="J199" s="670"/>
      <c r="K199" s="670"/>
      <c r="L199" s="670"/>
      <c r="M199" s="671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hidden="1" customHeight="1">
      <c r="A200" s="660"/>
      <c r="B200" s="660"/>
      <c r="C200" s="660"/>
      <c r="D200" s="661"/>
      <c r="E200" s="662"/>
      <c r="F200" s="662"/>
      <c r="G200" s="662"/>
      <c r="H200" s="662"/>
      <c r="I200" s="669"/>
      <c r="J200" s="670"/>
      <c r="K200" s="670"/>
      <c r="L200" s="670"/>
      <c r="M200" s="671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hidden="1" customHeight="1">
      <c r="A201" s="660"/>
      <c r="B201" s="660"/>
      <c r="C201" s="660"/>
      <c r="D201" s="661"/>
      <c r="E201" s="662"/>
      <c r="F201" s="662"/>
      <c r="G201" s="662"/>
      <c r="H201" s="662"/>
      <c r="I201" s="669"/>
      <c r="J201" s="670"/>
      <c r="K201" s="670"/>
      <c r="L201" s="670"/>
      <c r="M201" s="671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hidden="1" customHeight="1">
      <c r="A202" s="613"/>
      <c r="B202" s="613"/>
      <c r="C202" s="613"/>
      <c r="D202" s="615"/>
      <c r="E202" s="198"/>
      <c r="F202" s="198"/>
      <c r="G202" s="198"/>
      <c r="H202" s="198"/>
      <c r="I202" s="672"/>
      <c r="J202" s="673"/>
      <c r="K202" s="673"/>
      <c r="L202" s="673"/>
      <c r="M202" s="674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hidden="1" customHeight="1">
      <c r="A203" s="613"/>
      <c r="B203" s="613"/>
      <c r="C203" s="613"/>
      <c r="D203" s="615"/>
      <c r="E203" s="198"/>
      <c r="F203" s="198"/>
      <c r="G203" s="198"/>
      <c r="H203" s="198"/>
      <c r="I203" s="672"/>
      <c r="J203" s="673"/>
      <c r="K203" s="673"/>
      <c r="L203" s="673"/>
      <c r="M203" s="674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hidden="1" customHeight="1">
      <c r="A204" s="613"/>
      <c r="B204" s="613"/>
      <c r="C204" s="613"/>
      <c r="D204" s="615"/>
      <c r="E204" s="198"/>
      <c r="F204" s="198"/>
      <c r="G204" s="198"/>
      <c r="H204" s="198"/>
      <c r="I204" s="672"/>
      <c r="J204" s="673"/>
      <c r="K204" s="673"/>
      <c r="L204" s="673"/>
      <c r="M204" s="674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hidden="1" customHeight="1">
      <c r="A205" s="613"/>
      <c r="B205" s="613"/>
      <c r="C205" s="613"/>
      <c r="D205" s="615"/>
      <c r="E205" s="198"/>
      <c r="F205" s="198"/>
      <c r="G205" s="198"/>
      <c r="H205" s="198"/>
      <c r="I205" s="672"/>
      <c r="J205" s="673"/>
      <c r="K205" s="673"/>
      <c r="L205" s="673"/>
      <c r="M205" s="674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hidden="1" customHeight="1">
      <c r="A206" s="613"/>
      <c r="B206" s="613"/>
      <c r="C206" s="613"/>
      <c r="D206" s="615"/>
      <c r="E206" s="198"/>
      <c r="F206" s="198"/>
      <c r="G206" s="198"/>
      <c r="H206" s="198"/>
      <c r="I206" s="672"/>
      <c r="J206" s="673"/>
      <c r="K206" s="673"/>
      <c r="L206" s="673"/>
      <c r="M206" s="674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hidden="1" customHeight="1">
      <c r="A207" s="613"/>
      <c r="B207" s="613"/>
      <c r="C207" s="613"/>
      <c r="D207" s="615"/>
      <c r="E207" s="198"/>
      <c r="F207" s="198"/>
      <c r="G207" s="198"/>
      <c r="H207" s="198"/>
      <c r="I207" s="672"/>
      <c r="J207" s="673"/>
      <c r="K207" s="673"/>
      <c r="L207" s="673"/>
      <c r="M207" s="674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hidden="1" customHeight="1">
      <c r="A208" s="613"/>
      <c r="B208" s="613"/>
      <c r="C208" s="613"/>
      <c r="D208" s="615"/>
      <c r="E208" s="198"/>
      <c r="F208" s="198"/>
      <c r="G208" s="198"/>
      <c r="H208" s="198"/>
      <c r="I208" s="672"/>
      <c r="J208" s="673"/>
      <c r="K208" s="673"/>
      <c r="L208" s="673"/>
      <c r="M208" s="674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hidden="1" customHeight="1">
      <c r="A209" s="613"/>
      <c r="B209" s="613"/>
      <c r="C209" s="613"/>
      <c r="D209" s="615"/>
      <c r="E209" s="198"/>
      <c r="F209" s="198"/>
      <c r="G209" s="198"/>
      <c r="H209" s="198"/>
      <c r="I209" s="672"/>
      <c r="J209" s="673"/>
      <c r="K209" s="673"/>
      <c r="L209" s="673"/>
      <c r="M209" s="674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hidden="1" customHeight="1">
      <c r="A210" s="613"/>
      <c r="B210" s="613"/>
      <c r="C210" s="613"/>
      <c r="D210" s="615"/>
      <c r="E210" s="198"/>
      <c r="F210" s="198"/>
      <c r="G210" s="198"/>
      <c r="H210" s="198"/>
      <c r="I210" s="672"/>
      <c r="J210" s="673"/>
      <c r="K210" s="673"/>
      <c r="L210" s="673"/>
      <c r="M210" s="674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hidden="1" customHeight="1">
      <c r="A211" s="613"/>
      <c r="B211" s="613"/>
      <c r="C211" s="613"/>
      <c r="D211" s="615"/>
      <c r="E211" s="198"/>
      <c r="F211" s="198"/>
      <c r="G211" s="198"/>
      <c r="H211" s="198"/>
      <c r="I211" s="672"/>
      <c r="J211" s="673"/>
      <c r="K211" s="673"/>
      <c r="L211" s="673"/>
      <c r="M211" s="674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hidden="1" customHeight="1">
      <c r="A212" s="613"/>
      <c r="B212" s="613"/>
      <c r="C212" s="613"/>
      <c r="D212" s="615"/>
      <c r="E212" s="198"/>
      <c r="F212" s="198"/>
      <c r="G212" s="198"/>
      <c r="H212" s="198"/>
      <c r="I212" s="672"/>
      <c r="J212" s="673"/>
      <c r="K212" s="673"/>
      <c r="L212" s="673"/>
      <c r="M212" s="674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hidden="1" customHeight="1">
      <c r="A213" s="613"/>
      <c r="B213" s="613"/>
      <c r="C213" s="613"/>
      <c r="D213" s="615"/>
      <c r="E213" s="198"/>
      <c r="F213" s="198"/>
      <c r="G213" s="198"/>
      <c r="H213" s="198"/>
      <c r="I213" s="672"/>
      <c r="J213" s="673"/>
      <c r="K213" s="673"/>
      <c r="L213" s="673"/>
      <c r="M213" s="674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hidden="1" customHeight="1">
      <c r="A214" s="613"/>
      <c r="B214" s="613"/>
      <c r="C214" s="613"/>
      <c r="D214" s="615"/>
      <c r="E214" s="198"/>
      <c r="F214" s="198"/>
      <c r="G214" s="198"/>
      <c r="H214" s="198"/>
      <c r="I214" s="672"/>
      <c r="J214" s="673"/>
      <c r="K214" s="673"/>
      <c r="L214" s="673"/>
      <c r="M214" s="674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hidden="1" customHeight="1">
      <c r="A215" s="613"/>
      <c r="B215" s="613"/>
      <c r="C215" s="613"/>
      <c r="D215" s="615"/>
      <c r="E215" s="198"/>
      <c r="F215" s="198"/>
      <c r="G215" s="198"/>
      <c r="H215" s="198"/>
      <c r="I215" s="672"/>
      <c r="J215" s="673"/>
      <c r="K215" s="673"/>
      <c r="L215" s="673"/>
      <c r="M215" s="674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hidden="1" customHeight="1">
      <c r="A216" s="613"/>
      <c r="B216" s="613"/>
      <c r="C216" s="613"/>
      <c r="D216" s="615"/>
      <c r="E216" s="198"/>
      <c r="F216" s="198"/>
      <c r="G216" s="198"/>
      <c r="H216" s="198"/>
      <c r="I216" s="672"/>
      <c r="J216" s="673"/>
      <c r="K216" s="673"/>
      <c r="L216" s="673"/>
      <c r="M216" s="674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hidden="1" customHeight="1">
      <c r="A217" s="613"/>
      <c r="B217" s="613"/>
      <c r="C217" s="613"/>
      <c r="D217" s="615"/>
      <c r="E217" s="198"/>
      <c r="F217" s="198"/>
      <c r="G217" s="198"/>
      <c r="H217" s="198"/>
      <c r="I217" s="672"/>
      <c r="J217" s="673"/>
      <c r="K217" s="673"/>
      <c r="L217" s="673"/>
      <c r="M217" s="674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hidden="1" customHeight="1">
      <c r="A218" s="613"/>
      <c r="B218" s="613"/>
      <c r="C218" s="613"/>
      <c r="D218" s="615"/>
      <c r="E218" s="198"/>
      <c r="F218" s="198"/>
      <c r="G218" s="198"/>
      <c r="H218" s="198"/>
      <c r="I218" s="672"/>
      <c r="J218" s="673"/>
      <c r="K218" s="673"/>
      <c r="L218" s="673"/>
      <c r="M218" s="674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hidden="1" customHeight="1">
      <c r="A219" s="613"/>
      <c r="B219" s="613"/>
      <c r="C219" s="613"/>
      <c r="D219" s="615"/>
      <c r="E219" s="198"/>
      <c r="F219" s="198"/>
      <c r="G219" s="198"/>
      <c r="H219" s="198"/>
      <c r="I219" s="672"/>
      <c r="J219" s="673"/>
      <c r="K219" s="673"/>
      <c r="L219" s="673"/>
      <c r="M219" s="674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72"/>
      <c r="J220" s="673"/>
      <c r="K220" s="673"/>
      <c r="L220" s="673"/>
      <c r="M220" s="674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72"/>
      <c r="J221" s="673"/>
      <c r="K221" s="673"/>
      <c r="L221" s="673"/>
      <c r="M221" s="674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72"/>
      <c r="J222" s="673"/>
      <c r="K222" s="673"/>
      <c r="L222" s="673"/>
      <c r="M222" s="674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72"/>
      <c r="J223" s="673"/>
      <c r="K223" s="673"/>
      <c r="L223" s="673"/>
      <c r="M223" s="674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72"/>
      <c r="J224" s="673"/>
      <c r="K224" s="673"/>
      <c r="L224" s="673"/>
      <c r="M224" s="674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72"/>
      <c r="J225" s="673"/>
      <c r="K225" s="673"/>
      <c r="L225" s="673"/>
      <c r="M225" s="674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72"/>
      <c r="J226" s="673"/>
      <c r="K226" s="673"/>
      <c r="L226" s="673"/>
      <c r="M226" s="674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72"/>
      <c r="J227" s="673"/>
      <c r="K227" s="673"/>
      <c r="L227" s="673"/>
      <c r="M227" s="674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72"/>
      <c r="J228" s="673"/>
      <c r="K228" s="673"/>
      <c r="L228" s="673"/>
      <c r="M228" s="674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72"/>
      <c r="J229" s="673"/>
      <c r="K229" s="673"/>
      <c r="L229" s="673"/>
      <c r="M229" s="674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72"/>
      <c r="J230" s="673"/>
      <c r="K230" s="673"/>
      <c r="L230" s="673"/>
      <c r="M230" s="674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72"/>
      <c r="J231" s="673"/>
      <c r="K231" s="673"/>
      <c r="L231" s="673"/>
      <c r="M231" s="674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72"/>
      <c r="J232" s="673"/>
      <c r="K232" s="673"/>
      <c r="L232" s="673"/>
      <c r="M232" s="674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72"/>
      <c r="J233" s="673"/>
      <c r="K233" s="673"/>
      <c r="L233" s="673"/>
      <c r="M233" s="674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72"/>
      <c r="J234" s="673"/>
      <c r="K234" s="673"/>
      <c r="L234" s="673"/>
      <c r="M234" s="674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72"/>
      <c r="J235" s="673"/>
      <c r="K235" s="673"/>
      <c r="L235" s="673"/>
      <c r="M235" s="674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72"/>
      <c r="J236" s="673"/>
      <c r="K236" s="673"/>
      <c r="L236" s="673"/>
      <c r="M236" s="674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72"/>
      <c r="J237" s="673"/>
      <c r="K237" s="673"/>
      <c r="L237" s="673"/>
      <c r="M237" s="674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72"/>
      <c r="J238" s="673"/>
      <c r="K238" s="673"/>
      <c r="L238" s="673"/>
      <c r="M238" s="674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72"/>
      <c r="J239" s="673"/>
      <c r="K239" s="673"/>
      <c r="L239" s="673"/>
      <c r="M239" s="674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72"/>
      <c r="J240" s="673"/>
      <c r="K240" s="673"/>
      <c r="L240" s="673"/>
      <c r="M240" s="674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72"/>
      <c r="J241" s="673"/>
      <c r="K241" s="673"/>
      <c r="L241" s="673"/>
      <c r="M241" s="674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72"/>
      <c r="J242" s="673"/>
      <c r="K242" s="673"/>
      <c r="L242" s="673"/>
      <c r="M242" s="674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72"/>
      <c r="J243" s="673"/>
      <c r="K243" s="673"/>
      <c r="L243" s="673"/>
      <c r="M243" s="674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72"/>
      <c r="J244" s="673"/>
      <c r="K244" s="673"/>
      <c r="L244" s="673"/>
      <c r="M244" s="674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72"/>
      <c r="J245" s="673"/>
      <c r="K245" s="673"/>
      <c r="L245" s="673"/>
      <c r="M245" s="674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72"/>
      <c r="J246" s="673"/>
      <c r="K246" s="673"/>
      <c r="L246" s="673"/>
      <c r="M246" s="674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72"/>
      <c r="J247" s="673"/>
      <c r="K247" s="673"/>
      <c r="L247" s="673"/>
      <c r="M247" s="674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72"/>
      <c r="J248" s="673"/>
      <c r="K248" s="673"/>
      <c r="L248" s="673"/>
      <c r="M248" s="674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72"/>
      <c r="J249" s="673"/>
      <c r="K249" s="673"/>
      <c r="L249" s="673"/>
      <c r="M249" s="674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72"/>
      <c r="J250" s="673"/>
      <c r="K250" s="673"/>
      <c r="L250" s="673"/>
      <c r="M250" s="674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72"/>
      <c r="J251" s="673"/>
      <c r="K251" s="673"/>
      <c r="L251" s="673"/>
      <c r="M251" s="674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72"/>
      <c r="J252" s="673"/>
      <c r="K252" s="673"/>
      <c r="L252" s="673"/>
      <c r="M252" s="674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72"/>
      <c r="J253" s="673"/>
      <c r="K253" s="673"/>
      <c r="L253" s="673"/>
      <c r="M253" s="674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72"/>
      <c r="J254" s="673"/>
      <c r="K254" s="673"/>
      <c r="L254" s="673"/>
      <c r="M254" s="674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72"/>
      <c r="J255" s="673"/>
      <c r="K255" s="673"/>
      <c r="L255" s="673"/>
      <c r="M255" s="674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72"/>
      <c r="J256" s="673"/>
      <c r="K256" s="673"/>
      <c r="L256" s="673"/>
      <c r="M256" s="674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72"/>
      <c r="J257" s="673"/>
      <c r="K257" s="673"/>
      <c r="L257" s="673"/>
      <c r="M257" s="674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72"/>
      <c r="J258" s="673"/>
      <c r="K258" s="673"/>
      <c r="L258" s="673"/>
      <c r="M258" s="674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72"/>
      <c r="J259" s="673"/>
      <c r="K259" s="673"/>
      <c r="L259" s="673"/>
      <c r="M259" s="674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72"/>
      <c r="J260" s="673"/>
      <c r="K260" s="673"/>
      <c r="L260" s="673"/>
      <c r="M260" s="674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72"/>
      <c r="J261" s="673"/>
      <c r="K261" s="673"/>
      <c r="L261" s="673"/>
      <c r="M261" s="674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72"/>
      <c r="J262" s="673"/>
      <c r="K262" s="673"/>
      <c r="L262" s="673"/>
      <c r="M262" s="674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72"/>
      <c r="J263" s="673"/>
      <c r="K263" s="673"/>
      <c r="L263" s="673"/>
      <c r="M263" s="674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72"/>
      <c r="J264" s="673"/>
      <c r="K264" s="673"/>
      <c r="L264" s="673"/>
      <c r="M264" s="674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72"/>
      <c r="J265" s="673"/>
      <c r="K265" s="673"/>
      <c r="L265" s="673"/>
      <c r="M265" s="674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72"/>
      <c r="J266" s="673"/>
      <c r="K266" s="673"/>
      <c r="L266" s="673"/>
      <c r="M266" s="674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72"/>
      <c r="J267" s="673"/>
      <c r="K267" s="673"/>
      <c r="L267" s="673"/>
      <c r="M267" s="674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72"/>
      <c r="J268" s="673"/>
      <c r="K268" s="673"/>
      <c r="L268" s="673"/>
      <c r="M268" s="674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72"/>
      <c r="J269" s="673"/>
      <c r="K269" s="673"/>
      <c r="L269" s="673"/>
      <c r="M269" s="674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72"/>
      <c r="J270" s="673"/>
      <c r="K270" s="673"/>
      <c r="L270" s="673"/>
      <c r="M270" s="674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72"/>
      <c r="J271" s="673"/>
      <c r="K271" s="673"/>
      <c r="L271" s="673"/>
      <c r="M271" s="674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72"/>
      <c r="J272" s="673"/>
      <c r="K272" s="673"/>
      <c r="L272" s="673"/>
      <c r="M272" s="674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72"/>
      <c r="J273" s="673"/>
      <c r="K273" s="673"/>
      <c r="L273" s="673"/>
      <c r="M273" s="674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72"/>
      <c r="J274" s="673"/>
      <c r="K274" s="673"/>
      <c r="L274" s="673"/>
      <c r="M274" s="674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72"/>
      <c r="J275" s="673"/>
      <c r="K275" s="673"/>
      <c r="L275" s="673"/>
      <c r="M275" s="674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72"/>
      <c r="J276" s="673"/>
      <c r="K276" s="673"/>
      <c r="L276" s="673"/>
      <c r="M276" s="674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72"/>
      <c r="J277" s="673"/>
      <c r="K277" s="673"/>
      <c r="L277" s="673"/>
      <c r="M277" s="674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72"/>
      <c r="J278" s="673"/>
      <c r="K278" s="673"/>
      <c r="L278" s="673"/>
      <c r="M278" s="674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72"/>
      <c r="J279" s="673"/>
      <c r="K279" s="673"/>
      <c r="L279" s="673"/>
      <c r="M279" s="674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72"/>
      <c r="J280" s="673"/>
      <c r="K280" s="673"/>
      <c r="L280" s="673"/>
      <c r="M280" s="674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72"/>
      <c r="J281" s="673"/>
      <c r="K281" s="673"/>
      <c r="L281" s="673"/>
      <c r="M281" s="674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72"/>
      <c r="J282" s="673"/>
      <c r="K282" s="673"/>
      <c r="L282" s="673"/>
      <c r="M282" s="674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72"/>
      <c r="J283" s="673"/>
      <c r="K283" s="673"/>
      <c r="L283" s="673"/>
      <c r="M283" s="674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72"/>
      <c r="J284" s="673"/>
      <c r="K284" s="673"/>
      <c r="L284" s="673"/>
      <c r="M284" s="674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72"/>
      <c r="J285" s="673"/>
      <c r="K285" s="673"/>
      <c r="L285" s="673"/>
      <c r="M285" s="674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72"/>
      <c r="J286" s="673"/>
      <c r="K286" s="673"/>
      <c r="L286" s="673"/>
      <c r="M286" s="674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72"/>
      <c r="J287" s="673"/>
      <c r="K287" s="673"/>
      <c r="L287" s="673"/>
      <c r="M287" s="674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72"/>
      <c r="J288" s="673"/>
      <c r="K288" s="673"/>
      <c r="L288" s="673"/>
      <c r="M288" s="674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72"/>
      <c r="J289" s="673"/>
      <c r="K289" s="673"/>
      <c r="L289" s="673"/>
      <c r="M289" s="674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72"/>
      <c r="J290" s="673"/>
      <c r="K290" s="673"/>
      <c r="L290" s="673"/>
      <c r="M290" s="674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72"/>
      <c r="J291" s="673"/>
      <c r="K291" s="673"/>
      <c r="L291" s="673"/>
      <c r="M291" s="674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72"/>
      <c r="J292" s="673"/>
      <c r="K292" s="673"/>
      <c r="L292" s="673"/>
      <c r="M292" s="674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72"/>
      <c r="J293" s="673"/>
      <c r="K293" s="673"/>
      <c r="L293" s="673"/>
      <c r="M293" s="674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72"/>
      <c r="J294" s="673"/>
      <c r="K294" s="673"/>
      <c r="L294" s="673"/>
      <c r="M294" s="674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72"/>
      <c r="J295" s="673"/>
      <c r="K295" s="673"/>
      <c r="L295" s="673"/>
      <c r="M295" s="674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72"/>
      <c r="J296" s="673"/>
      <c r="K296" s="673"/>
      <c r="L296" s="673"/>
      <c r="M296" s="674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72"/>
      <c r="J297" s="673"/>
      <c r="K297" s="673"/>
      <c r="L297" s="673"/>
      <c r="M297" s="674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72"/>
      <c r="J298" s="673"/>
      <c r="K298" s="673"/>
      <c r="L298" s="673"/>
      <c r="M298" s="674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72"/>
      <c r="J299" s="673"/>
      <c r="K299" s="673"/>
      <c r="L299" s="673"/>
      <c r="M299" s="674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72"/>
      <c r="J300" s="673"/>
      <c r="K300" s="673"/>
      <c r="L300" s="673"/>
      <c r="M300" s="674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72"/>
      <c r="J301" s="673"/>
      <c r="K301" s="673"/>
      <c r="L301" s="673"/>
      <c r="M301" s="674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72"/>
      <c r="J302" s="673"/>
      <c r="K302" s="673"/>
      <c r="L302" s="673"/>
      <c r="M302" s="674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72"/>
      <c r="J303" s="673"/>
      <c r="K303" s="673"/>
      <c r="L303" s="673"/>
      <c r="M303" s="674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72"/>
      <c r="J304" s="673"/>
      <c r="K304" s="673"/>
      <c r="L304" s="673"/>
      <c r="M304" s="674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72"/>
      <c r="J305" s="673"/>
      <c r="K305" s="673"/>
      <c r="L305" s="673"/>
      <c r="M305" s="674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72"/>
      <c r="J306" s="673"/>
      <c r="K306" s="673"/>
      <c r="L306" s="673"/>
      <c r="M306" s="674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72"/>
      <c r="J307" s="673"/>
      <c r="K307" s="673"/>
      <c r="L307" s="673"/>
      <c r="M307" s="674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72"/>
      <c r="J308" s="673"/>
      <c r="K308" s="673"/>
      <c r="L308" s="673"/>
      <c r="M308" s="674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72"/>
      <c r="J309" s="673"/>
      <c r="K309" s="673"/>
      <c r="L309" s="673"/>
      <c r="M309" s="674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72"/>
      <c r="J310" s="673"/>
      <c r="K310" s="673"/>
      <c r="L310" s="673"/>
      <c r="M310" s="674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72"/>
      <c r="J311" s="673"/>
      <c r="K311" s="673"/>
      <c r="L311" s="673"/>
      <c r="M311" s="674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72"/>
      <c r="J312" s="673"/>
      <c r="K312" s="673"/>
      <c r="L312" s="673"/>
      <c r="M312" s="674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72"/>
      <c r="J313" s="673"/>
      <c r="K313" s="673"/>
      <c r="L313" s="673"/>
      <c r="M313" s="674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72"/>
      <c r="J314" s="673"/>
      <c r="K314" s="673"/>
      <c r="L314" s="673"/>
      <c r="M314" s="674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72"/>
      <c r="J315" s="673"/>
      <c r="K315" s="673"/>
      <c r="L315" s="673"/>
      <c r="M315" s="674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72"/>
      <c r="J316" s="673"/>
      <c r="K316" s="673"/>
      <c r="L316" s="673"/>
      <c r="M316" s="674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72"/>
      <c r="J317" s="673"/>
      <c r="K317" s="673"/>
      <c r="L317" s="673"/>
      <c r="M317" s="674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72"/>
      <c r="J318" s="673"/>
      <c r="K318" s="673"/>
      <c r="L318" s="673"/>
      <c r="M318" s="674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72"/>
      <c r="J319" s="673"/>
      <c r="K319" s="673"/>
      <c r="L319" s="673"/>
      <c r="M319" s="674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72"/>
      <c r="J320" s="673"/>
      <c r="K320" s="673"/>
      <c r="L320" s="673"/>
      <c r="M320" s="674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72"/>
      <c r="J321" s="673"/>
      <c r="K321" s="673"/>
      <c r="L321" s="673"/>
      <c r="M321" s="674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72"/>
      <c r="J322" s="673"/>
      <c r="K322" s="673"/>
      <c r="L322" s="673"/>
      <c r="M322" s="674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72"/>
      <c r="J323" s="673"/>
      <c r="K323" s="673"/>
      <c r="L323" s="673"/>
      <c r="M323" s="674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72"/>
      <c r="J324" s="673"/>
      <c r="K324" s="673"/>
      <c r="L324" s="673"/>
      <c r="M324" s="674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72"/>
      <c r="J325" s="673"/>
      <c r="K325" s="673"/>
      <c r="L325" s="673"/>
      <c r="M325" s="674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72"/>
      <c r="J326" s="673"/>
      <c r="K326" s="673"/>
      <c r="L326" s="673"/>
      <c r="M326" s="674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72"/>
      <c r="J327" s="673"/>
      <c r="K327" s="673"/>
      <c r="L327" s="673"/>
      <c r="M327" s="674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72"/>
      <c r="J328" s="673"/>
      <c r="K328" s="673"/>
      <c r="L328" s="673"/>
      <c r="M328" s="674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72"/>
      <c r="J329" s="673"/>
      <c r="K329" s="673"/>
      <c r="L329" s="673"/>
      <c r="M329" s="674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72"/>
      <c r="J330" s="673"/>
      <c r="K330" s="673"/>
      <c r="L330" s="673"/>
      <c r="M330" s="674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72"/>
      <c r="J331" s="673"/>
      <c r="K331" s="673"/>
      <c r="L331" s="673"/>
      <c r="M331" s="674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72"/>
      <c r="J332" s="673"/>
      <c r="K332" s="673"/>
      <c r="L332" s="673"/>
      <c r="M332" s="674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72"/>
      <c r="J333" s="673"/>
      <c r="K333" s="673"/>
      <c r="L333" s="673"/>
      <c r="M333" s="674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72"/>
      <c r="J334" s="673"/>
      <c r="K334" s="673"/>
      <c r="L334" s="673"/>
      <c r="M334" s="674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72"/>
      <c r="J335" s="673"/>
      <c r="K335" s="673"/>
      <c r="L335" s="673"/>
      <c r="M335" s="674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72"/>
      <c r="J336" s="673"/>
      <c r="K336" s="673"/>
      <c r="L336" s="673"/>
      <c r="M336" s="674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72"/>
      <c r="J337" s="673"/>
      <c r="K337" s="673"/>
      <c r="L337" s="673"/>
      <c r="M337" s="674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72"/>
      <c r="J338" s="673"/>
      <c r="K338" s="673"/>
      <c r="L338" s="673"/>
      <c r="M338" s="674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72"/>
      <c r="J339" s="673"/>
      <c r="K339" s="673"/>
      <c r="L339" s="673"/>
      <c r="M339" s="674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72"/>
      <c r="J340" s="673"/>
      <c r="K340" s="673"/>
      <c r="L340" s="673"/>
      <c r="M340" s="674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72"/>
      <c r="J341" s="673"/>
      <c r="K341" s="673"/>
      <c r="L341" s="673"/>
      <c r="M341" s="674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72"/>
      <c r="J342" s="673"/>
      <c r="K342" s="673"/>
      <c r="L342" s="673"/>
      <c r="M342" s="674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72"/>
      <c r="J343" s="673"/>
      <c r="K343" s="673"/>
      <c r="L343" s="673"/>
      <c r="M343" s="674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72"/>
      <c r="J344" s="673"/>
      <c r="K344" s="673"/>
      <c r="L344" s="673"/>
      <c r="M344" s="674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72"/>
      <c r="J345" s="673"/>
      <c r="K345" s="673"/>
      <c r="L345" s="673"/>
      <c r="M345" s="674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72"/>
      <c r="J346" s="673"/>
      <c r="K346" s="673"/>
      <c r="L346" s="673"/>
      <c r="M346" s="674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72"/>
      <c r="J347" s="673"/>
      <c r="K347" s="673"/>
      <c r="L347" s="673"/>
      <c r="M347" s="674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72"/>
      <c r="J348" s="673"/>
      <c r="K348" s="673"/>
      <c r="L348" s="673"/>
      <c r="M348" s="674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72"/>
      <c r="J349" s="673"/>
      <c r="K349" s="673"/>
      <c r="L349" s="673"/>
      <c r="M349" s="674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72"/>
      <c r="J350" s="673"/>
      <c r="K350" s="673"/>
      <c r="L350" s="673"/>
      <c r="M350" s="674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72"/>
      <c r="J351" s="673"/>
      <c r="K351" s="673"/>
      <c r="L351" s="673"/>
      <c r="M351" s="674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72"/>
      <c r="J352" s="673"/>
      <c r="K352" s="673"/>
      <c r="L352" s="673"/>
      <c r="M352" s="674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72"/>
      <c r="J353" s="673"/>
      <c r="K353" s="673"/>
      <c r="L353" s="673"/>
      <c r="M353" s="674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72"/>
      <c r="J354" s="673"/>
      <c r="K354" s="673"/>
      <c r="L354" s="673"/>
      <c r="M354" s="674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72"/>
      <c r="J355" s="673"/>
      <c r="K355" s="673"/>
      <c r="L355" s="673"/>
      <c r="M355" s="674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72"/>
      <c r="J356" s="673"/>
      <c r="K356" s="673"/>
      <c r="L356" s="673"/>
      <c r="M356" s="674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72"/>
      <c r="J357" s="673"/>
      <c r="K357" s="673"/>
      <c r="L357" s="673"/>
      <c r="M357" s="674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72"/>
      <c r="J358" s="673"/>
      <c r="K358" s="673"/>
      <c r="L358" s="673"/>
      <c r="M358" s="674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72"/>
      <c r="J359" s="673"/>
      <c r="K359" s="673"/>
      <c r="L359" s="673"/>
      <c r="M359" s="674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72"/>
      <c r="J360" s="673"/>
      <c r="K360" s="673"/>
      <c r="L360" s="673"/>
      <c r="M360" s="674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72"/>
      <c r="J361" s="673"/>
      <c r="K361" s="673"/>
      <c r="L361" s="673"/>
      <c r="M361" s="674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72"/>
      <c r="J362" s="673"/>
      <c r="K362" s="673"/>
      <c r="L362" s="673"/>
      <c r="M362" s="674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72"/>
      <c r="J363" s="673"/>
      <c r="K363" s="673"/>
      <c r="L363" s="673"/>
      <c r="M363" s="674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72"/>
      <c r="J364" s="673"/>
      <c r="K364" s="673"/>
      <c r="L364" s="673"/>
      <c r="M364" s="674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72"/>
      <c r="J365" s="673"/>
      <c r="K365" s="673"/>
      <c r="L365" s="673"/>
      <c r="M365" s="674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72"/>
      <c r="J366" s="673"/>
      <c r="K366" s="673"/>
      <c r="L366" s="673"/>
      <c r="M366" s="674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72"/>
      <c r="J367" s="673"/>
      <c r="K367" s="673"/>
      <c r="L367" s="673"/>
      <c r="M367" s="674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72"/>
      <c r="J368" s="673"/>
      <c r="K368" s="673"/>
      <c r="L368" s="673"/>
      <c r="M368" s="674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72"/>
      <c r="J369" s="673"/>
      <c r="K369" s="673"/>
      <c r="L369" s="673"/>
      <c r="M369" s="674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72"/>
      <c r="J370" s="673"/>
      <c r="K370" s="673"/>
      <c r="L370" s="673"/>
      <c r="M370" s="674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72"/>
      <c r="J371" s="673"/>
      <c r="K371" s="673"/>
      <c r="L371" s="673"/>
      <c r="M371" s="674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72"/>
      <c r="J372" s="673"/>
      <c r="K372" s="673"/>
      <c r="L372" s="673"/>
      <c r="M372" s="674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72"/>
      <c r="J373" s="673"/>
      <c r="K373" s="673"/>
      <c r="L373" s="673"/>
      <c r="M373" s="674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72"/>
      <c r="J374" s="673"/>
      <c r="K374" s="673"/>
      <c r="L374" s="673"/>
      <c r="M374" s="674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72"/>
      <c r="J375" s="673"/>
      <c r="K375" s="673"/>
      <c r="L375" s="673"/>
      <c r="M375" s="674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72"/>
      <c r="J376" s="673"/>
      <c r="K376" s="673"/>
      <c r="L376" s="673"/>
      <c r="M376" s="674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72"/>
      <c r="J377" s="673"/>
      <c r="K377" s="673"/>
      <c r="L377" s="673"/>
      <c r="M377" s="674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72"/>
      <c r="J378" s="673"/>
      <c r="K378" s="673"/>
      <c r="L378" s="673"/>
      <c r="M378" s="674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72"/>
      <c r="J379" s="673"/>
      <c r="K379" s="673"/>
      <c r="L379" s="673"/>
      <c r="M379" s="674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72"/>
      <c r="J380" s="673"/>
      <c r="K380" s="673"/>
      <c r="L380" s="673"/>
      <c r="M380" s="674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72"/>
      <c r="J381" s="673"/>
      <c r="K381" s="673"/>
      <c r="L381" s="673"/>
      <c r="M381" s="674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72"/>
      <c r="J382" s="673"/>
      <c r="K382" s="673"/>
      <c r="L382" s="673"/>
      <c r="M382" s="674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72"/>
      <c r="J383" s="673"/>
      <c r="K383" s="673"/>
      <c r="L383" s="673"/>
      <c r="M383" s="674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72"/>
      <c r="J384" s="673"/>
      <c r="K384" s="673"/>
      <c r="L384" s="673"/>
      <c r="M384" s="674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72"/>
      <c r="J385" s="673"/>
      <c r="K385" s="673"/>
      <c r="L385" s="673"/>
      <c r="M385" s="674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72"/>
      <c r="J386" s="673"/>
      <c r="K386" s="673"/>
      <c r="L386" s="673"/>
      <c r="M386" s="674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72"/>
      <c r="J387" s="673"/>
      <c r="K387" s="673"/>
      <c r="L387" s="673"/>
      <c r="M387" s="674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72"/>
      <c r="J388" s="673"/>
      <c r="K388" s="673"/>
      <c r="L388" s="673"/>
      <c r="M388" s="674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72"/>
      <c r="J389" s="673"/>
      <c r="K389" s="673"/>
      <c r="L389" s="673"/>
      <c r="M389" s="674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72"/>
      <c r="J390" s="673"/>
      <c r="K390" s="673"/>
      <c r="L390" s="673"/>
      <c r="M390" s="674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72"/>
      <c r="J391" s="673"/>
      <c r="K391" s="673"/>
      <c r="L391" s="673"/>
      <c r="M391" s="674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72"/>
      <c r="J392" s="673"/>
      <c r="K392" s="673"/>
      <c r="L392" s="673"/>
      <c r="M392" s="674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72"/>
      <c r="J393" s="673"/>
      <c r="K393" s="673"/>
      <c r="L393" s="673"/>
      <c r="M393" s="674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72"/>
      <c r="J394" s="673"/>
      <c r="K394" s="673"/>
      <c r="L394" s="673"/>
      <c r="M394" s="674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72"/>
      <c r="J395" s="673"/>
      <c r="K395" s="673"/>
      <c r="L395" s="673"/>
      <c r="M395" s="674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72"/>
      <c r="J396" s="673"/>
      <c r="K396" s="673"/>
      <c r="L396" s="673"/>
      <c r="M396" s="674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72"/>
      <c r="J397" s="673"/>
      <c r="K397" s="673"/>
      <c r="L397" s="673"/>
      <c r="M397" s="674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72"/>
      <c r="J398" s="673"/>
      <c r="K398" s="673"/>
      <c r="L398" s="673"/>
      <c r="M398" s="674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72"/>
      <c r="J399" s="673"/>
      <c r="K399" s="673"/>
      <c r="L399" s="673"/>
      <c r="M399" s="674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72"/>
      <c r="J400" s="673"/>
      <c r="K400" s="673"/>
      <c r="L400" s="673"/>
      <c r="M400" s="674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72"/>
      <c r="J401" s="673"/>
      <c r="K401" s="673"/>
      <c r="L401" s="673"/>
      <c r="M401" s="674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72"/>
      <c r="J402" s="673"/>
      <c r="K402" s="673"/>
      <c r="L402" s="673"/>
      <c r="M402" s="674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72"/>
      <c r="J403" s="673"/>
      <c r="K403" s="673"/>
      <c r="L403" s="673"/>
      <c r="M403" s="674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72"/>
      <c r="J404" s="673"/>
      <c r="K404" s="673"/>
      <c r="L404" s="673"/>
      <c r="M404" s="674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72"/>
      <c r="J405" s="673"/>
      <c r="K405" s="673"/>
      <c r="L405" s="673"/>
      <c r="M405" s="674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72"/>
      <c r="J406" s="673"/>
      <c r="K406" s="673"/>
      <c r="L406" s="673"/>
      <c r="M406" s="674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72"/>
      <c r="J407" s="673"/>
      <c r="K407" s="673"/>
      <c r="L407" s="673"/>
      <c r="M407" s="674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72"/>
      <c r="J408" s="673"/>
      <c r="K408" s="673"/>
      <c r="L408" s="673"/>
      <c r="M408" s="674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72"/>
      <c r="J409" s="673"/>
      <c r="K409" s="673"/>
      <c r="L409" s="673"/>
      <c r="M409" s="674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72"/>
      <c r="J410" s="673"/>
      <c r="K410" s="673"/>
      <c r="L410" s="673"/>
      <c r="M410" s="674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72"/>
      <c r="J411" s="673"/>
      <c r="K411" s="673"/>
      <c r="L411" s="673"/>
      <c r="M411" s="674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72"/>
      <c r="J412" s="673"/>
      <c r="K412" s="673"/>
      <c r="L412" s="673"/>
      <c r="M412" s="674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72"/>
      <c r="J413" s="673"/>
      <c r="K413" s="673"/>
      <c r="L413" s="673"/>
      <c r="M413" s="674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72"/>
      <c r="J414" s="673"/>
      <c r="K414" s="673"/>
      <c r="L414" s="673"/>
      <c r="M414" s="674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72"/>
      <c r="J415" s="673"/>
      <c r="K415" s="673"/>
      <c r="L415" s="673"/>
      <c r="M415" s="674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72"/>
      <c r="J416" s="673"/>
      <c r="K416" s="673"/>
      <c r="L416" s="673"/>
      <c r="M416" s="674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72"/>
      <c r="J417" s="673"/>
      <c r="K417" s="673"/>
      <c r="L417" s="673"/>
      <c r="M417" s="674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72"/>
      <c r="J418" s="673"/>
      <c r="K418" s="673"/>
      <c r="L418" s="673"/>
      <c r="M418" s="674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72"/>
      <c r="J419" s="673"/>
      <c r="K419" s="673"/>
      <c r="L419" s="673"/>
      <c r="M419" s="674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72"/>
      <c r="J420" s="673"/>
      <c r="K420" s="673"/>
      <c r="L420" s="673"/>
      <c r="M420" s="674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72"/>
      <c r="J421" s="673"/>
      <c r="K421" s="673"/>
      <c r="L421" s="673"/>
      <c r="M421" s="674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72"/>
      <c r="J422" s="673"/>
      <c r="K422" s="673"/>
      <c r="L422" s="673"/>
      <c r="M422" s="674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72"/>
      <c r="J423" s="673"/>
      <c r="K423" s="673"/>
      <c r="L423" s="673"/>
      <c r="M423" s="674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72"/>
      <c r="J424" s="673"/>
      <c r="K424" s="673"/>
      <c r="L424" s="673"/>
      <c r="M424" s="674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72"/>
      <c r="J425" s="673"/>
      <c r="K425" s="673"/>
      <c r="L425" s="673"/>
      <c r="M425" s="674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72"/>
      <c r="J426" s="673"/>
      <c r="K426" s="673"/>
      <c r="L426" s="673"/>
      <c r="M426" s="674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72"/>
      <c r="J427" s="673"/>
      <c r="K427" s="673"/>
      <c r="L427" s="673"/>
      <c r="M427" s="674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72"/>
      <c r="J428" s="673"/>
      <c r="K428" s="673"/>
      <c r="L428" s="673"/>
      <c r="M428" s="674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72"/>
      <c r="J429" s="673"/>
      <c r="K429" s="673"/>
      <c r="L429" s="673"/>
      <c r="M429" s="674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72"/>
      <c r="J430" s="673"/>
      <c r="K430" s="673"/>
      <c r="L430" s="673"/>
      <c r="M430" s="674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72"/>
      <c r="J431" s="673"/>
      <c r="K431" s="673"/>
      <c r="L431" s="673"/>
      <c r="M431" s="674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72"/>
      <c r="J432" s="673"/>
      <c r="K432" s="673"/>
      <c r="L432" s="673"/>
      <c r="M432" s="674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72"/>
      <c r="J433" s="673"/>
      <c r="K433" s="673"/>
      <c r="L433" s="673"/>
      <c r="M433" s="674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72"/>
      <c r="J434" s="673"/>
      <c r="K434" s="673"/>
      <c r="L434" s="673"/>
      <c r="M434" s="674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72"/>
      <c r="J435" s="673"/>
      <c r="K435" s="673"/>
      <c r="L435" s="673"/>
      <c r="M435" s="674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72"/>
      <c r="J436" s="673"/>
      <c r="K436" s="673"/>
      <c r="L436" s="673"/>
      <c r="M436" s="674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72"/>
      <c r="J437" s="673"/>
      <c r="K437" s="673"/>
      <c r="L437" s="673"/>
      <c r="M437" s="674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72"/>
      <c r="J438" s="673"/>
      <c r="K438" s="673"/>
      <c r="L438" s="673"/>
      <c r="M438" s="674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72"/>
      <c r="J439" s="673"/>
      <c r="K439" s="673"/>
      <c r="L439" s="673"/>
      <c r="M439" s="674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72"/>
      <c r="J440" s="673"/>
      <c r="K440" s="673"/>
      <c r="L440" s="673"/>
      <c r="M440" s="674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72"/>
      <c r="J441" s="673"/>
      <c r="K441" s="673"/>
      <c r="L441" s="673"/>
      <c r="M441" s="674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72"/>
      <c r="J442" s="673"/>
      <c r="K442" s="673"/>
      <c r="L442" s="673"/>
      <c r="M442" s="674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72"/>
      <c r="J443" s="673"/>
      <c r="K443" s="673"/>
      <c r="L443" s="673"/>
      <c r="M443" s="674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72"/>
      <c r="J444" s="673"/>
      <c r="K444" s="673"/>
      <c r="L444" s="673"/>
      <c r="M444" s="674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72"/>
      <c r="J445" s="673"/>
      <c r="K445" s="673"/>
      <c r="L445" s="673"/>
      <c r="M445" s="674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72"/>
      <c r="J446" s="673"/>
      <c r="K446" s="673"/>
      <c r="L446" s="673"/>
      <c r="M446" s="674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72"/>
      <c r="J447" s="673"/>
      <c r="K447" s="673"/>
      <c r="L447" s="673"/>
      <c r="M447" s="674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72"/>
      <c r="J448" s="673"/>
      <c r="K448" s="673"/>
      <c r="L448" s="673"/>
      <c r="M448" s="674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72"/>
      <c r="J449" s="673"/>
      <c r="K449" s="673"/>
      <c r="L449" s="673"/>
      <c r="M449" s="674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72"/>
      <c r="J450" s="673"/>
      <c r="K450" s="673"/>
      <c r="L450" s="673"/>
      <c r="M450" s="674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72"/>
      <c r="J451" s="673"/>
      <c r="K451" s="673"/>
      <c r="L451" s="673"/>
      <c r="M451" s="674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72"/>
      <c r="J452" s="673"/>
      <c r="K452" s="673"/>
      <c r="L452" s="673"/>
      <c r="M452" s="674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72"/>
      <c r="J453" s="673"/>
      <c r="K453" s="673"/>
      <c r="L453" s="673"/>
      <c r="M453" s="674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72"/>
      <c r="J454" s="673"/>
      <c r="K454" s="673"/>
      <c r="L454" s="673"/>
      <c r="M454" s="674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72"/>
      <c r="J455" s="673"/>
      <c r="K455" s="673"/>
      <c r="L455" s="673"/>
      <c r="M455" s="674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72"/>
      <c r="J456" s="673"/>
      <c r="K456" s="673"/>
      <c r="L456" s="673"/>
      <c r="M456" s="674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72"/>
      <c r="J457" s="673"/>
      <c r="K457" s="673"/>
      <c r="L457" s="673"/>
      <c r="M457" s="674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72"/>
      <c r="J458" s="673"/>
      <c r="K458" s="673"/>
      <c r="L458" s="673"/>
      <c r="M458" s="674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72"/>
      <c r="J459" s="673"/>
      <c r="K459" s="673"/>
      <c r="L459" s="673"/>
      <c r="M459" s="674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72"/>
      <c r="J460" s="673"/>
      <c r="K460" s="673"/>
      <c r="L460" s="673"/>
      <c r="M460" s="674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72"/>
      <c r="J461" s="673"/>
      <c r="K461" s="673"/>
      <c r="L461" s="673"/>
      <c r="M461" s="674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72"/>
      <c r="J462" s="673"/>
      <c r="K462" s="673"/>
      <c r="L462" s="673"/>
      <c r="M462" s="674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72"/>
      <c r="J463" s="673"/>
      <c r="K463" s="673"/>
      <c r="L463" s="673"/>
      <c r="M463" s="674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72"/>
      <c r="J464" s="673"/>
      <c r="K464" s="673"/>
      <c r="L464" s="673"/>
      <c r="M464" s="674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72"/>
      <c r="J465" s="673"/>
      <c r="K465" s="673"/>
      <c r="L465" s="673"/>
      <c r="M465" s="674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72"/>
      <c r="J466" s="673"/>
      <c r="K466" s="673"/>
      <c r="L466" s="673"/>
      <c r="M466" s="674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72"/>
      <c r="J467" s="673"/>
      <c r="K467" s="673"/>
      <c r="L467" s="673"/>
      <c r="M467" s="674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72"/>
      <c r="J468" s="673"/>
      <c r="K468" s="673"/>
      <c r="L468" s="673"/>
      <c r="M468" s="674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72"/>
      <c r="J469" s="673"/>
      <c r="K469" s="673"/>
      <c r="L469" s="673"/>
      <c r="M469" s="674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72"/>
      <c r="J470" s="673"/>
      <c r="K470" s="673"/>
      <c r="L470" s="673"/>
      <c r="M470" s="674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72"/>
      <c r="J471" s="673"/>
      <c r="K471" s="673"/>
      <c r="L471" s="673"/>
      <c r="M471" s="674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72"/>
      <c r="J472" s="673"/>
      <c r="K472" s="673"/>
      <c r="L472" s="673"/>
      <c r="M472" s="674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72"/>
      <c r="J473" s="673"/>
      <c r="K473" s="673"/>
      <c r="L473" s="673"/>
      <c r="M473" s="674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72"/>
      <c r="J474" s="673"/>
      <c r="K474" s="673"/>
      <c r="L474" s="673"/>
      <c r="M474" s="674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72"/>
      <c r="J475" s="673"/>
      <c r="K475" s="673"/>
      <c r="L475" s="673"/>
      <c r="M475" s="674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72"/>
      <c r="J476" s="673"/>
      <c r="K476" s="673"/>
      <c r="L476" s="673"/>
      <c r="M476" s="674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72"/>
      <c r="J477" s="673"/>
      <c r="K477" s="673"/>
      <c r="L477" s="673"/>
      <c r="M477" s="674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72"/>
      <c r="J478" s="673"/>
      <c r="K478" s="673"/>
      <c r="L478" s="673"/>
      <c r="M478" s="674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72"/>
      <c r="J479" s="673"/>
      <c r="K479" s="673"/>
      <c r="L479" s="673"/>
      <c r="M479" s="674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72"/>
      <c r="J480" s="673"/>
      <c r="K480" s="673"/>
      <c r="L480" s="673"/>
      <c r="M480" s="674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72"/>
      <c r="J481" s="673"/>
      <c r="K481" s="673"/>
      <c r="L481" s="673"/>
      <c r="M481" s="674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72"/>
      <c r="J482" s="673"/>
      <c r="K482" s="673"/>
      <c r="L482" s="673"/>
      <c r="M482" s="674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72"/>
      <c r="J483" s="673"/>
      <c r="K483" s="673"/>
      <c r="L483" s="673"/>
      <c r="M483" s="674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72"/>
      <c r="J484" s="673"/>
      <c r="K484" s="673"/>
      <c r="L484" s="673"/>
      <c r="M484" s="674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72"/>
      <c r="J485" s="673"/>
      <c r="K485" s="673"/>
      <c r="L485" s="673"/>
      <c r="M485" s="674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72"/>
      <c r="J486" s="673"/>
      <c r="K486" s="673"/>
      <c r="L486" s="673"/>
      <c r="M486" s="674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72"/>
      <c r="J487" s="673"/>
      <c r="K487" s="673"/>
      <c r="L487" s="673"/>
      <c r="M487" s="674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72"/>
      <c r="J488" s="673"/>
      <c r="K488" s="673"/>
      <c r="L488" s="673"/>
      <c r="M488" s="674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72"/>
      <c r="J489" s="673"/>
      <c r="K489" s="673"/>
      <c r="L489" s="673"/>
      <c r="M489" s="674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72"/>
      <c r="J490" s="673"/>
      <c r="K490" s="673"/>
      <c r="L490" s="673"/>
      <c r="M490" s="674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72"/>
      <c r="J491" s="673"/>
      <c r="K491" s="673"/>
      <c r="L491" s="673"/>
      <c r="M491" s="674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72"/>
      <c r="J492" s="673"/>
      <c r="K492" s="673"/>
      <c r="L492" s="673"/>
      <c r="M492" s="674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72"/>
      <c r="J493" s="673"/>
      <c r="K493" s="673"/>
      <c r="L493" s="673"/>
      <c r="M493" s="674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72"/>
      <c r="J494" s="673"/>
      <c r="K494" s="673"/>
      <c r="L494" s="673"/>
      <c r="M494" s="674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72"/>
      <c r="J495" s="673"/>
      <c r="K495" s="673"/>
      <c r="L495" s="673"/>
      <c r="M495" s="674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72"/>
      <c r="J496" s="673"/>
      <c r="K496" s="673"/>
      <c r="L496" s="673"/>
      <c r="M496" s="674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72"/>
      <c r="J497" s="673"/>
      <c r="K497" s="673"/>
      <c r="L497" s="673"/>
      <c r="M497" s="674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72"/>
      <c r="J498" s="673"/>
      <c r="K498" s="673"/>
      <c r="L498" s="673"/>
      <c r="M498" s="674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72"/>
      <c r="J499" s="673"/>
      <c r="K499" s="673"/>
      <c r="L499" s="673"/>
      <c r="M499" s="674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72"/>
      <c r="J500" s="673"/>
      <c r="K500" s="673"/>
      <c r="L500" s="673"/>
      <c r="M500" s="674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72"/>
      <c r="J501" s="673"/>
      <c r="K501" s="673"/>
      <c r="L501" s="673"/>
      <c r="M501" s="674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72"/>
      <c r="J502" s="673"/>
      <c r="K502" s="673"/>
      <c r="L502" s="673"/>
      <c r="M502" s="674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72"/>
      <c r="J503" s="673"/>
      <c r="K503" s="673"/>
      <c r="L503" s="673"/>
      <c r="M503" s="674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72"/>
      <c r="J504" s="673"/>
      <c r="K504" s="673"/>
      <c r="L504" s="673"/>
      <c r="M504" s="674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72"/>
      <c r="J505" s="673"/>
      <c r="K505" s="673"/>
      <c r="L505" s="673"/>
      <c r="M505" s="674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72"/>
      <c r="J506" s="673"/>
      <c r="K506" s="673"/>
      <c r="L506" s="673"/>
      <c r="M506" s="674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72"/>
      <c r="J507" s="673"/>
      <c r="K507" s="673"/>
      <c r="L507" s="673"/>
      <c r="M507" s="674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72"/>
      <c r="J508" s="673"/>
      <c r="K508" s="673"/>
      <c r="L508" s="673"/>
      <c r="M508" s="674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72"/>
      <c r="J509" s="673"/>
      <c r="K509" s="673"/>
      <c r="L509" s="673"/>
      <c r="M509" s="674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72"/>
      <c r="J510" s="673"/>
      <c r="K510" s="673"/>
      <c r="L510" s="673"/>
      <c r="M510" s="674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72"/>
      <c r="J511" s="673"/>
      <c r="K511" s="673"/>
      <c r="L511" s="673"/>
      <c r="M511" s="674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72"/>
      <c r="J512" s="673"/>
      <c r="K512" s="673"/>
      <c r="L512" s="673"/>
      <c r="M512" s="674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72"/>
      <c r="J513" s="673"/>
      <c r="K513" s="673"/>
      <c r="L513" s="673"/>
      <c r="M513" s="674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72"/>
      <c r="J514" s="673"/>
      <c r="K514" s="673"/>
      <c r="L514" s="673"/>
      <c r="M514" s="674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72"/>
      <c r="J515" s="673"/>
      <c r="K515" s="673"/>
      <c r="L515" s="673"/>
      <c r="M515" s="674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72"/>
      <c r="J516" s="673"/>
      <c r="K516" s="673"/>
      <c r="L516" s="673"/>
      <c r="M516" s="674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72"/>
      <c r="J517" s="673"/>
      <c r="K517" s="673"/>
      <c r="L517" s="673"/>
      <c r="M517" s="674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72"/>
      <c r="J518" s="673"/>
      <c r="K518" s="673"/>
      <c r="L518" s="673"/>
      <c r="M518" s="674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72"/>
      <c r="J519" s="673"/>
      <c r="K519" s="673"/>
      <c r="L519" s="673"/>
      <c r="M519" s="674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72"/>
      <c r="J520" s="673"/>
      <c r="K520" s="673"/>
      <c r="L520" s="673"/>
      <c r="M520" s="674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72"/>
      <c r="J521" s="673"/>
      <c r="K521" s="673"/>
      <c r="L521" s="673"/>
      <c r="M521" s="674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72"/>
      <c r="J522" s="673"/>
      <c r="K522" s="673"/>
      <c r="L522" s="673"/>
      <c r="M522" s="674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72"/>
      <c r="J523" s="673"/>
      <c r="K523" s="673"/>
      <c r="L523" s="673"/>
      <c r="M523" s="674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72"/>
      <c r="J524" s="673"/>
      <c r="K524" s="673"/>
      <c r="L524" s="673"/>
      <c r="M524" s="674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72"/>
      <c r="J525" s="673"/>
      <c r="K525" s="673"/>
      <c r="L525" s="673"/>
      <c r="M525" s="674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72"/>
      <c r="J526" s="673"/>
      <c r="K526" s="673"/>
      <c r="L526" s="673"/>
      <c r="M526" s="674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72"/>
      <c r="J527" s="673"/>
      <c r="K527" s="673"/>
      <c r="L527" s="673"/>
      <c r="M527" s="674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72"/>
      <c r="J528" s="673"/>
      <c r="K528" s="673"/>
      <c r="L528" s="673"/>
      <c r="M528" s="674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72"/>
      <c r="J529" s="673"/>
      <c r="K529" s="673"/>
      <c r="L529" s="673"/>
      <c r="M529" s="674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72"/>
      <c r="J530" s="673"/>
      <c r="K530" s="673"/>
      <c r="L530" s="673"/>
      <c r="M530" s="674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72"/>
      <c r="J531" s="673"/>
      <c r="K531" s="673"/>
      <c r="L531" s="673"/>
      <c r="M531" s="674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72"/>
      <c r="J532" s="673"/>
      <c r="K532" s="673"/>
      <c r="L532" s="673"/>
      <c r="M532" s="674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72"/>
      <c r="J533" s="673"/>
      <c r="K533" s="673"/>
      <c r="L533" s="673"/>
      <c r="M533" s="674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72"/>
      <c r="J534" s="673"/>
      <c r="K534" s="673"/>
      <c r="L534" s="673"/>
      <c r="M534" s="674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72"/>
      <c r="J535" s="673"/>
      <c r="K535" s="673"/>
      <c r="L535" s="673"/>
      <c r="M535" s="674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72"/>
      <c r="J536" s="673"/>
      <c r="K536" s="673"/>
      <c r="L536" s="673"/>
      <c r="M536" s="674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72"/>
      <c r="J537" s="673"/>
      <c r="K537" s="673"/>
      <c r="L537" s="673"/>
      <c r="M537" s="674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72"/>
      <c r="J538" s="673"/>
      <c r="K538" s="673"/>
      <c r="L538" s="673"/>
      <c r="M538" s="674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72"/>
      <c r="J539" s="673"/>
      <c r="K539" s="673"/>
      <c r="L539" s="673"/>
      <c r="M539" s="674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72"/>
      <c r="J540" s="673"/>
      <c r="K540" s="673"/>
      <c r="L540" s="673"/>
      <c r="M540" s="674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72"/>
      <c r="J541" s="673"/>
      <c r="K541" s="673"/>
      <c r="L541" s="673"/>
      <c r="M541" s="674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72"/>
      <c r="J542" s="673"/>
      <c r="K542" s="673"/>
      <c r="L542" s="673"/>
      <c r="M542" s="674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72"/>
      <c r="J543" s="673"/>
      <c r="K543" s="673"/>
      <c r="L543" s="673"/>
      <c r="M543" s="674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72"/>
      <c r="J544" s="673"/>
      <c r="K544" s="673"/>
      <c r="L544" s="673"/>
      <c r="M544" s="674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72"/>
      <c r="J545" s="673"/>
      <c r="K545" s="673"/>
      <c r="L545" s="673"/>
      <c r="M545" s="674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72"/>
      <c r="J546" s="673"/>
      <c r="K546" s="673"/>
      <c r="L546" s="673"/>
      <c r="M546" s="674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72"/>
      <c r="J547" s="673"/>
      <c r="K547" s="673"/>
      <c r="L547" s="673"/>
      <c r="M547" s="674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72"/>
      <c r="J548" s="673"/>
      <c r="K548" s="673"/>
      <c r="L548" s="673"/>
      <c r="M548" s="674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72"/>
      <c r="J549" s="673"/>
      <c r="K549" s="673"/>
      <c r="L549" s="673"/>
      <c r="M549" s="674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72"/>
      <c r="J550" s="673"/>
      <c r="K550" s="673"/>
      <c r="L550" s="673"/>
      <c r="M550" s="674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72"/>
      <c r="J551" s="673"/>
      <c r="K551" s="673"/>
      <c r="L551" s="673"/>
      <c r="M551" s="674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72"/>
      <c r="J552" s="673"/>
      <c r="K552" s="673"/>
      <c r="L552" s="673"/>
      <c r="M552" s="674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72"/>
      <c r="J553" s="673"/>
      <c r="K553" s="673"/>
      <c r="L553" s="673"/>
      <c r="M553" s="674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72"/>
      <c r="J554" s="673"/>
      <c r="K554" s="673"/>
      <c r="L554" s="673"/>
      <c r="M554" s="674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72"/>
      <c r="J555" s="673"/>
      <c r="K555" s="673"/>
      <c r="L555" s="673"/>
      <c r="M555" s="674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72"/>
      <c r="J556" s="673"/>
      <c r="K556" s="673"/>
      <c r="L556" s="673"/>
      <c r="M556" s="674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72"/>
      <c r="J557" s="673"/>
      <c r="K557" s="673"/>
      <c r="L557" s="673"/>
      <c r="M557" s="674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72"/>
      <c r="J558" s="673"/>
      <c r="K558" s="673"/>
      <c r="L558" s="673"/>
      <c r="M558" s="674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72"/>
      <c r="J559" s="673"/>
      <c r="K559" s="673"/>
      <c r="L559" s="673"/>
      <c r="M559" s="674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72"/>
      <c r="J560" s="673"/>
      <c r="K560" s="673"/>
      <c r="L560" s="673"/>
      <c r="M560" s="674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72"/>
      <c r="J561" s="673"/>
      <c r="K561" s="673"/>
      <c r="L561" s="673"/>
      <c r="M561" s="674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72"/>
      <c r="J562" s="673"/>
      <c r="K562" s="673"/>
      <c r="L562" s="673"/>
      <c r="M562" s="674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72"/>
      <c r="J563" s="673"/>
      <c r="K563" s="673"/>
      <c r="L563" s="673"/>
      <c r="M563" s="674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72"/>
      <c r="J564" s="673"/>
      <c r="K564" s="673"/>
      <c r="L564" s="673"/>
      <c r="M564" s="674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72"/>
      <c r="J565" s="673"/>
      <c r="K565" s="673"/>
      <c r="L565" s="673"/>
      <c r="M565" s="674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72"/>
      <c r="J566" s="673"/>
      <c r="K566" s="673"/>
      <c r="L566" s="673"/>
      <c r="M566" s="674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72"/>
      <c r="J567" s="673"/>
      <c r="K567" s="673"/>
      <c r="L567" s="673"/>
      <c r="M567" s="674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72"/>
      <c r="J568" s="673"/>
      <c r="K568" s="673"/>
      <c r="L568" s="673"/>
      <c r="M568" s="674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72"/>
      <c r="J569" s="673"/>
      <c r="K569" s="673"/>
      <c r="L569" s="673"/>
      <c r="M569" s="674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72"/>
      <c r="J570" s="673"/>
      <c r="K570" s="673"/>
      <c r="L570" s="673"/>
      <c r="M570" s="674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72"/>
      <c r="J571" s="673"/>
      <c r="K571" s="673"/>
      <c r="L571" s="673"/>
      <c r="M571" s="674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72"/>
      <c r="J572" s="673"/>
      <c r="K572" s="673"/>
      <c r="L572" s="673"/>
      <c r="M572" s="674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72"/>
      <c r="J573" s="673"/>
      <c r="K573" s="673"/>
      <c r="L573" s="673"/>
      <c r="M573" s="674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72"/>
      <c r="J574" s="673"/>
      <c r="K574" s="673"/>
      <c r="L574" s="673"/>
      <c r="M574" s="674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72"/>
      <c r="J575" s="673"/>
      <c r="K575" s="673"/>
      <c r="L575" s="673"/>
      <c r="M575" s="674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72"/>
      <c r="J576" s="673"/>
      <c r="K576" s="673"/>
      <c r="L576" s="673"/>
      <c r="M576" s="674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72"/>
      <c r="J577" s="673"/>
      <c r="K577" s="673"/>
      <c r="L577" s="673"/>
      <c r="M577" s="674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72"/>
      <c r="J578" s="673"/>
      <c r="K578" s="673"/>
      <c r="L578" s="673"/>
      <c r="M578" s="674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72"/>
      <c r="J579" s="673"/>
      <c r="K579" s="673"/>
      <c r="L579" s="673"/>
      <c r="M579" s="674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72"/>
      <c r="J580" s="673"/>
      <c r="K580" s="673"/>
      <c r="L580" s="673"/>
      <c r="M580" s="674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72"/>
      <c r="J581" s="673"/>
      <c r="K581" s="673"/>
      <c r="L581" s="673"/>
      <c r="M581" s="674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72"/>
      <c r="J582" s="673"/>
      <c r="K582" s="673"/>
      <c r="L582" s="673"/>
      <c r="M582" s="674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72"/>
      <c r="J583" s="673"/>
      <c r="K583" s="673"/>
      <c r="L583" s="673"/>
      <c r="M583" s="674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72"/>
      <c r="J584" s="673"/>
      <c r="K584" s="673"/>
      <c r="L584" s="673"/>
      <c r="M584" s="674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72"/>
      <c r="J585" s="673"/>
      <c r="K585" s="673"/>
      <c r="L585" s="673"/>
      <c r="M585" s="674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72"/>
      <c r="J586" s="673"/>
      <c r="K586" s="673"/>
      <c r="L586" s="673"/>
      <c r="M586" s="674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72"/>
      <c r="J587" s="673"/>
      <c r="K587" s="673"/>
      <c r="L587" s="673"/>
      <c r="M587" s="674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72"/>
      <c r="J588" s="673"/>
      <c r="K588" s="673"/>
      <c r="L588" s="673"/>
      <c r="M588" s="674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72"/>
      <c r="J589" s="673"/>
      <c r="K589" s="673"/>
      <c r="L589" s="673"/>
      <c r="M589" s="674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72"/>
      <c r="J590" s="673"/>
      <c r="K590" s="673"/>
      <c r="L590" s="673"/>
      <c r="M590" s="674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72"/>
      <c r="J591" s="673"/>
      <c r="K591" s="673"/>
      <c r="L591" s="673"/>
      <c r="M591" s="674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72"/>
      <c r="J592" s="673"/>
      <c r="K592" s="673"/>
      <c r="L592" s="673"/>
      <c r="M592" s="674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72"/>
      <c r="J593" s="673"/>
      <c r="K593" s="673"/>
      <c r="L593" s="673"/>
      <c r="M593" s="674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72"/>
      <c r="J594" s="673"/>
      <c r="K594" s="673"/>
      <c r="L594" s="673"/>
      <c r="M594" s="674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72"/>
      <c r="J595" s="673"/>
      <c r="K595" s="673"/>
      <c r="L595" s="673"/>
      <c r="M595" s="674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72"/>
      <c r="J596" s="673"/>
      <c r="K596" s="673"/>
      <c r="L596" s="673"/>
      <c r="M596" s="674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72"/>
      <c r="J597" s="673"/>
      <c r="K597" s="673"/>
      <c r="L597" s="673"/>
      <c r="M597" s="674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72"/>
      <c r="J598" s="673"/>
      <c r="K598" s="673"/>
      <c r="L598" s="673"/>
      <c r="M598" s="674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72"/>
      <c r="J599" s="673"/>
      <c r="K599" s="673"/>
      <c r="L599" s="673"/>
      <c r="M599" s="674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72"/>
      <c r="J600" s="673"/>
      <c r="K600" s="673"/>
      <c r="L600" s="673"/>
      <c r="M600" s="674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72"/>
      <c r="J601" s="673"/>
      <c r="K601" s="673"/>
      <c r="L601" s="673"/>
      <c r="M601" s="674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72"/>
      <c r="J602" s="673"/>
      <c r="K602" s="673"/>
      <c r="L602" s="673"/>
      <c r="M602" s="674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72"/>
      <c r="J603" s="673"/>
      <c r="K603" s="673"/>
      <c r="L603" s="673"/>
      <c r="M603" s="674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72"/>
      <c r="J604" s="673"/>
      <c r="K604" s="673"/>
      <c r="L604" s="673"/>
      <c r="M604" s="674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72"/>
      <c r="J605" s="673"/>
      <c r="K605" s="673"/>
      <c r="L605" s="673"/>
      <c r="M605" s="674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72"/>
      <c r="J606" s="673"/>
      <c r="K606" s="673"/>
      <c r="L606" s="673"/>
      <c r="M606" s="674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72"/>
      <c r="J607" s="673"/>
      <c r="K607" s="673"/>
      <c r="L607" s="673"/>
      <c r="M607" s="674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72"/>
      <c r="J608" s="673"/>
      <c r="K608" s="673"/>
      <c r="L608" s="673"/>
      <c r="M608" s="674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72"/>
      <c r="J609" s="673"/>
      <c r="K609" s="673"/>
      <c r="L609" s="673"/>
      <c r="M609" s="674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72"/>
      <c r="J610" s="673"/>
      <c r="K610" s="673"/>
      <c r="L610" s="673"/>
      <c r="M610" s="674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72"/>
      <c r="J611" s="673"/>
      <c r="K611" s="673"/>
      <c r="L611" s="673"/>
      <c r="M611" s="674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72"/>
      <c r="J612" s="673"/>
      <c r="K612" s="673"/>
      <c r="L612" s="673"/>
      <c r="M612" s="674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72"/>
      <c r="J613" s="673"/>
      <c r="K613" s="673"/>
      <c r="L613" s="673"/>
      <c r="M613" s="674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72"/>
      <c r="J614" s="673"/>
      <c r="K614" s="673"/>
      <c r="L614" s="673"/>
      <c r="M614" s="674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72"/>
      <c r="J615" s="673"/>
      <c r="K615" s="673"/>
      <c r="L615" s="673"/>
      <c r="M615" s="674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72"/>
      <c r="J616" s="673"/>
      <c r="K616" s="673"/>
      <c r="L616" s="673"/>
      <c r="M616" s="674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72"/>
      <c r="J617" s="673"/>
      <c r="K617" s="673"/>
      <c r="L617" s="673"/>
      <c r="M617" s="674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72"/>
      <c r="J618" s="673"/>
      <c r="K618" s="673"/>
      <c r="L618" s="673"/>
      <c r="M618" s="674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72"/>
      <c r="J619" s="673"/>
      <c r="K619" s="673"/>
      <c r="L619" s="673"/>
      <c r="M619" s="674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72"/>
      <c r="J620" s="673"/>
      <c r="K620" s="673"/>
      <c r="L620" s="673"/>
      <c r="M620" s="674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72"/>
      <c r="J621" s="673"/>
      <c r="K621" s="673"/>
      <c r="L621" s="673"/>
      <c r="M621" s="674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72"/>
      <c r="J622" s="673"/>
      <c r="K622" s="673"/>
      <c r="L622" s="673"/>
      <c r="M622" s="674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72"/>
      <c r="J623" s="673"/>
      <c r="K623" s="673"/>
      <c r="L623" s="673"/>
      <c r="M623" s="674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72"/>
      <c r="J624" s="673"/>
      <c r="K624" s="673"/>
      <c r="L624" s="673"/>
      <c r="M624" s="674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72"/>
      <c r="J625" s="673"/>
      <c r="K625" s="673"/>
      <c r="L625" s="673"/>
      <c r="M625" s="674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72"/>
      <c r="J626" s="673"/>
      <c r="K626" s="673"/>
      <c r="L626" s="673"/>
      <c r="M626" s="674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72"/>
      <c r="J627" s="673"/>
      <c r="K627" s="673"/>
      <c r="L627" s="673"/>
      <c r="M627" s="674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72"/>
      <c r="J628" s="673"/>
      <c r="K628" s="673"/>
      <c r="L628" s="673"/>
      <c r="M628" s="674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72"/>
      <c r="J629" s="673"/>
      <c r="K629" s="673"/>
      <c r="L629" s="673"/>
      <c r="M629" s="674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72"/>
      <c r="J630" s="673"/>
      <c r="K630" s="673"/>
      <c r="L630" s="673"/>
      <c r="M630" s="674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72"/>
      <c r="J631" s="673"/>
      <c r="K631" s="673"/>
      <c r="L631" s="673"/>
      <c r="M631" s="674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72"/>
      <c r="J632" s="673"/>
      <c r="K632" s="673"/>
      <c r="L632" s="673"/>
      <c r="M632" s="674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72"/>
      <c r="J633" s="673"/>
      <c r="K633" s="673"/>
      <c r="L633" s="673"/>
      <c r="M633" s="674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72"/>
      <c r="J634" s="673"/>
      <c r="K634" s="673"/>
      <c r="L634" s="673"/>
      <c r="M634" s="674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72"/>
      <c r="J635" s="673"/>
      <c r="K635" s="673"/>
      <c r="L635" s="673"/>
      <c r="M635" s="674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72"/>
      <c r="J636" s="673"/>
      <c r="K636" s="673"/>
      <c r="L636" s="673"/>
      <c r="M636" s="674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72"/>
      <c r="J637" s="673"/>
      <c r="K637" s="673"/>
      <c r="L637" s="673"/>
      <c r="M637" s="674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72"/>
      <c r="J638" s="673"/>
      <c r="K638" s="673"/>
      <c r="L638" s="673"/>
      <c r="M638" s="674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72"/>
      <c r="J639" s="673"/>
      <c r="K639" s="673"/>
      <c r="L639" s="673"/>
      <c r="M639" s="674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72"/>
      <c r="J640" s="673"/>
      <c r="K640" s="673"/>
      <c r="L640" s="673"/>
      <c r="M640" s="674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72"/>
      <c r="J641" s="673"/>
      <c r="K641" s="673"/>
      <c r="L641" s="673"/>
      <c r="M641" s="674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72"/>
      <c r="J642" s="673"/>
      <c r="K642" s="673"/>
      <c r="L642" s="673"/>
      <c r="M642" s="674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72"/>
      <c r="J643" s="673"/>
      <c r="K643" s="673"/>
      <c r="L643" s="673"/>
      <c r="M643" s="674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72"/>
      <c r="J644" s="673"/>
      <c r="K644" s="673"/>
      <c r="L644" s="673"/>
      <c r="M644" s="674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72"/>
      <c r="J645" s="673"/>
      <c r="K645" s="673"/>
      <c r="L645" s="673"/>
      <c r="M645" s="674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72"/>
      <c r="J646" s="673"/>
      <c r="K646" s="673"/>
      <c r="L646" s="673"/>
      <c r="M646" s="674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72"/>
      <c r="J647" s="673"/>
      <c r="K647" s="673"/>
      <c r="L647" s="673"/>
      <c r="M647" s="674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72"/>
      <c r="J648" s="673"/>
      <c r="K648" s="673"/>
      <c r="L648" s="673"/>
      <c r="M648" s="674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72"/>
      <c r="J649" s="673"/>
      <c r="K649" s="673"/>
      <c r="L649" s="673"/>
      <c r="M649" s="674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72"/>
      <c r="J650" s="673"/>
      <c r="K650" s="673"/>
      <c r="L650" s="673"/>
      <c r="M650" s="674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72"/>
      <c r="J651" s="673"/>
      <c r="K651" s="673"/>
      <c r="L651" s="673"/>
      <c r="M651" s="674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72"/>
      <c r="J652" s="673"/>
      <c r="K652" s="673"/>
      <c r="L652" s="673"/>
      <c r="M652" s="674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72"/>
      <c r="J653" s="673"/>
      <c r="K653" s="673"/>
      <c r="L653" s="673"/>
      <c r="M653" s="674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72"/>
      <c r="J654" s="673"/>
      <c r="K654" s="673"/>
      <c r="L654" s="673"/>
      <c r="M654" s="674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72"/>
      <c r="J655" s="673"/>
      <c r="K655" s="673"/>
      <c r="L655" s="673"/>
      <c r="M655" s="674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72"/>
      <c r="J656" s="673"/>
      <c r="K656" s="673"/>
      <c r="L656" s="673"/>
      <c r="M656" s="674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72"/>
      <c r="J657" s="673"/>
      <c r="K657" s="673"/>
      <c r="L657" s="673"/>
      <c r="M657" s="674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72"/>
      <c r="J658" s="673"/>
      <c r="K658" s="673"/>
      <c r="L658" s="673"/>
      <c r="M658" s="674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72"/>
      <c r="J659" s="673"/>
      <c r="K659" s="673"/>
      <c r="L659" s="673"/>
      <c r="M659" s="674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72"/>
      <c r="J660" s="673"/>
      <c r="K660" s="673"/>
      <c r="L660" s="673"/>
      <c r="M660" s="674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72"/>
      <c r="J661" s="673"/>
      <c r="K661" s="673"/>
      <c r="L661" s="673"/>
      <c r="M661" s="674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72"/>
      <c r="J662" s="673"/>
      <c r="K662" s="673"/>
      <c r="L662" s="673"/>
      <c r="M662" s="674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72"/>
      <c r="J663" s="673"/>
      <c r="K663" s="673"/>
      <c r="L663" s="673"/>
      <c r="M663" s="674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72"/>
      <c r="J664" s="673"/>
      <c r="K664" s="673"/>
      <c r="L664" s="673"/>
      <c r="M664" s="674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72"/>
      <c r="J665" s="673"/>
      <c r="K665" s="673"/>
      <c r="L665" s="673"/>
      <c r="M665" s="674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72"/>
      <c r="J666" s="673"/>
      <c r="K666" s="673"/>
      <c r="L666" s="673"/>
      <c r="M666" s="674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72"/>
      <c r="J667" s="673"/>
      <c r="K667" s="673"/>
      <c r="L667" s="673"/>
      <c r="M667" s="674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72"/>
      <c r="J668" s="673"/>
      <c r="K668" s="673"/>
      <c r="L668" s="673"/>
      <c r="M668" s="674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72"/>
      <c r="J669" s="673"/>
      <c r="K669" s="673"/>
      <c r="L669" s="673"/>
      <c r="M669" s="674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72"/>
      <c r="J670" s="673"/>
      <c r="K670" s="673"/>
      <c r="L670" s="673"/>
      <c r="M670" s="674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72"/>
      <c r="J671" s="673"/>
      <c r="K671" s="673"/>
      <c r="L671" s="673"/>
      <c r="M671" s="674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72"/>
      <c r="J672" s="673"/>
      <c r="K672" s="673"/>
      <c r="L672" s="673"/>
      <c r="M672" s="674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72"/>
      <c r="J673" s="673"/>
      <c r="K673" s="673"/>
      <c r="L673" s="673"/>
      <c r="M673" s="674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72"/>
      <c r="J674" s="673"/>
      <c r="K674" s="673"/>
      <c r="L674" s="673"/>
      <c r="M674" s="674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72"/>
      <c r="J675" s="673"/>
      <c r="K675" s="673"/>
      <c r="L675" s="673"/>
      <c r="M675" s="674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72"/>
      <c r="J676" s="673"/>
      <c r="K676" s="673"/>
      <c r="L676" s="673"/>
      <c r="M676" s="674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72"/>
      <c r="J677" s="673"/>
      <c r="K677" s="673"/>
      <c r="L677" s="673"/>
      <c r="M677" s="674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72"/>
      <c r="J678" s="673"/>
      <c r="K678" s="673"/>
      <c r="L678" s="673"/>
      <c r="M678" s="674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72"/>
      <c r="J679" s="673"/>
      <c r="K679" s="673"/>
      <c r="L679" s="673"/>
      <c r="M679" s="674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72"/>
      <c r="J680" s="673"/>
      <c r="K680" s="673"/>
      <c r="L680" s="673"/>
      <c r="M680" s="674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72"/>
      <c r="J681" s="673"/>
      <c r="K681" s="673"/>
      <c r="L681" s="673"/>
      <c r="M681" s="674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72"/>
      <c r="J682" s="673"/>
      <c r="K682" s="673"/>
      <c r="L682" s="673"/>
      <c r="M682" s="674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72"/>
      <c r="J683" s="673"/>
      <c r="K683" s="673"/>
      <c r="L683" s="673"/>
      <c r="M683" s="674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72"/>
      <c r="J684" s="673"/>
      <c r="K684" s="673"/>
      <c r="L684" s="673"/>
      <c r="M684" s="674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72"/>
      <c r="J685" s="673"/>
      <c r="K685" s="673"/>
      <c r="L685" s="673"/>
      <c r="M685" s="674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72"/>
      <c r="J686" s="673"/>
      <c r="K686" s="673"/>
      <c r="L686" s="673"/>
      <c r="M686" s="674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72"/>
      <c r="J687" s="673"/>
      <c r="K687" s="673"/>
      <c r="L687" s="673"/>
      <c r="M687" s="674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72"/>
      <c r="J688" s="673"/>
      <c r="K688" s="673"/>
      <c r="L688" s="673"/>
      <c r="M688" s="674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72"/>
      <c r="J689" s="673"/>
      <c r="K689" s="673"/>
      <c r="L689" s="673"/>
      <c r="M689" s="674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72"/>
      <c r="J690" s="673"/>
      <c r="K690" s="673"/>
      <c r="L690" s="673"/>
      <c r="M690" s="674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72"/>
      <c r="J691" s="673"/>
      <c r="K691" s="673"/>
      <c r="L691" s="673"/>
      <c r="M691" s="674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72"/>
      <c r="J692" s="673"/>
      <c r="K692" s="673"/>
      <c r="L692" s="673"/>
      <c r="M692" s="674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72"/>
      <c r="J693" s="673"/>
      <c r="K693" s="673"/>
      <c r="L693" s="673"/>
      <c r="M693" s="674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72"/>
      <c r="J694" s="673"/>
      <c r="K694" s="673"/>
      <c r="L694" s="673"/>
      <c r="M694" s="674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72"/>
      <c r="J695" s="673"/>
      <c r="K695" s="673"/>
      <c r="L695" s="673"/>
      <c r="M695" s="674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72"/>
      <c r="J696" s="673"/>
      <c r="K696" s="673"/>
      <c r="L696" s="673"/>
      <c r="M696" s="674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72"/>
      <c r="J697" s="673"/>
      <c r="K697" s="673"/>
      <c r="L697" s="673"/>
      <c r="M697" s="674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72"/>
      <c r="J698" s="673"/>
      <c r="K698" s="673"/>
      <c r="L698" s="673"/>
      <c r="M698" s="674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72"/>
      <c r="J699" s="673"/>
      <c r="K699" s="673"/>
      <c r="L699" s="673"/>
      <c r="M699" s="674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72"/>
      <c r="J700" s="673"/>
      <c r="K700" s="673"/>
      <c r="L700" s="673"/>
      <c r="M700" s="674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72"/>
      <c r="J701" s="673"/>
      <c r="K701" s="673"/>
      <c r="L701" s="673"/>
      <c r="M701" s="674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72"/>
      <c r="J702" s="673"/>
      <c r="K702" s="673"/>
      <c r="L702" s="673"/>
      <c r="M702" s="674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72"/>
      <c r="J703" s="673"/>
      <c r="K703" s="673"/>
      <c r="L703" s="673"/>
      <c r="M703" s="674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72"/>
      <c r="J704" s="673"/>
      <c r="K704" s="673"/>
      <c r="L704" s="673"/>
      <c r="M704" s="674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72"/>
      <c r="J705" s="673"/>
      <c r="K705" s="673"/>
      <c r="L705" s="673"/>
      <c r="M705" s="674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72"/>
      <c r="J706" s="673"/>
      <c r="K706" s="673"/>
      <c r="L706" s="673"/>
      <c r="M706" s="674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72"/>
      <c r="J707" s="673"/>
      <c r="K707" s="673"/>
      <c r="L707" s="673"/>
      <c r="M707" s="674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72"/>
      <c r="J708" s="673"/>
      <c r="K708" s="673"/>
      <c r="L708" s="673"/>
      <c r="M708" s="674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72"/>
      <c r="J709" s="673"/>
      <c r="K709" s="673"/>
      <c r="L709" s="673"/>
      <c r="M709" s="674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72"/>
      <c r="J710" s="673"/>
      <c r="K710" s="673"/>
      <c r="L710" s="673"/>
      <c r="M710" s="674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72"/>
      <c r="J711" s="673"/>
      <c r="K711" s="673"/>
      <c r="L711" s="673"/>
      <c r="M711" s="674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72"/>
      <c r="J712" s="673"/>
      <c r="K712" s="673"/>
      <c r="L712" s="673"/>
      <c r="M712" s="674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72"/>
      <c r="J713" s="673"/>
      <c r="K713" s="673"/>
      <c r="L713" s="673"/>
      <c r="M713" s="674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72"/>
      <c r="J714" s="673"/>
      <c r="K714" s="673"/>
      <c r="L714" s="673"/>
      <c r="M714" s="674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72"/>
      <c r="J715" s="673"/>
      <c r="K715" s="673"/>
      <c r="L715" s="673"/>
      <c r="M715" s="674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72"/>
      <c r="J716" s="673"/>
      <c r="K716" s="673"/>
      <c r="L716" s="673"/>
      <c r="M716" s="674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72"/>
      <c r="J717" s="673"/>
      <c r="K717" s="673"/>
      <c r="L717" s="673"/>
      <c r="M717" s="674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72"/>
      <c r="J718" s="673"/>
      <c r="K718" s="673"/>
      <c r="L718" s="673"/>
      <c r="M718" s="674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72"/>
      <c r="J719" s="673"/>
      <c r="K719" s="673"/>
      <c r="L719" s="673"/>
      <c r="M719" s="674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72"/>
      <c r="J720" s="673"/>
      <c r="K720" s="673"/>
      <c r="L720" s="673"/>
      <c r="M720" s="674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72"/>
      <c r="J721" s="673"/>
      <c r="K721" s="673"/>
      <c r="L721" s="673"/>
      <c r="M721" s="674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72"/>
      <c r="J722" s="673"/>
      <c r="K722" s="673"/>
      <c r="L722" s="673"/>
      <c r="M722" s="674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72"/>
      <c r="J723" s="673"/>
      <c r="K723" s="673"/>
      <c r="L723" s="673"/>
      <c r="M723" s="674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72"/>
      <c r="J724" s="673"/>
      <c r="K724" s="673"/>
      <c r="L724" s="673"/>
      <c r="M724" s="674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72"/>
      <c r="J725" s="673"/>
      <c r="K725" s="673"/>
      <c r="L725" s="673"/>
      <c r="M725" s="674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72"/>
      <c r="J726" s="673"/>
      <c r="K726" s="673"/>
      <c r="L726" s="673"/>
      <c r="M726" s="674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72"/>
      <c r="J727" s="673"/>
      <c r="K727" s="673"/>
      <c r="L727" s="673"/>
      <c r="M727" s="674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72"/>
      <c r="J728" s="673"/>
      <c r="K728" s="673"/>
      <c r="L728" s="673"/>
      <c r="M728" s="674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72"/>
      <c r="J729" s="673"/>
      <c r="K729" s="673"/>
      <c r="L729" s="673"/>
      <c r="M729" s="674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72"/>
      <c r="J730" s="673"/>
      <c r="K730" s="673"/>
      <c r="L730" s="673"/>
      <c r="M730" s="674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72"/>
      <c r="J731" s="673"/>
      <c r="K731" s="673"/>
      <c r="L731" s="673"/>
      <c r="M731" s="674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72"/>
      <c r="J732" s="673"/>
      <c r="K732" s="673"/>
      <c r="L732" s="673"/>
      <c r="M732" s="674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72"/>
      <c r="J733" s="673"/>
      <c r="K733" s="673"/>
      <c r="L733" s="673"/>
      <c r="M733" s="674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72"/>
      <c r="J734" s="673"/>
      <c r="K734" s="673"/>
      <c r="L734" s="673"/>
      <c r="M734" s="674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72"/>
      <c r="J735" s="673"/>
      <c r="K735" s="673"/>
      <c r="L735" s="673"/>
      <c r="M735" s="674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72"/>
      <c r="J736" s="673"/>
      <c r="K736" s="673"/>
      <c r="L736" s="673"/>
      <c r="M736" s="674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72"/>
      <c r="J737" s="673"/>
      <c r="K737" s="673"/>
      <c r="L737" s="673"/>
      <c r="M737" s="674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72"/>
      <c r="J738" s="673"/>
      <c r="K738" s="673"/>
      <c r="L738" s="673"/>
      <c r="M738" s="674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72"/>
      <c r="J739" s="673"/>
      <c r="K739" s="673"/>
      <c r="L739" s="673"/>
      <c r="M739" s="674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72"/>
      <c r="J740" s="673"/>
      <c r="K740" s="673"/>
      <c r="L740" s="673"/>
      <c r="M740" s="674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72"/>
      <c r="J741" s="673"/>
      <c r="K741" s="673"/>
      <c r="L741" s="673"/>
      <c r="M741" s="674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72"/>
      <c r="J742" s="673"/>
      <c r="K742" s="673"/>
      <c r="L742" s="673"/>
      <c r="M742" s="674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72"/>
      <c r="J743" s="673"/>
      <c r="K743" s="673"/>
      <c r="L743" s="673"/>
      <c r="M743" s="674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72"/>
      <c r="J744" s="673"/>
      <c r="K744" s="673"/>
      <c r="L744" s="673"/>
      <c r="M744" s="674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72"/>
      <c r="J745" s="673"/>
      <c r="K745" s="673"/>
      <c r="L745" s="673"/>
      <c r="M745" s="674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72"/>
      <c r="J746" s="673"/>
      <c r="K746" s="673"/>
      <c r="L746" s="673"/>
      <c r="M746" s="674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72"/>
      <c r="J747" s="673"/>
      <c r="K747" s="673"/>
      <c r="L747" s="673"/>
      <c r="M747" s="674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72"/>
      <c r="J748" s="673"/>
      <c r="K748" s="673"/>
      <c r="L748" s="673"/>
      <c r="M748" s="674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72"/>
      <c r="J749" s="673"/>
      <c r="K749" s="673"/>
      <c r="L749" s="673"/>
      <c r="M749" s="674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72"/>
      <c r="J750" s="673"/>
      <c r="K750" s="673"/>
      <c r="L750" s="673"/>
      <c r="M750" s="674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72"/>
      <c r="J751" s="673"/>
      <c r="K751" s="673"/>
      <c r="L751" s="673"/>
      <c r="M751" s="674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72"/>
      <c r="J752" s="673"/>
      <c r="K752" s="673"/>
      <c r="L752" s="673"/>
      <c r="M752" s="674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72"/>
      <c r="J753" s="673"/>
      <c r="K753" s="673"/>
      <c r="L753" s="673"/>
      <c r="M753" s="674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72"/>
      <c r="J754" s="673"/>
      <c r="K754" s="673"/>
      <c r="L754" s="673"/>
      <c r="M754" s="674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72"/>
      <c r="J755" s="673"/>
      <c r="K755" s="673"/>
      <c r="L755" s="673"/>
      <c r="M755" s="674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72"/>
      <c r="J756" s="673"/>
      <c r="K756" s="673"/>
      <c r="L756" s="673"/>
      <c r="M756" s="674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72"/>
      <c r="J757" s="673"/>
      <c r="K757" s="673"/>
      <c r="L757" s="673"/>
      <c r="M757" s="674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72"/>
      <c r="J758" s="673"/>
      <c r="K758" s="673"/>
      <c r="L758" s="673"/>
      <c r="M758" s="674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72"/>
      <c r="J759" s="673"/>
      <c r="K759" s="673"/>
      <c r="L759" s="673"/>
      <c r="M759" s="674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72"/>
      <c r="J760" s="673"/>
      <c r="K760" s="673"/>
      <c r="L760" s="673"/>
      <c r="M760" s="674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72"/>
      <c r="J761" s="673"/>
      <c r="K761" s="673"/>
      <c r="L761" s="673"/>
      <c r="M761" s="674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72"/>
      <c r="J762" s="673"/>
      <c r="K762" s="673"/>
      <c r="L762" s="673"/>
      <c r="M762" s="674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72"/>
      <c r="J763" s="673"/>
      <c r="K763" s="673"/>
      <c r="L763" s="673"/>
      <c r="M763" s="674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72"/>
      <c r="J764" s="673"/>
      <c r="K764" s="673"/>
      <c r="L764" s="673"/>
      <c r="M764" s="674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72"/>
      <c r="J765" s="673"/>
      <c r="K765" s="673"/>
      <c r="L765" s="673"/>
      <c r="M765" s="674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72"/>
      <c r="J766" s="673"/>
      <c r="K766" s="673"/>
      <c r="L766" s="673"/>
      <c r="M766" s="674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72"/>
      <c r="J767" s="673"/>
      <c r="K767" s="673"/>
      <c r="L767" s="673"/>
      <c r="M767" s="674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72"/>
      <c r="J768" s="673"/>
      <c r="K768" s="673"/>
      <c r="L768" s="673"/>
      <c r="M768" s="674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72"/>
      <c r="J769" s="673"/>
      <c r="K769" s="673"/>
      <c r="L769" s="673"/>
      <c r="M769" s="674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72"/>
      <c r="J770" s="673"/>
      <c r="K770" s="673"/>
      <c r="L770" s="673"/>
      <c r="M770" s="674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72"/>
      <c r="J771" s="673"/>
      <c r="K771" s="673"/>
      <c r="L771" s="673"/>
      <c r="M771" s="674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72"/>
      <c r="J772" s="673"/>
      <c r="K772" s="673"/>
      <c r="L772" s="673"/>
      <c r="M772" s="674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72"/>
      <c r="J773" s="673"/>
      <c r="K773" s="673"/>
      <c r="L773" s="673"/>
      <c r="M773" s="674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72"/>
      <c r="J774" s="673"/>
      <c r="K774" s="673"/>
      <c r="L774" s="673"/>
      <c r="M774" s="674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72"/>
      <c r="J775" s="673"/>
      <c r="K775" s="673"/>
      <c r="L775" s="673"/>
      <c r="M775" s="674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72"/>
      <c r="J776" s="673"/>
      <c r="K776" s="673"/>
      <c r="L776" s="673"/>
      <c r="M776" s="674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72"/>
      <c r="J777" s="673"/>
      <c r="K777" s="673"/>
      <c r="L777" s="673"/>
      <c r="M777" s="674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72"/>
      <c r="J778" s="673"/>
      <c r="K778" s="673"/>
      <c r="L778" s="673"/>
      <c r="M778" s="674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72"/>
      <c r="J779" s="673"/>
      <c r="K779" s="673"/>
      <c r="L779" s="673"/>
      <c r="M779" s="674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72"/>
      <c r="J780" s="673"/>
      <c r="K780" s="673"/>
      <c r="L780" s="673"/>
      <c r="M780" s="674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72"/>
      <c r="J781" s="673"/>
      <c r="K781" s="673"/>
      <c r="L781" s="673"/>
      <c r="M781" s="674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72"/>
      <c r="J782" s="673"/>
      <c r="K782" s="673"/>
      <c r="L782" s="673"/>
      <c r="M782" s="674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72"/>
      <c r="J783" s="673"/>
      <c r="K783" s="673"/>
      <c r="L783" s="673"/>
      <c r="M783" s="674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72"/>
      <c r="J784" s="673"/>
      <c r="K784" s="673"/>
      <c r="L784" s="673"/>
      <c r="M784" s="674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72"/>
      <c r="J785" s="673"/>
      <c r="K785" s="673"/>
      <c r="L785" s="673"/>
      <c r="M785" s="674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72"/>
      <c r="J786" s="673"/>
      <c r="K786" s="673"/>
      <c r="L786" s="673"/>
      <c r="M786" s="674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72"/>
      <c r="J787" s="673"/>
      <c r="K787" s="673"/>
      <c r="L787" s="673"/>
      <c r="M787" s="674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72"/>
      <c r="J788" s="673"/>
      <c r="K788" s="673"/>
      <c r="L788" s="673"/>
      <c r="M788" s="674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72"/>
      <c r="J789" s="673"/>
      <c r="K789" s="673"/>
      <c r="L789" s="673"/>
      <c r="M789" s="674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72"/>
      <c r="J790" s="673"/>
      <c r="K790" s="673"/>
      <c r="L790" s="673"/>
      <c r="M790" s="674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72"/>
      <c r="J791" s="673"/>
      <c r="K791" s="673"/>
      <c r="L791" s="673"/>
      <c r="M791" s="674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72"/>
      <c r="J792" s="673"/>
      <c r="K792" s="673"/>
      <c r="L792" s="673"/>
      <c r="M792" s="674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72"/>
      <c r="J793" s="673"/>
      <c r="K793" s="673"/>
      <c r="L793" s="673"/>
      <c r="M793" s="674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72"/>
      <c r="J794" s="673"/>
      <c r="K794" s="673"/>
      <c r="L794" s="673"/>
      <c r="M794" s="674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72"/>
      <c r="J795" s="673"/>
      <c r="K795" s="673"/>
      <c r="L795" s="673"/>
      <c r="M795" s="674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72"/>
      <c r="J796" s="673"/>
      <c r="K796" s="673"/>
      <c r="L796" s="673"/>
      <c r="M796" s="674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72"/>
      <c r="J797" s="673"/>
      <c r="K797" s="673"/>
      <c r="L797" s="673"/>
      <c r="M797" s="674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72"/>
      <c r="J798" s="673"/>
      <c r="K798" s="673"/>
      <c r="L798" s="673"/>
      <c r="M798" s="674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72"/>
      <c r="J799" s="673"/>
      <c r="K799" s="673"/>
      <c r="L799" s="673"/>
      <c r="M799" s="674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72"/>
      <c r="J800" s="673"/>
      <c r="K800" s="673"/>
      <c r="L800" s="673"/>
      <c r="M800" s="674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72"/>
      <c r="J801" s="673"/>
      <c r="K801" s="673"/>
      <c r="L801" s="673"/>
      <c r="M801" s="674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72"/>
      <c r="J802" s="673"/>
      <c r="K802" s="673"/>
      <c r="L802" s="673"/>
      <c r="M802" s="674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72"/>
      <c r="J803" s="673"/>
      <c r="K803" s="673"/>
      <c r="L803" s="673"/>
      <c r="M803" s="674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72"/>
      <c r="J804" s="673"/>
      <c r="K804" s="673"/>
      <c r="L804" s="673"/>
      <c r="M804" s="674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72"/>
      <c r="J805" s="673"/>
      <c r="K805" s="673"/>
      <c r="L805" s="673"/>
      <c r="M805" s="674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72"/>
      <c r="J806" s="673"/>
      <c r="K806" s="673"/>
      <c r="L806" s="673"/>
      <c r="M806" s="674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72"/>
      <c r="J807" s="673"/>
      <c r="K807" s="673"/>
      <c r="L807" s="673"/>
      <c r="M807" s="674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72"/>
      <c r="J808" s="673"/>
      <c r="K808" s="673"/>
      <c r="L808" s="673"/>
      <c r="M808" s="674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72"/>
      <c r="J809" s="673"/>
      <c r="K809" s="673"/>
      <c r="L809" s="673"/>
      <c r="M809" s="674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72"/>
      <c r="J810" s="673"/>
      <c r="K810" s="673"/>
      <c r="L810" s="673"/>
      <c r="M810" s="674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72"/>
      <c r="J811" s="673"/>
      <c r="K811" s="673"/>
      <c r="L811" s="673"/>
      <c r="M811" s="674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72"/>
      <c r="J812" s="673"/>
      <c r="K812" s="673"/>
      <c r="L812" s="673"/>
      <c r="M812" s="674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72"/>
      <c r="J813" s="673"/>
      <c r="K813" s="673"/>
      <c r="L813" s="673"/>
      <c r="M813" s="674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72"/>
      <c r="J814" s="673"/>
      <c r="K814" s="673"/>
      <c r="L814" s="673"/>
      <c r="M814" s="674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72"/>
      <c r="J815" s="673"/>
      <c r="K815" s="673"/>
      <c r="L815" s="673"/>
      <c r="M815" s="674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72"/>
      <c r="J816" s="673"/>
      <c r="K816" s="673"/>
      <c r="L816" s="673"/>
      <c r="M816" s="674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72"/>
      <c r="J817" s="673"/>
      <c r="K817" s="673"/>
      <c r="L817" s="673"/>
      <c r="M817" s="674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72"/>
      <c r="J818" s="673"/>
      <c r="K818" s="673"/>
      <c r="L818" s="673"/>
      <c r="M818" s="674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72"/>
      <c r="J819" s="673"/>
      <c r="K819" s="673"/>
      <c r="L819" s="673"/>
      <c r="M819" s="674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72"/>
      <c r="J820" s="673"/>
      <c r="K820" s="673"/>
      <c r="L820" s="673"/>
      <c r="M820" s="674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72"/>
      <c r="J821" s="673"/>
      <c r="K821" s="673"/>
      <c r="L821" s="673"/>
      <c r="M821" s="674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72"/>
      <c r="J822" s="673"/>
      <c r="K822" s="673"/>
      <c r="L822" s="673"/>
      <c r="M822" s="674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72"/>
      <c r="J823" s="673"/>
      <c r="K823" s="673"/>
      <c r="L823" s="673"/>
      <c r="M823" s="674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72"/>
      <c r="J824" s="673"/>
      <c r="K824" s="673"/>
      <c r="L824" s="673"/>
      <c r="M824" s="674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72"/>
      <c r="J825" s="673"/>
      <c r="K825" s="673"/>
      <c r="L825" s="673"/>
      <c r="M825" s="674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72"/>
      <c r="J826" s="673"/>
      <c r="K826" s="673"/>
      <c r="L826" s="673"/>
      <c r="M826" s="674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72"/>
      <c r="J827" s="673"/>
      <c r="K827" s="673"/>
      <c r="L827" s="673"/>
      <c r="M827" s="674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72"/>
      <c r="J828" s="673"/>
      <c r="K828" s="673"/>
      <c r="L828" s="673"/>
      <c r="M828" s="674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72"/>
      <c r="J829" s="673"/>
      <c r="K829" s="673"/>
      <c r="L829" s="673"/>
      <c r="M829" s="674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72"/>
      <c r="J830" s="673"/>
      <c r="K830" s="673"/>
      <c r="L830" s="673"/>
      <c r="M830" s="674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72"/>
      <c r="J831" s="673"/>
      <c r="K831" s="673"/>
      <c r="L831" s="673"/>
      <c r="M831" s="674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72"/>
      <c r="J832" s="673"/>
      <c r="K832" s="673"/>
      <c r="L832" s="673"/>
      <c r="M832" s="674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72"/>
      <c r="J833" s="673"/>
      <c r="K833" s="673"/>
      <c r="L833" s="673"/>
      <c r="M833" s="674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72"/>
      <c r="J834" s="673"/>
      <c r="K834" s="673"/>
      <c r="L834" s="673"/>
      <c r="M834" s="674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72"/>
      <c r="J835" s="673"/>
      <c r="K835" s="673"/>
      <c r="L835" s="673"/>
      <c r="M835" s="674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72"/>
      <c r="J836" s="673"/>
      <c r="K836" s="673"/>
      <c r="L836" s="673"/>
      <c r="M836" s="674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72"/>
      <c r="J837" s="673"/>
      <c r="K837" s="673"/>
      <c r="L837" s="673"/>
      <c r="M837" s="674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72"/>
      <c r="J838" s="673"/>
      <c r="K838" s="673"/>
      <c r="L838" s="673"/>
      <c r="M838" s="674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72"/>
      <c r="J839" s="673"/>
      <c r="K839" s="673"/>
      <c r="L839" s="673"/>
      <c r="M839" s="674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72"/>
      <c r="J840" s="673"/>
      <c r="K840" s="673"/>
      <c r="L840" s="673"/>
      <c r="M840" s="674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72"/>
      <c r="J841" s="673"/>
      <c r="K841" s="673"/>
      <c r="L841" s="673"/>
      <c r="M841" s="674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72"/>
      <c r="J842" s="673"/>
      <c r="K842" s="673"/>
      <c r="L842" s="673"/>
      <c r="M842" s="674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72"/>
      <c r="J843" s="673"/>
      <c r="K843" s="673"/>
      <c r="L843" s="673"/>
      <c r="M843" s="674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72"/>
      <c r="J844" s="673"/>
      <c r="K844" s="673"/>
      <c r="L844" s="673"/>
      <c r="M844" s="674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72"/>
      <c r="J845" s="673"/>
      <c r="K845" s="673"/>
      <c r="L845" s="673"/>
      <c r="M845" s="674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72"/>
      <c r="J846" s="673"/>
      <c r="K846" s="673"/>
      <c r="L846" s="673"/>
      <c r="M846" s="674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72"/>
      <c r="J847" s="673"/>
      <c r="K847" s="673"/>
      <c r="L847" s="673"/>
      <c r="M847" s="674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72"/>
      <c r="J848" s="673"/>
      <c r="K848" s="673"/>
      <c r="L848" s="673"/>
      <c r="M848" s="674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72"/>
      <c r="J849" s="673"/>
      <c r="K849" s="673"/>
      <c r="L849" s="673"/>
      <c r="M849" s="674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72"/>
      <c r="J850" s="673"/>
      <c r="K850" s="673"/>
      <c r="L850" s="673"/>
      <c r="M850" s="674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72"/>
      <c r="J851" s="673"/>
      <c r="K851" s="673"/>
      <c r="L851" s="673"/>
      <c r="M851" s="674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72"/>
      <c r="J852" s="673"/>
      <c r="K852" s="673"/>
      <c r="L852" s="673"/>
      <c r="M852" s="674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72"/>
      <c r="J853" s="673"/>
      <c r="K853" s="673"/>
      <c r="L853" s="673"/>
      <c r="M853" s="674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72"/>
      <c r="J854" s="673"/>
      <c r="K854" s="673"/>
      <c r="L854" s="673"/>
      <c r="M854" s="674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72"/>
      <c r="J855" s="673"/>
      <c r="K855" s="673"/>
      <c r="L855" s="673"/>
      <c r="M855" s="674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72"/>
      <c r="J856" s="673"/>
      <c r="K856" s="673"/>
      <c r="L856" s="673"/>
      <c r="M856" s="674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72"/>
      <c r="J857" s="673"/>
      <c r="K857" s="673"/>
      <c r="L857" s="673"/>
      <c r="M857" s="674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72"/>
      <c r="J858" s="673"/>
      <c r="K858" s="673"/>
      <c r="L858" s="673"/>
      <c r="M858" s="674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72"/>
      <c r="J859" s="673"/>
      <c r="K859" s="673"/>
      <c r="L859" s="673"/>
      <c r="M859" s="674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72"/>
      <c r="J860" s="673"/>
      <c r="K860" s="673"/>
      <c r="L860" s="673"/>
      <c r="M860" s="674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72"/>
      <c r="J861" s="673"/>
      <c r="K861" s="673"/>
      <c r="L861" s="673"/>
      <c r="M861" s="674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72"/>
      <c r="J862" s="673"/>
      <c r="K862" s="673"/>
      <c r="L862" s="673"/>
      <c r="M862" s="674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72"/>
      <c r="J863" s="673"/>
      <c r="K863" s="673"/>
      <c r="L863" s="673"/>
      <c r="M863" s="674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72"/>
      <c r="J864" s="673"/>
      <c r="K864" s="673"/>
      <c r="L864" s="673"/>
      <c r="M864" s="674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72"/>
      <c r="J865" s="673"/>
      <c r="K865" s="673"/>
      <c r="L865" s="673"/>
      <c r="M865" s="674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72"/>
      <c r="J866" s="673"/>
      <c r="K866" s="673"/>
      <c r="L866" s="673"/>
      <c r="M866" s="674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72"/>
      <c r="J867" s="673"/>
      <c r="K867" s="673"/>
      <c r="L867" s="673"/>
      <c r="M867" s="674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72"/>
      <c r="J868" s="673"/>
      <c r="K868" s="673"/>
      <c r="L868" s="673"/>
      <c r="M868" s="674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72"/>
      <c r="J869" s="673"/>
      <c r="K869" s="673"/>
      <c r="L869" s="673"/>
      <c r="M869" s="674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72"/>
      <c r="J870" s="673"/>
      <c r="K870" s="673"/>
      <c r="L870" s="673"/>
      <c r="M870" s="674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72"/>
      <c r="J871" s="673"/>
      <c r="K871" s="673"/>
      <c r="L871" s="673"/>
      <c r="M871" s="674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72"/>
      <c r="J872" s="673"/>
      <c r="K872" s="673"/>
      <c r="L872" s="673"/>
      <c r="M872" s="674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72"/>
      <c r="J873" s="673"/>
      <c r="K873" s="673"/>
      <c r="L873" s="673"/>
      <c r="M873" s="674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72"/>
      <c r="J874" s="673"/>
      <c r="K874" s="673"/>
      <c r="L874" s="673"/>
      <c r="M874" s="674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72"/>
      <c r="J875" s="673"/>
      <c r="K875" s="673"/>
      <c r="L875" s="673"/>
      <c r="M875" s="674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72"/>
      <c r="J876" s="673"/>
      <c r="K876" s="673"/>
      <c r="L876" s="673"/>
      <c r="M876" s="674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72"/>
      <c r="J877" s="673"/>
      <c r="K877" s="673"/>
      <c r="L877" s="673"/>
      <c r="M877" s="674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72"/>
      <c r="J878" s="673"/>
      <c r="K878" s="673"/>
      <c r="L878" s="673"/>
      <c r="M878" s="674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72"/>
      <c r="J879" s="673"/>
      <c r="K879" s="673"/>
      <c r="L879" s="673"/>
      <c r="M879" s="674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72"/>
      <c r="J880" s="673"/>
      <c r="K880" s="673"/>
      <c r="L880" s="673"/>
      <c r="M880" s="674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72"/>
      <c r="J881" s="673"/>
      <c r="K881" s="673"/>
      <c r="L881" s="673"/>
      <c r="M881" s="674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72"/>
      <c r="J882" s="673"/>
      <c r="K882" s="673"/>
      <c r="L882" s="673"/>
      <c r="M882" s="674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72"/>
      <c r="J883" s="673"/>
      <c r="K883" s="673"/>
      <c r="L883" s="673"/>
      <c r="M883" s="674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72"/>
      <c r="J884" s="673"/>
      <c r="K884" s="673"/>
      <c r="L884" s="673"/>
      <c r="M884" s="674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72"/>
      <c r="J885" s="673"/>
      <c r="K885" s="673"/>
      <c r="L885" s="673"/>
      <c r="M885" s="674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72"/>
      <c r="J886" s="673"/>
      <c r="K886" s="673"/>
      <c r="L886" s="673"/>
      <c r="M886" s="674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72"/>
      <c r="J887" s="673"/>
      <c r="K887" s="673"/>
      <c r="L887" s="673"/>
      <c r="M887" s="674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72"/>
      <c r="J888" s="673"/>
      <c r="K888" s="673"/>
      <c r="L888" s="673"/>
      <c r="M888" s="674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72"/>
      <c r="J889" s="673"/>
      <c r="K889" s="673"/>
      <c r="L889" s="673"/>
      <c r="M889" s="674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72"/>
      <c r="J890" s="673"/>
      <c r="K890" s="673"/>
      <c r="L890" s="673"/>
      <c r="M890" s="674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72"/>
      <c r="J891" s="673"/>
      <c r="K891" s="673"/>
      <c r="L891" s="673"/>
      <c r="M891" s="674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72"/>
      <c r="J892" s="673"/>
      <c r="K892" s="673"/>
      <c r="L892" s="673"/>
      <c r="M892" s="674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72"/>
      <c r="J893" s="673"/>
      <c r="K893" s="673"/>
      <c r="L893" s="673"/>
      <c r="M893" s="674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72"/>
      <c r="J894" s="673"/>
      <c r="K894" s="673"/>
      <c r="L894" s="673"/>
      <c r="M894" s="674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72"/>
      <c r="J895" s="673"/>
      <c r="K895" s="673"/>
      <c r="L895" s="673"/>
      <c r="M895" s="674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72"/>
      <c r="J896" s="673"/>
      <c r="K896" s="673"/>
      <c r="L896" s="673"/>
      <c r="M896" s="674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72"/>
      <c r="J897" s="673"/>
      <c r="K897" s="673"/>
      <c r="L897" s="673"/>
      <c r="M897" s="674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72"/>
      <c r="J898" s="673"/>
      <c r="K898" s="673"/>
      <c r="L898" s="673"/>
      <c r="M898" s="674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72"/>
      <c r="J899" s="673"/>
      <c r="K899" s="673"/>
      <c r="L899" s="673"/>
      <c r="M899" s="674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72"/>
      <c r="J900" s="673"/>
      <c r="K900" s="673"/>
      <c r="L900" s="673"/>
      <c r="M900" s="674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72"/>
      <c r="J901" s="673"/>
      <c r="K901" s="673"/>
      <c r="L901" s="673"/>
      <c r="M901" s="674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72"/>
      <c r="J902" s="673"/>
      <c r="K902" s="673"/>
      <c r="L902" s="673"/>
      <c r="M902" s="674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72"/>
      <c r="J903" s="673"/>
      <c r="K903" s="673"/>
      <c r="L903" s="673"/>
      <c r="M903" s="674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72"/>
      <c r="J904" s="673"/>
      <c r="K904" s="673"/>
      <c r="L904" s="673"/>
      <c r="M904" s="674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72"/>
      <c r="J905" s="673"/>
      <c r="K905" s="673"/>
      <c r="L905" s="673"/>
      <c r="M905" s="674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72"/>
      <c r="J906" s="673"/>
      <c r="K906" s="673"/>
      <c r="L906" s="673"/>
      <c r="M906" s="674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72"/>
      <c r="J907" s="673"/>
      <c r="K907" s="673"/>
      <c r="L907" s="673"/>
      <c r="M907" s="674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72"/>
      <c r="J908" s="673"/>
      <c r="K908" s="673"/>
      <c r="L908" s="673"/>
      <c r="M908" s="674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72"/>
      <c r="J909" s="673"/>
      <c r="K909" s="673"/>
      <c r="L909" s="673"/>
      <c r="M909" s="674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72"/>
      <c r="J910" s="673"/>
      <c r="K910" s="673"/>
      <c r="L910" s="673"/>
      <c r="M910" s="674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72"/>
      <c r="J911" s="673"/>
      <c r="K911" s="673"/>
      <c r="L911" s="673"/>
      <c r="M911" s="674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72"/>
      <c r="J912" s="673"/>
      <c r="K912" s="673"/>
      <c r="L912" s="673"/>
      <c r="M912" s="674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72"/>
      <c r="J913" s="673"/>
      <c r="K913" s="673"/>
      <c r="L913" s="673"/>
      <c r="M913" s="674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72"/>
      <c r="J914" s="673"/>
      <c r="K914" s="673"/>
      <c r="L914" s="673"/>
      <c r="M914" s="674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72"/>
      <c r="J915" s="673"/>
      <c r="K915" s="673"/>
      <c r="L915" s="673"/>
      <c r="M915" s="674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72"/>
      <c r="J916" s="673"/>
      <c r="K916" s="673"/>
      <c r="L916" s="673"/>
      <c r="M916" s="674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72"/>
      <c r="J917" s="673"/>
      <c r="K917" s="673"/>
      <c r="L917" s="673"/>
      <c r="M917" s="674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72"/>
      <c r="J918" s="673"/>
      <c r="K918" s="673"/>
      <c r="L918" s="673"/>
      <c r="M918" s="674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72"/>
      <c r="J919" s="673"/>
      <c r="K919" s="673"/>
      <c r="L919" s="673"/>
      <c r="M919" s="674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72"/>
      <c r="J920" s="673"/>
      <c r="K920" s="673"/>
      <c r="L920" s="673"/>
      <c r="M920" s="674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72"/>
      <c r="J921" s="673"/>
      <c r="K921" s="673"/>
      <c r="L921" s="673"/>
      <c r="M921" s="674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72"/>
      <c r="J922" s="673"/>
      <c r="K922" s="673"/>
      <c r="L922" s="673"/>
      <c r="M922" s="674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72"/>
      <c r="J923" s="673"/>
      <c r="K923" s="673"/>
      <c r="L923" s="673"/>
      <c r="M923" s="674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72"/>
      <c r="J924" s="673"/>
      <c r="K924" s="673"/>
      <c r="L924" s="673"/>
      <c r="M924" s="674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72"/>
      <c r="J925" s="673"/>
      <c r="K925" s="673"/>
      <c r="L925" s="673"/>
      <c r="M925" s="674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72"/>
      <c r="J926" s="673"/>
      <c r="K926" s="673"/>
      <c r="L926" s="673"/>
      <c r="M926" s="674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72"/>
      <c r="J927" s="673"/>
      <c r="K927" s="673"/>
      <c r="L927" s="673"/>
      <c r="M927" s="674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72"/>
      <c r="J928" s="673"/>
      <c r="K928" s="673"/>
      <c r="L928" s="673"/>
      <c r="M928" s="674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72"/>
      <c r="J929" s="673"/>
      <c r="K929" s="673"/>
      <c r="L929" s="673"/>
      <c r="M929" s="674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72"/>
      <c r="J930" s="673"/>
      <c r="K930" s="673"/>
      <c r="L930" s="673"/>
      <c r="M930" s="674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72"/>
      <c r="J931" s="673"/>
      <c r="K931" s="673"/>
      <c r="L931" s="673"/>
      <c r="M931" s="674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72"/>
      <c r="J932" s="673"/>
      <c r="K932" s="673"/>
      <c r="L932" s="673"/>
      <c r="M932" s="674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72"/>
      <c r="J933" s="673"/>
      <c r="K933" s="673"/>
      <c r="L933" s="673"/>
      <c r="M933" s="674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72"/>
      <c r="J934" s="673"/>
      <c r="K934" s="673"/>
      <c r="L934" s="673"/>
      <c r="M934" s="674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72"/>
      <c r="J935" s="673"/>
      <c r="K935" s="673"/>
      <c r="L935" s="673"/>
      <c r="M935" s="674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72"/>
      <c r="J936" s="673"/>
      <c r="K936" s="673"/>
      <c r="L936" s="673"/>
      <c r="M936" s="674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72"/>
      <c r="J937" s="673"/>
      <c r="K937" s="673"/>
      <c r="L937" s="673"/>
      <c r="M937" s="674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72"/>
      <c r="J938" s="673"/>
      <c r="K938" s="673"/>
      <c r="L938" s="673"/>
      <c r="M938" s="674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72"/>
      <c r="J939" s="673"/>
      <c r="K939" s="673"/>
      <c r="L939" s="673"/>
      <c r="M939" s="674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72"/>
      <c r="J940" s="673"/>
      <c r="K940" s="673"/>
      <c r="L940" s="673"/>
      <c r="M940" s="674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72"/>
      <c r="J941" s="673"/>
      <c r="K941" s="673"/>
      <c r="L941" s="673"/>
      <c r="M941" s="674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72"/>
      <c r="J942" s="673"/>
      <c r="K942" s="673"/>
      <c r="L942" s="673"/>
      <c r="M942" s="674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72"/>
      <c r="J943" s="673"/>
      <c r="K943" s="673"/>
      <c r="L943" s="673"/>
      <c r="M943" s="674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72"/>
      <c r="J944" s="673"/>
      <c r="K944" s="673"/>
      <c r="L944" s="673"/>
      <c r="M944" s="674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72"/>
      <c r="J945" s="673"/>
      <c r="K945" s="673"/>
      <c r="L945" s="673"/>
      <c r="M945" s="674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72"/>
      <c r="J946" s="673"/>
      <c r="K946" s="673"/>
      <c r="L946" s="673"/>
      <c r="M946" s="674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72"/>
      <c r="J947" s="673"/>
      <c r="K947" s="673"/>
      <c r="L947" s="673"/>
      <c r="M947" s="674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72"/>
      <c r="J948" s="673"/>
      <c r="K948" s="673"/>
      <c r="L948" s="673"/>
      <c r="M948" s="674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72"/>
      <c r="J949" s="673"/>
      <c r="K949" s="673"/>
      <c r="L949" s="673"/>
      <c r="M949" s="674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72"/>
      <c r="J950" s="673"/>
      <c r="K950" s="673"/>
      <c r="L950" s="673"/>
      <c r="M950" s="674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72"/>
      <c r="J951" s="673"/>
      <c r="K951" s="673"/>
      <c r="L951" s="673"/>
      <c r="M951" s="674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72"/>
      <c r="J952" s="673"/>
      <c r="K952" s="673"/>
      <c r="L952" s="673"/>
      <c r="M952" s="674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72"/>
      <c r="J953" s="673"/>
      <c r="K953" s="673"/>
      <c r="L953" s="673"/>
      <c r="M953" s="674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72"/>
      <c r="J954" s="673"/>
      <c r="K954" s="673"/>
      <c r="L954" s="673"/>
      <c r="M954" s="674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72"/>
      <c r="J955" s="673"/>
      <c r="K955" s="673"/>
      <c r="L955" s="673"/>
      <c r="M955" s="674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72"/>
      <c r="J956" s="673"/>
      <c r="K956" s="673"/>
      <c r="L956" s="673"/>
      <c r="M956" s="674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72"/>
      <c r="J957" s="673"/>
      <c r="K957" s="673"/>
      <c r="L957" s="673"/>
      <c r="M957" s="674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72"/>
      <c r="J958" s="673"/>
      <c r="K958" s="673"/>
      <c r="L958" s="673"/>
      <c r="M958" s="674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72"/>
      <c r="J959" s="673"/>
      <c r="K959" s="673"/>
      <c r="L959" s="673"/>
      <c r="M959" s="674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72"/>
      <c r="J960" s="673"/>
      <c r="K960" s="673"/>
      <c r="L960" s="673"/>
      <c r="M960" s="674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72"/>
      <c r="J961" s="673"/>
      <c r="K961" s="673"/>
      <c r="L961" s="673"/>
      <c r="M961" s="674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72"/>
      <c r="J962" s="673"/>
      <c r="K962" s="673"/>
      <c r="L962" s="673"/>
      <c r="M962" s="674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72"/>
      <c r="J963" s="673"/>
      <c r="K963" s="673"/>
      <c r="L963" s="673"/>
      <c r="M963" s="674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72"/>
      <c r="J964" s="673"/>
      <c r="K964" s="673"/>
      <c r="L964" s="673"/>
      <c r="M964" s="674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72"/>
      <c r="J965" s="673"/>
      <c r="K965" s="673"/>
      <c r="L965" s="673"/>
      <c r="M965" s="674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72"/>
      <c r="J966" s="673"/>
      <c r="K966" s="673"/>
      <c r="L966" s="673"/>
      <c r="M966" s="674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72"/>
      <c r="J967" s="673"/>
      <c r="K967" s="673"/>
      <c r="L967" s="673"/>
      <c r="M967" s="674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72"/>
      <c r="J968" s="673"/>
      <c r="K968" s="673"/>
      <c r="L968" s="673"/>
      <c r="M968" s="674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72"/>
      <c r="J969" s="673"/>
      <c r="K969" s="673"/>
      <c r="L969" s="673"/>
      <c r="M969" s="674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72"/>
      <c r="J970" s="673"/>
      <c r="K970" s="673"/>
      <c r="L970" s="673"/>
      <c r="M970" s="674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72"/>
      <c r="J971" s="673"/>
      <c r="K971" s="673"/>
      <c r="L971" s="673"/>
      <c r="M971" s="674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72"/>
      <c r="J972" s="673"/>
      <c r="K972" s="673"/>
      <c r="L972" s="673"/>
      <c r="M972" s="674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72"/>
      <c r="J973" s="673"/>
      <c r="K973" s="673"/>
      <c r="L973" s="673"/>
      <c r="M973" s="674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72"/>
      <c r="J974" s="673"/>
      <c r="K974" s="673"/>
      <c r="L974" s="673"/>
      <c r="M974" s="674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72"/>
      <c r="J975" s="673"/>
      <c r="K975" s="673"/>
      <c r="L975" s="673"/>
      <c r="M975" s="674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72"/>
      <c r="J976" s="673"/>
      <c r="K976" s="673"/>
      <c r="L976" s="673"/>
      <c r="M976" s="674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72"/>
      <c r="J977" s="673"/>
      <c r="K977" s="673"/>
      <c r="L977" s="673"/>
      <c r="M977" s="674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72"/>
      <c r="J978" s="673"/>
      <c r="K978" s="673"/>
      <c r="L978" s="673"/>
      <c r="M978" s="674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72"/>
      <c r="J979" s="673"/>
      <c r="K979" s="673"/>
      <c r="L979" s="673"/>
      <c r="M979" s="674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72"/>
      <c r="J980" s="673"/>
      <c r="K980" s="673"/>
      <c r="L980" s="673"/>
      <c r="M980" s="674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72"/>
      <c r="J981" s="673"/>
      <c r="K981" s="673"/>
      <c r="L981" s="673"/>
      <c r="M981" s="674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72"/>
      <c r="J982" s="673"/>
      <c r="K982" s="673"/>
      <c r="L982" s="673"/>
      <c r="M982" s="674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72"/>
      <c r="J983" s="673"/>
      <c r="K983" s="673"/>
      <c r="L983" s="673"/>
      <c r="M983" s="674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72"/>
      <c r="J984" s="673"/>
      <c r="K984" s="673"/>
      <c r="L984" s="673"/>
      <c r="M984" s="674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72"/>
      <c r="J985" s="673"/>
      <c r="K985" s="673"/>
      <c r="L985" s="673"/>
      <c r="M985" s="674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72"/>
      <c r="J986" s="673"/>
      <c r="K986" s="673"/>
      <c r="L986" s="673"/>
      <c r="M986" s="674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72"/>
      <c r="J987" s="673"/>
      <c r="K987" s="673"/>
      <c r="L987" s="673"/>
      <c r="M987" s="674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72"/>
      <c r="J988" s="673"/>
      <c r="K988" s="673"/>
      <c r="L988" s="673"/>
      <c r="M988" s="674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72"/>
      <c r="J989" s="673"/>
      <c r="K989" s="673"/>
      <c r="L989" s="673"/>
      <c r="M989" s="674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72"/>
      <c r="J990" s="673"/>
      <c r="K990" s="673"/>
      <c r="L990" s="673"/>
      <c r="M990" s="674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72"/>
      <c r="J991" s="673"/>
      <c r="K991" s="673"/>
      <c r="L991" s="673"/>
      <c r="M991" s="674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72"/>
      <c r="J992" s="673"/>
      <c r="K992" s="673"/>
      <c r="L992" s="673"/>
      <c r="M992" s="674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72"/>
      <c r="J993" s="673"/>
      <c r="K993" s="673"/>
      <c r="L993" s="673"/>
      <c r="M993" s="674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72"/>
      <c r="J994" s="673"/>
      <c r="K994" s="673"/>
      <c r="L994" s="673"/>
      <c r="M994" s="674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72"/>
      <c r="J995" s="673"/>
      <c r="K995" s="673"/>
      <c r="L995" s="673"/>
      <c r="M995" s="674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72"/>
      <c r="J996" s="673"/>
      <c r="K996" s="673"/>
      <c r="L996" s="673"/>
      <c r="M996" s="674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72"/>
      <c r="J997" s="673"/>
      <c r="K997" s="673"/>
      <c r="L997" s="673"/>
      <c r="M997" s="674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72"/>
      <c r="J998" s="673"/>
      <c r="K998" s="673"/>
      <c r="L998" s="673"/>
      <c r="M998" s="674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72"/>
      <c r="J999" s="673"/>
      <c r="K999" s="673"/>
      <c r="L999" s="673"/>
      <c r="M999" s="674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72"/>
      <c r="J1000" s="673"/>
      <c r="K1000" s="673"/>
      <c r="L1000" s="673"/>
      <c r="M1000" s="674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I$13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2.14"/>
    <col customWidth="1" min="2" max="2" width="31.0"/>
    <col customWidth="1" min="3" max="3" width="24.86"/>
    <col customWidth="1" min="4" max="4" width="22.14"/>
    <col customWidth="1" min="5" max="5" width="81.71"/>
    <col customWidth="1" min="6" max="6" width="96.57"/>
    <col customWidth="1" min="7" max="7" width="15.43"/>
    <col customWidth="1" min="8" max="8" width="25.14"/>
    <col customWidth="1" min="9" max="9" width="24.57"/>
    <col customWidth="1" min="10" max="10" width="14.71"/>
    <col customWidth="1" min="11" max="11" width="62.0"/>
    <col customWidth="1" min="12" max="12" width="69.71"/>
    <col customWidth="1" min="13" max="13" width="45.29"/>
    <col customWidth="1" min="14" max="14" width="7.71"/>
    <col customWidth="1" min="15" max="15" width="29.86"/>
    <col customWidth="1" min="16" max="16" width="9.86"/>
    <col customWidth="1" min="17" max="17" width="3.43"/>
    <col customWidth="1" min="18" max="18" width="41.43"/>
    <col customWidth="1" min="19" max="19" width="30.43"/>
    <col customWidth="1" min="20" max="20" width="14.29"/>
    <col customWidth="1" min="21" max="22" width="9.14"/>
    <col customWidth="1" min="23" max="23" width="8.71"/>
    <col customWidth="1" hidden="1" min="24" max="26" width="8.71"/>
  </cols>
  <sheetData>
    <row r="1" ht="15.0" customHeight="1">
      <c r="A1" s="144" t="s">
        <v>0</v>
      </c>
      <c r="B1" s="145" t="s">
        <v>1</v>
      </c>
      <c r="C1" s="146" t="s">
        <v>2</v>
      </c>
      <c r="D1" s="147" t="s">
        <v>3</v>
      </c>
      <c r="E1" s="148" t="s">
        <v>4</v>
      </c>
      <c r="F1" s="149" t="s">
        <v>5</v>
      </c>
      <c r="G1" s="148" t="s">
        <v>6</v>
      </c>
      <c r="H1" s="149" t="s">
        <v>7</v>
      </c>
      <c r="I1" s="150" t="s">
        <v>8</v>
      </c>
      <c r="J1" s="147" t="s">
        <v>9</v>
      </c>
      <c r="K1" s="148" t="s">
        <v>10</v>
      </c>
      <c r="L1" s="151" t="s">
        <v>11</v>
      </c>
      <c r="M1" s="152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0" customHeight="1">
      <c r="A2" s="153">
        <v>123.0</v>
      </c>
      <c r="B2" s="154" t="s">
        <v>544</v>
      </c>
      <c r="C2" s="154">
        <v>2019.0</v>
      </c>
      <c r="D2" s="155">
        <v>43546.0</v>
      </c>
      <c r="E2" s="125" t="s">
        <v>545</v>
      </c>
      <c r="F2" s="156" t="s">
        <v>546</v>
      </c>
      <c r="G2" s="125" t="s">
        <v>547</v>
      </c>
      <c r="H2" s="156" t="s">
        <v>158</v>
      </c>
      <c r="I2" s="155">
        <v>44929.0</v>
      </c>
      <c r="J2" s="125">
        <v>1.0</v>
      </c>
      <c r="K2" s="157" t="s">
        <v>240</v>
      </c>
      <c r="L2" s="156" t="s">
        <v>256</v>
      </c>
      <c r="M2" s="158">
        <f t="shared" ref="M2:M1001" si="1">I2-D2</f>
        <v>1383</v>
      </c>
      <c r="N2" s="15"/>
      <c r="O2" s="159" t="s">
        <v>548</v>
      </c>
      <c r="P2" s="41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160">
        <v>223.0</v>
      </c>
      <c r="B3" s="161" t="s">
        <v>549</v>
      </c>
      <c r="C3" s="161">
        <v>2017.0</v>
      </c>
      <c r="D3" s="162">
        <v>42745.0</v>
      </c>
      <c r="E3" s="163" t="s">
        <v>550</v>
      </c>
      <c r="F3" s="164" t="s">
        <v>551</v>
      </c>
      <c r="G3" s="163" t="s">
        <v>552</v>
      </c>
      <c r="H3" s="164" t="s">
        <v>50</v>
      </c>
      <c r="I3" s="162">
        <v>44932.0</v>
      </c>
      <c r="J3" s="163">
        <v>1.0</v>
      </c>
      <c r="K3" s="157" t="s">
        <v>242</v>
      </c>
      <c r="L3" s="164" t="s">
        <v>256</v>
      </c>
      <c r="M3" s="165">
        <f t="shared" si="1"/>
        <v>2187</v>
      </c>
      <c r="N3" s="25"/>
      <c r="O3" s="47" t="s">
        <v>553</v>
      </c>
      <c r="P3" s="47">
        <f>COUNTIF($G$2:$G$1001,"PF")</f>
        <v>8</v>
      </c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15.0" customHeight="1">
      <c r="A4" s="153">
        <v>323.0</v>
      </c>
      <c r="B4" s="154" t="s">
        <v>554</v>
      </c>
      <c r="C4" s="154">
        <v>2016.0</v>
      </c>
      <c r="D4" s="155">
        <v>42461.0</v>
      </c>
      <c r="E4" s="125" t="s">
        <v>555</v>
      </c>
      <c r="F4" s="156" t="s">
        <v>556</v>
      </c>
      <c r="G4" s="125" t="s">
        <v>552</v>
      </c>
      <c r="H4" s="156" t="s">
        <v>50</v>
      </c>
      <c r="I4" s="155">
        <v>44567.0</v>
      </c>
      <c r="J4" s="125">
        <v>1.0</v>
      </c>
      <c r="K4" s="157" t="s">
        <v>242</v>
      </c>
      <c r="L4" s="156" t="s">
        <v>258</v>
      </c>
      <c r="M4" s="158">
        <f t="shared" si="1"/>
        <v>2106</v>
      </c>
      <c r="N4" s="25"/>
      <c r="O4" s="49" t="s">
        <v>547</v>
      </c>
      <c r="P4" s="49">
        <f>COUNTIF($G$2:$G$1001,"PFN")</f>
        <v>5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160">
        <v>423.0</v>
      </c>
      <c r="B5" s="161" t="s">
        <v>557</v>
      </c>
      <c r="C5" s="161">
        <v>2019.0</v>
      </c>
      <c r="D5" s="162">
        <v>43819.0</v>
      </c>
      <c r="E5" s="163" t="s">
        <v>558</v>
      </c>
      <c r="F5" s="164" t="s">
        <v>559</v>
      </c>
      <c r="G5" s="163" t="s">
        <v>552</v>
      </c>
      <c r="H5" s="164" t="s">
        <v>32</v>
      </c>
      <c r="I5" s="162">
        <v>44932.0</v>
      </c>
      <c r="J5" s="163">
        <v>1.0</v>
      </c>
      <c r="K5" s="157" t="s">
        <v>240</v>
      </c>
      <c r="L5" s="164" t="s">
        <v>258</v>
      </c>
      <c r="M5" s="165">
        <f t="shared" si="1"/>
        <v>1113</v>
      </c>
      <c r="N5" s="25"/>
      <c r="O5" s="47" t="s">
        <v>560</v>
      </c>
      <c r="P5" s="47">
        <f>COUNTIF($G$2:$G$1001,"PF/PTE")</f>
        <v>38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2.75" customHeight="1">
      <c r="A6" s="153">
        <v>523.0</v>
      </c>
      <c r="B6" s="154" t="s">
        <v>561</v>
      </c>
      <c r="C6" s="154">
        <v>2018.0</v>
      </c>
      <c r="D6" s="155">
        <v>43343.0</v>
      </c>
      <c r="E6" s="125" t="s">
        <v>562</v>
      </c>
      <c r="F6" s="156" t="s">
        <v>563</v>
      </c>
      <c r="G6" s="125" t="s">
        <v>552</v>
      </c>
      <c r="H6" s="156" t="s">
        <v>564</v>
      </c>
      <c r="I6" s="155">
        <v>44937.0</v>
      </c>
      <c r="J6" s="125">
        <v>1.0</v>
      </c>
      <c r="K6" s="166" t="s">
        <v>236</v>
      </c>
      <c r="L6" s="156" t="s">
        <v>256</v>
      </c>
      <c r="M6" s="158">
        <f t="shared" si="1"/>
        <v>1594</v>
      </c>
      <c r="N6" s="25"/>
      <c r="O6" s="49" t="s">
        <v>565</v>
      </c>
      <c r="P6" s="49">
        <f>COUNTIF($G$2:$G$1001,"Bio")</f>
        <v>6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customHeight="1">
      <c r="A7" s="160">
        <v>623.0</v>
      </c>
      <c r="B7" s="161" t="s">
        <v>566</v>
      </c>
      <c r="C7" s="161">
        <v>2011.0</v>
      </c>
      <c r="D7" s="167">
        <v>40745.0</v>
      </c>
      <c r="E7" s="163" t="s">
        <v>567</v>
      </c>
      <c r="F7" s="164" t="s">
        <v>568</v>
      </c>
      <c r="G7" s="163" t="s">
        <v>552</v>
      </c>
      <c r="H7" s="164" t="s">
        <v>18</v>
      </c>
      <c r="I7" s="162">
        <v>44937.0</v>
      </c>
      <c r="J7" s="163">
        <v>1.0</v>
      </c>
      <c r="K7" s="168" t="s">
        <v>232</v>
      </c>
      <c r="L7" s="164" t="s">
        <v>256</v>
      </c>
      <c r="M7" s="165">
        <f t="shared" si="1"/>
        <v>4192</v>
      </c>
      <c r="N7" s="25"/>
      <c r="O7" s="47" t="s">
        <v>569</v>
      </c>
      <c r="P7" s="47">
        <f>COUNTIF($G$2:$G$1001,"Bio/Org")</f>
        <v>9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153">
        <v>723.0</v>
      </c>
      <c r="B8" s="154" t="s">
        <v>570</v>
      </c>
      <c r="C8" s="154">
        <v>2011.0</v>
      </c>
      <c r="D8" s="155">
        <v>40550.0</v>
      </c>
      <c r="E8" s="125" t="s">
        <v>571</v>
      </c>
      <c r="F8" s="156" t="s">
        <v>572</v>
      </c>
      <c r="G8" s="125" t="s">
        <v>552</v>
      </c>
      <c r="H8" s="156" t="s">
        <v>573</v>
      </c>
      <c r="I8" s="155">
        <v>44946.0</v>
      </c>
      <c r="J8" s="125">
        <v>1.0</v>
      </c>
      <c r="K8" s="166" t="s">
        <v>234</v>
      </c>
      <c r="L8" s="156" t="s">
        <v>256</v>
      </c>
      <c r="M8" s="158">
        <f t="shared" si="1"/>
        <v>4396</v>
      </c>
      <c r="N8" s="25"/>
      <c r="O8" s="45" t="s">
        <v>51</v>
      </c>
      <c r="P8" s="45">
        <f>SUM(P3:P7)</f>
        <v>66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160">
        <v>823.0</v>
      </c>
      <c r="B9" s="161" t="s">
        <v>574</v>
      </c>
      <c r="C9" s="161">
        <v>2022.0</v>
      </c>
      <c r="D9" s="162">
        <v>44573.0</v>
      </c>
      <c r="E9" s="163" t="s">
        <v>575</v>
      </c>
      <c r="F9" s="164" t="s">
        <v>576</v>
      </c>
      <c r="G9" s="163" t="s">
        <v>565</v>
      </c>
      <c r="H9" s="164" t="s">
        <v>577</v>
      </c>
      <c r="I9" s="162">
        <v>44946.0</v>
      </c>
      <c r="J9" s="163">
        <v>1.0</v>
      </c>
      <c r="K9" s="157" t="s">
        <v>242</v>
      </c>
      <c r="L9" s="164" t="s">
        <v>260</v>
      </c>
      <c r="M9" s="165">
        <f t="shared" si="1"/>
        <v>373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153">
        <v>923.0</v>
      </c>
      <c r="B10" s="154" t="s">
        <v>578</v>
      </c>
      <c r="C10" s="154">
        <v>2022.0</v>
      </c>
      <c r="D10" s="155">
        <v>44573.0</v>
      </c>
      <c r="E10" s="125" t="s">
        <v>579</v>
      </c>
      <c r="F10" s="156" t="s">
        <v>576</v>
      </c>
      <c r="G10" s="125" t="s">
        <v>565</v>
      </c>
      <c r="H10" s="156" t="s">
        <v>577</v>
      </c>
      <c r="I10" s="155">
        <v>44946.0</v>
      </c>
      <c r="J10" s="125">
        <v>1.0</v>
      </c>
      <c r="K10" s="157" t="s">
        <v>242</v>
      </c>
      <c r="L10" s="156" t="s">
        <v>260</v>
      </c>
      <c r="M10" s="158">
        <f t="shared" si="1"/>
        <v>373</v>
      </c>
      <c r="N10" s="25"/>
      <c r="O10" s="169" t="s">
        <v>61</v>
      </c>
      <c r="P10" s="34"/>
      <c r="Q10" s="34"/>
      <c r="R10" s="34"/>
      <c r="S10" s="34"/>
      <c r="T10" s="34"/>
      <c r="U10" s="34"/>
      <c r="V10" s="35"/>
      <c r="W10" s="25"/>
      <c r="X10" s="25"/>
      <c r="Y10" s="25"/>
      <c r="Z10" s="25"/>
    </row>
    <row r="11" ht="15.0" customHeight="1">
      <c r="A11" s="160">
        <v>1023.0</v>
      </c>
      <c r="B11" s="161" t="s">
        <v>580</v>
      </c>
      <c r="C11" s="161">
        <v>2018.0</v>
      </c>
      <c r="D11" s="162">
        <v>43370.0</v>
      </c>
      <c r="E11" s="163" t="s">
        <v>581</v>
      </c>
      <c r="F11" s="164" t="s">
        <v>582</v>
      </c>
      <c r="G11" s="163" t="s">
        <v>552</v>
      </c>
      <c r="H11" s="164" t="s">
        <v>583</v>
      </c>
      <c r="I11" s="162">
        <v>44946.0</v>
      </c>
      <c r="J11" s="163">
        <v>1.0</v>
      </c>
      <c r="K11" s="157" t="s">
        <v>242</v>
      </c>
      <c r="L11" s="164" t="s">
        <v>258</v>
      </c>
      <c r="M11" s="165">
        <f t="shared" si="1"/>
        <v>1576</v>
      </c>
      <c r="N11" s="25"/>
      <c r="O11" s="36"/>
      <c r="P11" s="37"/>
      <c r="Q11" s="37"/>
      <c r="R11" s="37"/>
      <c r="S11" s="37"/>
      <c r="T11" s="37"/>
      <c r="U11" s="37"/>
      <c r="V11" s="38"/>
      <c r="W11" s="25"/>
      <c r="X11" s="25"/>
      <c r="Y11" s="25"/>
      <c r="Z11" s="25"/>
    </row>
    <row r="12" ht="15.0" customHeight="1">
      <c r="A12" s="153">
        <v>1123.0</v>
      </c>
      <c r="B12" s="154" t="s">
        <v>584</v>
      </c>
      <c r="C12" s="154">
        <v>2020.0</v>
      </c>
      <c r="D12" s="155">
        <v>44054.0</v>
      </c>
      <c r="E12" s="125" t="s">
        <v>585</v>
      </c>
      <c r="F12" s="156" t="s">
        <v>586</v>
      </c>
      <c r="G12" s="125" t="s">
        <v>552</v>
      </c>
      <c r="H12" s="156" t="s">
        <v>587</v>
      </c>
      <c r="I12" s="155">
        <v>44946.0</v>
      </c>
      <c r="J12" s="125">
        <v>1.0</v>
      </c>
      <c r="K12" s="168" t="s">
        <v>232</v>
      </c>
      <c r="L12" s="156" t="s">
        <v>258</v>
      </c>
      <c r="M12" s="158">
        <f t="shared" si="1"/>
        <v>892</v>
      </c>
      <c r="N12" s="42"/>
      <c r="O12" s="170" t="s">
        <v>588</v>
      </c>
      <c r="P12" s="40"/>
      <c r="Q12" s="40"/>
      <c r="R12" s="40"/>
      <c r="S12" s="40"/>
      <c r="T12" s="40"/>
      <c r="U12" s="40"/>
      <c r="V12" s="41"/>
      <c r="W12" s="25"/>
      <c r="X12" s="25"/>
      <c r="Y12" s="25"/>
      <c r="Z12" s="25"/>
    </row>
    <row r="13" ht="15.0" customHeight="1">
      <c r="A13" s="160">
        <v>1223.0</v>
      </c>
      <c r="B13" s="161" t="s">
        <v>589</v>
      </c>
      <c r="C13" s="161">
        <v>2016.0</v>
      </c>
      <c r="D13" s="162">
        <v>42557.0</v>
      </c>
      <c r="E13" s="163" t="s">
        <v>590</v>
      </c>
      <c r="F13" s="164" t="s">
        <v>591</v>
      </c>
      <c r="G13" s="163" t="s">
        <v>552</v>
      </c>
      <c r="H13" s="164" t="s">
        <v>130</v>
      </c>
      <c r="I13" s="162">
        <v>44946.0</v>
      </c>
      <c r="J13" s="163">
        <v>1.0</v>
      </c>
      <c r="K13" s="157" t="s">
        <v>240</v>
      </c>
      <c r="L13" s="164" t="s">
        <v>256</v>
      </c>
      <c r="M13" s="165">
        <f t="shared" si="1"/>
        <v>2389</v>
      </c>
      <c r="N13" s="42"/>
      <c r="O13" s="171" t="s">
        <v>592</v>
      </c>
      <c r="P13" s="40"/>
      <c r="Q13" s="40"/>
      <c r="R13" s="40"/>
      <c r="S13" s="40"/>
      <c r="T13" s="40"/>
      <c r="U13" s="40"/>
      <c r="V13" s="41"/>
      <c r="W13" s="25"/>
      <c r="X13" s="25"/>
      <c r="Y13" s="25"/>
      <c r="Z13" s="25"/>
    </row>
    <row r="14" ht="15.0" customHeight="1">
      <c r="A14" s="153">
        <v>1323.0</v>
      </c>
      <c r="B14" s="154" t="s">
        <v>593</v>
      </c>
      <c r="C14" s="154">
        <v>2016.0</v>
      </c>
      <c r="D14" s="155">
        <v>42675.0</v>
      </c>
      <c r="E14" s="125" t="s">
        <v>594</v>
      </c>
      <c r="F14" s="156" t="s">
        <v>595</v>
      </c>
      <c r="G14" s="125" t="s">
        <v>552</v>
      </c>
      <c r="H14" s="156" t="s">
        <v>596</v>
      </c>
      <c r="I14" s="155">
        <v>44946.0</v>
      </c>
      <c r="J14" s="125">
        <v>1.0</v>
      </c>
      <c r="K14" s="157" t="s">
        <v>242</v>
      </c>
      <c r="L14" s="156" t="s">
        <v>256</v>
      </c>
      <c r="M14" s="158">
        <f t="shared" si="1"/>
        <v>2271</v>
      </c>
      <c r="N14" s="25"/>
      <c r="O14" s="170" t="s">
        <v>597</v>
      </c>
      <c r="P14" s="40"/>
      <c r="Q14" s="40"/>
      <c r="R14" s="40"/>
      <c r="S14" s="40"/>
      <c r="T14" s="40"/>
      <c r="U14" s="40"/>
      <c r="V14" s="41"/>
      <c r="W14" s="25"/>
      <c r="X14" s="25"/>
      <c r="Y14" s="25"/>
      <c r="Z14" s="25"/>
    </row>
    <row r="15" ht="15.0" customHeight="1">
      <c r="A15" s="160">
        <v>1423.0</v>
      </c>
      <c r="B15" s="161" t="s">
        <v>598</v>
      </c>
      <c r="C15" s="161">
        <v>2022.0</v>
      </c>
      <c r="D15" s="162">
        <v>44678.0</v>
      </c>
      <c r="E15" s="163" t="s">
        <v>599</v>
      </c>
      <c r="F15" s="164" t="s">
        <v>600</v>
      </c>
      <c r="G15" s="163" t="s">
        <v>565</v>
      </c>
      <c r="H15" s="164" t="s">
        <v>601</v>
      </c>
      <c r="I15" s="162">
        <v>44946.0</v>
      </c>
      <c r="J15" s="163">
        <v>1.0</v>
      </c>
      <c r="K15" s="172" t="s">
        <v>602</v>
      </c>
      <c r="L15" s="164" t="s">
        <v>260</v>
      </c>
      <c r="M15" s="165">
        <f t="shared" si="1"/>
        <v>268</v>
      </c>
      <c r="N15" s="25"/>
      <c r="O15" s="171" t="s">
        <v>603</v>
      </c>
      <c r="P15" s="40"/>
      <c r="Q15" s="40"/>
      <c r="R15" s="40"/>
      <c r="S15" s="40"/>
      <c r="T15" s="40"/>
      <c r="U15" s="40"/>
      <c r="V15" s="41"/>
      <c r="W15" s="25"/>
      <c r="X15" s="25"/>
      <c r="Y15" s="25"/>
      <c r="Z15" s="25"/>
    </row>
    <row r="16" ht="15.0" customHeight="1">
      <c r="A16" s="153">
        <v>1523.0</v>
      </c>
      <c r="B16" s="154" t="s">
        <v>604</v>
      </c>
      <c r="C16" s="154">
        <v>2022.0</v>
      </c>
      <c r="D16" s="155">
        <v>44845.0</v>
      </c>
      <c r="E16" s="125" t="s">
        <v>605</v>
      </c>
      <c r="F16" s="156" t="s">
        <v>606</v>
      </c>
      <c r="G16" s="125" t="s">
        <v>569</v>
      </c>
      <c r="H16" s="156" t="s">
        <v>607</v>
      </c>
      <c r="I16" s="155">
        <v>44946.0</v>
      </c>
      <c r="J16" s="125">
        <v>1.0</v>
      </c>
      <c r="K16" s="157" t="s">
        <v>242</v>
      </c>
      <c r="L16" s="156" t="s">
        <v>260</v>
      </c>
      <c r="M16" s="158">
        <f t="shared" si="1"/>
        <v>101</v>
      </c>
      <c r="N16" s="25"/>
      <c r="O16" s="170" t="s">
        <v>608</v>
      </c>
      <c r="P16" s="40"/>
      <c r="Q16" s="40"/>
      <c r="R16" s="40"/>
      <c r="S16" s="40"/>
      <c r="T16" s="40"/>
      <c r="U16" s="40"/>
      <c r="V16" s="41"/>
      <c r="W16" s="25"/>
      <c r="X16" s="25"/>
      <c r="Y16" s="25"/>
      <c r="Z16" s="25"/>
    </row>
    <row r="17" ht="15.0" customHeight="1">
      <c r="A17" s="160">
        <v>1623.0</v>
      </c>
      <c r="B17" s="161" t="s">
        <v>609</v>
      </c>
      <c r="C17" s="161">
        <v>2022.0</v>
      </c>
      <c r="D17" s="162">
        <v>44817.0</v>
      </c>
      <c r="E17" s="163" t="s">
        <v>610</v>
      </c>
      <c r="F17" s="164" t="s">
        <v>611</v>
      </c>
      <c r="G17" s="163" t="s">
        <v>569</v>
      </c>
      <c r="H17" s="164" t="s">
        <v>612</v>
      </c>
      <c r="I17" s="162">
        <v>44946.0</v>
      </c>
      <c r="J17" s="163">
        <v>1.0</v>
      </c>
      <c r="K17" s="157" t="s">
        <v>242</v>
      </c>
      <c r="L17" s="164" t="s">
        <v>260</v>
      </c>
      <c r="M17" s="165">
        <f t="shared" si="1"/>
        <v>129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153">
        <v>1723.0</v>
      </c>
      <c r="B18" s="154" t="s">
        <v>613</v>
      </c>
      <c r="C18" s="154">
        <v>2022.0</v>
      </c>
      <c r="D18" s="155">
        <v>44858.0</v>
      </c>
      <c r="E18" s="125" t="s">
        <v>614</v>
      </c>
      <c r="F18" s="156" t="s">
        <v>615</v>
      </c>
      <c r="G18" s="125" t="s">
        <v>569</v>
      </c>
      <c r="H18" s="156" t="s">
        <v>616</v>
      </c>
      <c r="I18" s="155">
        <v>44946.0</v>
      </c>
      <c r="J18" s="125">
        <v>1.0</v>
      </c>
      <c r="K18" s="157" t="s">
        <v>242</v>
      </c>
      <c r="L18" s="156" t="s">
        <v>260</v>
      </c>
      <c r="M18" s="158">
        <f t="shared" si="1"/>
        <v>88</v>
      </c>
      <c r="N18" s="25"/>
      <c r="O18" s="169" t="s">
        <v>617</v>
      </c>
      <c r="P18" s="34"/>
      <c r="Q18" s="34"/>
      <c r="R18" s="34"/>
      <c r="S18" s="35"/>
      <c r="T18" s="25"/>
      <c r="U18" s="25"/>
      <c r="V18" s="25"/>
      <c r="W18" s="25"/>
      <c r="X18" s="25"/>
      <c r="Y18" s="25"/>
      <c r="Z18" s="25"/>
    </row>
    <row r="19" ht="15.0" customHeight="1">
      <c r="A19" s="160">
        <v>1823.0</v>
      </c>
      <c r="B19" s="161" t="s">
        <v>618</v>
      </c>
      <c r="C19" s="161">
        <v>2022.0</v>
      </c>
      <c r="D19" s="162">
        <v>44859.0</v>
      </c>
      <c r="E19" s="163" t="s">
        <v>619</v>
      </c>
      <c r="F19" s="164" t="s">
        <v>620</v>
      </c>
      <c r="G19" s="163" t="s">
        <v>569</v>
      </c>
      <c r="H19" s="164" t="s">
        <v>621</v>
      </c>
      <c r="I19" s="162">
        <v>44946.0</v>
      </c>
      <c r="J19" s="163">
        <v>1.0</v>
      </c>
      <c r="K19" s="157" t="s">
        <v>242</v>
      </c>
      <c r="L19" s="164" t="s">
        <v>260</v>
      </c>
      <c r="M19" s="165">
        <f t="shared" si="1"/>
        <v>87</v>
      </c>
      <c r="N19" s="25"/>
      <c r="O19" s="36"/>
      <c r="P19" s="37"/>
      <c r="Q19" s="37"/>
      <c r="R19" s="37"/>
      <c r="S19" s="38"/>
      <c r="T19" s="25"/>
      <c r="U19" s="25"/>
      <c r="V19" s="25"/>
      <c r="W19" s="25"/>
      <c r="X19" s="25"/>
      <c r="Y19" s="25"/>
      <c r="Z19" s="25"/>
    </row>
    <row r="20" ht="15.0" customHeight="1">
      <c r="A20" s="153">
        <v>1923.0</v>
      </c>
      <c r="B20" s="154" t="s">
        <v>622</v>
      </c>
      <c r="C20" s="154">
        <v>2020.0</v>
      </c>
      <c r="D20" s="155">
        <v>44186.0</v>
      </c>
      <c r="E20" s="125" t="s">
        <v>623</v>
      </c>
      <c r="F20" s="156" t="s">
        <v>624</v>
      </c>
      <c r="G20" s="125" t="s">
        <v>552</v>
      </c>
      <c r="H20" s="156" t="s">
        <v>625</v>
      </c>
      <c r="I20" s="155">
        <v>44952.0</v>
      </c>
      <c r="J20" s="125">
        <v>1.0</v>
      </c>
      <c r="K20" s="157" t="s">
        <v>242</v>
      </c>
      <c r="L20" s="156" t="s">
        <v>256</v>
      </c>
      <c r="M20" s="158">
        <f t="shared" si="1"/>
        <v>766</v>
      </c>
      <c r="N20" s="25"/>
      <c r="O20" s="45" t="s">
        <v>106</v>
      </c>
      <c r="P20" s="46" t="s">
        <v>107</v>
      </c>
      <c r="Q20" s="40"/>
      <c r="R20" s="41"/>
      <c r="S20" s="45" t="s">
        <v>108</v>
      </c>
      <c r="T20" s="25"/>
      <c r="U20" s="25"/>
      <c r="V20" s="25"/>
      <c r="W20" s="25"/>
      <c r="X20" s="25"/>
      <c r="Y20" s="25"/>
      <c r="Z20" s="25"/>
    </row>
    <row r="21" ht="15.0" customHeight="1">
      <c r="A21" s="160">
        <v>2023.0</v>
      </c>
      <c r="B21" s="161" t="s">
        <v>626</v>
      </c>
      <c r="C21" s="161">
        <v>2022.0</v>
      </c>
      <c r="D21" s="162">
        <v>44655.0</v>
      </c>
      <c r="E21" s="163" t="s">
        <v>627</v>
      </c>
      <c r="F21" s="164" t="s">
        <v>628</v>
      </c>
      <c r="G21" s="163" t="s">
        <v>565</v>
      </c>
      <c r="H21" s="164" t="s">
        <v>629</v>
      </c>
      <c r="I21" s="162">
        <v>44952.0</v>
      </c>
      <c r="J21" s="163">
        <v>1.0</v>
      </c>
      <c r="K21" s="172" t="s">
        <v>602</v>
      </c>
      <c r="L21" s="164" t="s">
        <v>260</v>
      </c>
      <c r="M21" s="165">
        <f t="shared" si="1"/>
        <v>297</v>
      </c>
      <c r="N21" s="25"/>
      <c r="O21" s="49">
        <v>2008.0</v>
      </c>
      <c r="P21" s="50">
        <f>COUNTIF($C$2:$C$1001,"2008")</f>
        <v>1</v>
      </c>
      <c r="Q21" s="40"/>
      <c r="R21" s="41"/>
      <c r="S21" s="51">
        <f>(P21/P37)</f>
        <v>0.01515151515</v>
      </c>
      <c r="T21" s="25"/>
      <c r="U21" s="25"/>
      <c r="V21" s="25"/>
      <c r="W21" s="25"/>
      <c r="X21" s="25"/>
      <c r="Y21" s="25"/>
      <c r="Z21" s="25"/>
    </row>
    <row r="22" ht="15.0" customHeight="1">
      <c r="A22" s="153">
        <v>2123.0</v>
      </c>
      <c r="B22" s="154" t="s">
        <v>630</v>
      </c>
      <c r="C22" s="154">
        <v>2019.0</v>
      </c>
      <c r="D22" s="155">
        <v>43500.0</v>
      </c>
      <c r="E22" s="125" t="s">
        <v>631</v>
      </c>
      <c r="F22" s="156" t="s">
        <v>632</v>
      </c>
      <c r="G22" s="125" t="s">
        <v>547</v>
      </c>
      <c r="H22" s="156" t="s">
        <v>633</v>
      </c>
      <c r="I22" s="155">
        <v>44957.0</v>
      </c>
      <c r="J22" s="125">
        <v>1.0</v>
      </c>
      <c r="K22" s="157" t="s">
        <v>242</v>
      </c>
      <c r="L22" s="156" t="s">
        <v>258</v>
      </c>
      <c r="M22" s="158">
        <f t="shared" si="1"/>
        <v>1457</v>
      </c>
      <c r="N22" s="25"/>
      <c r="O22" s="47">
        <v>2009.0</v>
      </c>
      <c r="P22" s="39">
        <f>COUNTIF($C$2:$C$1001,"2009")</f>
        <v>0</v>
      </c>
      <c r="Q22" s="40"/>
      <c r="R22" s="41"/>
      <c r="S22" s="48">
        <f>(P22/P37)</f>
        <v>0</v>
      </c>
      <c r="T22" s="25"/>
      <c r="U22" s="25"/>
      <c r="V22" s="25"/>
      <c r="W22" s="25"/>
      <c r="X22" s="25"/>
      <c r="Y22" s="25"/>
      <c r="Z22" s="25"/>
    </row>
    <row r="23" ht="15.0" customHeight="1">
      <c r="A23" s="160">
        <v>2223.0</v>
      </c>
      <c r="B23" s="161" t="s">
        <v>634</v>
      </c>
      <c r="C23" s="161">
        <v>2018.0</v>
      </c>
      <c r="D23" s="162">
        <v>43448.0</v>
      </c>
      <c r="E23" s="163" t="s">
        <v>635</v>
      </c>
      <c r="F23" s="164" t="s">
        <v>632</v>
      </c>
      <c r="G23" s="163" t="s">
        <v>547</v>
      </c>
      <c r="H23" s="164" t="s">
        <v>633</v>
      </c>
      <c r="I23" s="162">
        <v>44957.0</v>
      </c>
      <c r="J23" s="163">
        <v>1.0</v>
      </c>
      <c r="K23" s="157" t="s">
        <v>242</v>
      </c>
      <c r="L23" s="164" t="s">
        <v>258</v>
      </c>
      <c r="M23" s="165">
        <f t="shared" si="1"/>
        <v>1509</v>
      </c>
      <c r="N23" s="25"/>
      <c r="O23" s="49">
        <v>2010.0</v>
      </c>
      <c r="P23" s="50">
        <f>COUNTIF($C$2:$C$1001,"2010")</f>
        <v>1</v>
      </c>
      <c r="Q23" s="40"/>
      <c r="R23" s="41"/>
      <c r="S23" s="51">
        <f>(P23/P37)</f>
        <v>0.01515151515</v>
      </c>
      <c r="T23" s="25"/>
      <c r="U23" s="25"/>
      <c r="V23" s="25"/>
      <c r="W23" s="25"/>
      <c r="X23" s="25"/>
      <c r="Y23" s="25"/>
      <c r="Z23" s="25"/>
    </row>
    <row r="24" ht="13.5" customHeight="1">
      <c r="A24" s="153">
        <v>2323.0</v>
      </c>
      <c r="B24" s="154" t="s">
        <v>636</v>
      </c>
      <c r="C24" s="154">
        <v>2022.0</v>
      </c>
      <c r="D24" s="155">
        <v>44833.0</v>
      </c>
      <c r="E24" s="125" t="s">
        <v>637</v>
      </c>
      <c r="F24" s="156" t="s">
        <v>638</v>
      </c>
      <c r="G24" s="125" t="s">
        <v>569</v>
      </c>
      <c r="H24" s="156" t="s">
        <v>639</v>
      </c>
      <c r="I24" s="155">
        <v>44967.0</v>
      </c>
      <c r="J24" s="125">
        <v>2.0</v>
      </c>
      <c r="K24" s="172" t="s">
        <v>602</v>
      </c>
      <c r="L24" s="156" t="s">
        <v>260</v>
      </c>
      <c r="M24" s="158">
        <f t="shared" si="1"/>
        <v>134</v>
      </c>
      <c r="N24" s="25"/>
      <c r="O24" s="47">
        <v>2011.0</v>
      </c>
      <c r="P24" s="39">
        <f>COUNTIF($C$2:$C$1001,"2011")</f>
        <v>4</v>
      </c>
      <c r="Q24" s="40"/>
      <c r="R24" s="41"/>
      <c r="S24" s="48">
        <f>(P24/P37)</f>
        <v>0.06060606061</v>
      </c>
      <c r="T24" s="25"/>
      <c r="U24" s="25"/>
      <c r="V24" s="25"/>
      <c r="W24" s="25"/>
      <c r="X24" s="25"/>
      <c r="Y24" s="25"/>
      <c r="Z24" s="25"/>
    </row>
    <row r="25" ht="15.0" customHeight="1">
      <c r="A25" s="160">
        <v>2423.0</v>
      </c>
      <c r="B25" s="161" t="s">
        <v>640</v>
      </c>
      <c r="C25" s="161">
        <v>2022.0</v>
      </c>
      <c r="D25" s="162">
        <v>44804.0</v>
      </c>
      <c r="E25" s="163" t="s">
        <v>641</v>
      </c>
      <c r="F25" s="164" t="s">
        <v>620</v>
      </c>
      <c r="G25" s="163" t="s">
        <v>569</v>
      </c>
      <c r="H25" s="164" t="s">
        <v>642</v>
      </c>
      <c r="I25" s="162">
        <v>44967.0</v>
      </c>
      <c r="J25" s="163">
        <v>2.0</v>
      </c>
      <c r="K25" s="157" t="s">
        <v>242</v>
      </c>
      <c r="L25" s="164" t="s">
        <v>260</v>
      </c>
      <c r="M25" s="165">
        <f t="shared" si="1"/>
        <v>163</v>
      </c>
      <c r="N25" s="25"/>
      <c r="O25" s="49">
        <v>2012.0</v>
      </c>
      <c r="P25" s="50">
        <f>COUNTIF($C$2:$C$1001,"2012")</f>
        <v>3</v>
      </c>
      <c r="Q25" s="40"/>
      <c r="R25" s="41"/>
      <c r="S25" s="51">
        <f>(P25/P37)</f>
        <v>0.04545454545</v>
      </c>
      <c r="T25" s="25"/>
      <c r="U25" s="25"/>
      <c r="V25" s="25"/>
      <c r="W25" s="25"/>
      <c r="X25" s="25"/>
      <c r="Y25" s="25"/>
      <c r="Z25" s="25"/>
    </row>
    <row r="26" ht="15.0" customHeight="1">
      <c r="A26" s="153">
        <v>2523.0</v>
      </c>
      <c r="B26" s="154" t="s">
        <v>643</v>
      </c>
      <c r="C26" s="154">
        <v>2022.0</v>
      </c>
      <c r="D26" s="155">
        <v>44824.0</v>
      </c>
      <c r="E26" s="125" t="s">
        <v>644</v>
      </c>
      <c r="F26" s="156" t="s">
        <v>645</v>
      </c>
      <c r="G26" s="125" t="s">
        <v>569</v>
      </c>
      <c r="H26" s="156" t="s">
        <v>646</v>
      </c>
      <c r="I26" s="155">
        <v>44967.0</v>
      </c>
      <c r="J26" s="125">
        <v>2.0</v>
      </c>
      <c r="K26" s="157" t="s">
        <v>242</v>
      </c>
      <c r="L26" s="156" t="s">
        <v>260</v>
      </c>
      <c r="M26" s="158">
        <f t="shared" si="1"/>
        <v>143</v>
      </c>
      <c r="N26" s="25"/>
      <c r="O26" s="47">
        <v>2013.0</v>
      </c>
      <c r="P26" s="39">
        <f>COUNTIF($C$2:$C$1001,"2013")</f>
        <v>1</v>
      </c>
      <c r="Q26" s="40"/>
      <c r="R26" s="41"/>
      <c r="S26" s="48">
        <f>(P26/P37)</f>
        <v>0.01515151515</v>
      </c>
      <c r="T26" s="25"/>
      <c r="U26" s="25"/>
      <c r="V26" s="25"/>
      <c r="W26" s="25"/>
      <c r="X26" s="25"/>
      <c r="Y26" s="25"/>
      <c r="Z26" s="25"/>
    </row>
    <row r="27" ht="15.0" customHeight="1">
      <c r="A27" s="160">
        <v>2623.0</v>
      </c>
      <c r="B27" s="161" t="s">
        <v>647</v>
      </c>
      <c r="C27" s="161">
        <v>2018.0</v>
      </c>
      <c r="D27" s="162">
        <v>43129.0</v>
      </c>
      <c r="E27" s="163" t="s">
        <v>648</v>
      </c>
      <c r="F27" s="164" t="s">
        <v>649</v>
      </c>
      <c r="G27" s="163" t="s">
        <v>650</v>
      </c>
      <c r="H27" s="164" t="s">
        <v>651</v>
      </c>
      <c r="I27" s="162">
        <v>44967.0</v>
      </c>
      <c r="J27" s="163">
        <v>2.0</v>
      </c>
      <c r="K27" s="157" t="s">
        <v>242</v>
      </c>
      <c r="L27" s="164" t="s">
        <v>256</v>
      </c>
      <c r="M27" s="165">
        <f t="shared" si="1"/>
        <v>1838</v>
      </c>
      <c r="N27" s="25"/>
      <c r="O27" s="49">
        <v>2014.0</v>
      </c>
      <c r="P27" s="50">
        <f>COUNTIF($C$2:$C$1001,"2014")</f>
        <v>2</v>
      </c>
      <c r="Q27" s="40"/>
      <c r="R27" s="41"/>
      <c r="S27" s="51">
        <f>(P27/P37)</f>
        <v>0.0303030303</v>
      </c>
      <c r="T27" s="25"/>
      <c r="U27" s="25"/>
      <c r="V27" s="25"/>
      <c r="W27" s="25"/>
      <c r="X27" s="25"/>
      <c r="Y27" s="25"/>
      <c r="Z27" s="25"/>
    </row>
    <row r="28" ht="15.0" customHeight="1">
      <c r="A28" s="153">
        <v>2723.0</v>
      </c>
      <c r="B28" s="154" t="s">
        <v>652</v>
      </c>
      <c r="C28" s="154">
        <v>2021.0</v>
      </c>
      <c r="D28" s="155">
        <v>44463.0</v>
      </c>
      <c r="E28" s="125" t="s">
        <v>653</v>
      </c>
      <c r="F28" s="156" t="s">
        <v>654</v>
      </c>
      <c r="G28" s="125" t="s">
        <v>650</v>
      </c>
      <c r="H28" s="156" t="s">
        <v>601</v>
      </c>
      <c r="I28" s="155">
        <v>44967.0</v>
      </c>
      <c r="J28" s="125">
        <v>2.0</v>
      </c>
      <c r="K28" s="172" t="s">
        <v>602</v>
      </c>
      <c r="L28" s="156" t="s">
        <v>258</v>
      </c>
      <c r="M28" s="158">
        <f t="shared" si="1"/>
        <v>504</v>
      </c>
      <c r="N28" s="25"/>
      <c r="O28" s="47">
        <v>2015.0</v>
      </c>
      <c r="P28" s="39">
        <f>COUNTIF($C$2:$C$1001,"2015")</f>
        <v>2</v>
      </c>
      <c r="Q28" s="40"/>
      <c r="R28" s="41"/>
      <c r="S28" s="48">
        <f>(P28/P37)</f>
        <v>0.0303030303</v>
      </c>
      <c r="T28" s="25"/>
      <c r="U28" s="25"/>
      <c r="V28" s="25"/>
      <c r="W28" s="25"/>
      <c r="X28" s="25"/>
      <c r="Y28" s="25"/>
      <c r="Z28" s="25"/>
    </row>
    <row r="29" ht="15.0" customHeight="1">
      <c r="A29" s="160">
        <v>2823.0</v>
      </c>
      <c r="B29" s="161" t="s">
        <v>655</v>
      </c>
      <c r="C29" s="161">
        <v>2022.0</v>
      </c>
      <c r="D29" s="162">
        <v>44614.0</v>
      </c>
      <c r="E29" s="163" t="s">
        <v>656</v>
      </c>
      <c r="F29" s="164" t="s">
        <v>657</v>
      </c>
      <c r="G29" s="163" t="s">
        <v>650</v>
      </c>
      <c r="H29" s="164" t="s">
        <v>18</v>
      </c>
      <c r="I29" s="162">
        <v>44967.0</v>
      </c>
      <c r="J29" s="163">
        <v>2.0</v>
      </c>
      <c r="K29" s="157" t="s">
        <v>242</v>
      </c>
      <c r="L29" s="164" t="s">
        <v>260</v>
      </c>
      <c r="M29" s="165">
        <f t="shared" si="1"/>
        <v>353</v>
      </c>
      <c r="N29" s="25"/>
      <c r="O29" s="49">
        <v>2016.0</v>
      </c>
      <c r="P29" s="50">
        <f>COUNTIF($C$2:$C$1001,"2016")</f>
        <v>14</v>
      </c>
      <c r="Q29" s="40"/>
      <c r="R29" s="41"/>
      <c r="S29" s="51">
        <f>(P29/P37)</f>
        <v>0.2121212121</v>
      </c>
      <c r="T29" s="25"/>
      <c r="U29" s="25"/>
      <c r="V29" s="25"/>
      <c r="W29" s="25"/>
      <c r="X29" s="25"/>
      <c r="Y29" s="25"/>
      <c r="Z29" s="25"/>
    </row>
    <row r="30" ht="15.0" customHeight="1">
      <c r="A30" s="153">
        <v>2923.0</v>
      </c>
      <c r="B30" s="154" t="s">
        <v>658</v>
      </c>
      <c r="C30" s="154">
        <v>2014.0</v>
      </c>
      <c r="D30" s="155">
        <v>44208.0</v>
      </c>
      <c r="E30" s="125" t="s">
        <v>659</v>
      </c>
      <c r="F30" s="156" t="s">
        <v>660</v>
      </c>
      <c r="G30" s="125" t="s">
        <v>552</v>
      </c>
      <c r="H30" s="156" t="s">
        <v>50</v>
      </c>
      <c r="I30" s="155">
        <v>44967.0</v>
      </c>
      <c r="J30" s="125">
        <v>2.0</v>
      </c>
      <c r="K30" s="168" t="s">
        <v>232</v>
      </c>
      <c r="L30" s="156" t="s">
        <v>256</v>
      </c>
      <c r="M30" s="158">
        <f t="shared" si="1"/>
        <v>759</v>
      </c>
      <c r="N30" s="25"/>
      <c r="O30" s="47">
        <v>2017.0</v>
      </c>
      <c r="P30" s="39">
        <f>COUNTIF($C$2:$C$1001,"2017")</f>
        <v>1</v>
      </c>
      <c r="Q30" s="40"/>
      <c r="R30" s="41"/>
      <c r="S30" s="48">
        <f>(P30/P37)</f>
        <v>0.01515151515</v>
      </c>
      <c r="T30" s="25"/>
      <c r="U30" s="25"/>
      <c r="V30" s="25"/>
      <c r="W30" s="25"/>
      <c r="X30" s="25"/>
      <c r="Y30" s="25"/>
      <c r="Z30" s="25"/>
    </row>
    <row r="31" ht="15.0" customHeight="1">
      <c r="A31" s="160">
        <v>3023.0</v>
      </c>
      <c r="B31" s="161" t="s">
        <v>661</v>
      </c>
      <c r="C31" s="161">
        <v>2016.0</v>
      </c>
      <c r="D31" s="162">
        <v>42642.0</v>
      </c>
      <c r="E31" s="163" t="s">
        <v>662</v>
      </c>
      <c r="F31" s="164" t="s">
        <v>663</v>
      </c>
      <c r="G31" s="163" t="s">
        <v>552</v>
      </c>
      <c r="H31" s="164" t="s">
        <v>97</v>
      </c>
      <c r="I31" s="162">
        <v>44967.0</v>
      </c>
      <c r="J31" s="163">
        <v>2.0</v>
      </c>
      <c r="K31" s="157" t="s">
        <v>242</v>
      </c>
      <c r="L31" s="164" t="s">
        <v>258</v>
      </c>
      <c r="M31" s="165">
        <f t="shared" si="1"/>
        <v>2325</v>
      </c>
      <c r="N31" s="25"/>
      <c r="O31" s="49">
        <v>2018.0</v>
      </c>
      <c r="P31" s="50">
        <f>COUNTIF($C$2:$C$1001,"2018")</f>
        <v>6</v>
      </c>
      <c r="Q31" s="40"/>
      <c r="R31" s="41"/>
      <c r="S31" s="51">
        <f>(P31/P37)</f>
        <v>0.09090909091</v>
      </c>
      <c r="T31" s="25"/>
      <c r="U31" s="25"/>
      <c r="V31" s="25"/>
      <c r="W31" s="25"/>
      <c r="X31" s="25"/>
      <c r="Y31" s="25"/>
      <c r="Z31" s="25"/>
    </row>
    <row r="32" ht="15.0" customHeight="1">
      <c r="A32" s="153">
        <v>3123.0</v>
      </c>
      <c r="B32" s="154" t="s">
        <v>664</v>
      </c>
      <c r="C32" s="154">
        <v>2010.0</v>
      </c>
      <c r="D32" s="155">
        <v>40485.0</v>
      </c>
      <c r="E32" s="125" t="s">
        <v>665</v>
      </c>
      <c r="F32" s="156" t="s">
        <v>666</v>
      </c>
      <c r="G32" s="125" t="s">
        <v>552</v>
      </c>
      <c r="H32" s="156" t="s">
        <v>50</v>
      </c>
      <c r="I32" s="155">
        <v>44967.0</v>
      </c>
      <c r="J32" s="125">
        <v>2.0</v>
      </c>
      <c r="K32" s="168" t="s">
        <v>232</v>
      </c>
      <c r="L32" s="156" t="s">
        <v>258</v>
      </c>
      <c r="M32" s="158">
        <f t="shared" si="1"/>
        <v>4482</v>
      </c>
      <c r="N32" s="25"/>
      <c r="O32" s="47">
        <v>2019.0</v>
      </c>
      <c r="P32" s="39">
        <f>COUNTIF($C$2:$C$1001,"2019")</f>
        <v>6</v>
      </c>
      <c r="Q32" s="40"/>
      <c r="R32" s="41"/>
      <c r="S32" s="48">
        <f>(P32/P37)</f>
        <v>0.09090909091</v>
      </c>
      <c r="T32" s="25"/>
      <c r="U32" s="25"/>
      <c r="V32" s="25"/>
      <c r="W32" s="25"/>
      <c r="X32" s="25"/>
      <c r="Y32" s="25"/>
      <c r="Z32" s="25"/>
    </row>
    <row r="33" ht="15.0" customHeight="1">
      <c r="A33" s="160">
        <v>3223.0</v>
      </c>
      <c r="B33" s="161" t="s">
        <v>667</v>
      </c>
      <c r="C33" s="161">
        <v>2008.0</v>
      </c>
      <c r="D33" s="162">
        <v>39805.0</v>
      </c>
      <c r="E33" s="163" t="s">
        <v>668</v>
      </c>
      <c r="F33" s="164" t="s">
        <v>669</v>
      </c>
      <c r="G33" s="163" t="s">
        <v>552</v>
      </c>
      <c r="H33" s="164" t="s">
        <v>601</v>
      </c>
      <c r="I33" s="162">
        <v>44967.0</v>
      </c>
      <c r="J33" s="163">
        <v>2.0</v>
      </c>
      <c r="K33" s="157" t="s">
        <v>240</v>
      </c>
      <c r="L33" s="164" t="s">
        <v>256</v>
      </c>
      <c r="M33" s="165">
        <f t="shared" si="1"/>
        <v>5162</v>
      </c>
      <c r="N33" s="25"/>
      <c r="O33" s="49">
        <v>2020.0</v>
      </c>
      <c r="P33" s="50">
        <f>COUNTIF($C$2:$C$1001,"2020")</f>
        <v>5</v>
      </c>
      <c r="Q33" s="40"/>
      <c r="R33" s="41"/>
      <c r="S33" s="51">
        <f>(P33/P37)</f>
        <v>0.07575757576</v>
      </c>
      <c r="T33" s="25"/>
      <c r="U33" s="25"/>
      <c r="V33" s="25"/>
      <c r="W33" s="25"/>
      <c r="X33" s="25"/>
      <c r="Y33" s="25"/>
      <c r="Z33" s="25"/>
    </row>
    <row r="34" ht="15.0" customHeight="1">
      <c r="A34" s="153">
        <v>3323.0</v>
      </c>
      <c r="B34" s="154" t="s">
        <v>670</v>
      </c>
      <c r="C34" s="154">
        <v>2022.0</v>
      </c>
      <c r="D34" s="155">
        <v>44691.0</v>
      </c>
      <c r="E34" s="125" t="s">
        <v>671</v>
      </c>
      <c r="F34" s="156" t="s">
        <v>672</v>
      </c>
      <c r="G34" s="125" t="s">
        <v>569</v>
      </c>
      <c r="H34" s="156" t="s">
        <v>673</v>
      </c>
      <c r="I34" s="155">
        <v>44967.0</v>
      </c>
      <c r="J34" s="125">
        <v>2.0</v>
      </c>
      <c r="K34" s="157" t="s">
        <v>242</v>
      </c>
      <c r="L34" s="156" t="s">
        <v>260</v>
      </c>
      <c r="M34" s="158">
        <f t="shared" si="1"/>
        <v>276</v>
      </c>
      <c r="N34" s="25"/>
      <c r="O34" s="47">
        <v>2021.0</v>
      </c>
      <c r="P34" s="39">
        <f>COUNTIF($C$2:$C$1001,"2021")</f>
        <v>4</v>
      </c>
      <c r="Q34" s="40"/>
      <c r="R34" s="41"/>
      <c r="S34" s="48">
        <f>(P34/P37)</f>
        <v>0.06060606061</v>
      </c>
      <c r="T34" s="25"/>
      <c r="U34" s="25"/>
      <c r="V34" s="25"/>
      <c r="W34" s="25"/>
      <c r="X34" s="25"/>
      <c r="Y34" s="25"/>
      <c r="Z34" s="25"/>
    </row>
    <row r="35" ht="15.0" customHeight="1">
      <c r="A35" s="160">
        <v>3423.0</v>
      </c>
      <c r="B35" s="161" t="s">
        <v>674</v>
      </c>
      <c r="C35" s="161">
        <v>2021.0</v>
      </c>
      <c r="D35" s="162">
        <v>44484.0</v>
      </c>
      <c r="E35" s="163" t="s">
        <v>675</v>
      </c>
      <c r="F35" s="164" t="s">
        <v>676</v>
      </c>
      <c r="G35" s="163" t="s">
        <v>565</v>
      </c>
      <c r="H35" s="164" t="s">
        <v>677</v>
      </c>
      <c r="I35" s="162">
        <v>44967.0</v>
      </c>
      <c r="J35" s="163">
        <v>2.0</v>
      </c>
      <c r="K35" s="157" t="s">
        <v>242</v>
      </c>
      <c r="L35" s="164" t="s">
        <v>260</v>
      </c>
      <c r="M35" s="165">
        <f t="shared" si="1"/>
        <v>483</v>
      </c>
      <c r="N35" s="25"/>
      <c r="O35" s="49">
        <v>2022.0</v>
      </c>
      <c r="P35" s="50">
        <f>COUNTIF($C$2:$C$1001,"2022")</f>
        <v>16</v>
      </c>
      <c r="Q35" s="40"/>
      <c r="R35" s="41"/>
      <c r="S35" s="51">
        <f>(P35/P37)</f>
        <v>0.2424242424</v>
      </c>
      <c r="T35" s="25"/>
      <c r="U35" s="25"/>
      <c r="V35" s="25"/>
      <c r="W35" s="25"/>
      <c r="X35" s="25"/>
      <c r="Y35" s="25"/>
      <c r="Z35" s="25"/>
    </row>
    <row r="36" ht="15.0" customHeight="1">
      <c r="A36" s="153">
        <v>3523.0</v>
      </c>
      <c r="B36" s="154" t="s">
        <v>678</v>
      </c>
      <c r="C36" s="154">
        <v>2022.0</v>
      </c>
      <c r="D36" s="155">
        <v>44806.0</v>
      </c>
      <c r="E36" s="125" t="s">
        <v>679</v>
      </c>
      <c r="F36" s="156" t="s">
        <v>680</v>
      </c>
      <c r="G36" s="125" t="s">
        <v>569</v>
      </c>
      <c r="H36" s="156" t="s">
        <v>681</v>
      </c>
      <c r="I36" s="155">
        <v>44980.0</v>
      </c>
      <c r="J36" s="125">
        <v>2.0</v>
      </c>
      <c r="K36" s="172" t="s">
        <v>602</v>
      </c>
      <c r="L36" s="156" t="s">
        <v>260</v>
      </c>
      <c r="M36" s="158">
        <f t="shared" si="1"/>
        <v>174</v>
      </c>
      <c r="N36" s="25"/>
      <c r="O36" s="47">
        <v>2023.0</v>
      </c>
      <c r="P36" s="39">
        <f>COUNTIF($C$2:$C$1001,"2023")</f>
        <v>0</v>
      </c>
      <c r="Q36" s="40"/>
      <c r="R36" s="41"/>
      <c r="S36" s="48">
        <f>(P36/P37)</f>
        <v>0</v>
      </c>
      <c r="T36" s="25"/>
      <c r="U36" s="25"/>
      <c r="V36" s="25"/>
      <c r="W36" s="25"/>
      <c r="X36" s="25"/>
      <c r="Y36" s="25"/>
      <c r="Z36" s="25"/>
    </row>
    <row r="37" ht="15.0" customHeight="1">
      <c r="A37" s="160">
        <v>3623.0</v>
      </c>
      <c r="B37" s="161" t="s">
        <v>682</v>
      </c>
      <c r="C37" s="161">
        <v>2019.0</v>
      </c>
      <c r="D37" s="162">
        <v>43644.0</v>
      </c>
      <c r="E37" s="163" t="s">
        <v>683</v>
      </c>
      <c r="F37" s="164" t="s">
        <v>684</v>
      </c>
      <c r="G37" s="163" t="s">
        <v>552</v>
      </c>
      <c r="H37" s="164" t="s">
        <v>130</v>
      </c>
      <c r="I37" s="162">
        <v>44980.0</v>
      </c>
      <c r="J37" s="163">
        <v>2.0</v>
      </c>
      <c r="K37" s="157" t="s">
        <v>242</v>
      </c>
      <c r="L37" s="164" t="s">
        <v>258</v>
      </c>
      <c r="M37" s="165">
        <f t="shared" si="1"/>
        <v>1336</v>
      </c>
      <c r="N37" s="25"/>
      <c r="O37" s="45" t="s">
        <v>179</v>
      </c>
      <c r="P37" s="46">
        <f>SUM(P21:R36)</f>
        <v>66</v>
      </c>
      <c r="Q37" s="40"/>
      <c r="R37" s="41"/>
      <c r="S37" s="56">
        <f>SUM(S21:S36)</f>
        <v>1</v>
      </c>
      <c r="T37" s="25"/>
      <c r="U37" s="25"/>
      <c r="V37" s="25"/>
      <c r="W37" s="25"/>
      <c r="X37" s="25"/>
      <c r="Y37" s="25"/>
      <c r="Z37" s="25"/>
    </row>
    <row r="38" ht="15.0" customHeight="1">
      <c r="A38" s="153">
        <v>3723.0</v>
      </c>
      <c r="B38" s="154" t="s">
        <v>685</v>
      </c>
      <c r="C38" s="154">
        <v>2018.0</v>
      </c>
      <c r="D38" s="155">
        <v>43188.0</v>
      </c>
      <c r="E38" s="125" t="s">
        <v>686</v>
      </c>
      <c r="F38" s="156" t="s">
        <v>687</v>
      </c>
      <c r="G38" s="125" t="s">
        <v>650</v>
      </c>
      <c r="H38" s="156" t="s">
        <v>158</v>
      </c>
      <c r="I38" s="155">
        <v>44980.0</v>
      </c>
      <c r="J38" s="125">
        <v>2.0</v>
      </c>
      <c r="K38" s="157" t="s">
        <v>240</v>
      </c>
      <c r="L38" s="156" t="s">
        <v>256</v>
      </c>
      <c r="M38" s="158">
        <f t="shared" si="1"/>
        <v>1792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15.0" customHeight="1">
      <c r="A39" s="160">
        <v>3823.0</v>
      </c>
      <c r="B39" s="161" t="s">
        <v>688</v>
      </c>
      <c r="C39" s="161">
        <v>2013.0</v>
      </c>
      <c r="D39" s="162">
        <v>41425.0</v>
      </c>
      <c r="E39" s="163" t="s">
        <v>689</v>
      </c>
      <c r="F39" s="164" t="s">
        <v>690</v>
      </c>
      <c r="G39" s="163" t="s">
        <v>547</v>
      </c>
      <c r="H39" s="164" t="s">
        <v>691</v>
      </c>
      <c r="I39" s="162">
        <v>44980.0</v>
      </c>
      <c r="J39" s="163">
        <v>2.0</v>
      </c>
      <c r="K39" s="157" t="s">
        <v>242</v>
      </c>
      <c r="L39" s="164" t="s">
        <v>258</v>
      </c>
      <c r="M39" s="165">
        <f t="shared" si="1"/>
        <v>3555</v>
      </c>
      <c r="N39" s="25"/>
      <c r="O39" s="33" t="s">
        <v>692</v>
      </c>
      <c r="P39" s="34"/>
      <c r="Q39" s="34"/>
      <c r="R39" s="34"/>
      <c r="S39" s="35"/>
      <c r="T39" s="25"/>
      <c r="U39" s="25"/>
      <c r="V39" s="25"/>
      <c r="W39" s="25"/>
      <c r="X39" s="25"/>
      <c r="Y39" s="25"/>
      <c r="Z39" s="25"/>
    </row>
    <row r="40" ht="15.0" customHeight="1">
      <c r="A40" s="153">
        <v>3923.0</v>
      </c>
      <c r="B40" s="154" t="s">
        <v>693</v>
      </c>
      <c r="C40" s="154">
        <v>2012.0</v>
      </c>
      <c r="D40" s="155">
        <v>40940.0</v>
      </c>
      <c r="E40" s="125" t="s">
        <v>694</v>
      </c>
      <c r="F40" s="156" t="s">
        <v>690</v>
      </c>
      <c r="G40" s="125" t="s">
        <v>547</v>
      </c>
      <c r="H40" s="156" t="s">
        <v>695</v>
      </c>
      <c r="I40" s="155">
        <v>44980.0</v>
      </c>
      <c r="J40" s="125">
        <v>2.0</v>
      </c>
      <c r="K40" s="157" t="s">
        <v>242</v>
      </c>
      <c r="L40" s="156" t="s">
        <v>258</v>
      </c>
      <c r="M40" s="158">
        <f t="shared" si="1"/>
        <v>4040</v>
      </c>
      <c r="N40" s="25"/>
      <c r="O40" s="36"/>
      <c r="P40" s="37"/>
      <c r="Q40" s="37"/>
      <c r="R40" s="37"/>
      <c r="S40" s="38"/>
      <c r="T40" s="25"/>
      <c r="U40" s="25"/>
      <c r="V40" s="25"/>
      <c r="W40" s="25"/>
      <c r="X40" s="25"/>
      <c r="Y40" s="25"/>
      <c r="Z40" s="25"/>
    </row>
    <row r="41" ht="15.0" customHeight="1">
      <c r="A41" s="160">
        <v>4023.0</v>
      </c>
      <c r="B41" s="161" t="s">
        <v>696</v>
      </c>
      <c r="C41" s="161">
        <v>2020.0</v>
      </c>
      <c r="D41" s="162">
        <v>44070.0</v>
      </c>
      <c r="E41" s="163" t="s">
        <v>697</v>
      </c>
      <c r="F41" s="164" t="s">
        <v>698</v>
      </c>
      <c r="G41" s="163" t="s">
        <v>552</v>
      </c>
      <c r="H41" s="164" t="s">
        <v>56</v>
      </c>
      <c r="I41" s="162">
        <v>44980.0</v>
      </c>
      <c r="J41" s="163">
        <v>2.0</v>
      </c>
      <c r="K41" s="157" t="s">
        <v>242</v>
      </c>
      <c r="L41" s="164" t="s">
        <v>256</v>
      </c>
      <c r="M41" s="165">
        <f t="shared" si="1"/>
        <v>910</v>
      </c>
      <c r="N41" s="25"/>
      <c r="O41" s="45" t="s">
        <v>193</v>
      </c>
      <c r="P41" s="46" t="s">
        <v>107</v>
      </c>
      <c r="Q41" s="40"/>
      <c r="R41" s="41"/>
      <c r="S41" s="45" t="s">
        <v>108</v>
      </c>
      <c r="T41" s="25"/>
      <c r="U41" s="25"/>
      <c r="V41" s="25"/>
      <c r="W41" s="25"/>
      <c r="X41" s="25"/>
      <c r="Y41" s="25"/>
      <c r="Z41" s="25"/>
    </row>
    <row r="42" ht="15.0" customHeight="1">
      <c r="A42" s="153">
        <v>4123.0</v>
      </c>
      <c r="B42" s="154" t="s">
        <v>699</v>
      </c>
      <c r="C42" s="154">
        <v>2016.0</v>
      </c>
      <c r="D42" s="155">
        <v>42460.0</v>
      </c>
      <c r="E42" s="125" t="s">
        <v>700</v>
      </c>
      <c r="F42" s="156" t="s">
        <v>701</v>
      </c>
      <c r="G42" s="125" t="s">
        <v>552</v>
      </c>
      <c r="H42" s="156" t="s">
        <v>56</v>
      </c>
      <c r="I42" s="155">
        <v>44980.0</v>
      </c>
      <c r="J42" s="125">
        <v>2.0</v>
      </c>
      <c r="K42" s="157" t="s">
        <v>242</v>
      </c>
      <c r="L42" s="156" t="s">
        <v>256</v>
      </c>
      <c r="M42" s="158">
        <f t="shared" si="1"/>
        <v>2520</v>
      </c>
      <c r="N42" s="25"/>
      <c r="O42" s="47" t="s">
        <v>195</v>
      </c>
      <c r="P42" s="39">
        <f>COUNTIF($J$2:$J$1001,"1")</f>
        <v>22</v>
      </c>
      <c r="Q42" s="40"/>
      <c r="R42" s="41"/>
      <c r="S42" s="48">
        <f>(P42/P54)</f>
        <v>0.3333333333</v>
      </c>
      <c r="T42" s="25"/>
      <c r="U42" s="25"/>
      <c r="V42" s="25"/>
      <c r="W42" s="25"/>
      <c r="X42" s="25"/>
      <c r="Y42" s="25"/>
      <c r="Z42" s="25"/>
    </row>
    <row r="43" ht="15.0" customHeight="1">
      <c r="A43" s="160">
        <v>4223.0</v>
      </c>
      <c r="B43" s="161" t="s">
        <v>702</v>
      </c>
      <c r="C43" s="161">
        <v>2019.0</v>
      </c>
      <c r="D43" s="162">
        <v>43825.0</v>
      </c>
      <c r="E43" s="163" t="s">
        <v>703</v>
      </c>
      <c r="F43" s="164" t="s">
        <v>704</v>
      </c>
      <c r="G43" s="163" t="s">
        <v>552</v>
      </c>
      <c r="H43" s="164" t="s">
        <v>705</v>
      </c>
      <c r="I43" s="162">
        <v>44980.0</v>
      </c>
      <c r="J43" s="163">
        <v>2.0</v>
      </c>
      <c r="K43" s="157" t="s">
        <v>240</v>
      </c>
      <c r="L43" s="164" t="s">
        <v>256</v>
      </c>
      <c r="M43" s="165">
        <f t="shared" si="1"/>
        <v>1155</v>
      </c>
      <c r="N43" s="25"/>
      <c r="O43" s="49" t="s">
        <v>197</v>
      </c>
      <c r="P43" s="50">
        <f>COUNTIF($J$2:$J$1001,"2")</f>
        <v>29</v>
      </c>
      <c r="Q43" s="40"/>
      <c r="R43" s="41"/>
      <c r="S43" s="51">
        <f>(P43/P54)</f>
        <v>0.4393939394</v>
      </c>
      <c r="T43" s="25"/>
      <c r="U43" s="25"/>
      <c r="V43" s="25"/>
      <c r="W43" s="25"/>
      <c r="X43" s="25"/>
      <c r="Y43" s="25"/>
      <c r="Z43" s="25"/>
    </row>
    <row r="44" ht="15.0" customHeight="1">
      <c r="A44" s="153">
        <v>4323.0</v>
      </c>
      <c r="B44" s="154" t="s">
        <v>706</v>
      </c>
      <c r="C44" s="154">
        <v>2016.0</v>
      </c>
      <c r="D44" s="155">
        <v>42514.0</v>
      </c>
      <c r="E44" s="125" t="s">
        <v>707</v>
      </c>
      <c r="F44" s="156" t="s">
        <v>708</v>
      </c>
      <c r="G44" s="125" t="s">
        <v>552</v>
      </c>
      <c r="H44" s="156" t="s">
        <v>50</v>
      </c>
      <c r="I44" s="155">
        <v>44980.0</v>
      </c>
      <c r="J44" s="125">
        <v>2.0</v>
      </c>
      <c r="K44" s="157" t="s">
        <v>242</v>
      </c>
      <c r="L44" s="156" t="s">
        <v>258</v>
      </c>
      <c r="M44" s="158">
        <f t="shared" si="1"/>
        <v>2466</v>
      </c>
      <c r="N44" s="25"/>
      <c r="O44" s="47" t="s">
        <v>199</v>
      </c>
      <c r="P44" s="39">
        <f>COUNTIF($J$2:$J$1001,"3")</f>
        <v>15</v>
      </c>
      <c r="Q44" s="40"/>
      <c r="R44" s="41"/>
      <c r="S44" s="48">
        <f>(P44/P54)</f>
        <v>0.2272727273</v>
      </c>
      <c r="T44" s="25"/>
      <c r="U44" s="25"/>
      <c r="V44" s="25"/>
      <c r="W44" s="25"/>
      <c r="X44" s="25"/>
      <c r="Y44" s="25"/>
      <c r="Z44" s="25"/>
    </row>
    <row r="45" ht="15.0" customHeight="1">
      <c r="A45" s="160">
        <v>4423.0</v>
      </c>
      <c r="B45" s="161" t="s">
        <v>709</v>
      </c>
      <c r="C45" s="161">
        <v>2016.0</v>
      </c>
      <c r="D45" s="162">
        <v>42508.0</v>
      </c>
      <c r="E45" s="163" t="s">
        <v>710</v>
      </c>
      <c r="F45" s="164" t="s">
        <v>711</v>
      </c>
      <c r="G45" s="163" t="s">
        <v>552</v>
      </c>
      <c r="H45" s="164" t="s">
        <v>712</v>
      </c>
      <c r="I45" s="162">
        <v>44980.0</v>
      </c>
      <c r="J45" s="163">
        <v>2.0</v>
      </c>
      <c r="K45" s="157" t="s">
        <v>242</v>
      </c>
      <c r="L45" s="164" t="s">
        <v>258</v>
      </c>
      <c r="M45" s="165">
        <f t="shared" si="1"/>
        <v>2472</v>
      </c>
      <c r="N45" s="42"/>
      <c r="O45" s="49" t="s">
        <v>201</v>
      </c>
      <c r="P45" s="50">
        <f>COUNTIF($J$2:$J$1001,"4")</f>
        <v>0</v>
      </c>
      <c r="Q45" s="40"/>
      <c r="R45" s="41"/>
      <c r="S45" s="51">
        <f>(P45/P54)</f>
        <v>0</v>
      </c>
      <c r="T45" s="25"/>
      <c r="U45" s="25"/>
      <c r="V45" s="25"/>
      <c r="W45" s="25"/>
      <c r="X45" s="25"/>
      <c r="Y45" s="25"/>
      <c r="Z45" s="25"/>
    </row>
    <row r="46" ht="15.0" customHeight="1">
      <c r="A46" s="153">
        <v>4523.0</v>
      </c>
      <c r="B46" s="154" t="s">
        <v>713</v>
      </c>
      <c r="C46" s="154">
        <v>2016.0</v>
      </c>
      <c r="D46" s="155">
        <v>42461.0</v>
      </c>
      <c r="E46" s="125" t="s">
        <v>714</v>
      </c>
      <c r="F46" s="156" t="s">
        <v>715</v>
      </c>
      <c r="G46" s="125" t="s">
        <v>552</v>
      </c>
      <c r="H46" s="156" t="s">
        <v>716</v>
      </c>
      <c r="I46" s="155">
        <v>44985.0</v>
      </c>
      <c r="J46" s="125">
        <v>2.0</v>
      </c>
      <c r="K46" s="157" t="s">
        <v>242</v>
      </c>
      <c r="L46" s="156" t="s">
        <v>258</v>
      </c>
      <c r="M46" s="158">
        <f t="shared" si="1"/>
        <v>2524</v>
      </c>
      <c r="N46" s="25"/>
      <c r="O46" s="47" t="s">
        <v>203</v>
      </c>
      <c r="P46" s="39">
        <f>COUNTIF($J$2:$J$1001,"5")</f>
        <v>0</v>
      </c>
      <c r="Q46" s="40"/>
      <c r="R46" s="41"/>
      <c r="S46" s="48">
        <f>(P46/P54)</f>
        <v>0</v>
      </c>
      <c r="T46" s="25"/>
      <c r="U46" s="25"/>
      <c r="V46" s="25"/>
      <c r="W46" s="25"/>
      <c r="X46" s="25"/>
      <c r="Y46" s="25"/>
      <c r="Z46" s="25"/>
    </row>
    <row r="47" ht="15.0" customHeight="1">
      <c r="A47" s="160">
        <v>4623.0</v>
      </c>
      <c r="B47" s="161" t="s">
        <v>717</v>
      </c>
      <c r="C47" s="161">
        <v>2016.0</v>
      </c>
      <c r="D47" s="162">
        <v>42503.0</v>
      </c>
      <c r="E47" s="163" t="s">
        <v>718</v>
      </c>
      <c r="F47" s="164" t="s">
        <v>719</v>
      </c>
      <c r="G47" s="163" t="s">
        <v>552</v>
      </c>
      <c r="H47" s="164" t="s">
        <v>720</v>
      </c>
      <c r="I47" s="162">
        <v>44985.0</v>
      </c>
      <c r="J47" s="163">
        <v>2.0</v>
      </c>
      <c r="K47" s="157" t="s">
        <v>240</v>
      </c>
      <c r="L47" s="164" t="s">
        <v>256</v>
      </c>
      <c r="M47" s="165">
        <f t="shared" si="1"/>
        <v>2482</v>
      </c>
      <c r="N47" s="25"/>
      <c r="O47" s="49" t="s">
        <v>205</v>
      </c>
      <c r="P47" s="50">
        <f>COUNTIF($J$2:$J$1001,"6")</f>
        <v>0</v>
      </c>
      <c r="Q47" s="40"/>
      <c r="R47" s="41"/>
      <c r="S47" s="51">
        <f>(P47/P54)</f>
        <v>0</v>
      </c>
      <c r="T47" s="25"/>
      <c r="U47" s="25"/>
      <c r="V47" s="25"/>
      <c r="W47" s="25"/>
      <c r="X47" s="25"/>
      <c r="Y47" s="25"/>
      <c r="Z47" s="25"/>
    </row>
    <row r="48" ht="15.0" customHeight="1">
      <c r="A48" s="153">
        <v>4723.0</v>
      </c>
      <c r="B48" s="154" t="s">
        <v>721</v>
      </c>
      <c r="C48" s="154">
        <v>2019.0</v>
      </c>
      <c r="D48" s="155">
        <v>43822.0</v>
      </c>
      <c r="E48" s="125" t="s">
        <v>722</v>
      </c>
      <c r="F48" s="156" t="s">
        <v>723</v>
      </c>
      <c r="G48" s="125" t="s">
        <v>552</v>
      </c>
      <c r="H48" s="156" t="s">
        <v>573</v>
      </c>
      <c r="I48" s="155">
        <v>44985.0</v>
      </c>
      <c r="J48" s="125">
        <v>2.0</v>
      </c>
      <c r="K48" s="157" t="s">
        <v>240</v>
      </c>
      <c r="L48" s="156" t="s">
        <v>256</v>
      </c>
      <c r="M48" s="158">
        <f t="shared" si="1"/>
        <v>1163</v>
      </c>
      <c r="N48" s="25"/>
      <c r="O48" s="47" t="s">
        <v>207</v>
      </c>
      <c r="P48" s="39">
        <f>COUNTIF($J$2:$J$1001,"7")</f>
        <v>0</v>
      </c>
      <c r="Q48" s="40"/>
      <c r="R48" s="41"/>
      <c r="S48" s="48">
        <f>(P48/P54)</f>
        <v>0</v>
      </c>
      <c r="T48" s="25"/>
      <c r="U48" s="25"/>
      <c r="V48" s="25"/>
      <c r="W48" s="25"/>
      <c r="X48" s="25"/>
      <c r="Y48" s="25"/>
      <c r="Z48" s="25"/>
    </row>
    <row r="49" ht="15.0" customHeight="1">
      <c r="A49" s="160">
        <v>4823.0</v>
      </c>
      <c r="B49" s="161" t="s">
        <v>724</v>
      </c>
      <c r="C49" s="161">
        <v>2021.0</v>
      </c>
      <c r="D49" s="162">
        <v>44315.0</v>
      </c>
      <c r="E49" s="163" t="s">
        <v>725</v>
      </c>
      <c r="F49" s="164" t="s">
        <v>726</v>
      </c>
      <c r="G49" s="163" t="s">
        <v>552</v>
      </c>
      <c r="H49" s="164" t="s">
        <v>727</v>
      </c>
      <c r="I49" s="162">
        <v>44985.0</v>
      </c>
      <c r="J49" s="163">
        <v>2.0</v>
      </c>
      <c r="K49" s="157" t="s">
        <v>242</v>
      </c>
      <c r="L49" s="164" t="s">
        <v>256</v>
      </c>
      <c r="M49" s="165">
        <f t="shared" si="1"/>
        <v>670</v>
      </c>
      <c r="N49" s="25"/>
      <c r="O49" s="49" t="s">
        <v>209</v>
      </c>
      <c r="P49" s="50">
        <f>COUNTIF($J$2:$J$1001,"8")</f>
        <v>0</v>
      </c>
      <c r="Q49" s="40"/>
      <c r="R49" s="41"/>
      <c r="S49" s="51">
        <f>(P49/P54)</f>
        <v>0</v>
      </c>
      <c r="T49" s="25"/>
      <c r="U49" s="25"/>
      <c r="V49" s="25"/>
      <c r="W49" s="25"/>
      <c r="X49" s="25"/>
      <c r="Y49" s="25"/>
      <c r="Z49" s="25"/>
    </row>
    <row r="50" ht="15.0" customHeight="1">
      <c r="A50" s="153">
        <v>4923.0</v>
      </c>
      <c r="B50" s="154" t="s">
        <v>728</v>
      </c>
      <c r="C50" s="154">
        <v>2016.0</v>
      </c>
      <c r="D50" s="155">
        <v>42557.0</v>
      </c>
      <c r="E50" s="125" t="s">
        <v>729</v>
      </c>
      <c r="F50" s="156" t="s">
        <v>719</v>
      </c>
      <c r="G50" s="125" t="s">
        <v>552</v>
      </c>
      <c r="H50" s="156" t="s">
        <v>573</v>
      </c>
      <c r="I50" s="155">
        <v>44985.0</v>
      </c>
      <c r="J50" s="125">
        <v>2.0</v>
      </c>
      <c r="K50" s="157" t="s">
        <v>240</v>
      </c>
      <c r="L50" s="156" t="s">
        <v>256</v>
      </c>
      <c r="M50" s="158">
        <f t="shared" si="1"/>
        <v>2428</v>
      </c>
      <c r="N50" s="25"/>
      <c r="O50" s="47" t="s">
        <v>211</v>
      </c>
      <c r="P50" s="39">
        <f>COUNTIF($J$2:$J$1001,"9")</f>
        <v>0</v>
      </c>
      <c r="Q50" s="40"/>
      <c r="R50" s="41"/>
      <c r="S50" s="48">
        <f>(P50/P54)</f>
        <v>0</v>
      </c>
      <c r="T50" s="25"/>
      <c r="U50" s="25"/>
      <c r="V50" s="25"/>
      <c r="W50" s="25"/>
      <c r="X50" s="25"/>
      <c r="Y50" s="25"/>
      <c r="Z50" s="25"/>
    </row>
    <row r="51" ht="15.0" customHeight="1">
      <c r="A51" s="160">
        <v>5023.0</v>
      </c>
      <c r="B51" s="161" t="s">
        <v>730</v>
      </c>
      <c r="C51" s="161">
        <v>2016.0</v>
      </c>
      <c r="D51" s="162">
        <v>42429.0</v>
      </c>
      <c r="E51" s="163" t="s">
        <v>731</v>
      </c>
      <c r="F51" s="164" t="s">
        <v>732</v>
      </c>
      <c r="G51" s="163" t="s">
        <v>552</v>
      </c>
      <c r="H51" s="164" t="s">
        <v>733</v>
      </c>
      <c r="I51" s="162">
        <v>44985.0</v>
      </c>
      <c r="J51" s="163">
        <v>2.0</v>
      </c>
      <c r="K51" s="157" t="s">
        <v>242</v>
      </c>
      <c r="L51" s="164" t="s">
        <v>256</v>
      </c>
      <c r="M51" s="165">
        <f t="shared" si="1"/>
        <v>2556</v>
      </c>
      <c r="N51" s="25"/>
      <c r="O51" s="49" t="s">
        <v>213</v>
      </c>
      <c r="P51" s="50">
        <f>COUNTIF($J$2:$J$1001,"10")</f>
        <v>0</v>
      </c>
      <c r="Q51" s="40"/>
      <c r="R51" s="41"/>
      <c r="S51" s="51">
        <f>(P51/P54)</f>
        <v>0</v>
      </c>
      <c r="T51" s="25"/>
      <c r="U51" s="25"/>
      <c r="V51" s="25"/>
      <c r="W51" s="25"/>
      <c r="X51" s="25"/>
      <c r="Y51" s="25"/>
      <c r="Z51" s="25"/>
    </row>
    <row r="52" ht="15.0" customHeight="1">
      <c r="A52" s="153">
        <v>5123.0</v>
      </c>
      <c r="B52" s="154" t="s">
        <v>734</v>
      </c>
      <c r="C52" s="154">
        <v>2014.0</v>
      </c>
      <c r="D52" s="155">
        <v>42003.0</v>
      </c>
      <c r="E52" s="125" t="s">
        <v>735</v>
      </c>
      <c r="F52" s="156" t="s">
        <v>736</v>
      </c>
      <c r="G52" s="125" t="s">
        <v>552</v>
      </c>
      <c r="H52" s="156" t="s">
        <v>153</v>
      </c>
      <c r="I52" s="155">
        <v>44985.0</v>
      </c>
      <c r="J52" s="125">
        <v>2.0</v>
      </c>
      <c r="K52" s="157" t="s">
        <v>242</v>
      </c>
      <c r="L52" s="156" t="s">
        <v>258</v>
      </c>
      <c r="M52" s="158">
        <f t="shared" si="1"/>
        <v>2982</v>
      </c>
      <c r="N52" s="25"/>
      <c r="O52" s="47" t="s">
        <v>215</v>
      </c>
      <c r="P52" s="39">
        <f>COUNTIF($J$2:$J$1001,"11")</f>
        <v>0</v>
      </c>
      <c r="Q52" s="40"/>
      <c r="R52" s="41"/>
      <c r="S52" s="48">
        <f>(P52/P54)</f>
        <v>0</v>
      </c>
      <c r="T52" s="25"/>
      <c r="U52" s="25"/>
      <c r="V52" s="25"/>
      <c r="W52" s="25"/>
      <c r="X52" s="25"/>
      <c r="Y52" s="25"/>
      <c r="Z52" s="25"/>
    </row>
    <row r="53" ht="15.0" customHeight="1">
      <c r="A53" s="160">
        <v>5223.0</v>
      </c>
      <c r="B53" s="161" t="s">
        <v>737</v>
      </c>
      <c r="C53" s="161">
        <v>2012.0</v>
      </c>
      <c r="D53" s="162">
        <v>40998.0</v>
      </c>
      <c r="E53" s="163" t="s">
        <v>738</v>
      </c>
      <c r="F53" s="164" t="s">
        <v>739</v>
      </c>
      <c r="G53" s="163" t="s">
        <v>650</v>
      </c>
      <c r="H53" s="164" t="s">
        <v>740</v>
      </c>
      <c r="I53" s="162">
        <v>44987.0</v>
      </c>
      <c r="J53" s="163">
        <v>3.0</v>
      </c>
      <c r="K53" s="157" t="s">
        <v>242</v>
      </c>
      <c r="L53" s="164" t="s">
        <v>258</v>
      </c>
      <c r="M53" s="165">
        <f t="shared" si="1"/>
        <v>3989</v>
      </c>
      <c r="N53" s="25"/>
      <c r="O53" s="49" t="s">
        <v>217</v>
      </c>
      <c r="P53" s="50">
        <f>COUNTIF($J$2:$J$1001,"12")</f>
        <v>0</v>
      </c>
      <c r="Q53" s="40"/>
      <c r="R53" s="41"/>
      <c r="S53" s="51">
        <f>(P53/P54)</f>
        <v>0</v>
      </c>
      <c r="T53" s="25"/>
      <c r="U53" s="25"/>
      <c r="V53" s="25"/>
      <c r="W53" s="25"/>
      <c r="X53" s="25"/>
      <c r="Y53" s="25"/>
      <c r="Z53" s="25"/>
    </row>
    <row r="54" ht="15.0" customHeight="1">
      <c r="A54" s="153">
        <v>5323.0</v>
      </c>
      <c r="B54" s="154" t="s">
        <v>741</v>
      </c>
      <c r="C54" s="154">
        <v>2011.0</v>
      </c>
      <c r="D54" s="155">
        <v>40805.0</v>
      </c>
      <c r="E54" s="125" t="s">
        <v>742</v>
      </c>
      <c r="F54" s="156" t="s">
        <v>690</v>
      </c>
      <c r="G54" s="125" t="s">
        <v>650</v>
      </c>
      <c r="H54" s="156" t="s">
        <v>691</v>
      </c>
      <c r="I54" s="155">
        <v>44992.0</v>
      </c>
      <c r="J54" s="125">
        <v>3.0</v>
      </c>
      <c r="K54" s="157" t="s">
        <v>242</v>
      </c>
      <c r="L54" s="156" t="s">
        <v>258</v>
      </c>
      <c r="M54" s="158">
        <f t="shared" si="1"/>
        <v>4187</v>
      </c>
      <c r="N54" s="42"/>
      <c r="O54" s="45" t="s">
        <v>219</v>
      </c>
      <c r="P54" s="46">
        <f>SUM(P42:R53)</f>
        <v>66</v>
      </c>
      <c r="Q54" s="40"/>
      <c r="R54" s="41"/>
      <c r="S54" s="56">
        <f>SUM(S42:S53)</f>
        <v>1</v>
      </c>
      <c r="T54" s="25"/>
      <c r="U54" s="25"/>
      <c r="V54" s="25"/>
      <c r="W54" s="25"/>
      <c r="X54" s="25"/>
      <c r="Y54" s="25"/>
      <c r="Z54" s="25"/>
    </row>
    <row r="55" ht="15.0" customHeight="1">
      <c r="A55" s="160">
        <v>5423.0</v>
      </c>
      <c r="B55" s="161" t="s">
        <v>743</v>
      </c>
      <c r="C55" s="161">
        <v>2022.0</v>
      </c>
      <c r="D55" s="162">
        <v>44692.0</v>
      </c>
      <c r="E55" s="163" t="s">
        <v>744</v>
      </c>
      <c r="F55" s="164" t="s">
        <v>745</v>
      </c>
      <c r="G55" s="163" t="s">
        <v>565</v>
      </c>
      <c r="H55" s="164" t="s">
        <v>746</v>
      </c>
      <c r="I55" s="162">
        <v>44994.0</v>
      </c>
      <c r="J55" s="163">
        <v>3.0</v>
      </c>
      <c r="K55" s="172" t="s">
        <v>602</v>
      </c>
      <c r="L55" s="164" t="s">
        <v>260</v>
      </c>
      <c r="M55" s="165">
        <f t="shared" si="1"/>
        <v>302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0" customHeight="1">
      <c r="A56" s="153">
        <v>5523.0</v>
      </c>
      <c r="B56" s="154" t="s">
        <v>747</v>
      </c>
      <c r="C56" s="154">
        <v>2020.0</v>
      </c>
      <c r="D56" s="155">
        <v>43864.0</v>
      </c>
      <c r="E56" s="125" t="s">
        <v>748</v>
      </c>
      <c r="F56" s="156" t="s">
        <v>749</v>
      </c>
      <c r="G56" s="125" t="s">
        <v>552</v>
      </c>
      <c r="H56" s="156" t="s">
        <v>750</v>
      </c>
      <c r="I56" s="155">
        <v>45000.0</v>
      </c>
      <c r="J56" s="125">
        <v>3.0</v>
      </c>
      <c r="K56" s="157" t="s">
        <v>242</v>
      </c>
      <c r="L56" s="156" t="s">
        <v>258</v>
      </c>
      <c r="M56" s="158">
        <f t="shared" si="1"/>
        <v>1136</v>
      </c>
      <c r="N56" s="25"/>
      <c r="O56" s="33" t="s">
        <v>222</v>
      </c>
      <c r="P56" s="34"/>
      <c r="Q56" s="34"/>
      <c r="R56" s="34"/>
      <c r="S56" s="34"/>
      <c r="T56" s="35"/>
      <c r="U56" s="25"/>
      <c r="V56" s="25"/>
      <c r="W56" s="25"/>
      <c r="X56" s="25"/>
      <c r="Y56" s="25"/>
      <c r="Z56" s="25"/>
    </row>
    <row r="57" ht="15.0" customHeight="1">
      <c r="A57" s="160">
        <v>5623.0</v>
      </c>
      <c r="B57" s="161" t="s">
        <v>751</v>
      </c>
      <c r="C57" s="161">
        <v>2015.0</v>
      </c>
      <c r="D57" s="162">
        <v>42124.0</v>
      </c>
      <c r="E57" s="163" t="s">
        <v>752</v>
      </c>
      <c r="F57" s="164" t="s">
        <v>753</v>
      </c>
      <c r="G57" s="163" t="s">
        <v>552</v>
      </c>
      <c r="H57" s="164" t="s">
        <v>130</v>
      </c>
      <c r="I57" s="162">
        <v>45000.0</v>
      </c>
      <c r="J57" s="163">
        <v>3.0</v>
      </c>
      <c r="K57" s="157" t="s">
        <v>242</v>
      </c>
      <c r="L57" s="164" t="s">
        <v>258</v>
      </c>
      <c r="M57" s="165">
        <f t="shared" si="1"/>
        <v>2876</v>
      </c>
      <c r="N57" s="25"/>
      <c r="O57" s="36"/>
      <c r="P57" s="37"/>
      <c r="Q57" s="37"/>
      <c r="R57" s="37"/>
      <c r="S57" s="37"/>
      <c r="T57" s="38"/>
      <c r="U57" s="25"/>
      <c r="V57" s="25"/>
      <c r="W57" s="25"/>
      <c r="X57" s="25"/>
      <c r="Y57" s="25"/>
      <c r="Z57" s="25"/>
    </row>
    <row r="58" ht="15.0" customHeight="1">
      <c r="A58" s="153">
        <v>5723.0</v>
      </c>
      <c r="B58" s="154" t="s">
        <v>754</v>
      </c>
      <c r="C58" s="154">
        <v>2011.0</v>
      </c>
      <c r="D58" s="155">
        <v>40770.0</v>
      </c>
      <c r="E58" s="125" t="s">
        <v>755</v>
      </c>
      <c r="F58" s="156" t="s">
        <v>756</v>
      </c>
      <c r="G58" s="125" t="s">
        <v>552</v>
      </c>
      <c r="H58" s="156" t="s">
        <v>163</v>
      </c>
      <c r="I58" s="155">
        <v>45000.0</v>
      </c>
      <c r="J58" s="125">
        <v>3.0</v>
      </c>
      <c r="K58" s="166" t="s">
        <v>236</v>
      </c>
      <c r="L58" s="156" t="s">
        <v>256</v>
      </c>
      <c r="M58" s="158">
        <f t="shared" si="1"/>
        <v>4230</v>
      </c>
      <c r="N58" s="25"/>
      <c r="O58" s="46" t="s">
        <v>225</v>
      </c>
      <c r="P58" s="40"/>
      <c r="Q58" s="40"/>
      <c r="R58" s="41"/>
      <c r="S58" s="45" t="s">
        <v>226</v>
      </c>
      <c r="T58" s="45" t="s">
        <v>108</v>
      </c>
      <c r="U58" s="25"/>
      <c r="V58" s="25"/>
      <c r="W58" s="25"/>
      <c r="X58" s="25"/>
      <c r="Y58" s="25"/>
      <c r="Z58" s="25"/>
    </row>
    <row r="59" ht="15.0" customHeight="1">
      <c r="A59" s="160">
        <v>5823.0</v>
      </c>
      <c r="B59" s="161" t="s">
        <v>757</v>
      </c>
      <c r="C59" s="161">
        <v>2016.0</v>
      </c>
      <c r="D59" s="162">
        <v>42443.0</v>
      </c>
      <c r="E59" s="163" t="s">
        <v>758</v>
      </c>
      <c r="F59" s="164" t="s">
        <v>759</v>
      </c>
      <c r="G59" s="163" t="s">
        <v>552</v>
      </c>
      <c r="H59" s="164" t="s">
        <v>596</v>
      </c>
      <c r="I59" s="162">
        <v>45005.0</v>
      </c>
      <c r="J59" s="163">
        <v>3.0</v>
      </c>
      <c r="K59" s="157" t="s">
        <v>242</v>
      </c>
      <c r="L59" s="164" t="s">
        <v>258</v>
      </c>
      <c r="M59" s="165">
        <f t="shared" si="1"/>
        <v>2562</v>
      </c>
      <c r="N59" s="25"/>
      <c r="O59" s="89" t="s">
        <v>228</v>
      </c>
      <c r="P59" s="40"/>
      <c r="Q59" s="40"/>
      <c r="R59" s="41"/>
      <c r="S59" s="173">
        <f>COUNTIF($K$2:$K$1001,"I - Extremamente tóxico")</f>
        <v>0</v>
      </c>
      <c r="T59" s="174">
        <f>(S59/S69)</f>
        <v>0</v>
      </c>
      <c r="U59" s="25"/>
      <c r="V59" s="25"/>
      <c r="W59" s="25"/>
      <c r="X59" s="25"/>
      <c r="Y59" s="25"/>
      <c r="Z59" s="25"/>
    </row>
    <row r="60" ht="15.0" customHeight="1">
      <c r="A60" s="153">
        <v>5923.0</v>
      </c>
      <c r="B60" s="154" t="s">
        <v>760</v>
      </c>
      <c r="C60" s="154">
        <v>2021.0</v>
      </c>
      <c r="D60" s="155">
        <v>44357.0</v>
      </c>
      <c r="E60" s="125" t="s">
        <v>761</v>
      </c>
      <c r="F60" s="156" t="s">
        <v>762</v>
      </c>
      <c r="G60" s="125" t="s">
        <v>552</v>
      </c>
      <c r="H60" s="156" t="s">
        <v>149</v>
      </c>
      <c r="I60" s="155">
        <v>45005.0</v>
      </c>
      <c r="J60" s="125">
        <v>3.0</v>
      </c>
      <c r="K60" s="157" t="s">
        <v>242</v>
      </c>
      <c r="L60" s="156" t="s">
        <v>258</v>
      </c>
      <c r="M60" s="158">
        <f t="shared" si="1"/>
        <v>648</v>
      </c>
      <c r="N60" s="25"/>
      <c r="O60" s="89" t="s">
        <v>230</v>
      </c>
      <c r="P60" s="40"/>
      <c r="Q60" s="40"/>
      <c r="R60" s="41"/>
      <c r="S60" s="173">
        <f>COUNTIF($K$2:$K$1001,"Categoria 1 - Produto Extremamente Tóxico")</f>
        <v>0</v>
      </c>
      <c r="T60" s="174">
        <f>(S60/S69)</f>
        <v>0</v>
      </c>
      <c r="U60" s="25"/>
      <c r="V60" s="25"/>
      <c r="W60" s="25"/>
      <c r="X60" s="25"/>
      <c r="Y60" s="25"/>
      <c r="Z60" s="25"/>
    </row>
    <row r="61" ht="15.0" customHeight="1">
      <c r="A61" s="160">
        <v>6023.0</v>
      </c>
      <c r="B61" s="161" t="s">
        <v>763</v>
      </c>
      <c r="C61" s="161">
        <v>2016.0</v>
      </c>
      <c r="D61" s="162">
        <v>42521.0</v>
      </c>
      <c r="E61" s="163" t="s">
        <v>764</v>
      </c>
      <c r="F61" s="164" t="s">
        <v>765</v>
      </c>
      <c r="G61" s="163" t="s">
        <v>552</v>
      </c>
      <c r="H61" s="164" t="s">
        <v>596</v>
      </c>
      <c r="I61" s="162">
        <v>45005.0</v>
      </c>
      <c r="J61" s="163">
        <v>3.0</v>
      </c>
      <c r="K61" s="157" t="s">
        <v>242</v>
      </c>
      <c r="L61" s="164" t="s">
        <v>256</v>
      </c>
      <c r="M61" s="165">
        <f t="shared" si="1"/>
        <v>2484</v>
      </c>
      <c r="N61" s="25"/>
      <c r="O61" s="89" t="s">
        <v>232</v>
      </c>
      <c r="P61" s="40"/>
      <c r="Q61" s="40"/>
      <c r="R61" s="41"/>
      <c r="S61" s="173">
        <f>COUNTIF($K$2:$K$1001,"Categoria 2 - Produto Altamente Tóxico")</f>
        <v>4</v>
      </c>
      <c r="T61" s="174">
        <f>(S61/S69)</f>
        <v>0.06060606061</v>
      </c>
      <c r="U61" s="25"/>
      <c r="V61" s="25"/>
      <c r="W61" s="25"/>
      <c r="X61" s="25"/>
      <c r="Y61" s="25"/>
      <c r="Z61" s="25"/>
    </row>
    <row r="62" ht="15.0" customHeight="1">
      <c r="A62" s="153">
        <v>6123.0</v>
      </c>
      <c r="B62" s="154" t="s">
        <v>766</v>
      </c>
      <c r="C62" s="154">
        <v>2022.0</v>
      </c>
      <c r="D62" s="155">
        <v>44651.0</v>
      </c>
      <c r="E62" s="125" t="s">
        <v>767</v>
      </c>
      <c r="F62" s="156" t="s">
        <v>768</v>
      </c>
      <c r="G62" s="125" t="s">
        <v>650</v>
      </c>
      <c r="H62" s="156" t="s">
        <v>601</v>
      </c>
      <c r="I62" s="155">
        <v>45014.0</v>
      </c>
      <c r="J62" s="125">
        <v>3.0</v>
      </c>
      <c r="K62" s="157" t="s">
        <v>240</v>
      </c>
      <c r="L62" s="156" t="s">
        <v>256</v>
      </c>
      <c r="M62" s="158">
        <f t="shared" si="1"/>
        <v>363</v>
      </c>
      <c r="N62" s="25"/>
      <c r="O62" s="175" t="s">
        <v>234</v>
      </c>
      <c r="P62" s="40"/>
      <c r="Q62" s="40"/>
      <c r="R62" s="41"/>
      <c r="S62" s="176">
        <f>COUNTIF($K$2:$K$1001,"II - Altamente tóxico")</f>
        <v>1</v>
      </c>
      <c r="T62" s="177">
        <f>(S62/S69)</f>
        <v>0.01515151515</v>
      </c>
      <c r="U62" s="25"/>
      <c r="V62" s="25"/>
      <c r="W62" s="25"/>
      <c r="X62" s="25"/>
      <c r="Y62" s="25"/>
      <c r="Z62" s="25"/>
    </row>
    <row r="63" ht="15.0" customHeight="1">
      <c r="A63" s="160">
        <v>6223.0</v>
      </c>
      <c r="B63" s="161" t="s">
        <v>769</v>
      </c>
      <c r="C63" s="161">
        <v>2020.0</v>
      </c>
      <c r="D63" s="162">
        <v>44189.0</v>
      </c>
      <c r="E63" s="163" t="s">
        <v>770</v>
      </c>
      <c r="F63" s="164" t="s">
        <v>771</v>
      </c>
      <c r="G63" s="163" t="s">
        <v>552</v>
      </c>
      <c r="H63" s="164" t="s">
        <v>130</v>
      </c>
      <c r="I63" s="162">
        <v>45014.0</v>
      </c>
      <c r="J63" s="163">
        <v>3.0</v>
      </c>
      <c r="K63" s="172" t="s">
        <v>602</v>
      </c>
      <c r="L63" s="164" t="s">
        <v>258</v>
      </c>
      <c r="M63" s="165">
        <f t="shared" si="1"/>
        <v>825</v>
      </c>
      <c r="N63" s="25"/>
      <c r="O63" s="175" t="s">
        <v>236</v>
      </c>
      <c r="P63" s="40"/>
      <c r="Q63" s="40"/>
      <c r="R63" s="41"/>
      <c r="S63" s="176">
        <f>COUNTIF($K$2:$K$1001,"Categoria 3 - Produto Moderadamente Tóxico")</f>
        <v>2</v>
      </c>
      <c r="T63" s="177">
        <f>(S63/S69)</f>
        <v>0.0303030303</v>
      </c>
      <c r="U63" s="25"/>
      <c r="V63" s="25"/>
      <c r="W63" s="25"/>
      <c r="X63" s="25"/>
      <c r="Y63" s="25"/>
      <c r="Z63" s="25"/>
    </row>
    <row r="64" ht="15.0" customHeight="1">
      <c r="A64" s="153">
        <v>6323.0</v>
      </c>
      <c r="B64" s="154" t="s">
        <v>772</v>
      </c>
      <c r="C64" s="154">
        <v>2015.0</v>
      </c>
      <c r="D64" s="155">
        <v>42305.0</v>
      </c>
      <c r="E64" s="125" t="s">
        <v>773</v>
      </c>
      <c r="F64" s="156" t="s">
        <v>774</v>
      </c>
      <c r="G64" s="125" t="s">
        <v>552</v>
      </c>
      <c r="H64" s="156" t="s">
        <v>775</v>
      </c>
      <c r="I64" s="155">
        <v>45014.0</v>
      </c>
      <c r="J64" s="125">
        <v>3.0</v>
      </c>
      <c r="K64" s="157" t="s">
        <v>242</v>
      </c>
      <c r="L64" s="156" t="s">
        <v>256</v>
      </c>
      <c r="M64" s="158">
        <f t="shared" si="1"/>
        <v>2709</v>
      </c>
      <c r="N64" s="25"/>
      <c r="O64" s="178" t="s">
        <v>238</v>
      </c>
      <c r="P64" s="40"/>
      <c r="Q64" s="40"/>
      <c r="R64" s="41"/>
      <c r="S64" s="179">
        <f>COUNTIF($K$2:$K$1001,"III - Medianamente tóxico")</f>
        <v>0</v>
      </c>
      <c r="T64" s="180">
        <f>(S64/S69)</f>
        <v>0</v>
      </c>
      <c r="U64" s="25"/>
      <c r="V64" s="25"/>
      <c r="W64" s="25"/>
      <c r="X64" s="25"/>
      <c r="Y64" s="25"/>
      <c r="Z64" s="25"/>
    </row>
    <row r="65" ht="15.0" customHeight="1">
      <c r="A65" s="160">
        <v>6423.0</v>
      </c>
      <c r="B65" s="161" t="s">
        <v>776</v>
      </c>
      <c r="C65" s="161">
        <v>2012.0</v>
      </c>
      <c r="D65" s="162">
        <v>41058.0</v>
      </c>
      <c r="E65" s="163" t="s">
        <v>777</v>
      </c>
      <c r="F65" s="164" t="s">
        <v>778</v>
      </c>
      <c r="G65" s="163" t="s">
        <v>552</v>
      </c>
      <c r="H65" s="164" t="s">
        <v>18</v>
      </c>
      <c r="I65" s="162">
        <v>45014.0</v>
      </c>
      <c r="J65" s="163">
        <v>3.0</v>
      </c>
      <c r="K65" s="157" t="s">
        <v>240</v>
      </c>
      <c r="L65" s="164" t="s">
        <v>256</v>
      </c>
      <c r="M65" s="165">
        <f t="shared" si="1"/>
        <v>3956</v>
      </c>
      <c r="N65" s="25"/>
      <c r="O65" s="178" t="s">
        <v>240</v>
      </c>
      <c r="P65" s="40"/>
      <c r="Q65" s="40"/>
      <c r="R65" s="41"/>
      <c r="S65" s="179">
        <f>COUNTIF($K$2:$K$1001,"Categoria 4 - Produto Pouco Tóxico")</f>
        <v>13</v>
      </c>
      <c r="T65" s="180">
        <f>(S65/S69)</f>
        <v>0.196969697</v>
      </c>
      <c r="U65" s="25"/>
      <c r="V65" s="25"/>
      <c r="W65" s="25"/>
      <c r="X65" s="25"/>
      <c r="Y65" s="25"/>
      <c r="Z65" s="25"/>
    </row>
    <row r="66" ht="15.0" customHeight="1">
      <c r="A66" s="153">
        <v>6523.0</v>
      </c>
      <c r="B66" s="154" t="s">
        <v>779</v>
      </c>
      <c r="C66" s="154">
        <v>2018.0</v>
      </c>
      <c r="D66" s="155">
        <v>43215.0</v>
      </c>
      <c r="E66" s="125" t="s">
        <v>780</v>
      </c>
      <c r="F66" s="156" t="s">
        <v>781</v>
      </c>
      <c r="G66" s="125" t="s">
        <v>650</v>
      </c>
      <c r="H66" s="156" t="s">
        <v>782</v>
      </c>
      <c r="I66" s="155">
        <v>45014.0</v>
      </c>
      <c r="J66" s="125">
        <v>3.0</v>
      </c>
      <c r="K66" s="157" t="s">
        <v>240</v>
      </c>
      <c r="L66" s="156" t="s">
        <v>258</v>
      </c>
      <c r="M66" s="158">
        <f t="shared" si="1"/>
        <v>1799</v>
      </c>
      <c r="N66" s="25"/>
      <c r="O66" s="178" t="s">
        <v>242</v>
      </c>
      <c r="P66" s="40"/>
      <c r="Q66" s="40"/>
      <c r="R66" s="41"/>
      <c r="S66" s="179">
        <f>COUNTIF($K$2:$K$1001,"Categoria 5 - Produto Improvável de Causar Dano Agudo")</f>
        <v>39</v>
      </c>
      <c r="T66" s="180">
        <f>(S66/S69)</f>
        <v>0.5909090909</v>
      </c>
      <c r="U66" s="25"/>
      <c r="V66" s="25"/>
      <c r="W66" s="25"/>
      <c r="X66" s="25"/>
      <c r="Y66" s="25"/>
      <c r="Z66" s="25"/>
    </row>
    <row r="67" ht="15.0" customHeight="1">
      <c r="A67" s="160">
        <v>6623.0</v>
      </c>
      <c r="B67" s="161" t="s">
        <v>783</v>
      </c>
      <c r="C67" s="161">
        <v>2016.0</v>
      </c>
      <c r="D67" s="162">
        <v>42480.0</v>
      </c>
      <c r="E67" s="163" t="s">
        <v>784</v>
      </c>
      <c r="F67" s="164" t="s">
        <v>785</v>
      </c>
      <c r="G67" s="163" t="s">
        <v>552</v>
      </c>
      <c r="H67" s="164" t="s">
        <v>130</v>
      </c>
      <c r="I67" s="162">
        <v>45014.0</v>
      </c>
      <c r="J67" s="163">
        <v>3.0</v>
      </c>
      <c r="K67" s="157" t="s">
        <v>240</v>
      </c>
      <c r="L67" s="164" t="s">
        <v>256</v>
      </c>
      <c r="M67" s="165">
        <f t="shared" si="1"/>
        <v>2534</v>
      </c>
      <c r="N67" s="25"/>
      <c r="O67" s="181" t="s">
        <v>244</v>
      </c>
      <c r="P67" s="40"/>
      <c r="Q67" s="40"/>
      <c r="R67" s="41"/>
      <c r="S67" s="182">
        <f>COUNTIF($K$2:$K$1001,"IV - Pouco tóxico")</f>
        <v>0</v>
      </c>
      <c r="T67" s="183">
        <f>(S67/S69)</f>
        <v>0</v>
      </c>
      <c r="U67" s="25"/>
      <c r="V67" s="25"/>
      <c r="W67" s="25"/>
      <c r="X67" s="25"/>
      <c r="Y67" s="25"/>
      <c r="Z67" s="25"/>
    </row>
    <row r="68" ht="15.0" hidden="1" customHeight="1">
      <c r="A68" s="153">
        <v>6723.0</v>
      </c>
      <c r="B68" s="120"/>
      <c r="C68" s="120"/>
      <c r="D68" s="121"/>
      <c r="E68" s="123"/>
      <c r="F68" s="122"/>
      <c r="G68" s="123"/>
      <c r="H68" s="122"/>
      <c r="I68" s="121"/>
      <c r="J68" s="123"/>
      <c r="K68" s="122"/>
      <c r="L68" s="122"/>
      <c r="M68" s="158">
        <f t="shared" si="1"/>
        <v>0</v>
      </c>
      <c r="N68" s="25"/>
      <c r="O68" s="181" t="s">
        <v>602</v>
      </c>
      <c r="P68" s="40"/>
      <c r="Q68" s="40"/>
      <c r="R68" s="41"/>
      <c r="S68" s="182">
        <f>COUNTIF($K$2:$K$1001,"Não Classificado - Produto Não Classificado")</f>
        <v>7</v>
      </c>
      <c r="T68" s="183">
        <f>(S68/S69)</f>
        <v>0.1060606061</v>
      </c>
      <c r="U68" s="25"/>
      <c r="V68" s="25"/>
      <c r="W68" s="25"/>
      <c r="X68" s="25"/>
      <c r="Y68" s="25"/>
      <c r="Z68" s="25"/>
    </row>
    <row r="69" ht="15.0" hidden="1" customHeight="1">
      <c r="A69" s="160">
        <v>6823.0</v>
      </c>
      <c r="B69" s="127"/>
      <c r="C69" s="127"/>
      <c r="D69" s="128"/>
      <c r="E69" s="129"/>
      <c r="F69" s="130"/>
      <c r="G69" s="129"/>
      <c r="H69" s="164"/>
      <c r="I69" s="128"/>
      <c r="J69" s="129"/>
      <c r="K69" s="130"/>
      <c r="L69" s="130"/>
      <c r="M69" s="165">
        <f t="shared" si="1"/>
        <v>0</v>
      </c>
      <c r="N69" s="25"/>
      <c r="O69" s="46" t="s">
        <v>219</v>
      </c>
      <c r="P69" s="40"/>
      <c r="Q69" s="40"/>
      <c r="R69" s="41"/>
      <c r="S69" s="45">
        <f>SUM(S59:S68)</f>
        <v>66</v>
      </c>
      <c r="T69" s="88">
        <f>(S69/S69)</f>
        <v>1</v>
      </c>
      <c r="U69" s="25"/>
      <c r="V69" s="25"/>
      <c r="W69" s="25"/>
      <c r="X69" s="25"/>
      <c r="Y69" s="25"/>
      <c r="Z69" s="25"/>
    </row>
    <row r="70" ht="15.0" hidden="1" customHeight="1">
      <c r="A70" s="153">
        <v>6923.0</v>
      </c>
      <c r="B70" s="120"/>
      <c r="C70" s="120"/>
      <c r="D70" s="121"/>
      <c r="E70" s="123"/>
      <c r="F70" s="122"/>
      <c r="G70" s="123"/>
      <c r="H70" s="122"/>
      <c r="I70" s="121"/>
      <c r="J70" s="123"/>
      <c r="K70" s="122"/>
      <c r="L70" s="122"/>
      <c r="M70" s="158">
        <f t="shared" si="1"/>
        <v>0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0" hidden="1" customHeight="1">
      <c r="A71" s="160">
        <v>7023.0</v>
      </c>
      <c r="B71" s="127"/>
      <c r="C71" s="127"/>
      <c r="D71" s="128"/>
      <c r="E71" s="129"/>
      <c r="F71" s="130"/>
      <c r="G71" s="129"/>
      <c r="H71" s="164"/>
      <c r="I71" s="128"/>
      <c r="J71" s="129"/>
      <c r="K71" s="130"/>
      <c r="L71" s="130"/>
      <c r="M71" s="165">
        <f t="shared" si="1"/>
        <v>0</v>
      </c>
      <c r="N71" s="25"/>
      <c r="O71" s="33" t="s">
        <v>11</v>
      </c>
      <c r="P71" s="34"/>
      <c r="Q71" s="34"/>
      <c r="R71" s="34"/>
      <c r="S71" s="34"/>
      <c r="T71" s="35"/>
      <c r="U71" s="25"/>
      <c r="V71" s="25"/>
      <c r="W71" s="25"/>
      <c r="X71" s="25"/>
      <c r="Y71" s="25"/>
      <c r="Z71" s="25"/>
    </row>
    <row r="72" ht="15.0" hidden="1" customHeight="1">
      <c r="A72" s="153">
        <v>7123.0</v>
      </c>
      <c r="B72" s="120"/>
      <c r="C72" s="120"/>
      <c r="D72" s="121"/>
      <c r="E72" s="123"/>
      <c r="F72" s="122"/>
      <c r="G72" s="123"/>
      <c r="H72" s="122"/>
      <c r="I72" s="121"/>
      <c r="J72" s="123"/>
      <c r="K72" s="122"/>
      <c r="L72" s="122"/>
      <c r="M72" s="158">
        <f t="shared" si="1"/>
        <v>0</v>
      </c>
      <c r="N72" s="25"/>
      <c r="O72" s="36"/>
      <c r="P72" s="37"/>
      <c r="Q72" s="37"/>
      <c r="R72" s="37"/>
      <c r="S72" s="37"/>
      <c r="T72" s="38"/>
      <c r="U72" s="25"/>
      <c r="V72" s="25"/>
      <c r="W72" s="25"/>
      <c r="X72" s="25"/>
      <c r="Y72" s="25"/>
      <c r="Z72" s="25"/>
    </row>
    <row r="73" ht="15.0" hidden="1" customHeight="1">
      <c r="A73" s="160">
        <v>7223.0</v>
      </c>
      <c r="B73" s="127"/>
      <c r="C73" s="127"/>
      <c r="D73" s="128"/>
      <c r="E73" s="129"/>
      <c r="F73" s="130"/>
      <c r="G73" s="129"/>
      <c r="H73" s="164"/>
      <c r="I73" s="128"/>
      <c r="J73" s="129"/>
      <c r="K73" s="130"/>
      <c r="L73" s="130"/>
      <c r="M73" s="165">
        <f t="shared" si="1"/>
        <v>0</v>
      </c>
      <c r="N73" s="25"/>
      <c r="O73" s="46" t="s">
        <v>225</v>
      </c>
      <c r="P73" s="40"/>
      <c r="Q73" s="40"/>
      <c r="R73" s="41"/>
      <c r="S73" s="45" t="s">
        <v>226</v>
      </c>
      <c r="T73" s="45" t="s">
        <v>108</v>
      </c>
      <c r="U73" s="25"/>
      <c r="V73" s="25"/>
      <c r="W73" s="25"/>
      <c r="X73" s="25"/>
      <c r="Y73" s="25"/>
      <c r="Z73" s="25"/>
    </row>
    <row r="74" ht="15.0" hidden="1" customHeight="1">
      <c r="A74" s="153">
        <v>7323.0</v>
      </c>
      <c r="B74" s="120"/>
      <c r="C74" s="120"/>
      <c r="D74" s="121"/>
      <c r="E74" s="123"/>
      <c r="F74" s="122"/>
      <c r="G74" s="123"/>
      <c r="H74" s="122"/>
      <c r="I74" s="121"/>
      <c r="J74" s="123"/>
      <c r="K74" s="122"/>
      <c r="L74" s="122"/>
      <c r="M74" s="158">
        <f t="shared" si="1"/>
        <v>0</v>
      </c>
      <c r="N74" s="25"/>
      <c r="O74" s="184" t="s">
        <v>254</v>
      </c>
      <c r="P74" s="40"/>
      <c r="Q74" s="40"/>
      <c r="R74" s="41"/>
      <c r="S74" s="90">
        <f>COUNTIF($L$2:$L$1001,"I - Produto altamente perigoso ao meio ambiente")</f>
        <v>0</v>
      </c>
      <c r="T74" s="91">
        <f>(S74/S78)</f>
        <v>0</v>
      </c>
      <c r="U74" s="25"/>
      <c r="V74" s="25"/>
      <c r="W74" s="25"/>
      <c r="X74" s="25"/>
      <c r="Y74" s="25"/>
      <c r="Z74" s="25"/>
    </row>
    <row r="75" ht="15.0" hidden="1" customHeight="1">
      <c r="A75" s="160">
        <v>7423.0</v>
      </c>
      <c r="B75" s="127"/>
      <c r="C75" s="127"/>
      <c r="D75" s="128"/>
      <c r="E75" s="129"/>
      <c r="F75" s="130"/>
      <c r="G75" s="129"/>
      <c r="H75" s="164"/>
      <c r="I75" s="128"/>
      <c r="J75" s="129"/>
      <c r="K75" s="130"/>
      <c r="L75" s="130"/>
      <c r="M75" s="165">
        <f t="shared" si="1"/>
        <v>0</v>
      </c>
      <c r="N75" s="25"/>
      <c r="O75" s="185" t="s">
        <v>256</v>
      </c>
      <c r="P75" s="40"/>
      <c r="Q75" s="40"/>
      <c r="R75" s="41"/>
      <c r="S75" s="93">
        <f>COUNTIF($L$2:$L$1001,"II - Produto muito perigoso ao meio ambiente")</f>
        <v>26</v>
      </c>
      <c r="T75" s="94">
        <f>(S75/S78)</f>
        <v>0.3939393939</v>
      </c>
      <c r="U75" s="25"/>
      <c r="V75" s="25"/>
      <c r="W75" s="25"/>
      <c r="X75" s="25"/>
      <c r="Y75" s="25"/>
      <c r="Z75" s="25"/>
    </row>
    <row r="76" ht="15.0" hidden="1" customHeight="1">
      <c r="A76" s="153">
        <v>7523.0</v>
      </c>
      <c r="B76" s="120"/>
      <c r="C76" s="120"/>
      <c r="D76" s="121"/>
      <c r="E76" s="123"/>
      <c r="F76" s="122"/>
      <c r="G76" s="123"/>
      <c r="H76" s="122"/>
      <c r="I76" s="121"/>
      <c r="J76" s="123"/>
      <c r="K76" s="122"/>
      <c r="L76" s="122"/>
      <c r="M76" s="158">
        <f t="shared" si="1"/>
        <v>0</v>
      </c>
      <c r="N76" s="25"/>
      <c r="O76" s="186" t="s">
        <v>258</v>
      </c>
      <c r="P76" s="40"/>
      <c r="Q76" s="40"/>
      <c r="R76" s="41"/>
      <c r="S76" s="96">
        <f>COUNTIF($L$2:$L$1001,"III - Produto perigoso ao meio ambiente")</f>
        <v>24</v>
      </c>
      <c r="T76" s="97">
        <f>(S76/S78)</f>
        <v>0.3636363636</v>
      </c>
      <c r="U76" s="25"/>
      <c r="V76" s="25"/>
      <c r="W76" s="25"/>
      <c r="X76" s="25"/>
      <c r="Y76" s="25"/>
      <c r="Z76" s="25"/>
    </row>
    <row r="77" ht="15.0" hidden="1" customHeight="1">
      <c r="A77" s="160">
        <v>7623.0</v>
      </c>
      <c r="B77" s="127"/>
      <c r="C77" s="127"/>
      <c r="D77" s="128"/>
      <c r="E77" s="129"/>
      <c r="F77" s="130"/>
      <c r="G77" s="129"/>
      <c r="H77" s="164"/>
      <c r="I77" s="128"/>
      <c r="J77" s="129"/>
      <c r="K77" s="130"/>
      <c r="L77" s="130"/>
      <c r="M77" s="165">
        <f t="shared" si="1"/>
        <v>0</v>
      </c>
      <c r="N77" s="25"/>
      <c r="O77" s="187" t="s">
        <v>260</v>
      </c>
      <c r="P77" s="40"/>
      <c r="Q77" s="40"/>
      <c r="R77" s="41"/>
      <c r="S77" s="99">
        <f>COUNTIF($L$2:$L$1001,"IV - Produto pouco perigoso ao meio ambiente")</f>
        <v>16</v>
      </c>
      <c r="T77" s="100">
        <f>(S77/S78)</f>
        <v>0.2424242424</v>
      </c>
      <c r="U77" s="25"/>
      <c r="V77" s="25"/>
      <c r="W77" s="25"/>
      <c r="X77" s="25"/>
      <c r="Y77" s="25"/>
      <c r="Z77" s="25"/>
    </row>
    <row r="78" ht="15.0" hidden="1" customHeight="1">
      <c r="A78" s="153">
        <v>7723.0</v>
      </c>
      <c r="B78" s="120"/>
      <c r="C78" s="120"/>
      <c r="D78" s="121"/>
      <c r="E78" s="123"/>
      <c r="F78" s="122"/>
      <c r="G78" s="123"/>
      <c r="H78" s="122"/>
      <c r="I78" s="121"/>
      <c r="J78" s="123"/>
      <c r="K78" s="122"/>
      <c r="L78" s="122"/>
      <c r="M78" s="158">
        <f t="shared" si="1"/>
        <v>0</v>
      </c>
      <c r="N78" s="25"/>
      <c r="O78" s="46" t="s">
        <v>219</v>
      </c>
      <c r="P78" s="40"/>
      <c r="Q78" s="40"/>
      <c r="R78" s="41"/>
      <c r="S78" s="45">
        <f>SUM(S74:S77)</f>
        <v>66</v>
      </c>
      <c r="T78" s="45">
        <f>(S78/S78)</f>
        <v>1</v>
      </c>
      <c r="U78" s="25"/>
      <c r="V78" s="25"/>
      <c r="W78" s="25"/>
      <c r="X78" s="25"/>
      <c r="Y78" s="25"/>
      <c r="Z78" s="25"/>
    </row>
    <row r="79" ht="15.0" hidden="1" customHeight="1">
      <c r="A79" s="160">
        <v>7823.0</v>
      </c>
      <c r="B79" s="127"/>
      <c r="C79" s="127"/>
      <c r="D79" s="128"/>
      <c r="E79" s="129"/>
      <c r="F79" s="130"/>
      <c r="G79" s="129"/>
      <c r="H79" s="164"/>
      <c r="I79" s="128"/>
      <c r="J79" s="129"/>
      <c r="K79" s="130"/>
      <c r="L79" s="130"/>
      <c r="M79" s="165">
        <f t="shared" si="1"/>
        <v>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0" hidden="1" customHeight="1">
      <c r="A80" s="153">
        <v>7923.0</v>
      </c>
      <c r="B80" s="120"/>
      <c r="C80" s="120"/>
      <c r="D80" s="121"/>
      <c r="E80" s="123"/>
      <c r="F80" s="122"/>
      <c r="G80" s="123"/>
      <c r="H80" s="122"/>
      <c r="I80" s="121"/>
      <c r="J80" s="123"/>
      <c r="K80" s="122"/>
      <c r="L80" s="122"/>
      <c r="M80" s="158">
        <f t="shared" si="1"/>
        <v>0</v>
      </c>
      <c r="N80" s="25"/>
      <c r="O80" s="188" t="s">
        <v>264</v>
      </c>
      <c r="P80" s="34"/>
      <c r="Q80" s="34"/>
      <c r="R80" s="34"/>
      <c r="S80" s="35"/>
      <c r="T80" s="25"/>
      <c r="U80" s="25"/>
      <c r="V80" s="25"/>
      <c r="W80" s="25"/>
      <c r="X80" s="25"/>
      <c r="Y80" s="25"/>
      <c r="Z80" s="25"/>
    </row>
    <row r="81" ht="15.0" hidden="1" customHeight="1">
      <c r="A81" s="160">
        <v>8023.0</v>
      </c>
      <c r="B81" s="127"/>
      <c r="C81" s="127"/>
      <c r="D81" s="128"/>
      <c r="E81" s="129"/>
      <c r="F81" s="130"/>
      <c r="G81" s="129"/>
      <c r="H81" s="164"/>
      <c r="I81" s="128"/>
      <c r="J81" s="129"/>
      <c r="K81" s="130"/>
      <c r="L81" s="130"/>
      <c r="M81" s="165">
        <f t="shared" si="1"/>
        <v>0</v>
      </c>
      <c r="N81" s="25"/>
      <c r="O81" s="36"/>
      <c r="P81" s="37"/>
      <c r="Q81" s="37"/>
      <c r="R81" s="37"/>
      <c r="S81" s="38"/>
      <c r="T81" s="25"/>
      <c r="U81" s="25"/>
      <c r="V81" s="25"/>
      <c r="W81" s="25"/>
      <c r="X81" s="25"/>
      <c r="Y81" s="25"/>
      <c r="Z81" s="25"/>
    </row>
    <row r="82" ht="15.0" hidden="1" customHeight="1">
      <c r="A82" s="153">
        <v>8123.0</v>
      </c>
      <c r="B82" s="120"/>
      <c r="C82" s="120"/>
      <c r="D82" s="121"/>
      <c r="E82" s="123"/>
      <c r="F82" s="122"/>
      <c r="G82" s="123"/>
      <c r="H82" s="122"/>
      <c r="I82" s="121"/>
      <c r="J82" s="123"/>
      <c r="K82" s="122"/>
      <c r="L82" s="122"/>
      <c r="M82" s="158">
        <f t="shared" si="1"/>
        <v>0</v>
      </c>
      <c r="N82" s="25"/>
      <c r="O82" s="45" t="s">
        <v>267</v>
      </c>
      <c r="P82" s="46" t="s">
        <v>268</v>
      </c>
      <c r="Q82" s="40"/>
      <c r="R82" s="40"/>
      <c r="S82" s="41"/>
      <c r="T82" s="25"/>
      <c r="U82" s="25"/>
      <c r="V82" s="25"/>
      <c r="W82" s="25"/>
      <c r="X82" s="25"/>
      <c r="Y82" s="25"/>
      <c r="Z82" s="25"/>
    </row>
    <row r="83" ht="15.0" hidden="1" customHeight="1">
      <c r="A83" s="160">
        <v>8223.0</v>
      </c>
      <c r="B83" s="127"/>
      <c r="C83" s="127"/>
      <c r="D83" s="128"/>
      <c r="E83" s="129"/>
      <c r="F83" s="130"/>
      <c r="G83" s="129"/>
      <c r="H83" s="164"/>
      <c r="I83" s="128"/>
      <c r="J83" s="129"/>
      <c r="K83" s="130"/>
      <c r="L83" s="130"/>
      <c r="M83" s="165">
        <f t="shared" si="1"/>
        <v>0</v>
      </c>
      <c r="N83" s="25"/>
      <c r="O83" s="122" t="s">
        <v>650</v>
      </c>
      <c r="P83" s="189">
        <f>AVERAGEIF(G2:G1001,"PF",M2:M1001)</f>
        <v>1853.125</v>
      </c>
      <c r="Q83" s="40"/>
      <c r="R83" s="40"/>
      <c r="S83" s="41"/>
      <c r="T83" s="25"/>
      <c r="U83" s="25"/>
      <c r="V83" s="25"/>
      <c r="W83" s="25"/>
      <c r="X83" s="25"/>
      <c r="Y83" s="25"/>
      <c r="Z83" s="25"/>
    </row>
    <row r="84" ht="15.0" hidden="1" customHeight="1">
      <c r="A84" s="153">
        <v>8323.0</v>
      </c>
      <c r="B84" s="120"/>
      <c r="C84" s="120"/>
      <c r="D84" s="121"/>
      <c r="E84" s="123"/>
      <c r="F84" s="122"/>
      <c r="G84" s="123"/>
      <c r="H84" s="122"/>
      <c r="I84" s="121"/>
      <c r="J84" s="123"/>
      <c r="K84" s="122"/>
      <c r="L84" s="122"/>
      <c r="M84" s="158">
        <f t="shared" si="1"/>
        <v>0</v>
      </c>
      <c r="N84" s="25"/>
      <c r="O84" s="130" t="s">
        <v>547</v>
      </c>
      <c r="P84" s="190">
        <f>AVERAGEIF(G2:G1001,"PFN",M2:M1001)</f>
        <v>2388.8</v>
      </c>
      <c r="Q84" s="40"/>
      <c r="R84" s="40"/>
      <c r="S84" s="41"/>
      <c r="T84" s="25"/>
      <c r="U84" s="25"/>
      <c r="V84" s="25"/>
      <c r="W84" s="25"/>
      <c r="X84" s="25"/>
      <c r="Y84" s="25"/>
      <c r="Z84" s="25"/>
    </row>
    <row r="85" ht="15.0" hidden="1" customHeight="1">
      <c r="A85" s="160">
        <v>8423.0</v>
      </c>
      <c r="B85" s="127"/>
      <c r="C85" s="127"/>
      <c r="D85" s="128"/>
      <c r="E85" s="129"/>
      <c r="F85" s="130"/>
      <c r="G85" s="129"/>
      <c r="H85" s="164"/>
      <c r="I85" s="128"/>
      <c r="J85" s="129"/>
      <c r="K85" s="130"/>
      <c r="L85" s="130"/>
      <c r="M85" s="165">
        <f t="shared" si="1"/>
        <v>0</v>
      </c>
      <c r="N85" s="25"/>
      <c r="O85" s="122" t="s">
        <v>552</v>
      </c>
      <c r="P85" s="189">
        <f>AVERAGEIF(G2:G1001,"PF/PTE",M2:M1001)</f>
        <v>2258.789474</v>
      </c>
      <c r="Q85" s="40"/>
      <c r="R85" s="40"/>
      <c r="S85" s="41"/>
      <c r="T85" s="25"/>
      <c r="U85" s="25"/>
      <c r="V85" s="25"/>
      <c r="W85" s="25"/>
      <c r="X85" s="25"/>
      <c r="Y85" s="25"/>
      <c r="Z85" s="25"/>
    </row>
    <row r="86" ht="15.0" hidden="1" customHeight="1">
      <c r="A86" s="153">
        <v>8523.0</v>
      </c>
      <c r="B86" s="120"/>
      <c r="C86" s="120"/>
      <c r="D86" s="121"/>
      <c r="E86" s="123"/>
      <c r="F86" s="122"/>
      <c r="G86" s="123"/>
      <c r="H86" s="122"/>
      <c r="I86" s="121"/>
      <c r="J86" s="123"/>
      <c r="K86" s="122"/>
      <c r="L86" s="122"/>
      <c r="M86" s="158">
        <f t="shared" si="1"/>
        <v>0</v>
      </c>
      <c r="N86" s="25"/>
      <c r="O86" s="130" t="s">
        <v>565</v>
      </c>
      <c r="P86" s="190">
        <f>AVERAGEIF(G2:G1001,"Bio",M2:M1001)</f>
        <v>349.3333333</v>
      </c>
      <c r="Q86" s="40"/>
      <c r="R86" s="40"/>
      <c r="S86" s="41"/>
      <c r="T86" s="25"/>
      <c r="U86" s="25"/>
      <c r="V86" s="25"/>
      <c r="W86" s="25"/>
      <c r="X86" s="25"/>
      <c r="Y86" s="25"/>
      <c r="Z86" s="25"/>
    </row>
    <row r="87" ht="15.0" hidden="1" customHeight="1">
      <c r="A87" s="160">
        <v>8623.0</v>
      </c>
      <c r="B87" s="127"/>
      <c r="C87" s="127"/>
      <c r="D87" s="128"/>
      <c r="E87" s="129"/>
      <c r="F87" s="130"/>
      <c r="G87" s="129"/>
      <c r="H87" s="164"/>
      <c r="I87" s="128"/>
      <c r="J87" s="129"/>
      <c r="K87" s="130"/>
      <c r="L87" s="130"/>
      <c r="M87" s="165">
        <f t="shared" si="1"/>
        <v>0</v>
      </c>
      <c r="N87" s="25"/>
      <c r="O87" s="122" t="s">
        <v>569</v>
      </c>
      <c r="P87" s="189">
        <f>AVERAGEIF(G2:G1001,"Bio/Org",M2:M1001)</f>
        <v>143.8888889</v>
      </c>
      <c r="Q87" s="40"/>
      <c r="R87" s="40"/>
      <c r="S87" s="41"/>
      <c r="T87" s="25"/>
      <c r="U87" s="25"/>
      <c r="V87" s="25"/>
      <c r="W87" s="25"/>
      <c r="X87" s="25"/>
      <c r="Y87" s="25"/>
      <c r="Z87" s="25"/>
    </row>
    <row r="88" ht="15.0" hidden="1" customHeight="1">
      <c r="A88" s="153">
        <v>8723.0</v>
      </c>
      <c r="B88" s="120"/>
      <c r="C88" s="120"/>
      <c r="D88" s="121"/>
      <c r="E88" s="123"/>
      <c r="F88" s="122"/>
      <c r="G88" s="123"/>
      <c r="H88" s="122"/>
      <c r="I88" s="121"/>
      <c r="J88" s="123"/>
      <c r="K88" s="122"/>
      <c r="L88" s="122"/>
      <c r="M88" s="158">
        <f t="shared" si="1"/>
        <v>0</v>
      </c>
      <c r="N88" s="25"/>
      <c r="O88" s="191" t="s">
        <v>275</v>
      </c>
      <c r="P88" s="192">
        <f>AVERAGEIF(M2:M601,"&gt;0",M2:M1001)</f>
        <v>1757.484848</v>
      </c>
      <c r="Q88" s="34"/>
      <c r="R88" s="34"/>
      <c r="S88" s="35"/>
      <c r="T88" s="25"/>
      <c r="U88" s="25"/>
      <c r="V88" s="25"/>
      <c r="W88" s="25"/>
      <c r="X88" s="25"/>
      <c r="Y88" s="25"/>
      <c r="Z88" s="25"/>
    </row>
    <row r="89" ht="15.0" hidden="1" customHeight="1">
      <c r="A89" s="160">
        <v>8823.0</v>
      </c>
      <c r="B89" s="127"/>
      <c r="C89" s="127"/>
      <c r="D89" s="128"/>
      <c r="E89" s="129"/>
      <c r="F89" s="130"/>
      <c r="G89" s="129"/>
      <c r="H89" s="164"/>
      <c r="I89" s="128"/>
      <c r="J89" s="129"/>
      <c r="K89" s="130"/>
      <c r="L89" s="130"/>
      <c r="M89" s="165">
        <f t="shared" si="1"/>
        <v>0</v>
      </c>
      <c r="N89" s="25"/>
      <c r="O89" s="193"/>
      <c r="P89" s="36"/>
      <c r="Q89" s="37"/>
      <c r="R89" s="37"/>
      <c r="S89" s="38"/>
      <c r="T89" s="25"/>
      <c r="U89" s="25"/>
      <c r="V89" s="25"/>
      <c r="W89" s="25"/>
      <c r="X89" s="25"/>
      <c r="Y89" s="25"/>
      <c r="Z89" s="25"/>
    </row>
    <row r="90" ht="15.0" hidden="1" customHeight="1">
      <c r="A90" s="153">
        <v>8923.0</v>
      </c>
      <c r="B90" s="120"/>
      <c r="C90" s="120"/>
      <c r="D90" s="121"/>
      <c r="E90" s="123"/>
      <c r="F90" s="122"/>
      <c r="G90" s="123"/>
      <c r="H90" s="122"/>
      <c r="I90" s="121"/>
      <c r="J90" s="123"/>
      <c r="K90" s="122"/>
      <c r="L90" s="122"/>
      <c r="M90" s="158">
        <f t="shared" si="1"/>
        <v>0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hidden="1" customHeight="1">
      <c r="A91" s="160">
        <v>9023.0</v>
      </c>
      <c r="B91" s="127"/>
      <c r="C91" s="127"/>
      <c r="D91" s="128"/>
      <c r="E91" s="129"/>
      <c r="F91" s="130"/>
      <c r="G91" s="129"/>
      <c r="H91" s="164"/>
      <c r="I91" s="128"/>
      <c r="J91" s="129"/>
      <c r="K91" s="130"/>
      <c r="L91" s="130"/>
      <c r="M91" s="165">
        <f t="shared" si="1"/>
        <v>0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0" hidden="1" customHeight="1">
      <c r="A92" s="153">
        <v>9123.0</v>
      </c>
      <c r="B92" s="120"/>
      <c r="C92" s="120"/>
      <c r="D92" s="121"/>
      <c r="E92" s="123"/>
      <c r="F92" s="122"/>
      <c r="G92" s="123"/>
      <c r="H92" s="122"/>
      <c r="I92" s="121"/>
      <c r="J92" s="123"/>
      <c r="K92" s="122"/>
      <c r="L92" s="122"/>
      <c r="M92" s="158">
        <f t="shared" si="1"/>
        <v>0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0" hidden="1" customHeight="1">
      <c r="A93" s="160">
        <v>9223.0</v>
      </c>
      <c r="B93" s="127"/>
      <c r="C93" s="127"/>
      <c r="D93" s="128"/>
      <c r="E93" s="129"/>
      <c r="F93" s="130"/>
      <c r="G93" s="129"/>
      <c r="H93" s="164"/>
      <c r="I93" s="128"/>
      <c r="J93" s="129"/>
      <c r="K93" s="130"/>
      <c r="L93" s="130"/>
      <c r="M93" s="165">
        <f t="shared" si="1"/>
        <v>0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0" hidden="1" customHeight="1">
      <c r="A94" s="153">
        <v>9323.0</v>
      </c>
      <c r="B94" s="120"/>
      <c r="C94" s="120"/>
      <c r="D94" s="121"/>
      <c r="E94" s="123"/>
      <c r="F94" s="122"/>
      <c r="G94" s="123"/>
      <c r="H94" s="122"/>
      <c r="I94" s="121"/>
      <c r="J94" s="123"/>
      <c r="K94" s="122"/>
      <c r="L94" s="122"/>
      <c r="M94" s="158">
        <f t="shared" si="1"/>
        <v>0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0" hidden="1" customHeight="1">
      <c r="A95" s="160">
        <v>9423.0</v>
      </c>
      <c r="B95" s="127"/>
      <c r="C95" s="127"/>
      <c r="D95" s="128"/>
      <c r="E95" s="129"/>
      <c r="F95" s="130"/>
      <c r="G95" s="129"/>
      <c r="H95" s="164"/>
      <c r="I95" s="128"/>
      <c r="J95" s="129"/>
      <c r="K95" s="130"/>
      <c r="L95" s="130"/>
      <c r="M95" s="165">
        <f t="shared" si="1"/>
        <v>0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0" hidden="1" customHeight="1">
      <c r="A96" s="153">
        <v>9523.0</v>
      </c>
      <c r="B96" s="120"/>
      <c r="C96" s="120"/>
      <c r="D96" s="121"/>
      <c r="E96" s="123"/>
      <c r="F96" s="122"/>
      <c r="G96" s="123"/>
      <c r="H96" s="122"/>
      <c r="I96" s="121"/>
      <c r="J96" s="123"/>
      <c r="K96" s="122"/>
      <c r="L96" s="122"/>
      <c r="M96" s="158">
        <f t="shared" si="1"/>
        <v>0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9.5" hidden="1" customHeight="1">
      <c r="A97" s="160">
        <v>9623.0</v>
      </c>
      <c r="B97" s="127"/>
      <c r="C97" s="127"/>
      <c r="D97" s="128"/>
      <c r="E97" s="129"/>
      <c r="F97" s="130"/>
      <c r="G97" s="129"/>
      <c r="H97" s="164"/>
      <c r="I97" s="128"/>
      <c r="J97" s="129"/>
      <c r="K97" s="130"/>
      <c r="L97" s="130"/>
      <c r="M97" s="165">
        <f t="shared" si="1"/>
        <v>0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0" hidden="1" customHeight="1">
      <c r="A98" s="153">
        <v>9723.0</v>
      </c>
      <c r="B98" s="120"/>
      <c r="C98" s="120"/>
      <c r="D98" s="121"/>
      <c r="E98" s="123"/>
      <c r="F98" s="122"/>
      <c r="G98" s="123"/>
      <c r="H98" s="122"/>
      <c r="I98" s="121"/>
      <c r="J98" s="123"/>
      <c r="K98" s="122"/>
      <c r="L98" s="122"/>
      <c r="M98" s="158">
        <f t="shared" si="1"/>
        <v>0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0" hidden="1" customHeight="1">
      <c r="A99" s="160">
        <v>9823.0</v>
      </c>
      <c r="B99" s="127"/>
      <c r="C99" s="127"/>
      <c r="D99" s="128"/>
      <c r="E99" s="129"/>
      <c r="F99" s="130"/>
      <c r="G99" s="129"/>
      <c r="H99" s="164"/>
      <c r="I99" s="128"/>
      <c r="J99" s="129"/>
      <c r="K99" s="130"/>
      <c r="L99" s="130"/>
      <c r="M99" s="165">
        <f t="shared" si="1"/>
        <v>0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0" hidden="1" customHeight="1">
      <c r="A100" s="153">
        <v>9923.0</v>
      </c>
      <c r="B100" s="120"/>
      <c r="C100" s="120"/>
      <c r="D100" s="121"/>
      <c r="E100" s="123"/>
      <c r="F100" s="122"/>
      <c r="G100" s="123"/>
      <c r="H100" s="122"/>
      <c r="I100" s="121"/>
      <c r="J100" s="123"/>
      <c r="K100" s="122"/>
      <c r="L100" s="122"/>
      <c r="M100" s="158">
        <f t="shared" si="1"/>
        <v>0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8.0" hidden="1" customHeight="1">
      <c r="A101" s="160">
        <v>10023.0</v>
      </c>
      <c r="B101" s="127"/>
      <c r="C101" s="127"/>
      <c r="D101" s="128"/>
      <c r="E101" s="129"/>
      <c r="F101" s="130"/>
      <c r="G101" s="129"/>
      <c r="H101" s="164"/>
      <c r="I101" s="128"/>
      <c r="J101" s="129"/>
      <c r="K101" s="130"/>
      <c r="L101" s="130"/>
      <c r="M101" s="165">
        <f t="shared" si="1"/>
        <v>0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8.75" hidden="1" customHeight="1">
      <c r="A102" s="153">
        <v>10123.0</v>
      </c>
      <c r="B102" s="120"/>
      <c r="C102" s="120"/>
      <c r="D102" s="121"/>
      <c r="E102" s="123"/>
      <c r="F102" s="122"/>
      <c r="G102" s="123"/>
      <c r="H102" s="122"/>
      <c r="I102" s="121"/>
      <c r="J102" s="123"/>
      <c r="K102" s="122"/>
      <c r="L102" s="122"/>
      <c r="M102" s="158">
        <f t="shared" si="1"/>
        <v>0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hidden="1" customHeight="1">
      <c r="A103" s="160">
        <v>10223.0</v>
      </c>
      <c r="B103" s="127"/>
      <c r="C103" s="127"/>
      <c r="D103" s="128"/>
      <c r="E103" s="129"/>
      <c r="F103" s="130"/>
      <c r="G103" s="129"/>
      <c r="H103" s="164"/>
      <c r="I103" s="128"/>
      <c r="J103" s="129"/>
      <c r="K103" s="130"/>
      <c r="L103" s="130"/>
      <c r="M103" s="165">
        <f t="shared" si="1"/>
        <v>0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hidden="1" customHeight="1">
      <c r="A104" s="153">
        <v>10323.0</v>
      </c>
      <c r="B104" s="120"/>
      <c r="C104" s="120"/>
      <c r="D104" s="121"/>
      <c r="E104" s="123"/>
      <c r="F104" s="122"/>
      <c r="G104" s="123"/>
      <c r="H104" s="122"/>
      <c r="I104" s="121"/>
      <c r="J104" s="123"/>
      <c r="K104" s="122"/>
      <c r="L104" s="122"/>
      <c r="M104" s="158">
        <f t="shared" si="1"/>
        <v>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hidden="1" customHeight="1">
      <c r="A105" s="160">
        <v>10423.0</v>
      </c>
      <c r="B105" s="127"/>
      <c r="C105" s="127"/>
      <c r="D105" s="128"/>
      <c r="E105" s="129"/>
      <c r="F105" s="130"/>
      <c r="G105" s="129"/>
      <c r="H105" s="164"/>
      <c r="I105" s="128"/>
      <c r="J105" s="129"/>
      <c r="K105" s="130"/>
      <c r="L105" s="130"/>
      <c r="M105" s="165">
        <f t="shared" si="1"/>
        <v>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hidden="1" customHeight="1">
      <c r="A106" s="153">
        <v>10523.0</v>
      </c>
      <c r="B106" s="120"/>
      <c r="C106" s="120"/>
      <c r="D106" s="121"/>
      <c r="E106" s="123"/>
      <c r="F106" s="122"/>
      <c r="G106" s="123"/>
      <c r="H106" s="122"/>
      <c r="I106" s="121"/>
      <c r="J106" s="123"/>
      <c r="K106" s="122"/>
      <c r="L106" s="122"/>
      <c r="M106" s="158">
        <f t="shared" si="1"/>
        <v>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hidden="1" customHeight="1">
      <c r="A107" s="160">
        <v>10623.0</v>
      </c>
      <c r="B107" s="127"/>
      <c r="C107" s="127"/>
      <c r="D107" s="128"/>
      <c r="E107" s="129"/>
      <c r="F107" s="130"/>
      <c r="G107" s="129"/>
      <c r="H107" s="164"/>
      <c r="I107" s="128"/>
      <c r="J107" s="129"/>
      <c r="K107" s="130"/>
      <c r="L107" s="130"/>
      <c r="M107" s="165">
        <f t="shared" si="1"/>
        <v>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hidden="1" customHeight="1">
      <c r="A108" s="153">
        <v>10723.0</v>
      </c>
      <c r="B108" s="120"/>
      <c r="C108" s="120"/>
      <c r="D108" s="121"/>
      <c r="E108" s="123"/>
      <c r="F108" s="122"/>
      <c r="G108" s="123"/>
      <c r="H108" s="122"/>
      <c r="I108" s="121"/>
      <c r="J108" s="123"/>
      <c r="K108" s="122"/>
      <c r="L108" s="122"/>
      <c r="M108" s="158">
        <f t="shared" si="1"/>
        <v>0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hidden="1" customHeight="1">
      <c r="A109" s="160">
        <v>10823.0</v>
      </c>
      <c r="B109" s="127"/>
      <c r="C109" s="127"/>
      <c r="D109" s="128"/>
      <c r="E109" s="129"/>
      <c r="F109" s="130"/>
      <c r="G109" s="129"/>
      <c r="H109" s="164"/>
      <c r="I109" s="128"/>
      <c r="J109" s="129"/>
      <c r="K109" s="130"/>
      <c r="L109" s="130"/>
      <c r="M109" s="165">
        <f t="shared" si="1"/>
        <v>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hidden="1" customHeight="1">
      <c r="A110" s="153">
        <v>10923.0</v>
      </c>
      <c r="B110" s="120"/>
      <c r="C110" s="120"/>
      <c r="D110" s="121"/>
      <c r="E110" s="123"/>
      <c r="F110" s="122"/>
      <c r="G110" s="123"/>
      <c r="H110" s="122"/>
      <c r="I110" s="121"/>
      <c r="J110" s="123"/>
      <c r="K110" s="122"/>
      <c r="L110" s="122"/>
      <c r="M110" s="158">
        <f t="shared" si="1"/>
        <v>0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hidden="1" customHeight="1">
      <c r="A111" s="160">
        <v>11023.0</v>
      </c>
      <c r="B111" s="127"/>
      <c r="C111" s="127"/>
      <c r="D111" s="128"/>
      <c r="E111" s="129"/>
      <c r="F111" s="130"/>
      <c r="G111" s="129"/>
      <c r="H111" s="164"/>
      <c r="I111" s="128"/>
      <c r="J111" s="129"/>
      <c r="K111" s="130"/>
      <c r="L111" s="130"/>
      <c r="M111" s="165">
        <f t="shared" si="1"/>
        <v>0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hidden="1" customHeight="1">
      <c r="A112" s="153">
        <v>11123.0</v>
      </c>
      <c r="B112" s="120"/>
      <c r="C112" s="120"/>
      <c r="D112" s="121"/>
      <c r="E112" s="123"/>
      <c r="F112" s="122"/>
      <c r="G112" s="123"/>
      <c r="H112" s="122"/>
      <c r="I112" s="121"/>
      <c r="J112" s="123"/>
      <c r="K112" s="122"/>
      <c r="L112" s="122"/>
      <c r="M112" s="158">
        <f t="shared" si="1"/>
        <v>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hidden="1" customHeight="1">
      <c r="A113" s="160">
        <v>11223.0</v>
      </c>
      <c r="B113" s="127"/>
      <c r="C113" s="127"/>
      <c r="D113" s="128"/>
      <c r="E113" s="129"/>
      <c r="F113" s="130"/>
      <c r="G113" s="129"/>
      <c r="H113" s="164"/>
      <c r="I113" s="128"/>
      <c r="J113" s="129"/>
      <c r="K113" s="130"/>
      <c r="L113" s="130"/>
      <c r="M113" s="165">
        <f t="shared" si="1"/>
        <v>0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hidden="1" customHeight="1">
      <c r="A114" s="153">
        <v>11323.0</v>
      </c>
      <c r="B114" s="120"/>
      <c r="C114" s="120"/>
      <c r="D114" s="121"/>
      <c r="E114" s="123"/>
      <c r="F114" s="122"/>
      <c r="G114" s="123"/>
      <c r="H114" s="122"/>
      <c r="I114" s="121"/>
      <c r="J114" s="123"/>
      <c r="K114" s="122"/>
      <c r="L114" s="122"/>
      <c r="M114" s="158">
        <f t="shared" si="1"/>
        <v>0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hidden="1" customHeight="1">
      <c r="A115" s="160">
        <v>11423.0</v>
      </c>
      <c r="B115" s="127"/>
      <c r="C115" s="127"/>
      <c r="D115" s="128"/>
      <c r="E115" s="129"/>
      <c r="F115" s="130"/>
      <c r="G115" s="129"/>
      <c r="H115" s="164"/>
      <c r="I115" s="128"/>
      <c r="J115" s="129"/>
      <c r="K115" s="130"/>
      <c r="L115" s="130"/>
      <c r="M115" s="165">
        <f t="shared" si="1"/>
        <v>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hidden="1" customHeight="1">
      <c r="A116" s="153">
        <v>11523.0</v>
      </c>
      <c r="B116" s="120"/>
      <c r="C116" s="120"/>
      <c r="D116" s="121"/>
      <c r="E116" s="123"/>
      <c r="F116" s="122"/>
      <c r="G116" s="123"/>
      <c r="H116" s="122"/>
      <c r="I116" s="121"/>
      <c r="J116" s="123"/>
      <c r="K116" s="122"/>
      <c r="L116" s="122"/>
      <c r="M116" s="158">
        <f t="shared" si="1"/>
        <v>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hidden="1" customHeight="1">
      <c r="A117" s="160">
        <v>11623.0</v>
      </c>
      <c r="B117" s="127"/>
      <c r="C117" s="127"/>
      <c r="D117" s="128"/>
      <c r="E117" s="129"/>
      <c r="F117" s="130"/>
      <c r="G117" s="129"/>
      <c r="H117" s="164"/>
      <c r="I117" s="128"/>
      <c r="J117" s="129"/>
      <c r="K117" s="130"/>
      <c r="L117" s="130"/>
      <c r="M117" s="165">
        <f t="shared" si="1"/>
        <v>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hidden="1" customHeight="1">
      <c r="A118" s="153">
        <v>11723.0</v>
      </c>
      <c r="B118" s="120"/>
      <c r="C118" s="120"/>
      <c r="D118" s="121"/>
      <c r="E118" s="123"/>
      <c r="F118" s="122"/>
      <c r="G118" s="123"/>
      <c r="H118" s="122"/>
      <c r="I118" s="121"/>
      <c r="J118" s="123"/>
      <c r="K118" s="122"/>
      <c r="L118" s="122"/>
      <c r="M118" s="158">
        <f t="shared" si="1"/>
        <v>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hidden="1" customHeight="1">
      <c r="A119" s="160">
        <v>11823.0</v>
      </c>
      <c r="B119" s="127"/>
      <c r="C119" s="127"/>
      <c r="D119" s="128"/>
      <c r="E119" s="129"/>
      <c r="F119" s="130"/>
      <c r="G119" s="129"/>
      <c r="H119" s="164"/>
      <c r="I119" s="128"/>
      <c r="J119" s="129"/>
      <c r="K119" s="130"/>
      <c r="L119" s="130"/>
      <c r="M119" s="165">
        <f t="shared" si="1"/>
        <v>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hidden="1" customHeight="1">
      <c r="A120" s="153">
        <v>11923.0</v>
      </c>
      <c r="B120" s="120"/>
      <c r="C120" s="120"/>
      <c r="D120" s="121"/>
      <c r="E120" s="123"/>
      <c r="F120" s="122"/>
      <c r="G120" s="123"/>
      <c r="H120" s="122"/>
      <c r="I120" s="121"/>
      <c r="J120" s="123"/>
      <c r="K120" s="122"/>
      <c r="L120" s="122"/>
      <c r="M120" s="158">
        <f t="shared" si="1"/>
        <v>0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hidden="1" customHeight="1">
      <c r="A121" s="160">
        <v>12023.0</v>
      </c>
      <c r="B121" s="127"/>
      <c r="C121" s="127"/>
      <c r="D121" s="128"/>
      <c r="E121" s="129"/>
      <c r="F121" s="130"/>
      <c r="G121" s="129"/>
      <c r="H121" s="164"/>
      <c r="I121" s="128"/>
      <c r="J121" s="129"/>
      <c r="K121" s="130"/>
      <c r="L121" s="130"/>
      <c r="M121" s="165">
        <f t="shared" si="1"/>
        <v>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hidden="1" customHeight="1">
      <c r="A122" s="153">
        <v>12123.0</v>
      </c>
      <c r="B122" s="120"/>
      <c r="C122" s="120"/>
      <c r="D122" s="121"/>
      <c r="E122" s="123"/>
      <c r="F122" s="122"/>
      <c r="G122" s="123"/>
      <c r="H122" s="122"/>
      <c r="I122" s="121"/>
      <c r="J122" s="123"/>
      <c r="K122" s="122"/>
      <c r="L122" s="122"/>
      <c r="M122" s="158">
        <f t="shared" si="1"/>
        <v>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hidden="1" customHeight="1">
      <c r="A123" s="160">
        <v>12223.0</v>
      </c>
      <c r="B123" s="127"/>
      <c r="C123" s="127"/>
      <c r="D123" s="128"/>
      <c r="E123" s="129"/>
      <c r="F123" s="130"/>
      <c r="G123" s="129"/>
      <c r="H123" s="164"/>
      <c r="I123" s="128"/>
      <c r="J123" s="129"/>
      <c r="K123" s="130"/>
      <c r="L123" s="130"/>
      <c r="M123" s="165">
        <f t="shared" si="1"/>
        <v>0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hidden="1" customHeight="1">
      <c r="A124" s="153">
        <v>12323.0</v>
      </c>
      <c r="B124" s="120"/>
      <c r="C124" s="120"/>
      <c r="D124" s="121"/>
      <c r="E124" s="123"/>
      <c r="F124" s="122"/>
      <c r="G124" s="123"/>
      <c r="H124" s="122"/>
      <c r="I124" s="121"/>
      <c r="J124" s="123"/>
      <c r="K124" s="122"/>
      <c r="L124" s="122"/>
      <c r="M124" s="158">
        <f t="shared" si="1"/>
        <v>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2.75" hidden="1" customHeight="1">
      <c r="A125" s="160">
        <v>12423.0</v>
      </c>
      <c r="B125" s="127"/>
      <c r="C125" s="127"/>
      <c r="D125" s="128"/>
      <c r="E125" s="129"/>
      <c r="F125" s="130"/>
      <c r="G125" s="129"/>
      <c r="H125" s="164"/>
      <c r="I125" s="128"/>
      <c r="J125" s="129"/>
      <c r="K125" s="130"/>
      <c r="L125" s="130"/>
      <c r="M125" s="165">
        <f t="shared" si="1"/>
        <v>0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hidden="1" customHeight="1">
      <c r="A126" s="153">
        <v>12523.0</v>
      </c>
      <c r="B126" s="120"/>
      <c r="C126" s="120"/>
      <c r="D126" s="121"/>
      <c r="E126" s="123"/>
      <c r="F126" s="122"/>
      <c r="G126" s="123"/>
      <c r="H126" s="122"/>
      <c r="I126" s="121"/>
      <c r="J126" s="123"/>
      <c r="K126" s="122"/>
      <c r="L126" s="122"/>
      <c r="M126" s="158">
        <f t="shared" si="1"/>
        <v>0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hidden="1" customHeight="1">
      <c r="A127" s="160">
        <v>12623.0</v>
      </c>
      <c r="B127" s="127"/>
      <c r="C127" s="127"/>
      <c r="D127" s="128"/>
      <c r="E127" s="129"/>
      <c r="F127" s="130"/>
      <c r="G127" s="129"/>
      <c r="H127" s="164"/>
      <c r="I127" s="128"/>
      <c r="J127" s="129"/>
      <c r="K127" s="130"/>
      <c r="L127" s="130"/>
      <c r="M127" s="165">
        <f t="shared" si="1"/>
        <v>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hidden="1" customHeight="1">
      <c r="A128" s="153">
        <v>12723.0</v>
      </c>
      <c r="B128" s="120"/>
      <c r="C128" s="120"/>
      <c r="D128" s="121"/>
      <c r="E128" s="123"/>
      <c r="F128" s="122"/>
      <c r="G128" s="123"/>
      <c r="H128" s="122"/>
      <c r="I128" s="121"/>
      <c r="J128" s="123"/>
      <c r="K128" s="122"/>
      <c r="L128" s="122"/>
      <c r="M128" s="158">
        <f t="shared" si="1"/>
        <v>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hidden="1" customHeight="1">
      <c r="A129" s="160">
        <v>12823.0</v>
      </c>
      <c r="B129" s="127"/>
      <c r="C129" s="127"/>
      <c r="D129" s="128"/>
      <c r="E129" s="129"/>
      <c r="F129" s="130"/>
      <c r="G129" s="129"/>
      <c r="H129" s="164"/>
      <c r="I129" s="128"/>
      <c r="J129" s="129"/>
      <c r="K129" s="130"/>
      <c r="L129" s="130"/>
      <c r="M129" s="165">
        <f t="shared" si="1"/>
        <v>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hidden="1" customHeight="1">
      <c r="A130" s="153">
        <v>12923.0</v>
      </c>
      <c r="B130" s="120"/>
      <c r="C130" s="120"/>
      <c r="D130" s="121"/>
      <c r="E130" s="123"/>
      <c r="F130" s="122"/>
      <c r="G130" s="123"/>
      <c r="H130" s="122"/>
      <c r="I130" s="121"/>
      <c r="J130" s="123"/>
      <c r="K130" s="122"/>
      <c r="L130" s="122"/>
      <c r="M130" s="158">
        <f t="shared" si="1"/>
        <v>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hidden="1" customHeight="1">
      <c r="A131" s="160">
        <v>13023.0</v>
      </c>
      <c r="B131" s="127"/>
      <c r="C131" s="127"/>
      <c r="D131" s="128"/>
      <c r="E131" s="129"/>
      <c r="F131" s="130"/>
      <c r="G131" s="129"/>
      <c r="H131" s="164"/>
      <c r="I131" s="128"/>
      <c r="J131" s="129"/>
      <c r="K131" s="130"/>
      <c r="L131" s="130"/>
      <c r="M131" s="165">
        <f t="shared" si="1"/>
        <v>0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hidden="1" customHeight="1">
      <c r="A132" s="153">
        <v>13123.0</v>
      </c>
      <c r="B132" s="120"/>
      <c r="C132" s="120"/>
      <c r="D132" s="121"/>
      <c r="E132" s="123"/>
      <c r="F132" s="122"/>
      <c r="G132" s="123"/>
      <c r="H132" s="122"/>
      <c r="I132" s="121"/>
      <c r="J132" s="123"/>
      <c r="K132" s="122"/>
      <c r="L132" s="122"/>
      <c r="M132" s="158">
        <f t="shared" si="1"/>
        <v>0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hidden="1" customHeight="1">
      <c r="A133" s="160">
        <v>13223.0</v>
      </c>
      <c r="B133" s="127"/>
      <c r="C133" s="127"/>
      <c r="D133" s="128"/>
      <c r="E133" s="129"/>
      <c r="F133" s="130"/>
      <c r="G133" s="129"/>
      <c r="H133" s="164"/>
      <c r="I133" s="128"/>
      <c r="J133" s="129"/>
      <c r="K133" s="130"/>
      <c r="L133" s="130"/>
      <c r="M133" s="165">
        <f t="shared" si="1"/>
        <v>0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hidden="1" customHeight="1">
      <c r="A134" s="153">
        <v>13323.0</v>
      </c>
      <c r="B134" s="120"/>
      <c r="C134" s="120"/>
      <c r="D134" s="121"/>
      <c r="E134" s="123"/>
      <c r="F134" s="122"/>
      <c r="G134" s="123"/>
      <c r="H134" s="122"/>
      <c r="I134" s="121"/>
      <c r="J134" s="123"/>
      <c r="K134" s="122"/>
      <c r="L134" s="122"/>
      <c r="M134" s="158">
        <f t="shared" si="1"/>
        <v>0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hidden="1" customHeight="1">
      <c r="A135" s="160">
        <v>13423.0</v>
      </c>
      <c r="B135" s="127"/>
      <c r="C135" s="127"/>
      <c r="D135" s="128"/>
      <c r="E135" s="129"/>
      <c r="F135" s="130"/>
      <c r="G135" s="129"/>
      <c r="H135" s="164"/>
      <c r="I135" s="128"/>
      <c r="J135" s="129"/>
      <c r="K135" s="130"/>
      <c r="L135" s="130"/>
      <c r="M135" s="165">
        <f t="shared" si="1"/>
        <v>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hidden="1" customHeight="1">
      <c r="A136" s="153">
        <v>13523.0</v>
      </c>
      <c r="B136" s="120"/>
      <c r="C136" s="120"/>
      <c r="D136" s="121"/>
      <c r="E136" s="123"/>
      <c r="F136" s="122"/>
      <c r="G136" s="123"/>
      <c r="H136" s="122"/>
      <c r="I136" s="121"/>
      <c r="J136" s="123"/>
      <c r="K136" s="122"/>
      <c r="L136" s="122"/>
      <c r="M136" s="158">
        <f t="shared" si="1"/>
        <v>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hidden="1" customHeight="1">
      <c r="A137" s="160">
        <v>13623.0</v>
      </c>
      <c r="B137" s="127"/>
      <c r="C137" s="127"/>
      <c r="D137" s="128"/>
      <c r="E137" s="129"/>
      <c r="F137" s="130"/>
      <c r="G137" s="129"/>
      <c r="H137" s="164"/>
      <c r="I137" s="128"/>
      <c r="J137" s="129"/>
      <c r="K137" s="130"/>
      <c r="L137" s="130"/>
      <c r="M137" s="165">
        <f t="shared" si="1"/>
        <v>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hidden="1" customHeight="1">
      <c r="A138" s="153">
        <v>13723.0</v>
      </c>
      <c r="B138" s="120"/>
      <c r="C138" s="120"/>
      <c r="D138" s="121"/>
      <c r="E138" s="123"/>
      <c r="F138" s="122"/>
      <c r="G138" s="123"/>
      <c r="H138" s="122"/>
      <c r="I138" s="121"/>
      <c r="J138" s="123"/>
      <c r="K138" s="122"/>
      <c r="L138" s="122"/>
      <c r="M138" s="158">
        <f t="shared" si="1"/>
        <v>0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hidden="1" customHeight="1">
      <c r="A139" s="160">
        <v>13823.0</v>
      </c>
      <c r="B139" s="127"/>
      <c r="C139" s="127"/>
      <c r="D139" s="128"/>
      <c r="E139" s="129"/>
      <c r="F139" s="130"/>
      <c r="G139" s="129"/>
      <c r="H139" s="164"/>
      <c r="I139" s="128"/>
      <c r="J139" s="129"/>
      <c r="K139" s="130"/>
      <c r="L139" s="130"/>
      <c r="M139" s="165">
        <f t="shared" si="1"/>
        <v>0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hidden="1" customHeight="1">
      <c r="A140" s="153">
        <v>13923.0</v>
      </c>
      <c r="B140" s="120"/>
      <c r="C140" s="120"/>
      <c r="D140" s="121"/>
      <c r="E140" s="123"/>
      <c r="F140" s="122"/>
      <c r="G140" s="123"/>
      <c r="H140" s="122"/>
      <c r="I140" s="121"/>
      <c r="J140" s="123"/>
      <c r="K140" s="122"/>
      <c r="L140" s="122"/>
      <c r="M140" s="158">
        <f t="shared" si="1"/>
        <v>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hidden="1" customHeight="1">
      <c r="A141" s="160">
        <v>14023.0</v>
      </c>
      <c r="B141" s="127"/>
      <c r="C141" s="127"/>
      <c r="D141" s="128"/>
      <c r="E141" s="129"/>
      <c r="F141" s="130"/>
      <c r="G141" s="129"/>
      <c r="H141" s="164"/>
      <c r="I141" s="128"/>
      <c r="J141" s="129"/>
      <c r="K141" s="130"/>
      <c r="L141" s="130"/>
      <c r="M141" s="165">
        <f t="shared" si="1"/>
        <v>0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hidden="1" customHeight="1">
      <c r="A142" s="153">
        <v>14123.0</v>
      </c>
      <c r="B142" s="120"/>
      <c r="C142" s="120"/>
      <c r="D142" s="121"/>
      <c r="E142" s="123"/>
      <c r="F142" s="122"/>
      <c r="G142" s="123"/>
      <c r="H142" s="122"/>
      <c r="I142" s="121"/>
      <c r="J142" s="123"/>
      <c r="K142" s="122"/>
      <c r="L142" s="122"/>
      <c r="M142" s="158">
        <f t="shared" si="1"/>
        <v>0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hidden="1" customHeight="1">
      <c r="A143" s="160">
        <v>14223.0</v>
      </c>
      <c r="B143" s="127"/>
      <c r="C143" s="127"/>
      <c r="D143" s="128"/>
      <c r="E143" s="129"/>
      <c r="F143" s="130"/>
      <c r="G143" s="129"/>
      <c r="H143" s="164"/>
      <c r="I143" s="128"/>
      <c r="J143" s="129"/>
      <c r="K143" s="130"/>
      <c r="L143" s="130"/>
      <c r="M143" s="165">
        <f t="shared" si="1"/>
        <v>0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hidden="1" customHeight="1">
      <c r="A144" s="153">
        <v>14323.0</v>
      </c>
      <c r="B144" s="120"/>
      <c r="C144" s="120"/>
      <c r="D144" s="121"/>
      <c r="E144" s="123"/>
      <c r="F144" s="122"/>
      <c r="G144" s="123"/>
      <c r="H144" s="122"/>
      <c r="I144" s="121"/>
      <c r="J144" s="123"/>
      <c r="K144" s="122"/>
      <c r="L144" s="122"/>
      <c r="M144" s="158">
        <f t="shared" si="1"/>
        <v>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hidden="1" customHeight="1">
      <c r="A145" s="160">
        <v>14423.0</v>
      </c>
      <c r="B145" s="127"/>
      <c r="C145" s="127"/>
      <c r="D145" s="128"/>
      <c r="E145" s="129"/>
      <c r="F145" s="130"/>
      <c r="G145" s="129"/>
      <c r="H145" s="164"/>
      <c r="I145" s="128"/>
      <c r="J145" s="129"/>
      <c r="K145" s="130"/>
      <c r="L145" s="130"/>
      <c r="M145" s="165">
        <f t="shared" si="1"/>
        <v>0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hidden="1" customHeight="1">
      <c r="A146" s="153">
        <v>14523.0</v>
      </c>
      <c r="B146" s="120"/>
      <c r="C146" s="120"/>
      <c r="D146" s="121"/>
      <c r="E146" s="123"/>
      <c r="F146" s="122"/>
      <c r="G146" s="123"/>
      <c r="H146" s="122"/>
      <c r="I146" s="121"/>
      <c r="J146" s="123"/>
      <c r="K146" s="122"/>
      <c r="L146" s="122"/>
      <c r="M146" s="158">
        <f t="shared" si="1"/>
        <v>0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hidden="1" customHeight="1">
      <c r="A147" s="160">
        <v>14623.0</v>
      </c>
      <c r="B147" s="127"/>
      <c r="C147" s="127"/>
      <c r="D147" s="128"/>
      <c r="E147" s="129"/>
      <c r="F147" s="130"/>
      <c r="G147" s="129"/>
      <c r="H147" s="164"/>
      <c r="I147" s="128"/>
      <c r="J147" s="129"/>
      <c r="K147" s="130"/>
      <c r="L147" s="130"/>
      <c r="M147" s="165">
        <f t="shared" si="1"/>
        <v>0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hidden="1" customHeight="1">
      <c r="A148" s="153">
        <v>14723.0</v>
      </c>
      <c r="B148" s="120"/>
      <c r="C148" s="120"/>
      <c r="D148" s="121"/>
      <c r="E148" s="123"/>
      <c r="F148" s="122"/>
      <c r="G148" s="123"/>
      <c r="H148" s="122"/>
      <c r="I148" s="121"/>
      <c r="J148" s="123"/>
      <c r="K148" s="122"/>
      <c r="L148" s="122"/>
      <c r="M148" s="158">
        <f t="shared" si="1"/>
        <v>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hidden="1" customHeight="1">
      <c r="A149" s="160">
        <v>14823.0</v>
      </c>
      <c r="B149" s="127"/>
      <c r="C149" s="127"/>
      <c r="D149" s="128"/>
      <c r="E149" s="129"/>
      <c r="F149" s="130"/>
      <c r="G149" s="129"/>
      <c r="H149" s="164"/>
      <c r="I149" s="128"/>
      <c r="J149" s="129"/>
      <c r="K149" s="130"/>
      <c r="L149" s="130"/>
      <c r="M149" s="165">
        <f t="shared" si="1"/>
        <v>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hidden="1" customHeight="1">
      <c r="A150" s="153">
        <v>14923.0</v>
      </c>
      <c r="B150" s="120"/>
      <c r="C150" s="120"/>
      <c r="D150" s="121"/>
      <c r="E150" s="123"/>
      <c r="F150" s="122"/>
      <c r="G150" s="123"/>
      <c r="H150" s="122"/>
      <c r="I150" s="121"/>
      <c r="J150" s="123"/>
      <c r="K150" s="122"/>
      <c r="L150" s="122"/>
      <c r="M150" s="158">
        <f t="shared" si="1"/>
        <v>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hidden="1" customHeight="1">
      <c r="A151" s="160">
        <v>15023.0</v>
      </c>
      <c r="B151" s="127"/>
      <c r="C151" s="127"/>
      <c r="D151" s="128"/>
      <c r="E151" s="129"/>
      <c r="F151" s="130"/>
      <c r="G151" s="129"/>
      <c r="H151" s="164"/>
      <c r="I151" s="128"/>
      <c r="J151" s="129"/>
      <c r="K151" s="130"/>
      <c r="L151" s="130"/>
      <c r="M151" s="165">
        <f t="shared" si="1"/>
        <v>0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hidden="1" customHeight="1">
      <c r="A152" s="153">
        <v>15123.0</v>
      </c>
      <c r="B152" s="120"/>
      <c r="C152" s="120"/>
      <c r="D152" s="121"/>
      <c r="E152" s="123"/>
      <c r="F152" s="122"/>
      <c r="G152" s="123"/>
      <c r="H152" s="122"/>
      <c r="I152" s="121"/>
      <c r="J152" s="123"/>
      <c r="K152" s="122"/>
      <c r="L152" s="122"/>
      <c r="M152" s="158">
        <f t="shared" si="1"/>
        <v>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hidden="1" customHeight="1">
      <c r="A153" s="160">
        <v>15223.0</v>
      </c>
      <c r="B153" s="127"/>
      <c r="C153" s="127"/>
      <c r="D153" s="128"/>
      <c r="E153" s="129"/>
      <c r="F153" s="130"/>
      <c r="G153" s="129"/>
      <c r="H153" s="164"/>
      <c r="I153" s="128"/>
      <c r="J153" s="129"/>
      <c r="K153" s="130"/>
      <c r="L153" s="130"/>
      <c r="M153" s="165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hidden="1" customHeight="1">
      <c r="A154" s="153">
        <v>15323.0</v>
      </c>
      <c r="B154" s="120"/>
      <c r="C154" s="120"/>
      <c r="D154" s="121"/>
      <c r="E154" s="123"/>
      <c r="F154" s="122"/>
      <c r="G154" s="123"/>
      <c r="H154" s="122"/>
      <c r="I154" s="121"/>
      <c r="J154" s="123"/>
      <c r="K154" s="122"/>
      <c r="L154" s="122"/>
      <c r="M154" s="158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hidden="1" customHeight="1">
      <c r="A155" s="160">
        <v>15423.0</v>
      </c>
      <c r="B155" s="127"/>
      <c r="C155" s="127"/>
      <c r="D155" s="128"/>
      <c r="E155" s="129"/>
      <c r="F155" s="130"/>
      <c r="G155" s="129"/>
      <c r="H155" s="164"/>
      <c r="I155" s="128"/>
      <c r="J155" s="129"/>
      <c r="K155" s="130"/>
      <c r="L155" s="130"/>
      <c r="M155" s="165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hidden="1" customHeight="1">
      <c r="A156" s="153">
        <v>15523.0</v>
      </c>
      <c r="B156" s="120"/>
      <c r="C156" s="120"/>
      <c r="D156" s="121"/>
      <c r="E156" s="123"/>
      <c r="F156" s="122"/>
      <c r="G156" s="123"/>
      <c r="H156" s="122"/>
      <c r="I156" s="121"/>
      <c r="J156" s="123"/>
      <c r="K156" s="122"/>
      <c r="L156" s="122"/>
      <c r="M156" s="158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hidden="1" customHeight="1">
      <c r="A157" s="160">
        <v>15623.0</v>
      </c>
      <c r="B157" s="127"/>
      <c r="C157" s="127"/>
      <c r="D157" s="128"/>
      <c r="E157" s="129"/>
      <c r="F157" s="130"/>
      <c r="G157" s="129"/>
      <c r="H157" s="164"/>
      <c r="I157" s="128"/>
      <c r="J157" s="129"/>
      <c r="K157" s="130"/>
      <c r="L157" s="130"/>
      <c r="M157" s="165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hidden="1" customHeight="1">
      <c r="A158" s="153">
        <v>15723.0</v>
      </c>
      <c r="B158" s="120"/>
      <c r="C158" s="120"/>
      <c r="D158" s="121"/>
      <c r="E158" s="123"/>
      <c r="F158" s="122"/>
      <c r="G158" s="123"/>
      <c r="H158" s="122"/>
      <c r="I158" s="121"/>
      <c r="J158" s="123"/>
      <c r="K158" s="122"/>
      <c r="L158" s="122"/>
      <c r="M158" s="158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hidden="1" customHeight="1">
      <c r="A159" s="160">
        <v>15823.0</v>
      </c>
      <c r="B159" s="127"/>
      <c r="C159" s="127"/>
      <c r="D159" s="128"/>
      <c r="E159" s="129"/>
      <c r="F159" s="130"/>
      <c r="G159" s="129"/>
      <c r="H159" s="164"/>
      <c r="I159" s="128"/>
      <c r="J159" s="129"/>
      <c r="K159" s="130"/>
      <c r="L159" s="130"/>
      <c r="M159" s="165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hidden="1" customHeight="1">
      <c r="A160" s="153">
        <v>15923.0</v>
      </c>
      <c r="B160" s="120"/>
      <c r="C160" s="120"/>
      <c r="D160" s="121"/>
      <c r="E160" s="123"/>
      <c r="F160" s="122"/>
      <c r="G160" s="123"/>
      <c r="H160" s="122"/>
      <c r="I160" s="121"/>
      <c r="J160" s="123"/>
      <c r="K160" s="122"/>
      <c r="L160" s="122"/>
      <c r="M160" s="158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hidden="1" customHeight="1">
      <c r="A161" s="160">
        <v>16023.0</v>
      </c>
      <c r="B161" s="127"/>
      <c r="C161" s="127"/>
      <c r="D161" s="128"/>
      <c r="E161" s="129"/>
      <c r="F161" s="130"/>
      <c r="G161" s="129"/>
      <c r="H161" s="164"/>
      <c r="I161" s="128"/>
      <c r="J161" s="129"/>
      <c r="K161" s="130"/>
      <c r="L161" s="130"/>
      <c r="M161" s="165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hidden="1" customHeight="1">
      <c r="A162" s="153">
        <v>16123.0</v>
      </c>
      <c r="B162" s="120"/>
      <c r="C162" s="120"/>
      <c r="D162" s="121"/>
      <c r="E162" s="123"/>
      <c r="F162" s="122"/>
      <c r="G162" s="123"/>
      <c r="H162" s="122"/>
      <c r="I162" s="121"/>
      <c r="J162" s="123"/>
      <c r="K162" s="122"/>
      <c r="L162" s="122"/>
      <c r="M162" s="158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hidden="1" customHeight="1">
      <c r="A163" s="160">
        <v>16223.0</v>
      </c>
      <c r="B163" s="127"/>
      <c r="C163" s="127"/>
      <c r="D163" s="128"/>
      <c r="E163" s="129"/>
      <c r="F163" s="130"/>
      <c r="G163" s="129"/>
      <c r="H163" s="164"/>
      <c r="I163" s="128"/>
      <c r="J163" s="129"/>
      <c r="K163" s="130"/>
      <c r="L163" s="130"/>
      <c r="M163" s="165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hidden="1" customHeight="1">
      <c r="A164" s="153">
        <v>16323.0</v>
      </c>
      <c r="B164" s="120"/>
      <c r="C164" s="120"/>
      <c r="D164" s="121"/>
      <c r="E164" s="123"/>
      <c r="F164" s="122"/>
      <c r="G164" s="123"/>
      <c r="H164" s="122"/>
      <c r="I164" s="121"/>
      <c r="J164" s="123"/>
      <c r="K164" s="122"/>
      <c r="L164" s="122"/>
      <c r="M164" s="158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hidden="1" customHeight="1">
      <c r="A165" s="160">
        <v>16423.0</v>
      </c>
      <c r="B165" s="127"/>
      <c r="C165" s="127"/>
      <c r="D165" s="128"/>
      <c r="E165" s="129"/>
      <c r="F165" s="130"/>
      <c r="G165" s="129"/>
      <c r="H165" s="164"/>
      <c r="I165" s="128"/>
      <c r="J165" s="129"/>
      <c r="K165" s="130"/>
      <c r="L165" s="130"/>
      <c r="M165" s="165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hidden="1" customHeight="1">
      <c r="A166" s="153">
        <v>16523.0</v>
      </c>
      <c r="B166" s="120"/>
      <c r="C166" s="120"/>
      <c r="D166" s="121"/>
      <c r="E166" s="123"/>
      <c r="F166" s="122"/>
      <c r="G166" s="123"/>
      <c r="H166" s="122"/>
      <c r="I166" s="121"/>
      <c r="J166" s="123"/>
      <c r="K166" s="122"/>
      <c r="L166" s="122"/>
      <c r="M166" s="158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hidden="1" customHeight="1">
      <c r="A167" s="160">
        <v>16623.0</v>
      </c>
      <c r="B167" s="127"/>
      <c r="C167" s="127"/>
      <c r="D167" s="128"/>
      <c r="E167" s="129"/>
      <c r="F167" s="130"/>
      <c r="G167" s="129"/>
      <c r="H167" s="164"/>
      <c r="I167" s="128"/>
      <c r="J167" s="129"/>
      <c r="K167" s="130"/>
      <c r="L167" s="130"/>
      <c r="M167" s="165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hidden="1" customHeight="1">
      <c r="A168" s="153">
        <v>16723.0</v>
      </c>
      <c r="B168" s="120"/>
      <c r="C168" s="120"/>
      <c r="D168" s="121"/>
      <c r="E168" s="123"/>
      <c r="F168" s="122"/>
      <c r="G168" s="123"/>
      <c r="H168" s="122"/>
      <c r="I168" s="121"/>
      <c r="J168" s="123"/>
      <c r="K168" s="122"/>
      <c r="L168" s="122"/>
      <c r="M168" s="158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hidden="1" customHeight="1">
      <c r="A169" s="160">
        <v>16823.0</v>
      </c>
      <c r="B169" s="127"/>
      <c r="C169" s="127"/>
      <c r="D169" s="128"/>
      <c r="E169" s="129"/>
      <c r="F169" s="130"/>
      <c r="G169" s="129"/>
      <c r="H169" s="164"/>
      <c r="I169" s="128"/>
      <c r="J169" s="129"/>
      <c r="K169" s="130"/>
      <c r="L169" s="130"/>
      <c r="M169" s="165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hidden="1" customHeight="1">
      <c r="A170" s="153">
        <v>16923.0</v>
      </c>
      <c r="B170" s="120"/>
      <c r="C170" s="120"/>
      <c r="D170" s="121"/>
      <c r="E170" s="123"/>
      <c r="F170" s="122"/>
      <c r="G170" s="123"/>
      <c r="H170" s="122"/>
      <c r="I170" s="121"/>
      <c r="J170" s="123"/>
      <c r="K170" s="122"/>
      <c r="L170" s="122"/>
      <c r="M170" s="158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hidden="1" customHeight="1">
      <c r="A171" s="160">
        <v>17023.0</v>
      </c>
      <c r="B171" s="127"/>
      <c r="C171" s="127"/>
      <c r="D171" s="128"/>
      <c r="E171" s="129"/>
      <c r="F171" s="130"/>
      <c r="G171" s="129"/>
      <c r="H171" s="164"/>
      <c r="I171" s="128"/>
      <c r="J171" s="129"/>
      <c r="K171" s="130"/>
      <c r="L171" s="130"/>
      <c r="M171" s="165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hidden="1" customHeight="1">
      <c r="A172" s="153">
        <v>17123.0</v>
      </c>
      <c r="B172" s="120"/>
      <c r="C172" s="120"/>
      <c r="D172" s="121"/>
      <c r="E172" s="123"/>
      <c r="F172" s="122"/>
      <c r="G172" s="123"/>
      <c r="H172" s="122"/>
      <c r="I172" s="121"/>
      <c r="J172" s="123"/>
      <c r="K172" s="122"/>
      <c r="L172" s="122"/>
      <c r="M172" s="158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hidden="1" customHeight="1">
      <c r="A173" s="160">
        <v>17223.0</v>
      </c>
      <c r="B173" s="127"/>
      <c r="C173" s="127"/>
      <c r="D173" s="128"/>
      <c r="E173" s="129"/>
      <c r="F173" s="130"/>
      <c r="G173" s="129"/>
      <c r="H173" s="164"/>
      <c r="I173" s="128"/>
      <c r="J173" s="129"/>
      <c r="K173" s="130"/>
      <c r="L173" s="130"/>
      <c r="M173" s="165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0" hidden="1" customHeight="1">
      <c r="A174" s="153">
        <v>17323.0</v>
      </c>
      <c r="B174" s="120"/>
      <c r="C174" s="120"/>
      <c r="D174" s="121"/>
      <c r="E174" s="123"/>
      <c r="F174" s="122"/>
      <c r="G174" s="123"/>
      <c r="H174" s="122"/>
      <c r="I174" s="121"/>
      <c r="J174" s="123"/>
      <c r="K174" s="122"/>
      <c r="L174" s="122"/>
      <c r="M174" s="158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0" hidden="1" customHeight="1">
      <c r="A175" s="160">
        <v>17423.0</v>
      </c>
      <c r="B175" s="127"/>
      <c r="C175" s="127"/>
      <c r="D175" s="128"/>
      <c r="E175" s="129"/>
      <c r="F175" s="130"/>
      <c r="G175" s="129"/>
      <c r="H175" s="164"/>
      <c r="I175" s="128"/>
      <c r="J175" s="129"/>
      <c r="K175" s="130"/>
      <c r="L175" s="130"/>
      <c r="M175" s="165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0" hidden="1" customHeight="1">
      <c r="A176" s="153">
        <v>17523.0</v>
      </c>
      <c r="B176" s="120"/>
      <c r="C176" s="120"/>
      <c r="D176" s="121"/>
      <c r="E176" s="123"/>
      <c r="F176" s="122"/>
      <c r="G176" s="123"/>
      <c r="H176" s="122"/>
      <c r="I176" s="121"/>
      <c r="J176" s="123"/>
      <c r="K176" s="122"/>
      <c r="L176" s="122"/>
      <c r="M176" s="158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hidden="1" customHeight="1">
      <c r="A177" s="160">
        <v>17623.0</v>
      </c>
      <c r="B177" s="127"/>
      <c r="C177" s="127"/>
      <c r="D177" s="128"/>
      <c r="E177" s="129"/>
      <c r="F177" s="130"/>
      <c r="G177" s="129"/>
      <c r="H177" s="164"/>
      <c r="I177" s="128"/>
      <c r="J177" s="129"/>
      <c r="K177" s="130"/>
      <c r="L177" s="130"/>
      <c r="M177" s="165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hidden="1" customHeight="1">
      <c r="A178" s="153">
        <v>17723.0</v>
      </c>
      <c r="B178" s="120"/>
      <c r="C178" s="120"/>
      <c r="D178" s="121"/>
      <c r="E178" s="123"/>
      <c r="F178" s="122"/>
      <c r="G178" s="123"/>
      <c r="H178" s="122"/>
      <c r="I178" s="121"/>
      <c r="J178" s="123"/>
      <c r="K178" s="122"/>
      <c r="L178" s="122"/>
      <c r="M178" s="158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hidden="1" customHeight="1">
      <c r="A179" s="160">
        <v>17823.0</v>
      </c>
      <c r="B179" s="127"/>
      <c r="C179" s="127"/>
      <c r="D179" s="128"/>
      <c r="E179" s="129"/>
      <c r="F179" s="130"/>
      <c r="G179" s="129"/>
      <c r="H179" s="164"/>
      <c r="I179" s="128"/>
      <c r="J179" s="129"/>
      <c r="K179" s="130"/>
      <c r="L179" s="130"/>
      <c r="M179" s="165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hidden="1" customHeight="1">
      <c r="A180" s="153">
        <v>17923.0</v>
      </c>
      <c r="B180" s="120"/>
      <c r="C180" s="120"/>
      <c r="D180" s="121"/>
      <c r="E180" s="123"/>
      <c r="F180" s="122"/>
      <c r="G180" s="123"/>
      <c r="H180" s="122"/>
      <c r="I180" s="121"/>
      <c r="J180" s="123"/>
      <c r="K180" s="122"/>
      <c r="L180" s="122"/>
      <c r="M180" s="158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0" hidden="1" customHeight="1">
      <c r="A181" s="160">
        <v>18023.0</v>
      </c>
      <c r="B181" s="127"/>
      <c r="C181" s="127"/>
      <c r="D181" s="128"/>
      <c r="E181" s="129"/>
      <c r="F181" s="130"/>
      <c r="G181" s="129"/>
      <c r="H181" s="164"/>
      <c r="I181" s="128"/>
      <c r="J181" s="129"/>
      <c r="K181" s="130"/>
      <c r="L181" s="130"/>
      <c r="M181" s="165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0" hidden="1" customHeight="1">
      <c r="A182" s="153">
        <v>18123.0</v>
      </c>
      <c r="B182" s="120"/>
      <c r="C182" s="120"/>
      <c r="D182" s="121"/>
      <c r="E182" s="123"/>
      <c r="F182" s="122"/>
      <c r="G182" s="123"/>
      <c r="H182" s="122"/>
      <c r="I182" s="121"/>
      <c r="J182" s="123"/>
      <c r="K182" s="122"/>
      <c r="L182" s="122"/>
      <c r="M182" s="158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0" hidden="1" customHeight="1">
      <c r="A183" s="160">
        <v>18223.0</v>
      </c>
      <c r="B183" s="127"/>
      <c r="C183" s="127"/>
      <c r="D183" s="128"/>
      <c r="E183" s="129"/>
      <c r="F183" s="130"/>
      <c r="G183" s="129"/>
      <c r="H183" s="164"/>
      <c r="I183" s="128"/>
      <c r="J183" s="129"/>
      <c r="K183" s="130"/>
      <c r="L183" s="130"/>
      <c r="M183" s="165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0" hidden="1" customHeight="1">
      <c r="A184" s="153">
        <v>18323.0</v>
      </c>
      <c r="B184" s="120"/>
      <c r="C184" s="120"/>
      <c r="D184" s="121"/>
      <c r="E184" s="123"/>
      <c r="F184" s="122"/>
      <c r="G184" s="123"/>
      <c r="H184" s="122"/>
      <c r="I184" s="121"/>
      <c r="J184" s="123"/>
      <c r="K184" s="122"/>
      <c r="L184" s="122"/>
      <c r="M184" s="158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0" hidden="1" customHeight="1">
      <c r="A185" s="160">
        <v>18423.0</v>
      </c>
      <c r="B185" s="127"/>
      <c r="C185" s="127"/>
      <c r="D185" s="128"/>
      <c r="E185" s="129"/>
      <c r="F185" s="130"/>
      <c r="G185" s="129"/>
      <c r="H185" s="164"/>
      <c r="I185" s="128"/>
      <c r="J185" s="129"/>
      <c r="K185" s="130"/>
      <c r="L185" s="130"/>
      <c r="M185" s="165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0" hidden="1" customHeight="1">
      <c r="A186" s="153">
        <v>18523.0</v>
      </c>
      <c r="B186" s="120"/>
      <c r="C186" s="120"/>
      <c r="D186" s="121"/>
      <c r="E186" s="123"/>
      <c r="F186" s="122"/>
      <c r="G186" s="123"/>
      <c r="H186" s="122"/>
      <c r="I186" s="121"/>
      <c r="J186" s="123"/>
      <c r="K186" s="122"/>
      <c r="L186" s="122"/>
      <c r="M186" s="158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0" hidden="1" customHeight="1">
      <c r="A187" s="160">
        <v>18623.0</v>
      </c>
      <c r="B187" s="127"/>
      <c r="C187" s="127"/>
      <c r="D187" s="128"/>
      <c r="E187" s="129"/>
      <c r="F187" s="130"/>
      <c r="G187" s="129"/>
      <c r="H187" s="164"/>
      <c r="I187" s="128"/>
      <c r="J187" s="129"/>
      <c r="K187" s="130"/>
      <c r="L187" s="130"/>
      <c r="M187" s="165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0" hidden="1" customHeight="1">
      <c r="A188" s="153">
        <v>18723.0</v>
      </c>
      <c r="B188" s="120"/>
      <c r="C188" s="120"/>
      <c r="D188" s="121"/>
      <c r="E188" s="123"/>
      <c r="F188" s="122"/>
      <c r="G188" s="123"/>
      <c r="H188" s="122"/>
      <c r="I188" s="121"/>
      <c r="J188" s="123"/>
      <c r="K188" s="122"/>
      <c r="L188" s="122"/>
      <c r="M188" s="158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0" hidden="1" customHeight="1">
      <c r="A189" s="160">
        <v>18823.0</v>
      </c>
      <c r="B189" s="127"/>
      <c r="C189" s="127"/>
      <c r="D189" s="128"/>
      <c r="E189" s="129"/>
      <c r="F189" s="130"/>
      <c r="G189" s="129"/>
      <c r="H189" s="164"/>
      <c r="I189" s="128"/>
      <c r="J189" s="129"/>
      <c r="K189" s="130"/>
      <c r="L189" s="130"/>
      <c r="M189" s="165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0" hidden="1" customHeight="1">
      <c r="A190" s="153">
        <v>18923.0</v>
      </c>
      <c r="B190" s="120"/>
      <c r="C190" s="120"/>
      <c r="D190" s="121"/>
      <c r="E190" s="123"/>
      <c r="F190" s="122"/>
      <c r="G190" s="123"/>
      <c r="H190" s="122"/>
      <c r="I190" s="121"/>
      <c r="J190" s="123"/>
      <c r="K190" s="122"/>
      <c r="L190" s="122"/>
      <c r="M190" s="158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hidden="1" customHeight="1">
      <c r="A191" s="160">
        <v>19023.0</v>
      </c>
      <c r="B191" s="127"/>
      <c r="C191" s="127"/>
      <c r="D191" s="128"/>
      <c r="E191" s="129"/>
      <c r="F191" s="130"/>
      <c r="G191" s="129"/>
      <c r="H191" s="164"/>
      <c r="I191" s="128"/>
      <c r="J191" s="129"/>
      <c r="K191" s="130"/>
      <c r="L191" s="130"/>
      <c r="M191" s="165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hidden="1" customHeight="1">
      <c r="A192" s="153">
        <v>19123.0</v>
      </c>
      <c r="B192" s="120"/>
      <c r="C192" s="120"/>
      <c r="D192" s="121"/>
      <c r="E192" s="123"/>
      <c r="F192" s="122"/>
      <c r="G192" s="123"/>
      <c r="H192" s="122"/>
      <c r="I192" s="121"/>
      <c r="J192" s="123"/>
      <c r="K192" s="122"/>
      <c r="L192" s="122"/>
      <c r="M192" s="158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hidden="1" customHeight="1">
      <c r="A193" s="160">
        <v>19223.0</v>
      </c>
      <c r="B193" s="127"/>
      <c r="C193" s="127"/>
      <c r="D193" s="128"/>
      <c r="E193" s="129"/>
      <c r="F193" s="130"/>
      <c r="G193" s="129"/>
      <c r="H193" s="164"/>
      <c r="I193" s="128"/>
      <c r="J193" s="129"/>
      <c r="K193" s="130"/>
      <c r="L193" s="130"/>
      <c r="M193" s="165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0" hidden="1" customHeight="1">
      <c r="A194" s="153">
        <v>19323.0</v>
      </c>
      <c r="B194" s="120"/>
      <c r="C194" s="120"/>
      <c r="D194" s="121"/>
      <c r="E194" s="123"/>
      <c r="F194" s="122"/>
      <c r="G194" s="123"/>
      <c r="H194" s="122"/>
      <c r="I194" s="121"/>
      <c r="J194" s="123"/>
      <c r="K194" s="122"/>
      <c r="L194" s="122"/>
      <c r="M194" s="158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0" hidden="1" customHeight="1">
      <c r="A195" s="160">
        <v>19423.0</v>
      </c>
      <c r="B195" s="127"/>
      <c r="C195" s="127"/>
      <c r="D195" s="128"/>
      <c r="E195" s="129"/>
      <c r="F195" s="130"/>
      <c r="G195" s="129"/>
      <c r="H195" s="164"/>
      <c r="I195" s="128"/>
      <c r="J195" s="129"/>
      <c r="K195" s="130"/>
      <c r="L195" s="130"/>
      <c r="M195" s="165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0" hidden="1" customHeight="1">
      <c r="A196" s="153">
        <v>19523.0</v>
      </c>
      <c r="B196" s="120"/>
      <c r="C196" s="120"/>
      <c r="D196" s="121"/>
      <c r="E196" s="123"/>
      <c r="F196" s="122"/>
      <c r="G196" s="123"/>
      <c r="H196" s="122"/>
      <c r="I196" s="121"/>
      <c r="J196" s="123"/>
      <c r="K196" s="122"/>
      <c r="L196" s="122"/>
      <c r="M196" s="158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0" hidden="1" customHeight="1">
      <c r="A197" s="160">
        <v>19623.0</v>
      </c>
      <c r="B197" s="127"/>
      <c r="C197" s="127"/>
      <c r="D197" s="128"/>
      <c r="E197" s="129"/>
      <c r="F197" s="130"/>
      <c r="G197" s="129"/>
      <c r="H197" s="164"/>
      <c r="I197" s="128"/>
      <c r="J197" s="129"/>
      <c r="K197" s="130"/>
      <c r="L197" s="130"/>
      <c r="M197" s="165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0" hidden="1" customHeight="1">
      <c r="A198" s="153">
        <v>19723.0</v>
      </c>
      <c r="B198" s="120"/>
      <c r="C198" s="120"/>
      <c r="D198" s="121"/>
      <c r="E198" s="123"/>
      <c r="F198" s="122"/>
      <c r="G198" s="123"/>
      <c r="H198" s="122"/>
      <c r="I198" s="121"/>
      <c r="J198" s="123"/>
      <c r="K198" s="122"/>
      <c r="L198" s="122"/>
      <c r="M198" s="158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0" hidden="1" customHeight="1">
      <c r="A199" s="160">
        <v>19823.0</v>
      </c>
      <c r="B199" s="127"/>
      <c r="C199" s="127"/>
      <c r="D199" s="128"/>
      <c r="E199" s="129"/>
      <c r="F199" s="130"/>
      <c r="G199" s="129"/>
      <c r="H199" s="164"/>
      <c r="I199" s="128"/>
      <c r="J199" s="129"/>
      <c r="K199" s="130"/>
      <c r="L199" s="130"/>
      <c r="M199" s="165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0" hidden="1" customHeight="1">
      <c r="A200" s="153">
        <v>19923.0</v>
      </c>
      <c r="B200" s="120"/>
      <c r="C200" s="120"/>
      <c r="D200" s="121"/>
      <c r="E200" s="123"/>
      <c r="F200" s="122"/>
      <c r="G200" s="123"/>
      <c r="H200" s="122"/>
      <c r="I200" s="121"/>
      <c r="J200" s="123"/>
      <c r="K200" s="122"/>
      <c r="L200" s="122"/>
      <c r="M200" s="158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0" hidden="1" customHeight="1">
      <c r="A201" s="160">
        <v>20023.0</v>
      </c>
      <c r="B201" s="127"/>
      <c r="C201" s="127"/>
      <c r="D201" s="128"/>
      <c r="E201" s="129"/>
      <c r="F201" s="130"/>
      <c r="G201" s="129"/>
      <c r="H201" s="164"/>
      <c r="I201" s="128"/>
      <c r="J201" s="129"/>
      <c r="K201" s="130"/>
      <c r="L201" s="130"/>
      <c r="M201" s="165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0" hidden="1" customHeight="1">
      <c r="A202" s="153">
        <v>20123.0</v>
      </c>
      <c r="B202" s="120"/>
      <c r="C202" s="120"/>
      <c r="D202" s="121"/>
      <c r="E202" s="123"/>
      <c r="F202" s="122"/>
      <c r="G202" s="123"/>
      <c r="H202" s="122"/>
      <c r="I202" s="121"/>
      <c r="J202" s="123"/>
      <c r="K202" s="122"/>
      <c r="L202" s="122"/>
      <c r="M202" s="158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0" hidden="1" customHeight="1">
      <c r="A203" s="160">
        <v>20223.0</v>
      </c>
      <c r="B203" s="127"/>
      <c r="C203" s="127"/>
      <c r="D203" s="128"/>
      <c r="E203" s="129"/>
      <c r="F203" s="130"/>
      <c r="G203" s="129"/>
      <c r="H203" s="164"/>
      <c r="I203" s="128"/>
      <c r="J203" s="129"/>
      <c r="K203" s="130"/>
      <c r="L203" s="130"/>
      <c r="M203" s="165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0" hidden="1" customHeight="1">
      <c r="A204" s="153">
        <v>20323.0</v>
      </c>
      <c r="B204" s="120"/>
      <c r="C204" s="120"/>
      <c r="D204" s="121"/>
      <c r="E204" s="123"/>
      <c r="F204" s="122"/>
      <c r="G204" s="123"/>
      <c r="H204" s="122"/>
      <c r="I204" s="121"/>
      <c r="J204" s="123"/>
      <c r="K204" s="122"/>
      <c r="L204" s="122"/>
      <c r="M204" s="158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0" hidden="1" customHeight="1">
      <c r="A205" s="160">
        <v>20423.0</v>
      </c>
      <c r="B205" s="127"/>
      <c r="C205" s="127"/>
      <c r="D205" s="128"/>
      <c r="E205" s="129"/>
      <c r="F205" s="130"/>
      <c r="G205" s="129"/>
      <c r="H205" s="164"/>
      <c r="I205" s="128"/>
      <c r="J205" s="129"/>
      <c r="K205" s="130"/>
      <c r="L205" s="130"/>
      <c r="M205" s="165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0" hidden="1" customHeight="1">
      <c r="A206" s="153">
        <v>20523.0</v>
      </c>
      <c r="B206" s="120"/>
      <c r="C206" s="120"/>
      <c r="D206" s="121"/>
      <c r="E206" s="123"/>
      <c r="F206" s="122"/>
      <c r="G206" s="123"/>
      <c r="H206" s="122"/>
      <c r="I206" s="121"/>
      <c r="J206" s="123"/>
      <c r="K206" s="122"/>
      <c r="L206" s="122"/>
      <c r="M206" s="158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0" hidden="1" customHeight="1">
      <c r="A207" s="160">
        <v>20623.0</v>
      </c>
      <c r="B207" s="127"/>
      <c r="C207" s="127"/>
      <c r="D207" s="128"/>
      <c r="E207" s="129"/>
      <c r="F207" s="130"/>
      <c r="G207" s="129"/>
      <c r="H207" s="164"/>
      <c r="I207" s="128"/>
      <c r="J207" s="129"/>
      <c r="K207" s="130"/>
      <c r="L207" s="130"/>
      <c r="M207" s="165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0" hidden="1" customHeight="1">
      <c r="A208" s="153">
        <v>20723.0</v>
      </c>
      <c r="B208" s="120"/>
      <c r="C208" s="120"/>
      <c r="D208" s="121"/>
      <c r="E208" s="123"/>
      <c r="F208" s="122"/>
      <c r="G208" s="123"/>
      <c r="H208" s="122"/>
      <c r="I208" s="121"/>
      <c r="J208" s="123"/>
      <c r="K208" s="122"/>
      <c r="L208" s="122"/>
      <c r="M208" s="158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0" hidden="1" customHeight="1">
      <c r="A209" s="160">
        <v>20823.0</v>
      </c>
      <c r="B209" s="127"/>
      <c r="C209" s="127"/>
      <c r="D209" s="128"/>
      <c r="E209" s="129"/>
      <c r="F209" s="130"/>
      <c r="G209" s="129"/>
      <c r="H209" s="164"/>
      <c r="I209" s="128"/>
      <c r="J209" s="129"/>
      <c r="K209" s="130"/>
      <c r="L209" s="130"/>
      <c r="M209" s="165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0" hidden="1" customHeight="1">
      <c r="A210" s="153">
        <v>20923.0</v>
      </c>
      <c r="B210" s="120"/>
      <c r="C210" s="120"/>
      <c r="D210" s="121"/>
      <c r="E210" s="123"/>
      <c r="F210" s="122"/>
      <c r="G210" s="123"/>
      <c r="H210" s="122"/>
      <c r="I210" s="121"/>
      <c r="J210" s="123"/>
      <c r="K210" s="122"/>
      <c r="L210" s="122"/>
      <c r="M210" s="158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0" hidden="1" customHeight="1">
      <c r="A211" s="160">
        <v>21023.0</v>
      </c>
      <c r="B211" s="127"/>
      <c r="C211" s="127"/>
      <c r="D211" s="128"/>
      <c r="E211" s="129"/>
      <c r="F211" s="130"/>
      <c r="G211" s="129"/>
      <c r="H211" s="164"/>
      <c r="I211" s="128"/>
      <c r="J211" s="129"/>
      <c r="K211" s="130"/>
      <c r="L211" s="130"/>
      <c r="M211" s="165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0" hidden="1" customHeight="1">
      <c r="A212" s="153">
        <v>21123.0</v>
      </c>
      <c r="B212" s="120"/>
      <c r="C212" s="120"/>
      <c r="D212" s="121"/>
      <c r="E212" s="123"/>
      <c r="F212" s="122"/>
      <c r="G212" s="123"/>
      <c r="H212" s="122"/>
      <c r="I212" s="121"/>
      <c r="J212" s="123"/>
      <c r="K212" s="122"/>
      <c r="L212" s="122"/>
      <c r="M212" s="158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0" hidden="1" customHeight="1">
      <c r="A213" s="160">
        <v>21223.0</v>
      </c>
      <c r="B213" s="127"/>
      <c r="C213" s="127"/>
      <c r="D213" s="128"/>
      <c r="E213" s="129"/>
      <c r="F213" s="130"/>
      <c r="G213" s="129"/>
      <c r="H213" s="164"/>
      <c r="I213" s="128"/>
      <c r="J213" s="129"/>
      <c r="K213" s="130"/>
      <c r="L213" s="130"/>
      <c r="M213" s="165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0" hidden="1" customHeight="1">
      <c r="A214" s="153">
        <v>21323.0</v>
      </c>
      <c r="B214" s="120"/>
      <c r="C214" s="120"/>
      <c r="D214" s="121"/>
      <c r="E214" s="123"/>
      <c r="F214" s="122"/>
      <c r="G214" s="123"/>
      <c r="H214" s="122"/>
      <c r="I214" s="121"/>
      <c r="J214" s="123"/>
      <c r="K214" s="122"/>
      <c r="L214" s="122"/>
      <c r="M214" s="158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0" hidden="1" customHeight="1">
      <c r="A215" s="160">
        <v>21423.0</v>
      </c>
      <c r="B215" s="127"/>
      <c r="C215" s="127"/>
      <c r="D215" s="128"/>
      <c r="E215" s="129"/>
      <c r="F215" s="130"/>
      <c r="G215" s="129"/>
      <c r="H215" s="164"/>
      <c r="I215" s="128"/>
      <c r="J215" s="129"/>
      <c r="K215" s="130"/>
      <c r="L215" s="130"/>
      <c r="M215" s="165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0" hidden="1" customHeight="1">
      <c r="A216" s="153">
        <v>21523.0</v>
      </c>
      <c r="B216" s="120"/>
      <c r="C216" s="120"/>
      <c r="D216" s="121"/>
      <c r="E216" s="123"/>
      <c r="F216" s="122"/>
      <c r="G216" s="123"/>
      <c r="H216" s="122"/>
      <c r="I216" s="121"/>
      <c r="J216" s="123"/>
      <c r="K216" s="122"/>
      <c r="L216" s="122"/>
      <c r="M216" s="158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0" hidden="1" customHeight="1">
      <c r="A217" s="160">
        <v>21623.0</v>
      </c>
      <c r="B217" s="127"/>
      <c r="C217" s="127"/>
      <c r="D217" s="128"/>
      <c r="E217" s="129"/>
      <c r="F217" s="130"/>
      <c r="G217" s="129"/>
      <c r="H217" s="164"/>
      <c r="I217" s="128"/>
      <c r="J217" s="129"/>
      <c r="K217" s="130"/>
      <c r="L217" s="130"/>
      <c r="M217" s="165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0" hidden="1" customHeight="1">
      <c r="A218" s="153">
        <v>21723.0</v>
      </c>
      <c r="B218" s="120"/>
      <c r="C218" s="120"/>
      <c r="D218" s="121"/>
      <c r="E218" s="123"/>
      <c r="F218" s="122"/>
      <c r="G218" s="123"/>
      <c r="H218" s="122"/>
      <c r="I218" s="121"/>
      <c r="J218" s="123"/>
      <c r="K218" s="122"/>
      <c r="L218" s="122"/>
      <c r="M218" s="158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0" hidden="1" customHeight="1">
      <c r="A219" s="160">
        <v>21823.0</v>
      </c>
      <c r="B219" s="127"/>
      <c r="C219" s="127"/>
      <c r="D219" s="128"/>
      <c r="E219" s="129"/>
      <c r="F219" s="130"/>
      <c r="G219" s="129"/>
      <c r="H219" s="164"/>
      <c r="I219" s="128"/>
      <c r="J219" s="129"/>
      <c r="K219" s="130"/>
      <c r="L219" s="130"/>
      <c r="M219" s="165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0" hidden="1" customHeight="1">
      <c r="A220" s="153">
        <v>21923.0</v>
      </c>
      <c r="B220" s="120"/>
      <c r="C220" s="120"/>
      <c r="D220" s="121"/>
      <c r="E220" s="123"/>
      <c r="F220" s="122"/>
      <c r="G220" s="123"/>
      <c r="H220" s="122"/>
      <c r="I220" s="121"/>
      <c r="J220" s="123"/>
      <c r="K220" s="122"/>
      <c r="L220" s="122"/>
      <c r="M220" s="158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0" hidden="1" customHeight="1">
      <c r="A221" s="160">
        <v>22023.0</v>
      </c>
      <c r="B221" s="127"/>
      <c r="C221" s="127"/>
      <c r="D221" s="128"/>
      <c r="E221" s="129"/>
      <c r="F221" s="130"/>
      <c r="G221" s="129"/>
      <c r="H221" s="164"/>
      <c r="I221" s="128"/>
      <c r="J221" s="129"/>
      <c r="K221" s="130"/>
      <c r="L221" s="130"/>
      <c r="M221" s="165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hidden="1" customHeight="1">
      <c r="A222" s="153">
        <v>22123.0</v>
      </c>
      <c r="B222" s="120"/>
      <c r="C222" s="120"/>
      <c r="D222" s="121"/>
      <c r="E222" s="123"/>
      <c r="F222" s="122"/>
      <c r="G222" s="123"/>
      <c r="H222" s="122"/>
      <c r="I222" s="121"/>
      <c r="J222" s="123"/>
      <c r="K222" s="122"/>
      <c r="L222" s="122"/>
      <c r="M222" s="158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hidden="1" customHeight="1">
      <c r="A223" s="160">
        <v>22223.0</v>
      </c>
      <c r="B223" s="127"/>
      <c r="C223" s="127"/>
      <c r="D223" s="128"/>
      <c r="E223" s="129"/>
      <c r="F223" s="130"/>
      <c r="G223" s="129"/>
      <c r="H223" s="164"/>
      <c r="I223" s="128"/>
      <c r="J223" s="129"/>
      <c r="K223" s="130"/>
      <c r="L223" s="130"/>
      <c r="M223" s="165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hidden="1" customHeight="1">
      <c r="A224" s="153">
        <v>22323.0</v>
      </c>
      <c r="B224" s="120"/>
      <c r="C224" s="120"/>
      <c r="D224" s="121"/>
      <c r="E224" s="123"/>
      <c r="F224" s="122"/>
      <c r="G224" s="123"/>
      <c r="H224" s="122"/>
      <c r="I224" s="121"/>
      <c r="J224" s="123"/>
      <c r="K224" s="122"/>
      <c r="L224" s="122"/>
      <c r="M224" s="158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0" hidden="1" customHeight="1">
      <c r="A225" s="160">
        <v>22423.0</v>
      </c>
      <c r="B225" s="127"/>
      <c r="C225" s="127"/>
      <c r="D225" s="128"/>
      <c r="E225" s="129"/>
      <c r="F225" s="130"/>
      <c r="G225" s="129"/>
      <c r="H225" s="164"/>
      <c r="I225" s="128"/>
      <c r="J225" s="129"/>
      <c r="K225" s="130"/>
      <c r="L225" s="130"/>
      <c r="M225" s="165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0" hidden="1" customHeight="1">
      <c r="A226" s="153">
        <v>22523.0</v>
      </c>
      <c r="B226" s="120"/>
      <c r="C226" s="120"/>
      <c r="D226" s="121"/>
      <c r="E226" s="123"/>
      <c r="F226" s="122"/>
      <c r="G226" s="123"/>
      <c r="H226" s="122"/>
      <c r="I226" s="121"/>
      <c r="J226" s="123"/>
      <c r="K226" s="122"/>
      <c r="L226" s="122"/>
      <c r="M226" s="158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0" hidden="1" customHeight="1">
      <c r="A227" s="160">
        <v>22623.0</v>
      </c>
      <c r="B227" s="127"/>
      <c r="C227" s="127"/>
      <c r="D227" s="128"/>
      <c r="E227" s="129"/>
      <c r="F227" s="130"/>
      <c r="G227" s="129"/>
      <c r="H227" s="164"/>
      <c r="I227" s="128"/>
      <c r="J227" s="129"/>
      <c r="K227" s="130"/>
      <c r="L227" s="130"/>
      <c r="M227" s="165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hidden="1" customHeight="1">
      <c r="A228" s="153">
        <v>22723.0</v>
      </c>
      <c r="B228" s="120"/>
      <c r="C228" s="120"/>
      <c r="D228" s="121"/>
      <c r="E228" s="123"/>
      <c r="F228" s="122"/>
      <c r="G228" s="123"/>
      <c r="H228" s="122"/>
      <c r="I228" s="121"/>
      <c r="J228" s="123"/>
      <c r="K228" s="122"/>
      <c r="L228" s="122"/>
      <c r="M228" s="158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hidden="1" customHeight="1">
      <c r="A229" s="160">
        <v>22823.0</v>
      </c>
      <c r="B229" s="127"/>
      <c r="C229" s="127"/>
      <c r="D229" s="128"/>
      <c r="E229" s="129"/>
      <c r="F229" s="130"/>
      <c r="G229" s="129"/>
      <c r="H229" s="164"/>
      <c r="I229" s="128"/>
      <c r="J229" s="129"/>
      <c r="K229" s="130"/>
      <c r="L229" s="130"/>
      <c r="M229" s="165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hidden="1" customHeight="1">
      <c r="A230" s="153">
        <v>22923.0</v>
      </c>
      <c r="B230" s="120"/>
      <c r="C230" s="120"/>
      <c r="D230" s="121"/>
      <c r="E230" s="123"/>
      <c r="F230" s="122"/>
      <c r="G230" s="123"/>
      <c r="H230" s="122"/>
      <c r="I230" s="121"/>
      <c r="J230" s="123"/>
      <c r="K230" s="122"/>
      <c r="L230" s="122"/>
      <c r="M230" s="158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0" hidden="1" customHeight="1">
      <c r="A231" s="160">
        <v>23023.0</v>
      </c>
      <c r="B231" s="127"/>
      <c r="C231" s="127"/>
      <c r="D231" s="128"/>
      <c r="E231" s="129"/>
      <c r="F231" s="130"/>
      <c r="G231" s="129"/>
      <c r="H231" s="164"/>
      <c r="I231" s="128"/>
      <c r="J231" s="129"/>
      <c r="K231" s="130"/>
      <c r="L231" s="130"/>
      <c r="M231" s="165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0" hidden="1" customHeight="1">
      <c r="A232" s="153">
        <v>23123.0</v>
      </c>
      <c r="B232" s="120"/>
      <c r="C232" s="120"/>
      <c r="D232" s="121"/>
      <c r="E232" s="123"/>
      <c r="F232" s="122"/>
      <c r="G232" s="123"/>
      <c r="H232" s="122"/>
      <c r="I232" s="121"/>
      <c r="J232" s="123"/>
      <c r="K232" s="122"/>
      <c r="L232" s="122"/>
      <c r="M232" s="158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0" hidden="1" customHeight="1">
      <c r="A233" s="160">
        <v>23223.0</v>
      </c>
      <c r="B233" s="127"/>
      <c r="C233" s="127"/>
      <c r="D233" s="128"/>
      <c r="E233" s="129"/>
      <c r="F233" s="130"/>
      <c r="G233" s="129"/>
      <c r="H233" s="164"/>
      <c r="I233" s="128"/>
      <c r="J233" s="129"/>
      <c r="K233" s="130"/>
      <c r="L233" s="130"/>
      <c r="M233" s="165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0" hidden="1" customHeight="1">
      <c r="A234" s="153">
        <v>23323.0</v>
      </c>
      <c r="B234" s="120"/>
      <c r="C234" s="120"/>
      <c r="D234" s="121"/>
      <c r="E234" s="123"/>
      <c r="F234" s="122"/>
      <c r="G234" s="123"/>
      <c r="H234" s="122"/>
      <c r="I234" s="121"/>
      <c r="J234" s="123"/>
      <c r="K234" s="122"/>
      <c r="L234" s="122"/>
      <c r="M234" s="158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0" hidden="1" customHeight="1">
      <c r="A235" s="160">
        <v>23423.0</v>
      </c>
      <c r="B235" s="127"/>
      <c r="C235" s="127"/>
      <c r="D235" s="128"/>
      <c r="E235" s="129"/>
      <c r="F235" s="130"/>
      <c r="G235" s="129"/>
      <c r="H235" s="164"/>
      <c r="I235" s="128"/>
      <c r="J235" s="129"/>
      <c r="K235" s="130"/>
      <c r="L235" s="130"/>
      <c r="M235" s="165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0" hidden="1" customHeight="1">
      <c r="A236" s="153">
        <v>23523.0</v>
      </c>
      <c r="B236" s="120"/>
      <c r="C236" s="120"/>
      <c r="D236" s="121"/>
      <c r="E236" s="123"/>
      <c r="F236" s="122"/>
      <c r="G236" s="123"/>
      <c r="H236" s="122"/>
      <c r="I236" s="121"/>
      <c r="J236" s="123"/>
      <c r="K236" s="122"/>
      <c r="L236" s="122"/>
      <c r="M236" s="158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0" hidden="1" customHeight="1">
      <c r="A237" s="160">
        <v>23623.0</v>
      </c>
      <c r="B237" s="127"/>
      <c r="C237" s="127"/>
      <c r="D237" s="128"/>
      <c r="E237" s="129"/>
      <c r="F237" s="130"/>
      <c r="G237" s="129"/>
      <c r="H237" s="164"/>
      <c r="I237" s="128"/>
      <c r="J237" s="129"/>
      <c r="K237" s="130"/>
      <c r="L237" s="130"/>
      <c r="M237" s="165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0" hidden="1" customHeight="1">
      <c r="A238" s="153">
        <v>23723.0</v>
      </c>
      <c r="B238" s="120"/>
      <c r="C238" s="120"/>
      <c r="D238" s="121"/>
      <c r="E238" s="123"/>
      <c r="F238" s="122"/>
      <c r="G238" s="123"/>
      <c r="H238" s="122"/>
      <c r="I238" s="121"/>
      <c r="J238" s="123"/>
      <c r="K238" s="122"/>
      <c r="L238" s="122"/>
      <c r="M238" s="158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0" hidden="1" customHeight="1">
      <c r="A239" s="160">
        <v>23823.0</v>
      </c>
      <c r="B239" s="127"/>
      <c r="C239" s="127"/>
      <c r="D239" s="128"/>
      <c r="E239" s="129"/>
      <c r="F239" s="130"/>
      <c r="G239" s="129"/>
      <c r="H239" s="164"/>
      <c r="I239" s="128"/>
      <c r="J239" s="129"/>
      <c r="K239" s="130"/>
      <c r="L239" s="130"/>
      <c r="M239" s="165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0" hidden="1" customHeight="1">
      <c r="A240" s="153">
        <v>23923.0</v>
      </c>
      <c r="B240" s="120"/>
      <c r="C240" s="120"/>
      <c r="D240" s="121"/>
      <c r="E240" s="123"/>
      <c r="F240" s="122"/>
      <c r="G240" s="123"/>
      <c r="H240" s="122"/>
      <c r="I240" s="121"/>
      <c r="J240" s="123"/>
      <c r="K240" s="122"/>
      <c r="L240" s="122"/>
      <c r="M240" s="158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0" hidden="1" customHeight="1">
      <c r="A241" s="160">
        <v>24023.0</v>
      </c>
      <c r="B241" s="127"/>
      <c r="C241" s="127"/>
      <c r="D241" s="128"/>
      <c r="E241" s="129"/>
      <c r="F241" s="130"/>
      <c r="G241" s="129"/>
      <c r="H241" s="164"/>
      <c r="I241" s="128"/>
      <c r="J241" s="129"/>
      <c r="K241" s="130"/>
      <c r="L241" s="130"/>
      <c r="M241" s="165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0" hidden="1" customHeight="1">
      <c r="A242" s="153">
        <v>24123.0</v>
      </c>
      <c r="B242" s="120"/>
      <c r="C242" s="120"/>
      <c r="D242" s="121"/>
      <c r="E242" s="123"/>
      <c r="F242" s="122"/>
      <c r="G242" s="123"/>
      <c r="H242" s="122"/>
      <c r="I242" s="121"/>
      <c r="J242" s="123"/>
      <c r="K242" s="122"/>
      <c r="L242" s="122"/>
      <c r="M242" s="158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0" hidden="1" customHeight="1">
      <c r="A243" s="160">
        <v>24223.0</v>
      </c>
      <c r="B243" s="127"/>
      <c r="C243" s="127"/>
      <c r="D243" s="128"/>
      <c r="E243" s="129"/>
      <c r="F243" s="130"/>
      <c r="G243" s="129"/>
      <c r="H243" s="164"/>
      <c r="I243" s="128"/>
      <c r="J243" s="129"/>
      <c r="K243" s="130"/>
      <c r="L243" s="130"/>
      <c r="M243" s="165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0" hidden="1" customHeight="1">
      <c r="A244" s="153">
        <v>24323.0</v>
      </c>
      <c r="B244" s="120"/>
      <c r="C244" s="120"/>
      <c r="D244" s="121"/>
      <c r="E244" s="123"/>
      <c r="F244" s="122"/>
      <c r="G244" s="123"/>
      <c r="H244" s="122"/>
      <c r="I244" s="121"/>
      <c r="J244" s="123"/>
      <c r="K244" s="122"/>
      <c r="L244" s="122"/>
      <c r="M244" s="158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0" hidden="1" customHeight="1">
      <c r="A245" s="160">
        <v>24423.0</v>
      </c>
      <c r="B245" s="127"/>
      <c r="C245" s="127"/>
      <c r="D245" s="128"/>
      <c r="E245" s="129"/>
      <c r="F245" s="130"/>
      <c r="G245" s="129"/>
      <c r="H245" s="164"/>
      <c r="I245" s="128"/>
      <c r="J245" s="129"/>
      <c r="K245" s="130"/>
      <c r="L245" s="130"/>
      <c r="M245" s="165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0" hidden="1" customHeight="1">
      <c r="A246" s="153">
        <v>24523.0</v>
      </c>
      <c r="B246" s="120"/>
      <c r="C246" s="120"/>
      <c r="D246" s="121"/>
      <c r="E246" s="123"/>
      <c r="F246" s="122"/>
      <c r="G246" s="123"/>
      <c r="H246" s="122"/>
      <c r="I246" s="121"/>
      <c r="J246" s="123"/>
      <c r="K246" s="122"/>
      <c r="L246" s="122"/>
      <c r="M246" s="158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0" hidden="1" customHeight="1">
      <c r="A247" s="160">
        <v>24623.0</v>
      </c>
      <c r="B247" s="127"/>
      <c r="C247" s="127"/>
      <c r="D247" s="128"/>
      <c r="E247" s="129"/>
      <c r="F247" s="130"/>
      <c r="G247" s="129"/>
      <c r="H247" s="164"/>
      <c r="I247" s="128"/>
      <c r="J247" s="129"/>
      <c r="K247" s="130"/>
      <c r="L247" s="130"/>
      <c r="M247" s="165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0" hidden="1" customHeight="1">
      <c r="A248" s="153">
        <v>24723.0</v>
      </c>
      <c r="B248" s="120"/>
      <c r="C248" s="120"/>
      <c r="D248" s="121"/>
      <c r="E248" s="123"/>
      <c r="F248" s="122"/>
      <c r="G248" s="123"/>
      <c r="H248" s="122"/>
      <c r="I248" s="121"/>
      <c r="J248" s="123"/>
      <c r="K248" s="122"/>
      <c r="L248" s="122"/>
      <c r="M248" s="158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0" hidden="1" customHeight="1">
      <c r="A249" s="160">
        <v>24823.0</v>
      </c>
      <c r="B249" s="127"/>
      <c r="C249" s="127"/>
      <c r="D249" s="128"/>
      <c r="E249" s="129"/>
      <c r="F249" s="130"/>
      <c r="G249" s="129"/>
      <c r="H249" s="164"/>
      <c r="I249" s="128"/>
      <c r="J249" s="129"/>
      <c r="K249" s="130"/>
      <c r="L249" s="130"/>
      <c r="M249" s="165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0" hidden="1" customHeight="1">
      <c r="A250" s="153">
        <v>24923.0</v>
      </c>
      <c r="B250" s="120"/>
      <c r="C250" s="120"/>
      <c r="D250" s="121"/>
      <c r="E250" s="123"/>
      <c r="F250" s="122"/>
      <c r="G250" s="123"/>
      <c r="H250" s="122"/>
      <c r="I250" s="121"/>
      <c r="J250" s="123"/>
      <c r="K250" s="122"/>
      <c r="L250" s="122"/>
      <c r="M250" s="158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0" hidden="1" customHeight="1">
      <c r="A251" s="160">
        <v>25023.0</v>
      </c>
      <c r="B251" s="127"/>
      <c r="C251" s="127"/>
      <c r="D251" s="128"/>
      <c r="E251" s="129"/>
      <c r="F251" s="130"/>
      <c r="G251" s="129"/>
      <c r="H251" s="164"/>
      <c r="I251" s="128"/>
      <c r="J251" s="129"/>
      <c r="K251" s="130"/>
      <c r="L251" s="130"/>
      <c r="M251" s="165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0" hidden="1" customHeight="1">
      <c r="A252" s="153">
        <v>25123.0</v>
      </c>
      <c r="B252" s="120"/>
      <c r="C252" s="120"/>
      <c r="D252" s="121"/>
      <c r="E252" s="123"/>
      <c r="F252" s="122"/>
      <c r="G252" s="123"/>
      <c r="H252" s="122"/>
      <c r="I252" s="121"/>
      <c r="J252" s="123"/>
      <c r="K252" s="122"/>
      <c r="L252" s="122"/>
      <c r="M252" s="158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0" hidden="1" customHeight="1">
      <c r="A253" s="160">
        <v>25223.0</v>
      </c>
      <c r="B253" s="127"/>
      <c r="C253" s="127"/>
      <c r="D253" s="128"/>
      <c r="E253" s="129"/>
      <c r="F253" s="130"/>
      <c r="G253" s="129"/>
      <c r="H253" s="164"/>
      <c r="I253" s="128"/>
      <c r="J253" s="129"/>
      <c r="K253" s="130"/>
      <c r="L253" s="130"/>
      <c r="M253" s="165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hidden="1" customHeight="1">
      <c r="A254" s="153">
        <v>25323.0</v>
      </c>
      <c r="B254" s="120"/>
      <c r="C254" s="120"/>
      <c r="D254" s="121"/>
      <c r="E254" s="123"/>
      <c r="F254" s="122"/>
      <c r="G254" s="123"/>
      <c r="H254" s="122"/>
      <c r="I254" s="121"/>
      <c r="J254" s="123"/>
      <c r="K254" s="122"/>
      <c r="L254" s="122"/>
      <c r="M254" s="158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0" hidden="1" customHeight="1">
      <c r="A255" s="160">
        <v>25423.0</v>
      </c>
      <c r="B255" s="127"/>
      <c r="C255" s="127"/>
      <c r="D255" s="128"/>
      <c r="E255" s="129"/>
      <c r="F255" s="130"/>
      <c r="G255" s="129"/>
      <c r="H255" s="164"/>
      <c r="I255" s="128"/>
      <c r="J255" s="129"/>
      <c r="K255" s="130"/>
      <c r="L255" s="130"/>
      <c r="M255" s="165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0" hidden="1" customHeight="1">
      <c r="A256" s="153">
        <v>25523.0</v>
      </c>
      <c r="B256" s="120"/>
      <c r="C256" s="120"/>
      <c r="D256" s="121"/>
      <c r="E256" s="123"/>
      <c r="F256" s="122"/>
      <c r="G256" s="123"/>
      <c r="H256" s="122"/>
      <c r="I256" s="121"/>
      <c r="J256" s="123"/>
      <c r="K256" s="122"/>
      <c r="L256" s="122"/>
      <c r="M256" s="158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0" hidden="1" customHeight="1">
      <c r="A257" s="160">
        <v>25623.0</v>
      </c>
      <c r="B257" s="127"/>
      <c r="C257" s="127"/>
      <c r="D257" s="128"/>
      <c r="E257" s="129"/>
      <c r="F257" s="130"/>
      <c r="G257" s="129"/>
      <c r="H257" s="164"/>
      <c r="I257" s="128"/>
      <c r="J257" s="129"/>
      <c r="K257" s="130"/>
      <c r="L257" s="130"/>
      <c r="M257" s="165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0" hidden="1" customHeight="1">
      <c r="A258" s="153">
        <v>25723.0</v>
      </c>
      <c r="B258" s="120"/>
      <c r="C258" s="120"/>
      <c r="D258" s="121"/>
      <c r="E258" s="123"/>
      <c r="F258" s="122"/>
      <c r="G258" s="123"/>
      <c r="H258" s="122"/>
      <c r="I258" s="121"/>
      <c r="J258" s="123"/>
      <c r="K258" s="122"/>
      <c r="L258" s="122"/>
      <c r="M258" s="158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0" hidden="1" customHeight="1">
      <c r="A259" s="160">
        <v>25823.0</v>
      </c>
      <c r="B259" s="127"/>
      <c r="C259" s="127"/>
      <c r="D259" s="128"/>
      <c r="E259" s="129"/>
      <c r="F259" s="130"/>
      <c r="G259" s="129"/>
      <c r="H259" s="164"/>
      <c r="I259" s="128"/>
      <c r="J259" s="129"/>
      <c r="K259" s="130"/>
      <c r="L259" s="130"/>
      <c r="M259" s="165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0" hidden="1" customHeight="1">
      <c r="A260" s="153">
        <v>25923.0</v>
      </c>
      <c r="B260" s="120"/>
      <c r="C260" s="120"/>
      <c r="D260" s="121"/>
      <c r="E260" s="123"/>
      <c r="F260" s="122"/>
      <c r="G260" s="123"/>
      <c r="H260" s="122"/>
      <c r="I260" s="121"/>
      <c r="J260" s="123"/>
      <c r="K260" s="122"/>
      <c r="L260" s="122"/>
      <c r="M260" s="158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0" hidden="1" customHeight="1">
      <c r="A261" s="160">
        <v>26023.0</v>
      </c>
      <c r="B261" s="127"/>
      <c r="C261" s="127"/>
      <c r="D261" s="128"/>
      <c r="E261" s="129"/>
      <c r="F261" s="130"/>
      <c r="G261" s="129"/>
      <c r="H261" s="164"/>
      <c r="I261" s="128"/>
      <c r="J261" s="129"/>
      <c r="K261" s="130"/>
      <c r="L261" s="130"/>
      <c r="M261" s="165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0" hidden="1" customHeight="1">
      <c r="A262" s="153">
        <v>26123.0</v>
      </c>
      <c r="B262" s="120"/>
      <c r="C262" s="120"/>
      <c r="D262" s="121"/>
      <c r="E262" s="123"/>
      <c r="F262" s="122"/>
      <c r="G262" s="123"/>
      <c r="H262" s="122"/>
      <c r="I262" s="121"/>
      <c r="J262" s="123"/>
      <c r="K262" s="122"/>
      <c r="L262" s="122"/>
      <c r="M262" s="158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0" hidden="1" customHeight="1">
      <c r="A263" s="160">
        <v>26223.0</v>
      </c>
      <c r="B263" s="127"/>
      <c r="C263" s="127"/>
      <c r="D263" s="128"/>
      <c r="E263" s="129"/>
      <c r="F263" s="130"/>
      <c r="G263" s="129"/>
      <c r="H263" s="164"/>
      <c r="I263" s="128"/>
      <c r="J263" s="129"/>
      <c r="K263" s="130"/>
      <c r="L263" s="130"/>
      <c r="M263" s="165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0" hidden="1" customHeight="1">
      <c r="A264" s="153">
        <v>26323.0</v>
      </c>
      <c r="B264" s="120"/>
      <c r="C264" s="120"/>
      <c r="D264" s="121"/>
      <c r="E264" s="123"/>
      <c r="F264" s="122"/>
      <c r="G264" s="123"/>
      <c r="H264" s="122"/>
      <c r="I264" s="121"/>
      <c r="J264" s="123"/>
      <c r="K264" s="122"/>
      <c r="L264" s="122"/>
      <c r="M264" s="158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0" hidden="1" customHeight="1">
      <c r="A265" s="160">
        <v>26423.0</v>
      </c>
      <c r="B265" s="127"/>
      <c r="C265" s="127"/>
      <c r="D265" s="128"/>
      <c r="E265" s="129"/>
      <c r="F265" s="130"/>
      <c r="G265" s="129"/>
      <c r="H265" s="164"/>
      <c r="I265" s="128"/>
      <c r="J265" s="129"/>
      <c r="K265" s="130"/>
      <c r="L265" s="130"/>
      <c r="M265" s="165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0" hidden="1" customHeight="1">
      <c r="A266" s="153">
        <v>26523.0</v>
      </c>
      <c r="B266" s="120"/>
      <c r="C266" s="120"/>
      <c r="D266" s="121"/>
      <c r="E266" s="123"/>
      <c r="F266" s="122"/>
      <c r="G266" s="123"/>
      <c r="H266" s="122"/>
      <c r="I266" s="121"/>
      <c r="J266" s="123"/>
      <c r="K266" s="122"/>
      <c r="L266" s="122"/>
      <c r="M266" s="158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0" hidden="1" customHeight="1">
      <c r="A267" s="160">
        <v>26623.0</v>
      </c>
      <c r="B267" s="127"/>
      <c r="C267" s="127"/>
      <c r="D267" s="128"/>
      <c r="E267" s="129"/>
      <c r="F267" s="130"/>
      <c r="G267" s="129"/>
      <c r="H267" s="164"/>
      <c r="I267" s="128"/>
      <c r="J267" s="129"/>
      <c r="K267" s="130"/>
      <c r="L267" s="130"/>
      <c r="M267" s="165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hidden="1" customHeight="1">
      <c r="A268" s="153">
        <v>26723.0</v>
      </c>
      <c r="B268" s="120"/>
      <c r="C268" s="120"/>
      <c r="D268" s="121"/>
      <c r="E268" s="123"/>
      <c r="F268" s="122"/>
      <c r="G268" s="123"/>
      <c r="H268" s="122"/>
      <c r="I268" s="121"/>
      <c r="J268" s="123"/>
      <c r="K268" s="122"/>
      <c r="L268" s="122"/>
      <c r="M268" s="158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hidden="1" customHeight="1">
      <c r="A269" s="160">
        <v>26823.0</v>
      </c>
      <c r="B269" s="127"/>
      <c r="C269" s="127"/>
      <c r="D269" s="128"/>
      <c r="E269" s="129"/>
      <c r="F269" s="130"/>
      <c r="G269" s="129"/>
      <c r="H269" s="164"/>
      <c r="I269" s="128"/>
      <c r="J269" s="129"/>
      <c r="K269" s="130"/>
      <c r="L269" s="130"/>
      <c r="M269" s="165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hidden="1" customHeight="1">
      <c r="A270" s="153">
        <v>26923.0</v>
      </c>
      <c r="B270" s="120"/>
      <c r="C270" s="120"/>
      <c r="D270" s="121"/>
      <c r="E270" s="123"/>
      <c r="F270" s="122"/>
      <c r="G270" s="123"/>
      <c r="H270" s="122"/>
      <c r="I270" s="121"/>
      <c r="J270" s="123"/>
      <c r="K270" s="122"/>
      <c r="L270" s="122"/>
      <c r="M270" s="158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0" hidden="1" customHeight="1">
      <c r="A271" s="160">
        <v>27023.0</v>
      </c>
      <c r="B271" s="127"/>
      <c r="C271" s="127"/>
      <c r="D271" s="128"/>
      <c r="E271" s="129"/>
      <c r="F271" s="130"/>
      <c r="G271" s="129"/>
      <c r="H271" s="164"/>
      <c r="I271" s="128"/>
      <c r="J271" s="129"/>
      <c r="K271" s="130"/>
      <c r="L271" s="130"/>
      <c r="M271" s="165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0" hidden="1" customHeight="1">
      <c r="A272" s="153">
        <v>27123.0</v>
      </c>
      <c r="B272" s="120"/>
      <c r="C272" s="120"/>
      <c r="D272" s="121"/>
      <c r="E272" s="123"/>
      <c r="F272" s="122"/>
      <c r="G272" s="123"/>
      <c r="H272" s="122"/>
      <c r="I272" s="121"/>
      <c r="J272" s="123"/>
      <c r="K272" s="122"/>
      <c r="L272" s="122"/>
      <c r="M272" s="158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0" hidden="1" customHeight="1">
      <c r="A273" s="160">
        <v>27223.0</v>
      </c>
      <c r="B273" s="127"/>
      <c r="C273" s="127"/>
      <c r="D273" s="128"/>
      <c r="E273" s="129"/>
      <c r="F273" s="130"/>
      <c r="G273" s="129"/>
      <c r="H273" s="164"/>
      <c r="I273" s="128"/>
      <c r="J273" s="129"/>
      <c r="K273" s="130"/>
      <c r="L273" s="130"/>
      <c r="M273" s="165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hidden="1" customHeight="1">
      <c r="A274" s="153">
        <v>27323.0</v>
      </c>
      <c r="B274" s="120"/>
      <c r="C274" s="120"/>
      <c r="D274" s="121"/>
      <c r="E274" s="123"/>
      <c r="F274" s="122"/>
      <c r="G274" s="123"/>
      <c r="H274" s="122"/>
      <c r="I274" s="121"/>
      <c r="J274" s="123"/>
      <c r="K274" s="122"/>
      <c r="L274" s="122"/>
      <c r="M274" s="158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hidden="1" customHeight="1">
      <c r="A275" s="160">
        <v>27423.0</v>
      </c>
      <c r="B275" s="127"/>
      <c r="C275" s="127"/>
      <c r="D275" s="128"/>
      <c r="E275" s="129"/>
      <c r="F275" s="130"/>
      <c r="G275" s="129"/>
      <c r="H275" s="164"/>
      <c r="I275" s="128"/>
      <c r="J275" s="129"/>
      <c r="K275" s="130"/>
      <c r="L275" s="130"/>
      <c r="M275" s="165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hidden="1" customHeight="1">
      <c r="A276" s="153">
        <v>27523.0</v>
      </c>
      <c r="B276" s="120"/>
      <c r="C276" s="120"/>
      <c r="D276" s="121"/>
      <c r="E276" s="123"/>
      <c r="F276" s="122"/>
      <c r="G276" s="123"/>
      <c r="H276" s="122"/>
      <c r="I276" s="121"/>
      <c r="J276" s="123"/>
      <c r="K276" s="122"/>
      <c r="L276" s="122"/>
      <c r="M276" s="158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idden="1">
      <c r="A277" s="160">
        <v>27623.0</v>
      </c>
      <c r="B277" s="127"/>
      <c r="C277" s="127"/>
      <c r="D277" s="128"/>
      <c r="E277" s="129"/>
      <c r="F277" s="130"/>
      <c r="G277" s="129"/>
      <c r="H277" s="164"/>
      <c r="I277" s="128"/>
      <c r="J277" s="129"/>
      <c r="K277" s="130"/>
      <c r="L277" s="130"/>
      <c r="M277" s="165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idden="1">
      <c r="A278" s="153">
        <v>27723.0</v>
      </c>
      <c r="B278" s="120"/>
      <c r="C278" s="120"/>
      <c r="D278" s="121"/>
      <c r="E278" s="123"/>
      <c r="F278" s="122"/>
      <c r="G278" s="123"/>
      <c r="H278" s="122"/>
      <c r="I278" s="121"/>
      <c r="J278" s="123"/>
      <c r="K278" s="122"/>
      <c r="L278" s="122"/>
      <c r="M278" s="158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0" hidden="1" customHeight="1">
      <c r="A279" s="160">
        <v>27823.0</v>
      </c>
      <c r="B279" s="127"/>
      <c r="C279" s="127"/>
      <c r="D279" s="128"/>
      <c r="E279" s="129"/>
      <c r="F279" s="130"/>
      <c r="G279" s="129"/>
      <c r="H279" s="164"/>
      <c r="I279" s="128"/>
      <c r="J279" s="129"/>
      <c r="K279" s="130"/>
      <c r="L279" s="130"/>
      <c r="M279" s="165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0" hidden="1" customHeight="1">
      <c r="A280" s="153">
        <v>27923.0</v>
      </c>
      <c r="B280" s="120"/>
      <c r="C280" s="120"/>
      <c r="D280" s="121"/>
      <c r="E280" s="123"/>
      <c r="F280" s="122"/>
      <c r="G280" s="123"/>
      <c r="H280" s="122"/>
      <c r="I280" s="121"/>
      <c r="J280" s="123"/>
      <c r="K280" s="122"/>
      <c r="L280" s="122"/>
      <c r="M280" s="158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idden="1">
      <c r="A281" s="160">
        <v>28023.0</v>
      </c>
      <c r="B281" s="127"/>
      <c r="C281" s="127"/>
      <c r="D281" s="128"/>
      <c r="E281" s="129"/>
      <c r="F281" s="130"/>
      <c r="G281" s="129"/>
      <c r="H281" s="164"/>
      <c r="I281" s="128"/>
      <c r="J281" s="129"/>
      <c r="K281" s="130"/>
      <c r="L281" s="130"/>
      <c r="M281" s="165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idden="1">
      <c r="A282" s="153">
        <v>28123.0</v>
      </c>
      <c r="B282" s="120"/>
      <c r="C282" s="120"/>
      <c r="D282" s="121"/>
      <c r="E282" s="123"/>
      <c r="F282" s="122"/>
      <c r="G282" s="123"/>
      <c r="H282" s="122"/>
      <c r="I282" s="121"/>
      <c r="J282" s="123"/>
      <c r="K282" s="122"/>
      <c r="L282" s="122"/>
      <c r="M282" s="158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8.0" hidden="1" customHeight="1">
      <c r="A283" s="160">
        <v>28223.0</v>
      </c>
      <c r="B283" s="127"/>
      <c r="C283" s="127"/>
      <c r="D283" s="128"/>
      <c r="E283" s="129"/>
      <c r="F283" s="130"/>
      <c r="G283" s="129"/>
      <c r="H283" s="164"/>
      <c r="I283" s="128"/>
      <c r="J283" s="129"/>
      <c r="K283" s="130"/>
      <c r="L283" s="130"/>
      <c r="M283" s="165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0" hidden="1" customHeight="1">
      <c r="A284" s="153">
        <v>28323.0</v>
      </c>
      <c r="B284" s="120"/>
      <c r="C284" s="120"/>
      <c r="D284" s="121"/>
      <c r="E284" s="123"/>
      <c r="F284" s="122"/>
      <c r="G284" s="123"/>
      <c r="H284" s="122"/>
      <c r="I284" s="121"/>
      <c r="J284" s="123"/>
      <c r="K284" s="122"/>
      <c r="L284" s="122"/>
      <c r="M284" s="158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0" hidden="1" customHeight="1">
      <c r="A285" s="160">
        <v>28423.0</v>
      </c>
      <c r="B285" s="127"/>
      <c r="C285" s="127"/>
      <c r="D285" s="128"/>
      <c r="E285" s="129"/>
      <c r="F285" s="130"/>
      <c r="G285" s="129"/>
      <c r="H285" s="164"/>
      <c r="I285" s="128"/>
      <c r="J285" s="129"/>
      <c r="K285" s="130"/>
      <c r="L285" s="130"/>
      <c r="M285" s="165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0" hidden="1" customHeight="1">
      <c r="A286" s="153">
        <v>28523.0</v>
      </c>
      <c r="B286" s="120"/>
      <c r="C286" s="120"/>
      <c r="D286" s="121"/>
      <c r="E286" s="123"/>
      <c r="F286" s="122"/>
      <c r="G286" s="123"/>
      <c r="H286" s="122"/>
      <c r="I286" s="121"/>
      <c r="J286" s="123"/>
      <c r="K286" s="122"/>
      <c r="L286" s="122"/>
      <c r="M286" s="158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0" hidden="1" customHeight="1">
      <c r="A287" s="160">
        <v>28623.0</v>
      </c>
      <c r="B287" s="127"/>
      <c r="C287" s="127"/>
      <c r="D287" s="128"/>
      <c r="E287" s="129"/>
      <c r="F287" s="130"/>
      <c r="G287" s="129"/>
      <c r="H287" s="164"/>
      <c r="I287" s="128"/>
      <c r="J287" s="129"/>
      <c r="K287" s="130"/>
      <c r="L287" s="130"/>
      <c r="M287" s="165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0" hidden="1" customHeight="1">
      <c r="A288" s="153">
        <v>28723.0</v>
      </c>
      <c r="B288" s="120"/>
      <c r="C288" s="120"/>
      <c r="D288" s="121"/>
      <c r="E288" s="123"/>
      <c r="F288" s="122"/>
      <c r="G288" s="123"/>
      <c r="H288" s="122"/>
      <c r="I288" s="121"/>
      <c r="J288" s="123"/>
      <c r="K288" s="122"/>
      <c r="L288" s="122"/>
      <c r="M288" s="158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0" hidden="1" customHeight="1">
      <c r="A289" s="160">
        <v>28823.0</v>
      </c>
      <c r="B289" s="127"/>
      <c r="C289" s="127"/>
      <c r="D289" s="128"/>
      <c r="E289" s="129"/>
      <c r="F289" s="130"/>
      <c r="G289" s="129"/>
      <c r="H289" s="164"/>
      <c r="I289" s="128"/>
      <c r="J289" s="129"/>
      <c r="K289" s="130"/>
      <c r="L289" s="130"/>
      <c r="M289" s="165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0" hidden="1" customHeight="1">
      <c r="A290" s="153">
        <v>28923.0</v>
      </c>
      <c r="B290" s="120"/>
      <c r="C290" s="120"/>
      <c r="D290" s="121"/>
      <c r="E290" s="123"/>
      <c r="F290" s="122"/>
      <c r="G290" s="123"/>
      <c r="H290" s="122"/>
      <c r="I290" s="121"/>
      <c r="J290" s="123"/>
      <c r="K290" s="122"/>
      <c r="L290" s="122"/>
      <c r="M290" s="158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0" hidden="1" customHeight="1">
      <c r="A291" s="160">
        <v>29023.0</v>
      </c>
      <c r="B291" s="127"/>
      <c r="C291" s="127"/>
      <c r="D291" s="128"/>
      <c r="E291" s="129"/>
      <c r="F291" s="130"/>
      <c r="G291" s="129"/>
      <c r="H291" s="164"/>
      <c r="I291" s="128"/>
      <c r="J291" s="129"/>
      <c r="K291" s="130"/>
      <c r="L291" s="130"/>
      <c r="M291" s="165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0" hidden="1" customHeight="1">
      <c r="A292" s="153">
        <v>29123.0</v>
      </c>
      <c r="B292" s="120"/>
      <c r="C292" s="120"/>
      <c r="D292" s="121"/>
      <c r="E292" s="123"/>
      <c r="F292" s="122"/>
      <c r="G292" s="123"/>
      <c r="H292" s="122"/>
      <c r="I292" s="121"/>
      <c r="J292" s="123"/>
      <c r="K292" s="122"/>
      <c r="L292" s="122"/>
      <c r="M292" s="158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0" hidden="1" customHeight="1">
      <c r="A293" s="160">
        <v>29223.0</v>
      </c>
      <c r="B293" s="127"/>
      <c r="C293" s="127"/>
      <c r="D293" s="128"/>
      <c r="E293" s="129"/>
      <c r="F293" s="130"/>
      <c r="G293" s="129"/>
      <c r="H293" s="164"/>
      <c r="I293" s="128"/>
      <c r="J293" s="129"/>
      <c r="K293" s="130"/>
      <c r="L293" s="130"/>
      <c r="M293" s="165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0" hidden="1" customHeight="1">
      <c r="A294" s="153">
        <v>29323.0</v>
      </c>
      <c r="B294" s="120"/>
      <c r="C294" s="120"/>
      <c r="D294" s="121"/>
      <c r="E294" s="123"/>
      <c r="F294" s="122"/>
      <c r="G294" s="123"/>
      <c r="H294" s="122"/>
      <c r="I294" s="121"/>
      <c r="J294" s="123"/>
      <c r="K294" s="122"/>
      <c r="L294" s="122"/>
      <c r="M294" s="158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0" hidden="1" customHeight="1">
      <c r="A295" s="160">
        <v>29423.0</v>
      </c>
      <c r="B295" s="127"/>
      <c r="C295" s="127"/>
      <c r="D295" s="128"/>
      <c r="E295" s="129"/>
      <c r="F295" s="130"/>
      <c r="G295" s="129"/>
      <c r="H295" s="164"/>
      <c r="I295" s="128"/>
      <c r="J295" s="129"/>
      <c r="K295" s="130"/>
      <c r="L295" s="130"/>
      <c r="M295" s="165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0" hidden="1" customHeight="1">
      <c r="A296" s="153">
        <v>29523.0</v>
      </c>
      <c r="B296" s="120"/>
      <c r="C296" s="120"/>
      <c r="D296" s="121"/>
      <c r="E296" s="123"/>
      <c r="F296" s="122"/>
      <c r="G296" s="123"/>
      <c r="H296" s="122"/>
      <c r="I296" s="121"/>
      <c r="J296" s="123"/>
      <c r="K296" s="122"/>
      <c r="L296" s="122"/>
      <c r="M296" s="158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0" hidden="1" customHeight="1">
      <c r="A297" s="160">
        <v>29623.0</v>
      </c>
      <c r="B297" s="127"/>
      <c r="C297" s="127"/>
      <c r="D297" s="128"/>
      <c r="E297" s="129"/>
      <c r="F297" s="130"/>
      <c r="G297" s="129"/>
      <c r="H297" s="164"/>
      <c r="I297" s="128"/>
      <c r="J297" s="129"/>
      <c r="K297" s="130"/>
      <c r="L297" s="130"/>
      <c r="M297" s="165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0" hidden="1" customHeight="1">
      <c r="A298" s="153">
        <v>29723.0</v>
      </c>
      <c r="B298" s="120"/>
      <c r="C298" s="120"/>
      <c r="D298" s="121"/>
      <c r="E298" s="123"/>
      <c r="F298" s="122"/>
      <c r="G298" s="123"/>
      <c r="H298" s="122"/>
      <c r="I298" s="121"/>
      <c r="J298" s="123"/>
      <c r="K298" s="122"/>
      <c r="L298" s="122"/>
      <c r="M298" s="158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idden="1">
      <c r="A299" s="160">
        <v>29823.0</v>
      </c>
      <c r="B299" s="127"/>
      <c r="C299" s="127"/>
      <c r="D299" s="128"/>
      <c r="E299" s="129"/>
      <c r="F299" s="130"/>
      <c r="G299" s="129"/>
      <c r="H299" s="164"/>
      <c r="I299" s="128"/>
      <c r="J299" s="129"/>
      <c r="K299" s="130"/>
      <c r="L299" s="130"/>
      <c r="M299" s="165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idden="1">
      <c r="A300" s="153">
        <v>29923.0</v>
      </c>
      <c r="B300" s="120"/>
      <c r="C300" s="120"/>
      <c r="D300" s="121"/>
      <c r="E300" s="123"/>
      <c r="F300" s="122"/>
      <c r="G300" s="123"/>
      <c r="H300" s="122"/>
      <c r="I300" s="121"/>
      <c r="J300" s="123"/>
      <c r="K300" s="122"/>
      <c r="L300" s="122"/>
      <c r="M300" s="158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idden="1">
      <c r="A301" s="160">
        <v>30023.0</v>
      </c>
      <c r="B301" s="127"/>
      <c r="C301" s="127"/>
      <c r="D301" s="128"/>
      <c r="E301" s="129"/>
      <c r="F301" s="130"/>
      <c r="G301" s="129"/>
      <c r="H301" s="164"/>
      <c r="I301" s="128"/>
      <c r="J301" s="129"/>
      <c r="K301" s="130"/>
      <c r="L301" s="130"/>
      <c r="M301" s="165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idden="1">
      <c r="A302" s="153">
        <v>30123.0</v>
      </c>
      <c r="B302" s="120"/>
      <c r="C302" s="120"/>
      <c r="D302" s="121"/>
      <c r="E302" s="123"/>
      <c r="F302" s="122"/>
      <c r="G302" s="123"/>
      <c r="H302" s="122"/>
      <c r="I302" s="121"/>
      <c r="J302" s="123"/>
      <c r="K302" s="122"/>
      <c r="L302" s="122"/>
      <c r="M302" s="158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idden="1">
      <c r="A303" s="160">
        <v>30223.0</v>
      </c>
      <c r="B303" s="127"/>
      <c r="C303" s="127"/>
      <c r="D303" s="128"/>
      <c r="E303" s="129"/>
      <c r="F303" s="130"/>
      <c r="G303" s="129"/>
      <c r="H303" s="164"/>
      <c r="I303" s="128"/>
      <c r="J303" s="129"/>
      <c r="K303" s="130"/>
      <c r="L303" s="130"/>
      <c r="M303" s="165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idden="1">
      <c r="A304" s="153">
        <v>30323.0</v>
      </c>
      <c r="B304" s="120"/>
      <c r="C304" s="120"/>
      <c r="D304" s="121"/>
      <c r="E304" s="123"/>
      <c r="F304" s="122"/>
      <c r="G304" s="123"/>
      <c r="H304" s="122"/>
      <c r="I304" s="121"/>
      <c r="J304" s="123"/>
      <c r="K304" s="122"/>
      <c r="L304" s="122"/>
      <c r="M304" s="158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idden="1">
      <c r="A305" s="160">
        <v>30423.0</v>
      </c>
      <c r="B305" s="127"/>
      <c r="C305" s="127"/>
      <c r="D305" s="128"/>
      <c r="E305" s="129"/>
      <c r="F305" s="130"/>
      <c r="G305" s="129"/>
      <c r="H305" s="164"/>
      <c r="I305" s="128"/>
      <c r="J305" s="129"/>
      <c r="K305" s="130"/>
      <c r="L305" s="130"/>
      <c r="M305" s="165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idden="1">
      <c r="A306" s="153">
        <v>30523.0</v>
      </c>
      <c r="B306" s="120"/>
      <c r="C306" s="120"/>
      <c r="D306" s="121"/>
      <c r="E306" s="123"/>
      <c r="F306" s="122"/>
      <c r="G306" s="123"/>
      <c r="H306" s="122"/>
      <c r="I306" s="121"/>
      <c r="J306" s="123"/>
      <c r="K306" s="122"/>
      <c r="L306" s="122"/>
      <c r="M306" s="158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idden="1">
      <c r="A307" s="160">
        <v>30623.0</v>
      </c>
      <c r="B307" s="127"/>
      <c r="C307" s="127"/>
      <c r="D307" s="128"/>
      <c r="E307" s="129"/>
      <c r="F307" s="130"/>
      <c r="G307" s="129"/>
      <c r="H307" s="164"/>
      <c r="I307" s="128"/>
      <c r="J307" s="129"/>
      <c r="K307" s="130"/>
      <c r="L307" s="130"/>
      <c r="M307" s="165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idden="1">
      <c r="A308" s="153">
        <v>30723.0</v>
      </c>
      <c r="B308" s="120"/>
      <c r="C308" s="120"/>
      <c r="D308" s="121"/>
      <c r="E308" s="123"/>
      <c r="F308" s="122"/>
      <c r="G308" s="123"/>
      <c r="H308" s="122"/>
      <c r="I308" s="121"/>
      <c r="J308" s="123"/>
      <c r="K308" s="122"/>
      <c r="L308" s="122"/>
      <c r="M308" s="158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idden="1">
      <c r="A309" s="160">
        <v>30823.0</v>
      </c>
      <c r="B309" s="127"/>
      <c r="C309" s="127"/>
      <c r="D309" s="128"/>
      <c r="E309" s="129"/>
      <c r="F309" s="130"/>
      <c r="G309" s="129"/>
      <c r="H309" s="164"/>
      <c r="I309" s="128"/>
      <c r="J309" s="129"/>
      <c r="K309" s="130"/>
      <c r="L309" s="130"/>
      <c r="M309" s="165">
        <f t="shared" si="1"/>
        <v>0</v>
      </c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idden="1">
      <c r="A310" s="153">
        <v>30923.0</v>
      </c>
      <c r="B310" s="120"/>
      <c r="C310" s="120"/>
      <c r="D310" s="121"/>
      <c r="E310" s="123"/>
      <c r="F310" s="122"/>
      <c r="G310" s="123"/>
      <c r="H310" s="122"/>
      <c r="I310" s="121"/>
      <c r="J310" s="123"/>
      <c r="K310" s="122"/>
      <c r="L310" s="122"/>
      <c r="M310" s="158">
        <f t="shared" si="1"/>
        <v>0</v>
      </c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idden="1">
      <c r="A311" s="160">
        <v>31023.0</v>
      </c>
      <c r="B311" s="127"/>
      <c r="C311" s="127"/>
      <c r="D311" s="128"/>
      <c r="E311" s="129"/>
      <c r="F311" s="130"/>
      <c r="G311" s="129"/>
      <c r="H311" s="164"/>
      <c r="I311" s="128"/>
      <c r="J311" s="129"/>
      <c r="K311" s="130"/>
      <c r="L311" s="130"/>
      <c r="M311" s="165">
        <f t="shared" si="1"/>
        <v>0</v>
      </c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idden="1">
      <c r="A312" s="153">
        <v>31123.0</v>
      </c>
      <c r="B312" s="120"/>
      <c r="C312" s="120"/>
      <c r="D312" s="121"/>
      <c r="E312" s="123"/>
      <c r="F312" s="122"/>
      <c r="G312" s="123"/>
      <c r="H312" s="122"/>
      <c r="I312" s="121"/>
      <c r="J312" s="123"/>
      <c r="K312" s="122"/>
      <c r="L312" s="122"/>
      <c r="M312" s="158">
        <f t="shared" si="1"/>
        <v>0</v>
      </c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idden="1">
      <c r="A313" s="160">
        <v>31223.0</v>
      </c>
      <c r="B313" s="127"/>
      <c r="C313" s="127"/>
      <c r="D313" s="128"/>
      <c r="E313" s="129"/>
      <c r="F313" s="130"/>
      <c r="G313" s="129"/>
      <c r="H313" s="164"/>
      <c r="I313" s="128"/>
      <c r="J313" s="129"/>
      <c r="K313" s="130"/>
      <c r="L313" s="130"/>
      <c r="M313" s="165">
        <f t="shared" si="1"/>
        <v>0</v>
      </c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2.75" hidden="1" customHeight="1">
      <c r="A314" s="153">
        <v>31323.0</v>
      </c>
      <c r="B314" s="120"/>
      <c r="C314" s="120"/>
      <c r="D314" s="121"/>
      <c r="E314" s="123"/>
      <c r="F314" s="122"/>
      <c r="G314" s="123"/>
      <c r="H314" s="122"/>
      <c r="I314" s="121"/>
      <c r="J314" s="123"/>
      <c r="K314" s="122"/>
      <c r="L314" s="122"/>
      <c r="M314" s="158">
        <f t="shared" si="1"/>
        <v>0</v>
      </c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2.75" hidden="1" customHeight="1">
      <c r="A315" s="160">
        <v>31423.0</v>
      </c>
      <c r="B315" s="127"/>
      <c r="C315" s="127"/>
      <c r="D315" s="128"/>
      <c r="E315" s="129"/>
      <c r="F315" s="130"/>
      <c r="G315" s="129"/>
      <c r="H315" s="164"/>
      <c r="I315" s="128"/>
      <c r="J315" s="129"/>
      <c r="K315" s="130"/>
      <c r="L315" s="130"/>
      <c r="M315" s="165">
        <f t="shared" si="1"/>
        <v>0</v>
      </c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2.75" hidden="1" customHeight="1">
      <c r="A316" s="153">
        <v>31523.0</v>
      </c>
      <c r="B316" s="120"/>
      <c r="C316" s="120"/>
      <c r="D316" s="121"/>
      <c r="E316" s="123"/>
      <c r="F316" s="122"/>
      <c r="G316" s="123"/>
      <c r="H316" s="122"/>
      <c r="I316" s="121"/>
      <c r="J316" s="123"/>
      <c r="K316" s="122"/>
      <c r="L316" s="122"/>
      <c r="M316" s="158">
        <f t="shared" si="1"/>
        <v>0</v>
      </c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2.75" hidden="1" customHeight="1">
      <c r="A317" s="160">
        <v>31623.0</v>
      </c>
      <c r="B317" s="127"/>
      <c r="C317" s="127"/>
      <c r="D317" s="128"/>
      <c r="E317" s="129"/>
      <c r="F317" s="130"/>
      <c r="G317" s="129"/>
      <c r="H317" s="164"/>
      <c r="I317" s="128"/>
      <c r="J317" s="129"/>
      <c r="K317" s="130"/>
      <c r="L317" s="130"/>
      <c r="M317" s="165">
        <f t="shared" si="1"/>
        <v>0</v>
      </c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2.75" hidden="1" customHeight="1">
      <c r="A318" s="153">
        <v>31723.0</v>
      </c>
      <c r="B318" s="120"/>
      <c r="C318" s="120"/>
      <c r="D318" s="121"/>
      <c r="E318" s="123"/>
      <c r="F318" s="122"/>
      <c r="G318" s="123"/>
      <c r="H318" s="122"/>
      <c r="I318" s="121"/>
      <c r="J318" s="123"/>
      <c r="K318" s="122"/>
      <c r="L318" s="122"/>
      <c r="M318" s="158">
        <f t="shared" si="1"/>
        <v>0</v>
      </c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2.75" hidden="1" customHeight="1">
      <c r="A319" s="160">
        <v>31823.0</v>
      </c>
      <c r="B319" s="127"/>
      <c r="C319" s="127"/>
      <c r="D319" s="128"/>
      <c r="E319" s="129"/>
      <c r="F319" s="130"/>
      <c r="G319" s="129"/>
      <c r="H319" s="164"/>
      <c r="I319" s="128"/>
      <c r="J319" s="129"/>
      <c r="K319" s="130"/>
      <c r="L319" s="130"/>
      <c r="M319" s="165">
        <f t="shared" si="1"/>
        <v>0</v>
      </c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2.75" hidden="1" customHeight="1">
      <c r="A320" s="153">
        <v>31923.0</v>
      </c>
      <c r="B320" s="120"/>
      <c r="C320" s="120"/>
      <c r="D320" s="121"/>
      <c r="E320" s="123"/>
      <c r="F320" s="122"/>
      <c r="G320" s="123"/>
      <c r="H320" s="122"/>
      <c r="I320" s="121"/>
      <c r="J320" s="123"/>
      <c r="K320" s="122"/>
      <c r="L320" s="122"/>
      <c r="M320" s="158">
        <f t="shared" si="1"/>
        <v>0</v>
      </c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2.75" hidden="1" customHeight="1">
      <c r="A321" s="160">
        <v>32023.0</v>
      </c>
      <c r="B321" s="127"/>
      <c r="C321" s="127"/>
      <c r="D321" s="128"/>
      <c r="E321" s="129"/>
      <c r="F321" s="130"/>
      <c r="G321" s="129"/>
      <c r="H321" s="164"/>
      <c r="I321" s="128"/>
      <c r="J321" s="129"/>
      <c r="K321" s="130"/>
      <c r="L321" s="130"/>
      <c r="M321" s="165">
        <f t="shared" si="1"/>
        <v>0</v>
      </c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2.75" hidden="1" customHeight="1">
      <c r="A322" s="153">
        <v>32123.0</v>
      </c>
      <c r="B322" s="120"/>
      <c r="C322" s="120"/>
      <c r="D322" s="121"/>
      <c r="E322" s="123"/>
      <c r="F322" s="122"/>
      <c r="G322" s="123"/>
      <c r="H322" s="122"/>
      <c r="I322" s="121"/>
      <c r="J322" s="123"/>
      <c r="K322" s="122"/>
      <c r="L322" s="122"/>
      <c r="M322" s="158">
        <f t="shared" si="1"/>
        <v>0</v>
      </c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2.75" hidden="1" customHeight="1">
      <c r="A323" s="160">
        <v>32223.0</v>
      </c>
      <c r="B323" s="127"/>
      <c r="C323" s="127"/>
      <c r="D323" s="128"/>
      <c r="E323" s="129"/>
      <c r="F323" s="130"/>
      <c r="G323" s="129"/>
      <c r="H323" s="164"/>
      <c r="I323" s="128"/>
      <c r="J323" s="129"/>
      <c r="K323" s="130"/>
      <c r="L323" s="130"/>
      <c r="M323" s="165">
        <f t="shared" si="1"/>
        <v>0</v>
      </c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2.75" hidden="1" customHeight="1">
      <c r="A324" s="153">
        <v>32323.0</v>
      </c>
      <c r="B324" s="120"/>
      <c r="C324" s="120"/>
      <c r="D324" s="121"/>
      <c r="E324" s="123"/>
      <c r="F324" s="122"/>
      <c r="G324" s="123"/>
      <c r="H324" s="122"/>
      <c r="I324" s="121"/>
      <c r="J324" s="123"/>
      <c r="K324" s="122"/>
      <c r="L324" s="122"/>
      <c r="M324" s="158">
        <f t="shared" si="1"/>
        <v>0</v>
      </c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2.75" hidden="1" customHeight="1">
      <c r="A325" s="160">
        <v>32423.0</v>
      </c>
      <c r="B325" s="127"/>
      <c r="C325" s="127"/>
      <c r="D325" s="128"/>
      <c r="E325" s="129"/>
      <c r="F325" s="130"/>
      <c r="G325" s="129"/>
      <c r="H325" s="164"/>
      <c r="I325" s="128"/>
      <c r="J325" s="129"/>
      <c r="K325" s="130"/>
      <c r="L325" s="130"/>
      <c r="M325" s="165">
        <f t="shared" si="1"/>
        <v>0</v>
      </c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2.75" hidden="1" customHeight="1">
      <c r="A326" s="153">
        <v>32523.0</v>
      </c>
      <c r="B326" s="120"/>
      <c r="C326" s="120"/>
      <c r="D326" s="121"/>
      <c r="E326" s="123"/>
      <c r="F326" s="122"/>
      <c r="G326" s="123"/>
      <c r="H326" s="122"/>
      <c r="I326" s="121"/>
      <c r="J326" s="123"/>
      <c r="K326" s="122"/>
      <c r="L326" s="122"/>
      <c r="M326" s="158">
        <f t="shared" si="1"/>
        <v>0</v>
      </c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2.75" hidden="1" customHeight="1">
      <c r="A327" s="160">
        <v>32623.0</v>
      </c>
      <c r="B327" s="127"/>
      <c r="C327" s="127"/>
      <c r="D327" s="128"/>
      <c r="E327" s="129"/>
      <c r="F327" s="130"/>
      <c r="G327" s="129"/>
      <c r="H327" s="164"/>
      <c r="I327" s="128"/>
      <c r="J327" s="129"/>
      <c r="K327" s="130"/>
      <c r="L327" s="130"/>
      <c r="M327" s="165">
        <f t="shared" si="1"/>
        <v>0</v>
      </c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2.75" hidden="1" customHeight="1">
      <c r="A328" s="153">
        <v>32723.0</v>
      </c>
      <c r="B328" s="120"/>
      <c r="C328" s="120"/>
      <c r="D328" s="121"/>
      <c r="E328" s="123"/>
      <c r="F328" s="122"/>
      <c r="G328" s="123"/>
      <c r="H328" s="122"/>
      <c r="I328" s="121"/>
      <c r="J328" s="123"/>
      <c r="K328" s="122"/>
      <c r="L328" s="122"/>
      <c r="M328" s="158">
        <f t="shared" si="1"/>
        <v>0</v>
      </c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2.75" hidden="1" customHeight="1">
      <c r="A329" s="160">
        <v>32823.0</v>
      </c>
      <c r="B329" s="127"/>
      <c r="C329" s="127"/>
      <c r="D329" s="128"/>
      <c r="E329" s="129"/>
      <c r="F329" s="130"/>
      <c r="G329" s="129"/>
      <c r="H329" s="164"/>
      <c r="I329" s="128"/>
      <c r="J329" s="129"/>
      <c r="K329" s="130"/>
      <c r="L329" s="130"/>
      <c r="M329" s="165">
        <f t="shared" si="1"/>
        <v>0</v>
      </c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2.75" hidden="1" customHeight="1">
      <c r="A330" s="153">
        <v>32923.0</v>
      </c>
      <c r="B330" s="120"/>
      <c r="C330" s="120"/>
      <c r="D330" s="121"/>
      <c r="E330" s="123"/>
      <c r="F330" s="122"/>
      <c r="G330" s="123"/>
      <c r="H330" s="122"/>
      <c r="I330" s="121"/>
      <c r="J330" s="123"/>
      <c r="K330" s="122"/>
      <c r="L330" s="122"/>
      <c r="M330" s="158">
        <f t="shared" si="1"/>
        <v>0</v>
      </c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2.75" hidden="1" customHeight="1">
      <c r="A331" s="160">
        <v>33023.0</v>
      </c>
      <c r="B331" s="127"/>
      <c r="C331" s="127"/>
      <c r="D331" s="128"/>
      <c r="E331" s="129"/>
      <c r="F331" s="130"/>
      <c r="G331" s="129"/>
      <c r="H331" s="164"/>
      <c r="I331" s="128"/>
      <c r="J331" s="129"/>
      <c r="K331" s="130"/>
      <c r="L331" s="130"/>
      <c r="M331" s="165">
        <f t="shared" si="1"/>
        <v>0</v>
      </c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2.75" hidden="1" customHeight="1">
      <c r="A332" s="153">
        <v>33123.0</v>
      </c>
      <c r="B332" s="120"/>
      <c r="C332" s="120"/>
      <c r="D332" s="121"/>
      <c r="E332" s="123"/>
      <c r="F332" s="122"/>
      <c r="G332" s="123"/>
      <c r="H332" s="122"/>
      <c r="I332" s="121"/>
      <c r="J332" s="123"/>
      <c r="K332" s="122"/>
      <c r="L332" s="122"/>
      <c r="M332" s="158">
        <f t="shared" si="1"/>
        <v>0</v>
      </c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2.75" hidden="1" customHeight="1">
      <c r="A333" s="160">
        <v>33223.0</v>
      </c>
      <c r="B333" s="127"/>
      <c r="C333" s="127"/>
      <c r="D333" s="128"/>
      <c r="E333" s="129"/>
      <c r="F333" s="130"/>
      <c r="G333" s="129"/>
      <c r="H333" s="164"/>
      <c r="I333" s="128"/>
      <c r="J333" s="129"/>
      <c r="K333" s="130"/>
      <c r="L333" s="130"/>
      <c r="M333" s="165">
        <f t="shared" si="1"/>
        <v>0</v>
      </c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2.75" hidden="1" customHeight="1">
      <c r="A334" s="153">
        <v>33323.0</v>
      </c>
      <c r="B334" s="120"/>
      <c r="C334" s="120"/>
      <c r="D334" s="121"/>
      <c r="E334" s="123"/>
      <c r="F334" s="122"/>
      <c r="G334" s="123"/>
      <c r="H334" s="122"/>
      <c r="I334" s="121"/>
      <c r="J334" s="123"/>
      <c r="K334" s="122"/>
      <c r="L334" s="122"/>
      <c r="M334" s="158">
        <f t="shared" si="1"/>
        <v>0</v>
      </c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2.75" hidden="1" customHeight="1">
      <c r="A335" s="160">
        <v>33423.0</v>
      </c>
      <c r="B335" s="127"/>
      <c r="C335" s="127"/>
      <c r="D335" s="128"/>
      <c r="E335" s="129"/>
      <c r="F335" s="130"/>
      <c r="G335" s="129"/>
      <c r="H335" s="164"/>
      <c r="I335" s="128"/>
      <c r="J335" s="129"/>
      <c r="K335" s="130"/>
      <c r="L335" s="130"/>
      <c r="M335" s="165">
        <f t="shared" si="1"/>
        <v>0</v>
      </c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2.75" hidden="1" customHeight="1">
      <c r="A336" s="153">
        <v>33523.0</v>
      </c>
      <c r="B336" s="120"/>
      <c r="C336" s="120"/>
      <c r="D336" s="121"/>
      <c r="E336" s="123"/>
      <c r="F336" s="122"/>
      <c r="G336" s="123"/>
      <c r="H336" s="122"/>
      <c r="I336" s="121"/>
      <c r="J336" s="123"/>
      <c r="K336" s="122"/>
      <c r="L336" s="122"/>
      <c r="M336" s="158">
        <f t="shared" si="1"/>
        <v>0</v>
      </c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2.75" hidden="1" customHeight="1">
      <c r="A337" s="160">
        <v>33623.0</v>
      </c>
      <c r="B337" s="127"/>
      <c r="C337" s="127"/>
      <c r="D337" s="128"/>
      <c r="E337" s="129"/>
      <c r="F337" s="130"/>
      <c r="G337" s="129"/>
      <c r="H337" s="164"/>
      <c r="I337" s="128"/>
      <c r="J337" s="129"/>
      <c r="K337" s="130"/>
      <c r="L337" s="130"/>
      <c r="M337" s="165">
        <f t="shared" si="1"/>
        <v>0</v>
      </c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2.75" hidden="1" customHeight="1">
      <c r="A338" s="153">
        <v>33723.0</v>
      </c>
      <c r="B338" s="120"/>
      <c r="C338" s="120"/>
      <c r="D338" s="121"/>
      <c r="E338" s="123"/>
      <c r="F338" s="122"/>
      <c r="G338" s="123"/>
      <c r="H338" s="122"/>
      <c r="I338" s="121"/>
      <c r="J338" s="123"/>
      <c r="K338" s="122"/>
      <c r="L338" s="122"/>
      <c r="M338" s="158">
        <f t="shared" si="1"/>
        <v>0</v>
      </c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2.75" hidden="1" customHeight="1">
      <c r="A339" s="160">
        <v>33823.0</v>
      </c>
      <c r="B339" s="127"/>
      <c r="C339" s="127"/>
      <c r="D339" s="128"/>
      <c r="E339" s="129"/>
      <c r="F339" s="130"/>
      <c r="G339" s="129"/>
      <c r="H339" s="164"/>
      <c r="I339" s="128"/>
      <c r="J339" s="129"/>
      <c r="K339" s="130"/>
      <c r="L339" s="130"/>
      <c r="M339" s="165">
        <f t="shared" si="1"/>
        <v>0</v>
      </c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2.75" hidden="1" customHeight="1">
      <c r="A340" s="153">
        <v>33923.0</v>
      </c>
      <c r="B340" s="120"/>
      <c r="C340" s="120"/>
      <c r="D340" s="121"/>
      <c r="E340" s="123"/>
      <c r="F340" s="122"/>
      <c r="G340" s="123"/>
      <c r="H340" s="122"/>
      <c r="I340" s="121"/>
      <c r="J340" s="123"/>
      <c r="K340" s="122"/>
      <c r="L340" s="122"/>
      <c r="M340" s="158">
        <f t="shared" si="1"/>
        <v>0</v>
      </c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2.75" hidden="1" customHeight="1">
      <c r="A341" s="160">
        <v>34023.0</v>
      </c>
      <c r="B341" s="127"/>
      <c r="C341" s="127"/>
      <c r="D341" s="128"/>
      <c r="E341" s="129"/>
      <c r="F341" s="130"/>
      <c r="G341" s="129"/>
      <c r="H341" s="164"/>
      <c r="I341" s="128"/>
      <c r="J341" s="129"/>
      <c r="K341" s="130"/>
      <c r="L341" s="130"/>
      <c r="M341" s="165">
        <f t="shared" si="1"/>
        <v>0</v>
      </c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2.75" hidden="1" customHeight="1">
      <c r="A342" s="153">
        <v>34123.0</v>
      </c>
      <c r="B342" s="120"/>
      <c r="C342" s="120"/>
      <c r="D342" s="121"/>
      <c r="E342" s="123"/>
      <c r="F342" s="122"/>
      <c r="G342" s="123"/>
      <c r="H342" s="122"/>
      <c r="I342" s="121"/>
      <c r="J342" s="123"/>
      <c r="K342" s="122"/>
      <c r="L342" s="122"/>
      <c r="M342" s="158">
        <f t="shared" si="1"/>
        <v>0</v>
      </c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2.75" hidden="1" customHeight="1">
      <c r="A343" s="160">
        <v>34223.0</v>
      </c>
      <c r="B343" s="127"/>
      <c r="C343" s="127"/>
      <c r="D343" s="128"/>
      <c r="E343" s="129"/>
      <c r="F343" s="130"/>
      <c r="G343" s="129"/>
      <c r="H343" s="164"/>
      <c r="I343" s="128"/>
      <c r="J343" s="129"/>
      <c r="K343" s="130"/>
      <c r="L343" s="130"/>
      <c r="M343" s="165">
        <f t="shared" si="1"/>
        <v>0</v>
      </c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2.75" hidden="1" customHeight="1">
      <c r="A344" s="153">
        <v>34323.0</v>
      </c>
      <c r="B344" s="120"/>
      <c r="C344" s="120"/>
      <c r="D344" s="121"/>
      <c r="E344" s="123"/>
      <c r="F344" s="122"/>
      <c r="G344" s="123"/>
      <c r="H344" s="122"/>
      <c r="I344" s="121"/>
      <c r="J344" s="123"/>
      <c r="K344" s="122"/>
      <c r="L344" s="122"/>
      <c r="M344" s="158">
        <f t="shared" si="1"/>
        <v>0</v>
      </c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2.75" hidden="1" customHeight="1">
      <c r="A345" s="160">
        <v>34423.0</v>
      </c>
      <c r="B345" s="127"/>
      <c r="C345" s="127"/>
      <c r="D345" s="128"/>
      <c r="E345" s="129"/>
      <c r="F345" s="130"/>
      <c r="G345" s="129"/>
      <c r="H345" s="164"/>
      <c r="I345" s="128"/>
      <c r="J345" s="129"/>
      <c r="K345" s="130"/>
      <c r="L345" s="130"/>
      <c r="M345" s="165">
        <f t="shared" si="1"/>
        <v>0</v>
      </c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2.75" hidden="1" customHeight="1">
      <c r="A346" s="153">
        <v>34523.0</v>
      </c>
      <c r="B346" s="120"/>
      <c r="C346" s="120"/>
      <c r="D346" s="121"/>
      <c r="E346" s="123"/>
      <c r="F346" s="122"/>
      <c r="G346" s="123"/>
      <c r="H346" s="122"/>
      <c r="I346" s="121"/>
      <c r="J346" s="123"/>
      <c r="K346" s="122"/>
      <c r="L346" s="122"/>
      <c r="M346" s="158">
        <f t="shared" si="1"/>
        <v>0</v>
      </c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2.75" hidden="1" customHeight="1">
      <c r="A347" s="160">
        <v>34623.0</v>
      </c>
      <c r="B347" s="127"/>
      <c r="C347" s="127"/>
      <c r="D347" s="128"/>
      <c r="E347" s="129"/>
      <c r="F347" s="130"/>
      <c r="G347" s="129"/>
      <c r="H347" s="164"/>
      <c r="I347" s="128"/>
      <c r="J347" s="129"/>
      <c r="K347" s="130"/>
      <c r="L347" s="130"/>
      <c r="M347" s="165">
        <f t="shared" si="1"/>
        <v>0</v>
      </c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2.75" hidden="1" customHeight="1">
      <c r="A348" s="153">
        <v>34723.0</v>
      </c>
      <c r="B348" s="120"/>
      <c r="C348" s="120"/>
      <c r="D348" s="121"/>
      <c r="E348" s="123"/>
      <c r="F348" s="122"/>
      <c r="G348" s="123"/>
      <c r="H348" s="122"/>
      <c r="I348" s="121"/>
      <c r="J348" s="123"/>
      <c r="K348" s="122"/>
      <c r="L348" s="122"/>
      <c r="M348" s="158">
        <f t="shared" si="1"/>
        <v>0</v>
      </c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2.75" hidden="1" customHeight="1">
      <c r="A349" s="160">
        <v>34823.0</v>
      </c>
      <c r="B349" s="127"/>
      <c r="C349" s="127"/>
      <c r="D349" s="128"/>
      <c r="E349" s="129"/>
      <c r="F349" s="130"/>
      <c r="G349" s="129"/>
      <c r="H349" s="164"/>
      <c r="I349" s="128"/>
      <c r="J349" s="129"/>
      <c r="K349" s="130"/>
      <c r="L349" s="130"/>
      <c r="M349" s="165">
        <f t="shared" si="1"/>
        <v>0</v>
      </c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2.75" hidden="1" customHeight="1">
      <c r="A350" s="153">
        <v>34923.0</v>
      </c>
      <c r="B350" s="120"/>
      <c r="C350" s="120"/>
      <c r="D350" s="121"/>
      <c r="E350" s="123"/>
      <c r="F350" s="122"/>
      <c r="G350" s="123"/>
      <c r="H350" s="122"/>
      <c r="I350" s="121"/>
      <c r="J350" s="123"/>
      <c r="K350" s="122"/>
      <c r="L350" s="122"/>
      <c r="M350" s="158">
        <f t="shared" si="1"/>
        <v>0</v>
      </c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2.75" hidden="1" customHeight="1">
      <c r="A351" s="160">
        <v>35023.0</v>
      </c>
      <c r="B351" s="127"/>
      <c r="C351" s="127"/>
      <c r="D351" s="128"/>
      <c r="E351" s="129"/>
      <c r="F351" s="130"/>
      <c r="G351" s="129"/>
      <c r="H351" s="164"/>
      <c r="I351" s="128"/>
      <c r="J351" s="129"/>
      <c r="K351" s="130"/>
      <c r="L351" s="130"/>
      <c r="M351" s="165">
        <f t="shared" si="1"/>
        <v>0</v>
      </c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2.75" hidden="1" customHeight="1">
      <c r="A352" s="153">
        <v>35123.0</v>
      </c>
      <c r="B352" s="120"/>
      <c r="C352" s="120"/>
      <c r="D352" s="121"/>
      <c r="E352" s="123"/>
      <c r="F352" s="122"/>
      <c r="G352" s="123"/>
      <c r="H352" s="122"/>
      <c r="I352" s="121"/>
      <c r="J352" s="123"/>
      <c r="K352" s="122"/>
      <c r="L352" s="122"/>
      <c r="M352" s="158">
        <f t="shared" si="1"/>
        <v>0</v>
      </c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2.75" hidden="1" customHeight="1">
      <c r="A353" s="160">
        <v>35223.0</v>
      </c>
      <c r="B353" s="127"/>
      <c r="C353" s="127"/>
      <c r="D353" s="128"/>
      <c r="E353" s="129"/>
      <c r="F353" s="130"/>
      <c r="G353" s="129"/>
      <c r="H353" s="164"/>
      <c r="I353" s="128"/>
      <c r="J353" s="129"/>
      <c r="K353" s="130"/>
      <c r="L353" s="130"/>
      <c r="M353" s="165">
        <f t="shared" si="1"/>
        <v>0</v>
      </c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2.75" hidden="1" customHeight="1">
      <c r="A354" s="153">
        <v>35323.0</v>
      </c>
      <c r="B354" s="120"/>
      <c r="C354" s="120"/>
      <c r="D354" s="121"/>
      <c r="E354" s="123"/>
      <c r="F354" s="122"/>
      <c r="G354" s="123"/>
      <c r="H354" s="122"/>
      <c r="I354" s="121"/>
      <c r="J354" s="123"/>
      <c r="K354" s="122"/>
      <c r="L354" s="122"/>
      <c r="M354" s="158">
        <f t="shared" si="1"/>
        <v>0</v>
      </c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2.75" hidden="1" customHeight="1">
      <c r="A355" s="160">
        <v>35423.0</v>
      </c>
      <c r="B355" s="127"/>
      <c r="C355" s="127"/>
      <c r="D355" s="128"/>
      <c r="E355" s="129"/>
      <c r="F355" s="130"/>
      <c r="G355" s="129"/>
      <c r="H355" s="164"/>
      <c r="I355" s="128"/>
      <c r="J355" s="129"/>
      <c r="K355" s="130"/>
      <c r="L355" s="130"/>
      <c r="M355" s="165">
        <f t="shared" si="1"/>
        <v>0</v>
      </c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2.75" hidden="1" customHeight="1">
      <c r="A356" s="153">
        <v>35523.0</v>
      </c>
      <c r="B356" s="120"/>
      <c r="C356" s="120"/>
      <c r="D356" s="121"/>
      <c r="E356" s="123"/>
      <c r="F356" s="122"/>
      <c r="G356" s="123"/>
      <c r="H356" s="122"/>
      <c r="I356" s="121"/>
      <c r="J356" s="123"/>
      <c r="K356" s="122"/>
      <c r="L356" s="122"/>
      <c r="M356" s="158">
        <f t="shared" si="1"/>
        <v>0</v>
      </c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2.75" hidden="1" customHeight="1">
      <c r="A357" s="160">
        <v>35623.0</v>
      </c>
      <c r="B357" s="127"/>
      <c r="C357" s="127"/>
      <c r="D357" s="128"/>
      <c r="E357" s="129"/>
      <c r="F357" s="130"/>
      <c r="G357" s="129"/>
      <c r="H357" s="164"/>
      <c r="I357" s="128"/>
      <c r="J357" s="129"/>
      <c r="K357" s="130"/>
      <c r="L357" s="130"/>
      <c r="M357" s="165">
        <f t="shared" si="1"/>
        <v>0</v>
      </c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2.75" hidden="1" customHeight="1">
      <c r="A358" s="153">
        <v>35723.0</v>
      </c>
      <c r="B358" s="120"/>
      <c r="C358" s="120"/>
      <c r="D358" s="121"/>
      <c r="E358" s="123"/>
      <c r="F358" s="122"/>
      <c r="G358" s="123"/>
      <c r="H358" s="122"/>
      <c r="I358" s="121"/>
      <c r="J358" s="123"/>
      <c r="K358" s="122"/>
      <c r="L358" s="122"/>
      <c r="M358" s="158">
        <f t="shared" si="1"/>
        <v>0</v>
      </c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2.75" hidden="1" customHeight="1">
      <c r="A359" s="160">
        <v>35823.0</v>
      </c>
      <c r="B359" s="127"/>
      <c r="C359" s="127"/>
      <c r="D359" s="128"/>
      <c r="E359" s="129"/>
      <c r="F359" s="130"/>
      <c r="G359" s="129"/>
      <c r="H359" s="164"/>
      <c r="I359" s="128"/>
      <c r="J359" s="129"/>
      <c r="K359" s="130"/>
      <c r="L359" s="130"/>
      <c r="M359" s="165">
        <f t="shared" si="1"/>
        <v>0</v>
      </c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2.75" hidden="1" customHeight="1">
      <c r="A360" s="153">
        <v>35923.0</v>
      </c>
      <c r="B360" s="120"/>
      <c r="C360" s="120"/>
      <c r="D360" s="121"/>
      <c r="E360" s="123"/>
      <c r="F360" s="122"/>
      <c r="G360" s="123"/>
      <c r="H360" s="122"/>
      <c r="I360" s="121"/>
      <c r="J360" s="123"/>
      <c r="K360" s="122"/>
      <c r="L360" s="122"/>
      <c r="M360" s="158">
        <f t="shared" si="1"/>
        <v>0</v>
      </c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2.75" hidden="1" customHeight="1">
      <c r="A361" s="160">
        <v>36023.0</v>
      </c>
      <c r="B361" s="127"/>
      <c r="C361" s="127"/>
      <c r="D361" s="128"/>
      <c r="E361" s="129"/>
      <c r="F361" s="130"/>
      <c r="G361" s="129"/>
      <c r="H361" s="164"/>
      <c r="I361" s="128"/>
      <c r="J361" s="129"/>
      <c r="K361" s="130"/>
      <c r="L361" s="130"/>
      <c r="M361" s="165">
        <f t="shared" si="1"/>
        <v>0</v>
      </c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2.75" hidden="1" customHeight="1">
      <c r="A362" s="153">
        <v>36123.0</v>
      </c>
      <c r="B362" s="120"/>
      <c r="C362" s="120"/>
      <c r="D362" s="121"/>
      <c r="E362" s="123"/>
      <c r="F362" s="122"/>
      <c r="G362" s="123"/>
      <c r="H362" s="122"/>
      <c r="I362" s="121"/>
      <c r="J362" s="123"/>
      <c r="K362" s="122"/>
      <c r="L362" s="122"/>
      <c r="M362" s="158">
        <f t="shared" si="1"/>
        <v>0</v>
      </c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2.75" hidden="1" customHeight="1">
      <c r="A363" s="160">
        <v>36223.0</v>
      </c>
      <c r="B363" s="127"/>
      <c r="C363" s="127"/>
      <c r="D363" s="128"/>
      <c r="E363" s="129"/>
      <c r="F363" s="130"/>
      <c r="G363" s="129"/>
      <c r="H363" s="164"/>
      <c r="I363" s="128"/>
      <c r="J363" s="129"/>
      <c r="K363" s="130"/>
      <c r="L363" s="130"/>
      <c r="M363" s="165">
        <f t="shared" si="1"/>
        <v>0</v>
      </c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2.75" hidden="1" customHeight="1">
      <c r="A364" s="153">
        <v>36323.0</v>
      </c>
      <c r="B364" s="120"/>
      <c r="C364" s="120"/>
      <c r="D364" s="121"/>
      <c r="E364" s="123"/>
      <c r="F364" s="122"/>
      <c r="G364" s="123"/>
      <c r="H364" s="122"/>
      <c r="I364" s="121"/>
      <c r="J364" s="123"/>
      <c r="K364" s="122"/>
      <c r="L364" s="122"/>
      <c r="M364" s="158">
        <f t="shared" si="1"/>
        <v>0</v>
      </c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2.75" hidden="1" customHeight="1">
      <c r="A365" s="160">
        <v>36423.0</v>
      </c>
      <c r="B365" s="127"/>
      <c r="C365" s="127"/>
      <c r="D365" s="128"/>
      <c r="E365" s="129"/>
      <c r="F365" s="130"/>
      <c r="G365" s="129"/>
      <c r="H365" s="164"/>
      <c r="I365" s="128"/>
      <c r="J365" s="129"/>
      <c r="K365" s="130"/>
      <c r="L365" s="130"/>
      <c r="M365" s="165">
        <f t="shared" si="1"/>
        <v>0</v>
      </c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2.75" hidden="1" customHeight="1">
      <c r="A366" s="153">
        <v>36523.0</v>
      </c>
      <c r="B366" s="120"/>
      <c r="C366" s="120"/>
      <c r="D366" s="121"/>
      <c r="E366" s="123"/>
      <c r="F366" s="122"/>
      <c r="G366" s="123"/>
      <c r="H366" s="122"/>
      <c r="I366" s="121"/>
      <c r="J366" s="123"/>
      <c r="K366" s="122"/>
      <c r="L366" s="122"/>
      <c r="M366" s="158">
        <f t="shared" si="1"/>
        <v>0</v>
      </c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2.75" hidden="1" customHeight="1">
      <c r="A367" s="160">
        <v>36623.0</v>
      </c>
      <c r="B367" s="127"/>
      <c r="C367" s="127"/>
      <c r="D367" s="128"/>
      <c r="E367" s="129"/>
      <c r="F367" s="130"/>
      <c r="G367" s="129"/>
      <c r="H367" s="164"/>
      <c r="I367" s="128"/>
      <c r="J367" s="129"/>
      <c r="K367" s="130"/>
      <c r="L367" s="130"/>
      <c r="M367" s="165">
        <f t="shared" si="1"/>
        <v>0</v>
      </c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2.75" hidden="1" customHeight="1">
      <c r="A368" s="153">
        <v>36723.0</v>
      </c>
      <c r="B368" s="120"/>
      <c r="C368" s="120"/>
      <c r="D368" s="121"/>
      <c r="E368" s="123"/>
      <c r="F368" s="122"/>
      <c r="G368" s="123"/>
      <c r="H368" s="122"/>
      <c r="I368" s="121"/>
      <c r="J368" s="123"/>
      <c r="K368" s="122"/>
      <c r="L368" s="122"/>
      <c r="M368" s="158">
        <f t="shared" si="1"/>
        <v>0</v>
      </c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2.75" hidden="1" customHeight="1">
      <c r="A369" s="160">
        <v>36823.0</v>
      </c>
      <c r="B369" s="127"/>
      <c r="C369" s="127"/>
      <c r="D369" s="128"/>
      <c r="E369" s="129"/>
      <c r="F369" s="130"/>
      <c r="G369" s="129"/>
      <c r="H369" s="164"/>
      <c r="I369" s="128"/>
      <c r="J369" s="129"/>
      <c r="K369" s="130"/>
      <c r="L369" s="130"/>
      <c r="M369" s="165">
        <f t="shared" si="1"/>
        <v>0</v>
      </c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2.75" hidden="1" customHeight="1">
      <c r="A370" s="153">
        <v>36923.0</v>
      </c>
      <c r="B370" s="120"/>
      <c r="C370" s="120"/>
      <c r="D370" s="121"/>
      <c r="E370" s="123"/>
      <c r="F370" s="122"/>
      <c r="G370" s="123"/>
      <c r="H370" s="122"/>
      <c r="I370" s="121"/>
      <c r="J370" s="123"/>
      <c r="K370" s="122"/>
      <c r="L370" s="122"/>
      <c r="M370" s="158">
        <f t="shared" si="1"/>
        <v>0</v>
      </c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2.75" hidden="1" customHeight="1">
      <c r="A371" s="160">
        <v>37023.0</v>
      </c>
      <c r="B371" s="127"/>
      <c r="C371" s="127"/>
      <c r="D371" s="128"/>
      <c r="E371" s="129"/>
      <c r="F371" s="130"/>
      <c r="G371" s="129"/>
      <c r="H371" s="164"/>
      <c r="I371" s="128"/>
      <c r="J371" s="129"/>
      <c r="K371" s="130"/>
      <c r="L371" s="130"/>
      <c r="M371" s="165">
        <f t="shared" si="1"/>
        <v>0</v>
      </c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2.75" hidden="1" customHeight="1">
      <c r="A372" s="153">
        <v>37123.0</v>
      </c>
      <c r="B372" s="120"/>
      <c r="C372" s="120"/>
      <c r="D372" s="121"/>
      <c r="E372" s="123"/>
      <c r="F372" s="122"/>
      <c r="G372" s="123"/>
      <c r="H372" s="122"/>
      <c r="I372" s="121"/>
      <c r="J372" s="123"/>
      <c r="K372" s="122"/>
      <c r="L372" s="122"/>
      <c r="M372" s="158">
        <f t="shared" si="1"/>
        <v>0</v>
      </c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2.75" hidden="1" customHeight="1">
      <c r="A373" s="160">
        <v>37223.0</v>
      </c>
      <c r="B373" s="127"/>
      <c r="C373" s="127"/>
      <c r="D373" s="128"/>
      <c r="E373" s="129"/>
      <c r="F373" s="130"/>
      <c r="G373" s="129"/>
      <c r="H373" s="164"/>
      <c r="I373" s="128"/>
      <c r="J373" s="129"/>
      <c r="K373" s="130"/>
      <c r="L373" s="130"/>
      <c r="M373" s="165">
        <f t="shared" si="1"/>
        <v>0</v>
      </c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2.75" hidden="1" customHeight="1">
      <c r="A374" s="153">
        <v>37323.0</v>
      </c>
      <c r="B374" s="120"/>
      <c r="C374" s="120"/>
      <c r="D374" s="121"/>
      <c r="E374" s="123"/>
      <c r="F374" s="122"/>
      <c r="G374" s="123"/>
      <c r="H374" s="122"/>
      <c r="I374" s="121"/>
      <c r="J374" s="123"/>
      <c r="K374" s="122"/>
      <c r="L374" s="122"/>
      <c r="M374" s="158">
        <f t="shared" si="1"/>
        <v>0</v>
      </c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2.75" hidden="1" customHeight="1">
      <c r="A375" s="160">
        <v>37423.0</v>
      </c>
      <c r="B375" s="127"/>
      <c r="C375" s="127"/>
      <c r="D375" s="128"/>
      <c r="E375" s="129"/>
      <c r="F375" s="130"/>
      <c r="G375" s="129"/>
      <c r="H375" s="164"/>
      <c r="I375" s="128"/>
      <c r="J375" s="129"/>
      <c r="K375" s="130"/>
      <c r="L375" s="130"/>
      <c r="M375" s="165">
        <f t="shared" si="1"/>
        <v>0</v>
      </c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2.75" hidden="1" customHeight="1">
      <c r="A376" s="153">
        <v>37523.0</v>
      </c>
      <c r="B376" s="120"/>
      <c r="C376" s="120"/>
      <c r="D376" s="121"/>
      <c r="E376" s="123"/>
      <c r="F376" s="122"/>
      <c r="G376" s="123"/>
      <c r="H376" s="122"/>
      <c r="I376" s="121"/>
      <c r="J376" s="123"/>
      <c r="K376" s="122"/>
      <c r="L376" s="122"/>
      <c r="M376" s="158">
        <f t="shared" si="1"/>
        <v>0</v>
      </c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2.75" hidden="1" customHeight="1">
      <c r="A377" s="160">
        <v>37623.0</v>
      </c>
      <c r="B377" s="127"/>
      <c r="C377" s="127"/>
      <c r="D377" s="128"/>
      <c r="E377" s="129"/>
      <c r="F377" s="130"/>
      <c r="G377" s="129"/>
      <c r="H377" s="164"/>
      <c r="I377" s="128"/>
      <c r="J377" s="129"/>
      <c r="K377" s="130"/>
      <c r="L377" s="130"/>
      <c r="M377" s="165">
        <f t="shared" si="1"/>
        <v>0</v>
      </c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2.75" hidden="1" customHeight="1">
      <c r="A378" s="153">
        <v>37723.0</v>
      </c>
      <c r="B378" s="120"/>
      <c r="C378" s="120"/>
      <c r="D378" s="121"/>
      <c r="E378" s="123"/>
      <c r="F378" s="122"/>
      <c r="G378" s="123"/>
      <c r="H378" s="122"/>
      <c r="I378" s="121"/>
      <c r="J378" s="123"/>
      <c r="K378" s="122"/>
      <c r="L378" s="122"/>
      <c r="M378" s="158">
        <f t="shared" si="1"/>
        <v>0</v>
      </c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2.75" hidden="1" customHeight="1">
      <c r="A379" s="160">
        <v>37823.0</v>
      </c>
      <c r="B379" s="127"/>
      <c r="C379" s="127"/>
      <c r="D379" s="128"/>
      <c r="E379" s="129"/>
      <c r="F379" s="130"/>
      <c r="G379" s="129"/>
      <c r="H379" s="164"/>
      <c r="I379" s="128"/>
      <c r="J379" s="129"/>
      <c r="K379" s="130"/>
      <c r="L379" s="130"/>
      <c r="M379" s="165">
        <f t="shared" si="1"/>
        <v>0</v>
      </c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2.75" hidden="1" customHeight="1">
      <c r="A380" s="153">
        <v>37923.0</v>
      </c>
      <c r="B380" s="120"/>
      <c r="C380" s="120"/>
      <c r="D380" s="121"/>
      <c r="E380" s="123"/>
      <c r="F380" s="122"/>
      <c r="G380" s="123"/>
      <c r="H380" s="122"/>
      <c r="I380" s="121"/>
      <c r="J380" s="123"/>
      <c r="K380" s="122"/>
      <c r="L380" s="122"/>
      <c r="M380" s="158">
        <f t="shared" si="1"/>
        <v>0</v>
      </c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2.75" hidden="1" customHeight="1">
      <c r="A381" s="160">
        <v>38023.0</v>
      </c>
      <c r="B381" s="127"/>
      <c r="C381" s="127"/>
      <c r="D381" s="128"/>
      <c r="E381" s="129"/>
      <c r="F381" s="130"/>
      <c r="G381" s="129"/>
      <c r="H381" s="164"/>
      <c r="I381" s="128"/>
      <c r="J381" s="129"/>
      <c r="K381" s="130"/>
      <c r="L381" s="130"/>
      <c r="M381" s="165">
        <f t="shared" si="1"/>
        <v>0</v>
      </c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2.75" hidden="1" customHeight="1">
      <c r="A382" s="153">
        <v>38123.0</v>
      </c>
      <c r="B382" s="120"/>
      <c r="C382" s="120"/>
      <c r="D382" s="121"/>
      <c r="E382" s="123"/>
      <c r="F382" s="122"/>
      <c r="G382" s="123"/>
      <c r="H382" s="122"/>
      <c r="I382" s="121"/>
      <c r="J382" s="123"/>
      <c r="K382" s="122"/>
      <c r="L382" s="122"/>
      <c r="M382" s="158">
        <f t="shared" si="1"/>
        <v>0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2.75" hidden="1" customHeight="1">
      <c r="A383" s="160">
        <v>38223.0</v>
      </c>
      <c r="B383" s="127"/>
      <c r="C383" s="127"/>
      <c r="D383" s="128"/>
      <c r="E383" s="129"/>
      <c r="F383" s="130"/>
      <c r="G383" s="129"/>
      <c r="H383" s="164"/>
      <c r="I383" s="128"/>
      <c r="J383" s="129"/>
      <c r="K383" s="130"/>
      <c r="L383" s="130"/>
      <c r="M383" s="165">
        <f t="shared" si="1"/>
        <v>0</v>
      </c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2.75" hidden="1" customHeight="1">
      <c r="A384" s="153">
        <v>38323.0</v>
      </c>
      <c r="B384" s="120"/>
      <c r="C384" s="120"/>
      <c r="D384" s="121"/>
      <c r="E384" s="123"/>
      <c r="F384" s="122"/>
      <c r="G384" s="123"/>
      <c r="H384" s="122"/>
      <c r="I384" s="121"/>
      <c r="J384" s="123"/>
      <c r="K384" s="122"/>
      <c r="L384" s="122"/>
      <c r="M384" s="158">
        <f t="shared" si="1"/>
        <v>0</v>
      </c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2.75" hidden="1" customHeight="1">
      <c r="A385" s="160">
        <v>38423.0</v>
      </c>
      <c r="B385" s="127"/>
      <c r="C385" s="127"/>
      <c r="D385" s="128"/>
      <c r="E385" s="129"/>
      <c r="F385" s="130"/>
      <c r="G385" s="129"/>
      <c r="H385" s="164"/>
      <c r="I385" s="128"/>
      <c r="J385" s="129"/>
      <c r="K385" s="130"/>
      <c r="L385" s="130"/>
      <c r="M385" s="165">
        <f t="shared" si="1"/>
        <v>0</v>
      </c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2.75" hidden="1" customHeight="1">
      <c r="A386" s="153">
        <v>38523.0</v>
      </c>
      <c r="B386" s="120"/>
      <c r="C386" s="120"/>
      <c r="D386" s="121"/>
      <c r="E386" s="123"/>
      <c r="F386" s="122"/>
      <c r="G386" s="123"/>
      <c r="H386" s="122"/>
      <c r="I386" s="121"/>
      <c r="J386" s="123"/>
      <c r="K386" s="122"/>
      <c r="L386" s="122"/>
      <c r="M386" s="158">
        <f t="shared" si="1"/>
        <v>0</v>
      </c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2.75" hidden="1" customHeight="1">
      <c r="A387" s="160">
        <v>38623.0</v>
      </c>
      <c r="B387" s="127"/>
      <c r="C387" s="127"/>
      <c r="D387" s="128"/>
      <c r="E387" s="129"/>
      <c r="F387" s="130"/>
      <c r="G387" s="129"/>
      <c r="H387" s="164"/>
      <c r="I387" s="128"/>
      <c r="J387" s="129"/>
      <c r="K387" s="130"/>
      <c r="L387" s="130"/>
      <c r="M387" s="165">
        <f t="shared" si="1"/>
        <v>0</v>
      </c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2.75" hidden="1" customHeight="1">
      <c r="A388" s="153">
        <v>38723.0</v>
      </c>
      <c r="B388" s="120"/>
      <c r="C388" s="120"/>
      <c r="D388" s="121"/>
      <c r="E388" s="123"/>
      <c r="F388" s="122"/>
      <c r="G388" s="123"/>
      <c r="H388" s="122"/>
      <c r="I388" s="121"/>
      <c r="J388" s="123"/>
      <c r="K388" s="122"/>
      <c r="L388" s="122"/>
      <c r="M388" s="158">
        <f t="shared" si="1"/>
        <v>0</v>
      </c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2.75" hidden="1" customHeight="1">
      <c r="A389" s="160">
        <v>38823.0</v>
      </c>
      <c r="B389" s="127"/>
      <c r="C389" s="127"/>
      <c r="D389" s="128"/>
      <c r="E389" s="129"/>
      <c r="F389" s="130"/>
      <c r="G389" s="129"/>
      <c r="H389" s="164"/>
      <c r="I389" s="128"/>
      <c r="J389" s="129"/>
      <c r="K389" s="130"/>
      <c r="L389" s="130"/>
      <c r="M389" s="165">
        <f t="shared" si="1"/>
        <v>0</v>
      </c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2.75" hidden="1" customHeight="1">
      <c r="A390" s="153">
        <v>38923.0</v>
      </c>
      <c r="B390" s="120"/>
      <c r="C390" s="120"/>
      <c r="D390" s="121"/>
      <c r="E390" s="123"/>
      <c r="F390" s="122"/>
      <c r="G390" s="123"/>
      <c r="H390" s="122"/>
      <c r="I390" s="121"/>
      <c r="J390" s="123"/>
      <c r="K390" s="122"/>
      <c r="L390" s="122"/>
      <c r="M390" s="158">
        <f t="shared" si="1"/>
        <v>0</v>
      </c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2.75" hidden="1" customHeight="1">
      <c r="A391" s="160">
        <v>39023.0</v>
      </c>
      <c r="B391" s="127"/>
      <c r="C391" s="127"/>
      <c r="D391" s="128"/>
      <c r="E391" s="129"/>
      <c r="F391" s="130"/>
      <c r="G391" s="129"/>
      <c r="H391" s="164"/>
      <c r="I391" s="128"/>
      <c r="J391" s="129"/>
      <c r="K391" s="130"/>
      <c r="L391" s="130"/>
      <c r="M391" s="165">
        <f t="shared" si="1"/>
        <v>0</v>
      </c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2.75" hidden="1" customHeight="1">
      <c r="A392" s="153">
        <v>39123.0</v>
      </c>
      <c r="B392" s="120"/>
      <c r="C392" s="120"/>
      <c r="D392" s="121"/>
      <c r="E392" s="123"/>
      <c r="F392" s="122"/>
      <c r="G392" s="123"/>
      <c r="H392" s="122"/>
      <c r="I392" s="121"/>
      <c r="J392" s="123"/>
      <c r="K392" s="122"/>
      <c r="L392" s="122"/>
      <c r="M392" s="158">
        <f t="shared" si="1"/>
        <v>0</v>
      </c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2.75" hidden="1" customHeight="1">
      <c r="A393" s="160">
        <v>39223.0</v>
      </c>
      <c r="B393" s="127"/>
      <c r="C393" s="127"/>
      <c r="D393" s="128"/>
      <c r="E393" s="129"/>
      <c r="F393" s="130"/>
      <c r="G393" s="129"/>
      <c r="H393" s="164"/>
      <c r="I393" s="128"/>
      <c r="J393" s="129"/>
      <c r="K393" s="130"/>
      <c r="L393" s="130"/>
      <c r="M393" s="165">
        <f t="shared" si="1"/>
        <v>0</v>
      </c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2.75" hidden="1" customHeight="1">
      <c r="A394" s="153">
        <v>39323.0</v>
      </c>
      <c r="B394" s="120"/>
      <c r="C394" s="120"/>
      <c r="D394" s="121"/>
      <c r="E394" s="123"/>
      <c r="F394" s="122"/>
      <c r="G394" s="123"/>
      <c r="H394" s="122"/>
      <c r="I394" s="121"/>
      <c r="J394" s="123"/>
      <c r="K394" s="122"/>
      <c r="L394" s="122"/>
      <c r="M394" s="158">
        <f t="shared" si="1"/>
        <v>0</v>
      </c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2.75" hidden="1" customHeight="1">
      <c r="A395" s="160">
        <v>39423.0</v>
      </c>
      <c r="B395" s="127"/>
      <c r="C395" s="127"/>
      <c r="D395" s="128"/>
      <c r="E395" s="129"/>
      <c r="F395" s="130"/>
      <c r="G395" s="129"/>
      <c r="H395" s="164"/>
      <c r="I395" s="128"/>
      <c r="J395" s="129"/>
      <c r="K395" s="130"/>
      <c r="L395" s="130"/>
      <c r="M395" s="165">
        <f t="shared" si="1"/>
        <v>0</v>
      </c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2.75" hidden="1" customHeight="1">
      <c r="A396" s="153">
        <v>39523.0</v>
      </c>
      <c r="B396" s="120"/>
      <c r="C396" s="120"/>
      <c r="D396" s="121"/>
      <c r="E396" s="123"/>
      <c r="F396" s="122"/>
      <c r="G396" s="123"/>
      <c r="H396" s="122"/>
      <c r="I396" s="121"/>
      <c r="J396" s="123"/>
      <c r="K396" s="122"/>
      <c r="L396" s="122"/>
      <c r="M396" s="158">
        <f t="shared" si="1"/>
        <v>0</v>
      </c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2.75" hidden="1" customHeight="1">
      <c r="A397" s="160">
        <v>39623.0</v>
      </c>
      <c r="B397" s="127"/>
      <c r="C397" s="127"/>
      <c r="D397" s="128"/>
      <c r="E397" s="129"/>
      <c r="F397" s="130"/>
      <c r="G397" s="129"/>
      <c r="H397" s="164"/>
      <c r="I397" s="128"/>
      <c r="J397" s="129"/>
      <c r="K397" s="130"/>
      <c r="L397" s="130"/>
      <c r="M397" s="165">
        <f t="shared" si="1"/>
        <v>0</v>
      </c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2.75" hidden="1" customHeight="1">
      <c r="A398" s="153">
        <v>39723.0</v>
      </c>
      <c r="B398" s="120"/>
      <c r="C398" s="120"/>
      <c r="D398" s="121"/>
      <c r="E398" s="123"/>
      <c r="F398" s="122"/>
      <c r="G398" s="123"/>
      <c r="H398" s="122"/>
      <c r="I398" s="121"/>
      <c r="J398" s="123"/>
      <c r="K398" s="122"/>
      <c r="L398" s="122"/>
      <c r="M398" s="158">
        <f t="shared" si="1"/>
        <v>0</v>
      </c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2.75" hidden="1" customHeight="1">
      <c r="A399" s="160">
        <v>39823.0</v>
      </c>
      <c r="B399" s="127"/>
      <c r="C399" s="127"/>
      <c r="D399" s="128"/>
      <c r="E399" s="129"/>
      <c r="F399" s="130"/>
      <c r="G399" s="129"/>
      <c r="H399" s="164"/>
      <c r="I399" s="128"/>
      <c r="J399" s="129"/>
      <c r="K399" s="130"/>
      <c r="L399" s="130"/>
      <c r="M399" s="165">
        <f t="shared" si="1"/>
        <v>0</v>
      </c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2.75" hidden="1" customHeight="1">
      <c r="A400" s="153">
        <v>39923.0</v>
      </c>
      <c r="B400" s="120"/>
      <c r="C400" s="120"/>
      <c r="D400" s="121"/>
      <c r="E400" s="123"/>
      <c r="F400" s="122"/>
      <c r="G400" s="123"/>
      <c r="H400" s="122"/>
      <c r="I400" s="121"/>
      <c r="J400" s="123"/>
      <c r="K400" s="122"/>
      <c r="L400" s="122"/>
      <c r="M400" s="158">
        <f t="shared" si="1"/>
        <v>0</v>
      </c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2.75" hidden="1" customHeight="1">
      <c r="A401" s="160">
        <v>40023.0</v>
      </c>
      <c r="B401" s="127"/>
      <c r="C401" s="127"/>
      <c r="D401" s="128"/>
      <c r="E401" s="129"/>
      <c r="F401" s="130"/>
      <c r="G401" s="129"/>
      <c r="H401" s="164"/>
      <c r="I401" s="128"/>
      <c r="J401" s="129"/>
      <c r="K401" s="130"/>
      <c r="L401" s="130"/>
      <c r="M401" s="165">
        <f t="shared" si="1"/>
        <v>0</v>
      </c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2.75" hidden="1" customHeight="1">
      <c r="A402" s="153">
        <v>40123.0</v>
      </c>
      <c r="B402" s="120"/>
      <c r="C402" s="120"/>
      <c r="D402" s="121"/>
      <c r="E402" s="123"/>
      <c r="F402" s="122"/>
      <c r="G402" s="123"/>
      <c r="H402" s="122"/>
      <c r="I402" s="121"/>
      <c r="J402" s="123"/>
      <c r="K402" s="122"/>
      <c r="L402" s="122"/>
      <c r="M402" s="158">
        <f t="shared" si="1"/>
        <v>0</v>
      </c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2.75" hidden="1" customHeight="1">
      <c r="A403" s="160">
        <v>40223.0</v>
      </c>
      <c r="B403" s="127"/>
      <c r="C403" s="127"/>
      <c r="D403" s="128"/>
      <c r="E403" s="129"/>
      <c r="F403" s="130"/>
      <c r="G403" s="129"/>
      <c r="H403" s="164"/>
      <c r="I403" s="128"/>
      <c r="J403" s="129"/>
      <c r="K403" s="130"/>
      <c r="L403" s="130"/>
      <c r="M403" s="165">
        <f t="shared" si="1"/>
        <v>0</v>
      </c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2.75" hidden="1" customHeight="1">
      <c r="A404" s="153">
        <v>40323.0</v>
      </c>
      <c r="B404" s="120"/>
      <c r="C404" s="120"/>
      <c r="D404" s="121"/>
      <c r="E404" s="123"/>
      <c r="F404" s="122"/>
      <c r="G404" s="123"/>
      <c r="H404" s="122"/>
      <c r="I404" s="121"/>
      <c r="J404" s="123"/>
      <c r="K404" s="122"/>
      <c r="L404" s="122"/>
      <c r="M404" s="158">
        <f t="shared" si="1"/>
        <v>0</v>
      </c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2.75" hidden="1" customHeight="1">
      <c r="A405" s="160">
        <v>40423.0</v>
      </c>
      <c r="B405" s="127"/>
      <c r="C405" s="127"/>
      <c r="D405" s="128"/>
      <c r="E405" s="129"/>
      <c r="F405" s="130"/>
      <c r="G405" s="129"/>
      <c r="H405" s="164"/>
      <c r="I405" s="128"/>
      <c r="J405" s="129"/>
      <c r="K405" s="130"/>
      <c r="L405" s="130"/>
      <c r="M405" s="165">
        <f t="shared" si="1"/>
        <v>0</v>
      </c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2.75" hidden="1" customHeight="1">
      <c r="A406" s="153">
        <v>40523.0</v>
      </c>
      <c r="B406" s="120"/>
      <c r="C406" s="120"/>
      <c r="D406" s="121"/>
      <c r="E406" s="123"/>
      <c r="F406" s="122"/>
      <c r="G406" s="123"/>
      <c r="H406" s="122"/>
      <c r="I406" s="121"/>
      <c r="J406" s="123"/>
      <c r="K406" s="122"/>
      <c r="L406" s="122"/>
      <c r="M406" s="158">
        <f t="shared" si="1"/>
        <v>0</v>
      </c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2.75" hidden="1" customHeight="1">
      <c r="A407" s="160">
        <v>40623.0</v>
      </c>
      <c r="B407" s="127"/>
      <c r="C407" s="127"/>
      <c r="D407" s="128"/>
      <c r="E407" s="129"/>
      <c r="F407" s="130"/>
      <c r="G407" s="129"/>
      <c r="H407" s="164"/>
      <c r="I407" s="128"/>
      <c r="J407" s="129"/>
      <c r="K407" s="130"/>
      <c r="L407" s="130"/>
      <c r="M407" s="165">
        <f t="shared" si="1"/>
        <v>0</v>
      </c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2.75" hidden="1" customHeight="1">
      <c r="A408" s="153">
        <v>40723.0</v>
      </c>
      <c r="B408" s="120"/>
      <c r="C408" s="120"/>
      <c r="D408" s="121"/>
      <c r="E408" s="123"/>
      <c r="F408" s="122"/>
      <c r="G408" s="123"/>
      <c r="H408" s="122"/>
      <c r="I408" s="121"/>
      <c r="J408" s="123"/>
      <c r="K408" s="122"/>
      <c r="L408" s="122"/>
      <c r="M408" s="158">
        <f t="shared" si="1"/>
        <v>0</v>
      </c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2.75" hidden="1" customHeight="1">
      <c r="A409" s="160">
        <v>40823.0</v>
      </c>
      <c r="B409" s="127"/>
      <c r="C409" s="127"/>
      <c r="D409" s="128"/>
      <c r="E409" s="129"/>
      <c r="F409" s="130"/>
      <c r="G409" s="129"/>
      <c r="H409" s="164"/>
      <c r="I409" s="128"/>
      <c r="J409" s="129"/>
      <c r="K409" s="130"/>
      <c r="L409" s="130"/>
      <c r="M409" s="165">
        <f t="shared" si="1"/>
        <v>0</v>
      </c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2.75" hidden="1" customHeight="1">
      <c r="A410" s="153">
        <v>40923.0</v>
      </c>
      <c r="B410" s="120"/>
      <c r="C410" s="120"/>
      <c r="D410" s="121"/>
      <c r="E410" s="123"/>
      <c r="F410" s="122"/>
      <c r="G410" s="123"/>
      <c r="H410" s="122"/>
      <c r="I410" s="121"/>
      <c r="J410" s="123"/>
      <c r="K410" s="122"/>
      <c r="L410" s="122"/>
      <c r="M410" s="158">
        <f t="shared" si="1"/>
        <v>0</v>
      </c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2.75" hidden="1" customHeight="1">
      <c r="A411" s="160">
        <v>41023.0</v>
      </c>
      <c r="B411" s="127"/>
      <c r="C411" s="127"/>
      <c r="D411" s="128"/>
      <c r="E411" s="129"/>
      <c r="F411" s="130"/>
      <c r="G411" s="129"/>
      <c r="H411" s="164"/>
      <c r="I411" s="128"/>
      <c r="J411" s="129"/>
      <c r="K411" s="130"/>
      <c r="L411" s="130"/>
      <c r="M411" s="165">
        <f t="shared" si="1"/>
        <v>0</v>
      </c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2.75" hidden="1" customHeight="1">
      <c r="A412" s="153">
        <v>41123.0</v>
      </c>
      <c r="B412" s="120"/>
      <c r="C412" s="120"/>
      <c r="D412" s="121"/>
      <c r="E412" s="123"/>
      <c r="F412" s="122"/>
      <c r="G412" s="123"/>
      <c r="H412" s="122"/>
      <c r="I412" s="121"/>
      <c r="J412" s="123"/>
      <c r="K412" s="122"/>
      <c r="L412" s="122"/>
      <c r="M412" s="158">
        <f t="shared" si="1"/>
        <v>0</v>
      </c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2.75" hidden="1" customHeight="1">
      <c r="A413" s="160">
        <v>41223.0</v>
      </c>
      <c r="B413" s="127"/>
      <c r="C413" s="127"/>
      <c r="D413" s="128"/>
      <c r="E413" s="129"/>
      <c r="F413" s="130"/>
      <c r="G413" s="129"/>
      <c r="H413" s="164"/>
      <c r="I413" s="128"/>
      <c r="J413" s="129"/>
      <c r="K413" s="130"/>
      <c r="L413" s="130"/>
      <c r="M413" s="165">
        <f t="shared" si="1"/>
        <v>0</v>
      </c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2.75" hidden="1" customHeight="1">
      <c r="A414" s="153">
        <v>41323.0</v>
      </c>
      <c r="B414" s="120"/>
      <c r="C414" s="120"/>
      <c r="D414" s="121"/>
      <c r="E414" s="123"/>
      <c r="F414" s="122"/>
      <c r="G414" s="123"/>
      <c r="H414" s="122"/>
      <c r="I414" s="121"/>
      <c r="J414" s="123"/>
      <c r="K414" s="122"/>
      <c r="L414" s="122"/>
      <c r="M414" s="158">
        <f t="shared" si="1"/>
        <v>0</v>
      </c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2.75" hidden="1" customHeight="1">
      <c r="A415" s="160">
        <v>41423.0</v>
      </c>
      <c r="B415" s="127"/>
      <c r="C415" s="127"/>
      <c r="D415" s="128"/>
      <c r="E415" s="129"/>
      <c r="F415" s="130"/>
      <c r="G415" s="129"/>
      <c r="H415" s="164"/>
      <c r="I415" s="128"/>
      <c r="J415" s="129"/>
      <c r="K415" s="130"/>
      <c r="L415" s="130"/>
      <c r="M415" s="165">
        <f t="shared" si="1"/>
        <v>0</v>
      </c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2.75" hidden="1" customHeight="1">
      <c r="A416" s="153">
        <v>41523.0</v>
      </c>
      <c r="B416" s="120"/>
      <c r="C416" s="120"/>
      <c r="D416" s="121"/>
      <c r="E416" s="123"/>
      <c r="F416" s="122"/>
      <c r="G416" s="123"/>
      <c r="H416" s="122"/>
      <c r="I416" s="121"/>
      <c r="J416" s="123"/>
      <c r="K416" s="122"/>
      <c r="L416" s="122"/>
      <c r="M416" s="158">
        <f t="shared" si="1"/>
        <v>0</v>
      </c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2.75" hidden="1" customHeight="1">
      <c r="A417" s="160">
        <v>41623.0</v>
      </c>
      <c r="B417" s="127"/>
      <c r="C417" s="127"/>
      <c r="D417" s="128"/>
      <c r="E417" s="129"/>
      <c r="F417" s="130"/>
      <c r="G417" s="129"/>
      <c r="H417" s="164"/>
      <c r="I417" s="128"/>
      <c r="J417" s="129"/>
      <c r="K417" s="130"/>
      <c r="L417" s="130"/>
      <c r="M417" s="165">
        <f t="shared" si="1"/>
        <v>0</v>
      </c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2.75" hidden="1" customHeight="1">
      <c r="A418" s="153">
        <v>41723.0</v>
      </c>
      <c r="B418" s="120"/>
      <c r="C418" s="120"/>
      <c r="D418" s="121"/>
      <c r="E418" s="123"/>
      <c r="F418" s="122"/>
      <c r="G418" s="123"/>
      <c r="H418" s="122"/>
      <c r="I418" s="121"/>
      <c r="J418" s="123"/>
      <c r="K418" s="122"/>
      <c r="L418" s="122"/>
      <c r="M418" s="158">
        <f t="shared" si="1"/>
        <v>0</v>
      </c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2.75" hidden="1" customHeight="1">
      <c r="A419" s="160">
        <v>41823.0</v>
      </c>
      <c r="B419" s="127"/>
      <c r="C419" s="127"/>
      <c r="D419" s="128"/>
      <c r="E419" s="129"/>
      <c r="F419" s="130"/>
      <c r="G419" s="129"/>
      <c r="H419" s="164"/>
      <c r="I419" s="128"/>
      <c r="J419" s="129"/>
      <c r="K419" s="130"/>
      <c r="L419" s="130"/>
      <c r="M419" s="165">
        <f t="shared" si="1"/>
        <v>0</v>
      </c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2.75" hidden="1" customHeight="1">
      <c r="A420" s="153">
        <v>41923.0</v>
      </c>
      <c r="B420" s="120"/>
      <c r="C420" s="120"/>
      <c r="D420" s="121"/>
      <c r="E420" s="123"/>
      <c r="F420" s="122"/>
      <c r="G420" s="123"/>
      <c r="H420" s="122"/>
      <c r="I420" s="121"/>
      <c r="J420" s="123"/>
      <c r="K420" s="122"/>
      <c r="L420" s="122"/>
      <c r="M420" s="158">
        <f t="shared" si="1"/>
        <v>0</v>
      </c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2.75" hidden="1" customHeight="1">
      <c r="A421" s="160">
        <v>42023.0</v>
      </c>
      <c r="B421" s="127"/>
      <c r="C421" s="127"/>
      <c r="D421" s="128"/>
      <c r="E421" s="129"/>
      <c r="F421" s="130"/>
      <c r="G421" s="129"/>
      <c r="H421" s="164"/>
      <c r="I421" s="128"/>
      <c r="J421" s="129"/>
      <c r="K421" s="130"/>
      <c r="L421" s="130"/>
      <c r="M421" s="165">
        <f t="shared" si="1"/>
        <v>0</v>
      </c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2.75" hidden="1" customHeight="1">
      <c r="A422" s="153">
        <v>42123.0</v>
      </c>
      <c r="B422" s="120"/>
      <c r="C422" s="120"/>
      <c r="D422" s="121"/>
      <c r="E422" s="123"/>
      <c r="F422" s="122"/>
      <c r="G422" s="123"/>
      <c r="H422" s="122"/>
      <c r="I422" s="121"/>
      <c r="J422" s="123"/>
      <c r="K422" s="122"/>
      <c r="L422" s="122"/>
      <c r="M422" s="158">
        <f t="shared" si="1"/>
        <v>0</v>
      </c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2.75" hidden="1" customHeight="1">
      <c r="A423" s="160">
        <v>42223.0</v>
      </c>
      <c r="B423" s="127"/>
      <c r="C423" s="127"/>
      <c r="D423" s="128"/>
      <c r="E423" s="129"/>
      <c r="F423" s="130"/>
      <c r="G423" s="129"/>
      <c r="H423" s="164"/>
      <c r="I423" s="128"/>
      <c r="J423" s="129"/>
      <c r="K423" s="130"/>
      <c r="L423" s="130"/>
      <c r="M423" s="165">
        <f t="shared" si="1"/>
        <v>0</v>
      </c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2.75" hidden="1" customHeight="1">
      <c r="A424" s="153">
        <v>42323.0</v>
      </c>
      <c r="B424" s="120"/>
      <c r="C424" s="120"/>
      <c r="D424" s="121"/>
      <c r="E424" s="123"/>
      <c r="F424" s="122"/>
      <c r="G424" s="123"/>
      <c r="H424" s="122"/>
      <c r="I424" s="121"/>
      <c r="J424" s="123"/>
      <c r="K424" s="122"/>
      <c r="L424" s="122"/>
      <c r="M424" s="158">
        <f t="shared" si="1"/>
        <v>0</v>
      </c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2.75" hidden="1" customHeight="1">
      <c r="A425" s="160">
        <v>42423.0</v>
      </c>
      <c r="B425" s="127"/>
      <c r="C425" s="127"/>
      <c r="D425" s="128"/>
      <c r="E425" s="129"/>
      <c r="F425" s="130"/>
      <c r="G425" s="129"/>
      <c r="H425" s="164"/>
      <c r="I425" s="128"/>
      <c r="J425" s="129"/>
      <c r="K425" s="130"/>
      <c r="L425" s="130"/>
      <c r="M425" s="165">
        <f t="shared" si="1"/>
        <v>0</v>
      </c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2.75" hidden="1" customHeight="1">
      <c r="A426" s="153">
        <v>42523.0</v>
      </c>
      <c r="B426" s="120"/>
      <c r="C426" s="120"/>
      <c r="D426" s="121"/>
      <c r="E426" s="123"/>
      <c r="F426" s="122"/>
      <c r="G426" s="123"/>
      <c r="H426" s="122"/>
      <c r="I426" s="121"/>
      <c r="J426" s="123"/>
      <c r="K426" s="122"/>
      <c r="L426" s="122"/>
      <c r="M426" s="158">
        <f t="shared" si="1"/>
        <v>0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hidden="1" customHeight="1">
      <c r="A427" s="160">
        <v>42623.0</v>
      </c>
      <c r="B427" s="127"/>
      <c r="C427" s="127"/>
      <c r="D427" s="128"/>
      <c r="E427" s="129"/>
      <c r="F427" s="130"/>
      <c r="G427" s="129"/>
      <c r="H427" s="164"/>
      <c r="I427" s="128"/>
      <c r="J427" s="129"/>
      <c r="K427" s="130"/>
      <c r="L427" s="130"/>
      <c r="M427" s="165">
        <f t="shared" si="1"/>
        <v>0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hidden="1" customHeight="1">
      <c r="A428" s="153">
        <v>42723.0</v>
      </c>
      <c r="B428" s="120"/>
      <c r="C428" s="120"/>
      <c r="D428" s="121"/>
      <c r="E428" s="123"/>
      <c r="F428" s="122"/>
      <c r="G428" s="123"/>
      <c r="H428" s="122"/>
      <c r="I428" s="121"/>
      <c r="J428" s="123"/>
      <c r="K428" s="122"/>
      <c r="L428" s="122"/>
      <c r="M428" s="158">
        <f t="shared" si="1"/>
        <v>0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hidden="1" customHeight="1">
      <c r="A429" s="160">
        <v>42823.0</v>
      </c>
      <c r="B429" s="127"/>
      <c r="C429" s="127"/>
      <c r="D429" s="128"/>
      <c r="E429" s="129"/>
      <c r="F429" s="130"/>
      <c r="G429" s="129"/>
      <c r="H429" s="164"/>
      <c r="I429" s="128"/>
      <c r="J429" s="129"/>
      <c r="K429" s="130"/>
      <c r="L429" s="130"/>
      <c r="M429" s="165">
        <f t="shared" si="1"/>
        <v>0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hidden="1" customHeight="1">
      <c r="A430" s="153">
        <v>42923.0</v>
      </c>
      <c r="B430" s="120"/>
      <c r="C430" s="120"/>
      <c r="D430" s="121"/>
      <c r="E430" s="123"/>
      <c r="F430" s="122"/>
      <c r="G430" s="123"/>
      <c r="H430" s="122"/>
      <c r="I430" s="121"/>
      <c r="J430" s="123"/>
      <c r="K430" s="122"/>
      <c r="L430" s="122"/>
      <c r="M430" s="158">
        <f t="shared" si="1"/>
        <v>0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hidden="1" customHeight="1">
      <c r="A431" s="160">
        <v>43023.0</v>
      </c>
      <c r="B431" s="127"/>
      <c r="C431" s="127"/>
      <c r="D431" s="128"/>
      <c r="E431" s="129"/>
      <c r="F431" s="130"/>
      <c r="G431" s="129"/>
      <c r="H431" s="164"/>
      <c r="I431" s="128"/>
      <c r="J431" s="129"/>
      <c r="K431" s="130"/>
      <c r="L431" s="130"/>
      <c r="M431" s="165">
        <f t="shared" si="1"/>
        <v>0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hidden="1" customHeight="1">
      <c r="A432" s="153">
        <v>43123.0</v>
      </c>
      <c r="B432" s="120"/>
      <c r="C432" s="120"/>
      <c r="D432" s="121"/>
      <c r="E432" s="123"/>
      <c r="F432" s="122"/>
      <c r="G432" s="123"/>
      <c r="H432" s="122"/>
      <c r="I432" s="121"/>
      <c r="J432" s="123"/>
      <c r="K432" s="122"/>
      <c r="L432" s="122"/>
      <c r="M432" s="158">
        <f t="shared" si="1"/>
        <v>0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hidden="1" customHeight="1">
      <c r="A433" s="160">
        <v>43223.0</v>
      </c>
      <c r="B433" s="127"/>
      <c r="C433" s="127"/>
      <c r="D433" s="128"/>
      <c r="E433" s="129"/>
      <c r="F433" s="130"/>
      <c r="G433" s="129"/>
      <c r="H433" s="164"/>
      <c r="I433" s="128"/>
      <c r="J433" s="129"/>
      <c r="K433" s="130"/>
      <c r="L433" s="130"/>
      <c r="M433" s="165">
        <f t="shared" si="1"/>
        <v>0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hidden="1" customHeight="1">
      <c r="A434" s="153">
        <v>43323.0</v>
      </c>
      <c r="B434" s="120"/>
      <c r="C434" s="120"/>
      <c r="D434" s="121"/>
      <c r="E434" s="123"/>
      <c r="F434" s="122"/>
      <c r="G434" s="123"/>
      <c r="H434" s="122"/>
      <c r="I434" s="121"/>
      <c r="J434" s="123"/>
      <c r="K434" s="122"/>
      <c r="L434" s="122"/>
      <c r="M434" s="158">
        <f t="shared" si="1"/>
        <v>0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hidden="1" customHeight="1">
      <c r="A435" s="160">
        <v>43423.0</v>
      </c>
      <c r="B435" s="127"/>
      <c r="C435" s="127"/>
      <c r="D435" s="128"/>
      <c r="E435" s="129"/>
      <c r="F435" s="130"/>
      <c r="G435" s="129"/>
      <c r="H435" s="164"/>
      <c r="I435" s="128"/>
      <c r="J435" s="129"/>
      <c r="K435" s="130"/>
      <c r="L435" s="130"/>
      <c r="M435" s="165">
        <f t="shared" si="1"/>
        <v>0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hidden="1" customHeight="1">
      <c r="A436" s="153">
        <v>43523.0</v>
      </c>
      <c r="B436" s="120"/>
      <c r="C436" s="120"/>
      <c r="D436" s="121"/>
      <c r="E436" s="123"/>
      <c r="F436" s="122"/>
      <c r="G436" s="123"/>
      <c r="H436" s="122"/>
      <c r="I436" s="121"/>
      <c r="J436" s="123"/>
      <c r="K436" s="122"/>
      <c r="L436" s="122"/>
      <c r="M436" s="158">
        <f t="shared" si="1"/>
        <v>0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hidden="1" customHeight="1">
      <c r="A437" s="160">
        <v>43623.0</v>
      </c>
      <c r="B437" s="127"/>
      <c r="C437" s="127"/>
      <c r="D437" s="128"/>
      <c r="E437" s="129"/>
      <c r="F437" s="130"/>
      <c r="G437" s="129"/>
      <c r="H437" s="164"/>
      <c r="I437" s="128"/>
      <c r="J437" s="129"/>
      <c r="K437" s="130"/>
      <c r="L437" s="130"/>
      <c r="M437" s="165">
        <f t="shared" si="1"/>
        <v>0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hidden="1" customHeight="1">
      <c r="A438" s="153">
        <v>43723.0</v>
      </c>
      <c r="B438" s="120"/>
      <c r="C438" s="120"/>
      <c r="D438" s="121"/>
      <c r="E438" s="123"/>
      <c r="F438" s="122"/>
      <c r="G438" s="123"/>
      <c r="H438" s="122"/>
      <c r="I438" s="121"/>
      <c r="J438" s="123"/>
      <c r="K438" s="122"/>
      <c r="L438" s="122"/>
      <c r="M438" s="158">
        <f t="shared" si="1"/>
        <v>0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hidden="1" customHeight="1">
      <c r="A439" s="160">
        <v>43823.0</v>
      </c>
      <c r="B439" s="127"/>
      <c r="C439" s="127"/>
      <c r="D439" s="128"/>
      <c r="E439" s="129"/>
      <c r="F439" s="130"/>
      <c r="G439" s="129"/>
      <c r="H439" s="164"/>
      <c r="I439" s="128"/>
      <c r="J439" s="129"/>
      <c r="K439" s="130"/>
      <c r="L439" s="130"/>
      <c r="M439" s="165">
        <f t="shared" si="1"/>
        <v>0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hidden="1" customHeight="1">
      <c r="A440" s="153">
        <v>43923.0</v>
      </c>
      <c r="B440" s="120"/>
      <c r="C440" s="120"/>
      <c r="D440" s="121"/>
      <c r="E440" s="123"/>
      <c r="F440" s="122"/>
      <c r="G440" s="123"/>
      <c r="H440" s="122"/>
      <c r="I440" s="121"/>
      <c r="J440" s="123"/>
      <c r="K440" s="122"/>
      <c r="L440" s="122"/>
      <c r="M440" s="158">
        <f t="shared" si="1"/>
        <v>0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hidden="1" customHeight="1">
      <c r="A441" s="160">
        <v>44023.0</v>
      </c>
      <c r="B441" s="127"/>
      <c r="C441" s="127"/>
      <c r="D441" s="128"/>
      <c r="E441" s="129"/>
      <c r="F441" s="130"/>
      <c r="G441" s="129"/>
      <c r="H441" s="164"/>
      <c r="I441" s="128"/>
      <c r="J441" s="129"/>
      <c r="K441" s="130"/>
      <c r="L441" s="130"/>
      <c r="M441" s="165">
        <f t="shared" si="1"/>
        <v>0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hidden="1" customHeight="1">
      <c r="A442" s="153">
        <v>44123.0</v>
      </c>
      <c r="B442" s="120"/>
      <c r="C442" s="120"/>
      <c r="D442" s="121"/>
      <c r="E442" s="123"/>
      <c r="F442" s="122"/>
      <c r="G442" s="123"/>
      <c r="H442" s="122"/>
      <c r="I442" s="121"/>
      <c r="J442" s="123"/>
      <c r="K442" s="122"/>
      <c r="L442" s="122"/>
      <c r="M442" s="158">
        <f t="shared" si="1"/>
        <v>0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hidden="1" customHeight="1">
      <c r="A443" s="160">
        <v>44223.0</v>
      </c>
      <c r="B443" s="127"/>
      <c r="C443" s="127"/>
      <c r="D443" s="128"/>
      <c r="E443" s="129"/>
      <c r="F443" s="130"/>
      <c r="G443" s="129"/>
      <c r="H443" s="164"/>
      <c r="I443" s="128"/>
      <c r="J443" s="129"/>
      <c r="K443" s="130"/>
      <c r="L443" s="130"/>
      <c r="M443" s="165">
        <f t="shared" si="1"/>
        <v>0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hidden="1" customHeight="1">
      <c r="A444" s="153">
        <v>44323.0</v>
      </c>
      <c r="B444" s="120"/>
      <c r="C444" s="120"/>
      <c r="D444" s="121"/>
      <c r="E444" s="123"/>
      <c r="F444" s="122"/>
      <c r="G444" s="123"/>
      <c r="H444" s="122"/>
      <c r="I444" s="121"/>
      <c r="J444" s="123"/>
      <c r="K444" s="122"/>
      <c r="L444" s="122"/>
      <c r="M444" s="158">
        <f t="shared" si="1"/>
        <v>0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2.75" hidden="1" customHeight="1">
      <c r="A445" s="160">
        <v>44423.0</v>
      </c>
      <c r="B445" s="127"/>
      <c r="C445" s="127"/>
      <c r="D445" s="128"/>
      <c r="E445" s="129"/>
      <c r="F445" s="130"/>
      <c r="G445" s="129"/>
      <c r="H445" s="164"/>
      <c r="I445" s="128"/>
      <c r="J445" s="129"/>
      <c r="K445" s="130"/>
      <c r="L445" s="130"/>
      <c r="M445" s="165">
        <f t="shared" si="1"/>
        <v>0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hidden="1" customHeight="1">
      <c r="A446" s="153">
        <v>44523.0</v>
      </c>
      <c r="B446" s="120"/>
      <c r="C446" s="120"/>
      <c r="D446" s="121"/>
      <c r="E446" s="123"/>
      <c r="F446" s="122"/>
      <c r="G446" s="123"/>
      <c r="H446" s="122"/>
      <c r="I446" s="121"/>
      <c r="J446" s="123"/>
      <c r="K446" s="122"/>
      <c r="L446" s="122"/>
      <c r="M446" s="158">
        <f t="shared" si="1"/>
        <v>0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hidden="1" customHeight="1">
      <c r="A447" s="160">
        <v>44623.0</v>
      </c>
      <c r="B447" s="127"/>
      <c r="C447" s="127"/>
      <c r="D447" s="128"/>
      <c r="E447" s="129"/>
      <c r="F447" s="130"/>
      <c r="G447" s="129"/>
      <c r="H447" s="164"/>
      <c r="I447" s="128"/>
      <c r="J447" s="129"/>
      <c r="K447" s="130"/>
      <c r="L447" s="130"/>
      <c r="M447" s="165">
        <f t="shared" si="1"/>
        <v>0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hidden="1" customHeight="1">
      <c r="A448" s="153">
        <v>44723.0</v>
      </c>
      <c r="B448" s="120"/>
      <c r="C448" s="120"/>
      <c r="D448" s="121"/>
      <c r="E448" s="123"/>
      <c r="F448" s="122"/>
      <c r="G448" s="123"/>
      <c r="H448" s="122"/>
      <c r="I448" s="121"/>
      <c r="J448" s="123"/>
      <c r="K448" s="122"/>
      <c r="L448" s="122"/>
      <c r="M448" s="158">
        <f t="shared" si="1"/>
        <v>0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2.75" hidden="1" customHeight="1">
      <c r="A449" s="160">
        <v>44823.0</v>
      </c>
      <c r="B449" s="127"/>
      <c r="C449" s="127"/>
      <c r="D449" s="128"/>
      <c r="E449" s="129"/>
      <c r="F449" s="130"/>
      <c r="G449" s="129"/>
      <c r="H449" s="164"/>
      <c r="I449" s="128"/>
      <c r="J449" s="129"/>
      <c r="K449" s="130"/>
      <c r="L449" s="130"/>
      <c r="M449" s="165">
        <f t="shared" si="1"/>
        <v>0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hidden="1" customHeight="1">
      <c r="A450" s="153">
        <v>44923.0</v>
      </c>
      <c r="B450" s="120"/>
      <c r="C450" s="120"/>
      <c r="D450" s="121"/>
      <c r="E450" s="123"/>
      <c r="F450" s="122"/>
      <c r="G450" s="123"/>
      <c r="H450" s="122"/>
      <c r="I450" s="121"/>
      <c r="J450" s="123"/>
      <c r="K450" s="122"/>
      <c r="L450" s="122"/>
      <c r="M450" s="158">
        <f t="shared" si="1"/>
        <v>0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hidden="1" customHeight="1">
      <c r="A451" s="160">
        <v>45023.0</v>
      </c>
      <c r="B451" s="127"/>
      <c r="C451" s="127"/>
      <c r="D451" s="128"/>
      <c r="E451" s="129"/>
      <c r="F451" s="130"/>
      <c r="G451" s="129"/>
      <c r="H451" s="164"/>
      <c r="I451" s="128"/>
      <c r="J451" s="129"/>
      <c r="K451" s="130"/>
      <c r="L451" s="130"/>
      <c r="M451" s="165">
        <f t="shared" si="1"/>
        <v>0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hidden="1" customHeight="1">
      <c r="A452" s="153">
        <v>45123.0</v>
      </c>
      <c r="B452" s="120"/>
      <c r="C452" s="120"/>
      <c r="D452" s="121"/>
      <c r="E452" s="123"/>
      <c r="F452" s="122"/>
      <c r="G452" s="123"/>
      <c r="H452" s="122"/>
      <c r="I452" s="121"/>
      <c r="J452" s="123"/>
      <c r="K452" s="122"/>
      <c r="L452" s="122"/>
      <c r="M452" s="158">
        <f t="shared" si="1"/>
        <v>0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hidden="1" customHeight="1">
      <c r="A453" s="160">
        <v>45223.0</v>
      </c>
      <c r="B453" s="127"/>
      <c r="C453" s="127"/>
      <c r="D453" s="128"/>
      <c r="E453" s="129"/>
      <c r="F453" s="130"/>
      <c r="G453" s="129"/>
      <c r="H453" s="164"/>
      <c r="I453" s="128"/>
      <c r="J453" s="129"/>
      <c r="K453" s="130"/>
      <c r="L453" s="130"/>
      <c r="M453" s="165">
        <f t="shared" si="1"/>
        <v>0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hidden="1" customHeight="1">
      <c r="A454" s="153">
        <v>45323.0</v>
      </c>
      <c r="B454" s="120"/>
      <c r="C454" s="120"/>
      <c r="D454" s="121"/>
      <c r="E454" s="123"/>
      <c r="F454" s="122"/>
      <c r="G454" s="123"/>
      <c r="H454" s="122"/>
      <c r="I454" s="121"/>
      <c r="J454" s="123"/>
      <c r="K454" s="122"/>
      <c r="L454" s="122"/>
      <c r="M454" s="158">
        <f t="shared" si="1"/>
        <v>0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hidden="1" customHeight="1">
      <c r="A455" s="160">
        <v>45423.0</v>
      </c>
      <c r="B455" s="127"/>
      <c r="C455" s="127"/>
      <c r="D455" s="128"/>
      <c r="E455" s="129"/>
      <c r="F455" s="130"/>
      <c r="G455" s="129"/>
      <c r="H455" s="164"/>
      <c r="I455" s="128"/>
      <c r="J455" s="129"/>
      <c r="K455" s="130"/>
      <c r="L455" s="130"/>
      <c r="M455" s="165">
        <f t="shared" si="1"/>
        <v>0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hidden="1" customHeight="1">
      <c r="A456" s="153">
        <v>45523.0</v>
      </c>
      <c r="B456" s="120"/>
      <c r="C456" s="120"/>
      <c r="D456" s="121"/>
      <c r="E456" s="123"/>
      <c r="F456" s="122"/>
      <c r="G456" s="123"/>
      <c r="H456" s="122"/>
      <c r="I456" s="121"/>
      <c r="J456" s="123"/>
      <c r="K456" s="122"/>
      <c r="L456" s="122"/>
      <c r="M456" s="158">
        <f t="shared" si="1"/>
        <v>0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hidden="1" customHeight="1">
      <c r="A457" s="160">
        <v>45623.0</v>
      </c>
      <c r="B457" s="127"/>
      <c r="C457" s="127"/>
      <c r="D457" s="128"/>
      <c r="E457" s="129"/>
      <c r="F457" s="130"/>
      <c r="G457" s="129"/>
      <c r="H457" s="164"/>
      <c r="I457" s="128"/>
      <c r="J457" s="129"/>
      <c r="K457" s="130"/>
      <c r="L457" s="130"/>
      <c r="M457" s="165">
        <f t="shared" si="1"/>
        <v>0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hidden="1" customHeight="1">
      <c r="A458" s="153">
        <v>45723.0</v>
      </c>
      <c r="B458" s="120"/>
      <c r="C458" s="120"/>
      <c r="D458" s="121"/>
      <c r="E458" s="123"/>
      <c r="F458" s="122"/>
      <c r="G458" s="123"/>
      <c r="H458" s="122"/>
      <c r="I458" s="121"/>
      <c r="J458" s="123"/>
      <c r="K458" s="122"/>
      <c r="L458" s="122"/>
      <c r="M458" s="158">
        <f t="shared" si="1"/>
        <v>0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hidden="1" customHeight="1">
      <c r="A459" s="160">
        <v>45823.0</v>
      </c>
      <c r="B459" s="127"/>
      <c r="C459" s="127"/>
      <c r="D459" s="128"/>
      <c r="E459" s="129"/>
      <c r="F459" s="130"/>
      <c r="G459" s="129"/>
      <c r="H459" s="164"/>
      <c r="I459" s="128"/>
      <c r="J459" s="129"/>
      <c r="K459" s="130"/>
      <c r="L459" s="130"/>
      <c r="M459" s="165">
        <f t="shared" si="1"/>
        <v>0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hidden="1" customHeight="1">
      <c r="A460" s="153">
        <v>45923.0</v>
      </c>
      <c r="B460" s="120"/>
      <c r="C460" s="120"/>
      <c r="D460" s="121"/>
      <c r="E460" s="123"/>
      <c r="F460" s="122"/>
      <c r="G460" s="123"/>
      <c r="H460" s="122"/>
      <c r="I460" s="121"/>
      <c r="J460" s="123"/>
      <c r="K460" s="122"/>
      <c r="L460" s="122"/>
      <c r="M460" s="158">
        <f t="shared" si="1"/>
        <v>0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hidden="1" customHeight="1">
      <c r="A461" s="160">
        <v>46023.0</v>
      </c>
      <c r="B461" s="127"/>
      <c r="C461" s="127"/>
      <c r="D461" s="128"/>
      <c r="E461" s="129"/>
      <c r="F461" s="130"/>
      <c r="G461" s="129"/>
      <c r="H461" s="164"/>
      <c r="I461" s="128"/>
      <c r="J461" s="129"/>
      <c r="K461" s="130"/>
      <c r="L461" s="130"/>
      <c r="M461" s="165">
        <f t="shared" si="1"/>
        <v>0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hidden="1" customHeight="1">
      <c r="A462" s="153">
        <v>46123.0</v>
      </c>
      <c r="B462" s="120"/>
      <c r="C462" s="120"/>
      <c r="D462" s="121"/>
      <c r="E462" s="123"/>
      <c r="F462" s="122"/>
      <c r="G462" s="123"/>
      <c r="H462" s="122"/>
      <c r="I462" s="121"/>
      <c r="J462" s="123"/>
      <c r="K462" s="122"/>
      <c r="L462" s="122"/>
      <c r="M462" s="158">
        <f t="shared" si="1"/>
        <v>0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hidden="1" customHeight="1">
      <c r="A463" s="160">
        <v>46223.0</v>
      </c>
      <c r="B463" s="127"/>
      <c r="C463" s="127"/>
      <c r="D463" s="128"/>
      <c r="E463" s="129"/>
      <c r="F463" s="130"/>
      <c r="G463" s="129"/>
      <c r="H463" s="164"/>
      <c r="I463" s="128"/>
      <c r="J463" s="129"/>
      <c r="K463" s="130"/>
      <c r="L463" s="130"/>
      <c r="M463" s="165">
        <f t="shared" si="1"/>
        <v>0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hidden="1" customHeight="1">
      <c r="A464" s="153">
        <v>46323.0</v>
      </c>
      <c r="B464" s="120"/>
      <c r="C464" s="120"/>
      <c r="D464" s="121"/>
      <c r="E464" s="123"/>
      <c r="F464" s="122"/>
      <c r="G464" s="123"/>
      <c r="H464" s="122"/>
      <c r="I464" s="121"/>
      <c r="J464" s="123"/>
      <c r="K464" s="122"/>
      <c r="L464" s="122"/>
      <c r="M464" s="158">
        <f t="shared" si="1"/>
        <v>0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hidden="1" customHeight="1">
      <c r="A465" s="160">
        <v>46423.0</v>
      </c>
      <c r="B465" s="127"/>
      <c r="C465" s="127"/>
      <c r="D465" s="128"/>
      <c r="E465" s="129"/>
      <c r="F465" s="130"/>
      <c r="G465" s="129"/>
      <c r="H465" s="164"/>
      <c r="I465" s="128"/>
      <c r="J465" s="129"/>
      <c r="K465" s="130"/>
      <c r="L465" s="130"/>
      <c r="M465" s="165">
        <f t="shared" si="1"/>
        <v>0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hidden="1" customHeight="1">
      <c r="A466" s="153">
        <v>46523.0</v>
      </c>
      <c r="B466" s="120"/>
      <c r="C466" s="120"/>
      <c r="D466" s="121"/>
      <c r="E466" s="123"/>
      <c r="F466" s="122"/>
      <c r="G466" s="123"/>
      <c r="H466" s="122"/>
      <c r="I466" s="121"/>
      <c r="J466" s="123"/>
      <c r="K466" s="122"/>
      <c r="L466" s="122"/>
      <c r="M466" s="158">
        <f t="shared" si="1"/>
        <v>0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hidden="1" customHeight="1">
      <c r="A467" s="160">
        <v>46623.0</v>
      </c>
      <c r="B467" s="127"/>
      <c r="C467" s="127"/>
      <c r="D467" s="128"/>
      <c r="E467" s="129"/>
      <c r="F467" s="130"/>
      <c r="G467" s="129"/>
      <c r="H467" s="164"/>
      <c r="I467" s="128"/>
      <c r="J467" s="129"/>
      <c r="K467" s="130"/>
      <c r="L467" s="130"/>
      <c r="M467" s="165">
        <f t="shared" si="1"/>
        <v>0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hidden="1" customHeight="1">
      <c r="A468" s="153">
        <v>46723.0</v>
      </c>
      <c r="B468" s="120"/>
      <c r="C468" s="120"/>
      <c r="D468" s="121"/>
      <c r="E468" s="123"/>
      <c r="F468" s="122"/>
      <c r="G468" s="123"/>
      <c r="H468" s="122"/>
      <c r="I468" s="121"/>
      <c r="J468" s="123"/>
      <c r="K468" s="122"/>
      <c r="L468" s="122"/>
      <c r="M468" s="158">
        <f t="shared" si="1"/>
        <v>0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hidden="1" customHeight="1">
      <c r="A469" s="160">
        <v>46823.0</v>
      </c>
      <c r="B469" s="127"/>
      <c r="C469" s="127"/>
      <c r="D469" s="128"/>
      <c r="E469" s="129"/>
      <c r="F469" s="130"/>
      <c r="G469" s="129"/>
      <c r="H469" s="164"/>
      <c r="I469" s="128"/>
      <c r="J469" s="129"/>
      <c r="K469" s="130"/>
      <c r="L469" s="130"/>
      <c r="M469" s="165">
        <f t="shared" si="1"/>
        <v>0</v>
      </c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2.75" hidden="1" customHeight="1">
      <c r="A470" s="153">
        <v>46923.0</v>
      </c>
      <c r="B470" s="120"/>
      <c r="C470" s="120"/>
      <c r="D470" s="121"/>
      <c r="E470" s="123"/>
      <c r="F470" s="122"/>
      <c r="G470" s="123"/>
      <c r="H470" s="122"/>
      <c r="I470" s="121"/>
      <c r="J470" s="123"/>
      <c r="K470" s="122"/>
      <c r="L470" s="122"/>
      <c r="M470" s="158">
        <f t="shared" si="1"/>
        <v>0</v>
      </c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hidden="1" customHeight="1">
      <c r="A471" s="160">
        <v>47023.0</v>
      </c>
      <c r="B471" s="127"/>
      <c r="C471" s="127"/>
      <c r="D471" s="128"/>
      <c r="E471" s="129"/>
      <c r="F471" s="130"/>
      <c r="G471" s="129"/>
      <c r="H471" s="164"/>
      <c r="I471" s="128"/>
      <c r="J471" s="129"/>
      <c r="K471" s="130"/>
      <c r="L471" s="130"/>
      <c r="M471" s="165">
        <f t="shared" si="1"/>
        <v>0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2.75" hidden="1" customHeight="1">
      <c r="A472" s="153">
        <v>47123.0</v>
      </c>
      <c r="B472" s="120"/>
      <c r="C472" s="120"/>
      <c r="D472" s="121"/>
      <c r="E472" s="123"/>
      <c r="F472" s="122"/>
      <c r="G472" s="123"/>
      <c r="H472" s="122"/>
      <c r="I472" s="121"/>
      <c r="J472" s="123"/>
      <c r="K472" s="122"/>
      <c r="L472" s="122"/>
      <c r="M472" s="158">
        <f t="shared" si="1"/>
        <v>0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hidden="1" customHeight="1">
      <c r="A473" s="160">
        <v>47223.0</v>
      </c>
      <c r="B473" s="127"/>
      <c r="C473" s="127"/>
      <c r="D473" s="128"/>
      <c r="E473" s="129"/>
      <c r="F473" s="130"/>
      <c r="G473" s="129"/>
      <c r="H473" s="164"/>
      <c r="I473" s="128"/>
      <c r="J473" s="129"/>
      <c r="K473" s="130"/>
      <c r="L473" s="130"/>
      <c r="M473" s="165">
        <f t="shared" si="1"/>
        <v>0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hidden="1" customHeight="1">
      <c r="A474" s="153">
        <v>47323.0</v>
      </c>
      <c r="B474" s="120"/>
      <c r="C474" s="120"/>
      <c r="D474" s="121"/>
      <c r="E474" s="123"/>
      <c r="F474" s="122"/>
      <c r="G474" s="123"/>
      <c r="H474" s="122"/>
      <c r="I474" s="121"/>
      <c r="J474" s="123"/>
      <c r="K474" s="122"/>
      <c r="L474" s="122"/>
      <c r="M474" s="158">
        <f t="shared" si="1"/>
        <v>0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hidden="1" customHeight="1">
      <c r="A475" s="160">
        <v>47423.0</v>
      </c>
      <c r="B475" s="127"/>
      <c r="C475" s="127"/>
      <c r="D475" s="128"/>
      <c r="E475" s="129"/>
      <c r="F475" s="130"/>
      <c r="G475" s="129"/>
      <c r="H475" s="164"/>
      <c r="I475" s="128"/>
      <c r="J475" s="129"/>
      <c r="K475" s="130"/>
      <c r="L475" s="130"/>
      <c r="M475" s="165">
        <f t="shared" si="1"/>
        <v>0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hidden="1" customHeight="1">
      <c r="A476" s="153">
        <v>47523.0</v>
      </c>
      <c r="B476" s="120"/>
      <c r="C476" s="120"/>
      <c r="D476" s="121"/>
      <c r="E476" s="123"/>
      <c r="F476" s="122"/>
      <c r="G476" s="123"/>
      <c r="H476" s="122"/>
      <c r="I476" s="121"/>
      <c r="J476" s="123"/>
      <c r="K476" s="122"/>
      <c r="L476" s="122"/>
      <c r="M476" s="158">
        <f t="shared" si="1"/>
        <v>0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hidden="1" customHeight="1">
      <c r="A477" s="160">
        <v>47623.0</v>
      </c>
      <c r="B477" s="127"/>
      <c r="C477" s="127"/>
      <c r="D477" s="128"/>
      <c r="E477" s="129"/>
      <c r="F477" s="130"/>
      <c r="G477" s="129"/>
      <c r="H477" s="164"/>
      <c r="I477" s="128"/>
      <c r="J477" s="129"/>
      <c r="K477" s="130"/>
      <c r="L477" s="130"/>
      <c r="M477" s="165">
        <f t="shared" si="1"/>
        <v>0</v>
      </c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hidden="1" customHeight="1">
      <c r="A478" s="153">
        <v>47723.0</v>
      </c>
      <c r="B478" s="120"/>
      <c r="C478" s="120"/>
      <c r="D478" s="121"/>
      <c r="E478" s="123"/>
      <c r="F478" s="122"/>
      <c r="G478" s="123"/>
      <c r="H478" s="122"/>
      <c r="I478" s="121"/>
      <c r="J478" s="123"/>
      <c r="K478" s="122"/>
      <c r="L478" s="122"/>
      <c r="M478" s="158">
        <f t="shared" si="1"/>
        <v>0</v>
      </c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hidden="1" customHeight="1">
      <c r="A479" s="160">
        <v>47823.0</v>
      </c>
      <c r="B479" s="127"/>
      <c r="C479" s="127"/>
      <c r="D479" s="128"/>
      <c r="E479" s="129"/>
      <c r="F479" s="130"/>
      <c r="G479" s="129"/>
      <c r="H479" s="164"/>
      <c r="I479" s="128"/>
      <c r="J479" s="129"/>
      <c r="K479" s="130"/>
      <c r="L479" s="130"/>
      <c r="M479" s="165">
        <f t="shared" si="1"/>
        <v>0</v>
      </c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hidden="1" customHeight="1">
      <c r="A480" s="153">
        <v>47923.0</v>
      </c>
      <c r="B480" s="120"/>
      <c r="C480" s="120"/>
      <c r="D480" s="121"/>
      <c r="E480" s="123"/>
      <c r="F480" s="122"/>
      <c r="G480" s="123"/>
      <c r="H480" s="122"/>
      <c r="I480" s="121"/>
      <c r="J480" s="123"/>
      <c r="K480" s="122"/>
      <c r="L480" s="122"/>
      <c r="M480" s="158">
        <f t="shared" si="1"/>
        <v>0</v>
      </c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hidden="1" customHeight="1">
      <c r="A481" s="160">
        <v>48023.0</v>
      </c>
      <c r="B481" s="127"/>
      <c r="C481" s="127"/>
      <c r="D481" s="128"/>
      <c r="E481" s="129"/>
      <c r="F481" s="130"/>
      <c r="G481" s="129"/>
      <c r="H481" s="164"/>
      <c r="I481" s="128"/>
      <c r="J481" s="129"/>
      <c r="K481" s="130"/>
      <c r="L481" s="130"/>
      <c r="M481" s="165">
        <f t="shared" si="1"/>
        <v>0</v>
      </c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hidden="1" customHeight="1">
      <c r="A482" s="153">
        <v>48123.0</v>
      </c>
      <c r="B482" s="120"/>
      <c r="C482" s="120"/>
      <c r="D482" s="121"/>
      <c r="E482" s="123"/>
      <c r="F482" s="122"/>
      <c r="G482" s="123"/>
      <c r="H482" s="122"/>
      <c r="I482" s="121"/>
      <c r="J482" s="123"/>
      <c r="K482" s="122"/>
      <c r="L482" s="122"/>
      <c r="M482" s="158">
        <f t="shared" si="1"/>
        <v>0</v>
      </c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hidden="1" customHeight="1">
      <c r="A483" s="160">
        <v>48223.0</v>
      </c>
      <c r="B483" s="127"/>
      <c r="C483" s="127"/>
      <c r="D483" s="128"/>
      <c r="E483" s="129"/>
      <c r="F483" s="130"/>
      <c r="G483" s="129"/>
      <c r="H483" s="164"/>
      <c r="I483" s="128"/>
      <c r="J483" s="129"/>
      <c r="K483" s="130"/>
      <c r="L483" s="130"/>
      <c r="M483" s="165">
        <f t="shared" si="1"/>
        <v>0</v>
      </c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hidden="1" customHeight="1">
      <c r="A484" s="153">
        <v>48323.0</v>
      </c>
      <c r="B484" s="120"/>
      <c r="C484" s="120"/>
      <c r="D484" s="121"/>
      <c r="E484" s="123"/>
      <c r="F484" s="122"/>
      <c r="G484" s="123"/>
      <c r="H484" s="122"/>
      <c r="I484" s="121"/>
      <c r="J484" s="123"/>
      <c r="K484" s="122"/>
      <c r="L484" s="122"/>
      <c r="M484" s="158">
        <f t="shared" si="1"/>
        <v>0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hidden="1" customHeight="1">
      <c r="A485" s="160">
        <v>48423.0</v>
      </c>
      <c r="B485" s="127"/>
      <c r="C485" s="127"/>
      <c r="D485" s="128"/>
      <c r="E485" s="129"/>
      <c r="F485" s="130"/>
      <c r="G485" s="129"/>
      <c r="H485" s="164"/>
      <c r="I485" s="128"/>
      <c r="J485" s="129"/>
      <c r="K485" s="130"/>
      <c r="L485" s="130"/>
      <c r="M485" s="165">
        <f t="shared" si="1"/>
        <v>0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hidden="1" customHeight="1">
      <c r="A486" s="153">
        <v>48523.0</v>
      </c>
      <c r="B486" s="120"/>
      <c r="C486" s="120"/>
      <c r="D486" s="121"/>
      <c r="E486" s="123"/>
      <c r="F486" s="122"/>
      <c r="G486" s="123"/>
      <c r="H486" s="122"/>
      <c r="I486" s="121"/>
      <c r="J486" s="123"/>
      <c r="K486" s="122"/>
      <c r="L486" s="122"/>
      <c r="M486" s="158">
        <f t="shared" si="1"/>
        <v>0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hidden="1" customHeight="1">
      <c r="A487" s="160">
        <v>48623.0</v>
      </c>
      <c r="B487" s="127"/>
      <c r="C487" s="127"/>
      <c r="D487" s="128"/>
      <c r="E487" s="129"/>
      <c r="F487" s="130"/>
      <c r="G487" s="129"/>
      <c r="H487" s="164"/>
      <c r="I487" s="128"/>
      <c r="J487" s="129"/>
      <c r="K487" s="130"/>
      <c r="L487" s="130"/>
      <c r="M487" s="165">
        <f t="shared" si="1"/>
        <v>0</v>
      </c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hidden="1" customHeight="1">
      <c r="A488" s="153">
        <v>48723.0</v>
      </c>
      <c r="B488" s="120"/>
      <c r="C488" s="120"/>
      <c r="D488" s="121"/>
      <c r="E488" s="123"/>
      <c r="F488" s="122"/>
      <c r="G488" s="123"/>
      <c r="H488" s="122"/>
      <c r="I488" s="121"/>
      <c r="J488" s="123"/>
      <c r="K488" s="122"/>
      <c r="L488" s="122"/>
      <c r="M488" s="158">
        <f t="shared" si="1"/>
        <v>0</v>
      </c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hidden="1" customHeight="1">
      <c r="A489" s="160">
        <v>48823.0</v>
      </c>
      <c r="B489" s="127"/>
      <c r="C489" s="127"/>
      <c r="D489" s="128"/>
      <c r="E489" s="129"/>
      <c r="F489" s="130"/>
      <c r="G489" s="129"/>
      <c r="H489" s="164"/>
      <c r="I489" s="128"/>
      <c r="J489" s="129"/>
      <c r="K489" s="130"/>
      <c r="L489" s="130"/>
      <c r="M489" s="165">
        <f t="shared" si="1"/>
        <v>0</v>
      </c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hidden="1" customHeight="1">
      <c r="A490" s="153">
        <v>48923.0</v>
      </c>
      <c r="B490" s="120"/>
      <c r="C490" s="120"/>
      <c r="D490" s="121"/>
      <c r="E490" s="123"/>
      <c r="F490" s="122"/>
      <c r="G490" s="123"/>
      <c r="H490" s="122"/>
      <c r="I490" s="121"/>
      <c r="J490" s="123"/>
      <c r="K490" s="122"/>
      <c r="L490" s="122"/>
      <c r="M490" s="158">
        <f t="shared" si="1"/>
        <v>0</v>
      </c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hidden="1" customHeight="1">
      <c r="A491" s="160">
        <v>49023.0</v>
      </c>
      <c r="B491" s="127"/>
      <c r="C491" s="127"/>
      <c r="D491" s="128"/>
      <c r="E491" s="129"/>
      <c r="F491" s="130"/>
      <c r="G491" s="129"/>
      <c r="H491" s="164"/>
      <c r="I491" s="128"/>
      <c r="J491" s="129"/>
      <c r="K491" s="130"/>
      <c r="L491" s="130"/>
      <c r="M491" s="165">
        <f t="shared" si="1"/>
        <v>0</v>
      </c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hidden="1" customHeight="1">
      <c r="A492" s="153">
        <v>49123.0</v>
      </c>
      <c r="B492" s="120"/>
      <c r="C492" s="120"/>
      <c r="D492" s="121"/>
      <c r="E492" s="123"/>
      <c r="F492" s="122"/>
      <c r="G492" s="123"/>
      <c r="H492" s="122"/>
      <c r="I492" s="121"/>
      <c r="J492" s="123"/>
      <c r="K492" s="122"/>
      <c r="L492" s="122"/>
      <c r="M492" s="158">
        <f t="shared" si="1"/>
        <v>0</v>
      </c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hidden="1" customHeight="1">
      <c r="A493" s="160">
        <v>49223.0</v>
      </c>
      <c r="B493" s="127"/>
      <c r="C493" s="127"/>
      <c r="D493" s="128"/>
      <c r="E493" s="129"/>
      <c r="F493" s="130"/>
      <c r="G493" s="129"/>
      <c r="H493" s="164"/>
      <c r="I493" s="128"/>
      <c r="J493" s="129"/>
      <c r="K493" s="130"/>
      <c r="L493" s="130"/>
      <c r="M493" s="165">
        <f t="shared" si="1"/>
        <v>0</v>
      </c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hidden="1" customHeight="1">
      <c r="A494" s="153">
        <v>49323.0</v>
      </c>
      <c r="B494" s="120"/>
      <c r="C494" s="120"/>
      <c r="D494" s="121"/>
      <c r="E494" s="123"/>
      <c r="F494" s="122"/>
      <c r="G494" s="123"/>
      <c r="H494" s="122"/>
      <c r="I494" s="121"/>
      <c r="J494" s="123"/>
      <c r="K494" s="122"/>
      <c r="L494" s="122"/>
      <c r="M494" s="158">
        <f t="shared" si="1"/>
        <v>0</v>
      </c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hidden="1" customHeight="1">
      <c r="A495" s="160">
        <v>49423.0</v>
      </c>
      <c r="B495" s="127"/>
      <c r="C495" s="127"/>
      <c r="D495" s="128"/>
      <c r="E495" s="129"/>
      <c r="F495" s="130"/>
      <c r="G495" s="129"/>
      <c r="H495" s="164"/>
      <c r="I495" s="128"/>
      <c r="J495" s="129"/>
      <c r="K495" s="130"/>
      <c r="L495" s="130"/>
      <c r="M495" s="165">
        <f t="shared" si="1"/>
        <v>0</v>
      </c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hidden="1" customHeight="1">
      <c r="A496" s="153">
        <v>49523.0</v>
      </c>
      <c r="B496" s="120"/>
      <c r="C496" s="120"/>
      <c r="D496" s="121"/>
      <c r="E496" s="123"/>
      <c r="F496" s="122"/>
      <c r="G496" s="123"/>
      <c r="H496" s="122"/>
      <c r="I496" s="121"/>
      <c r="J496" s="123"/>
      <c r="K496" s="122"/>
      <c r="L496" s="122"/>
      <c r="M496" s="158">
        <f t="shared" si="1"/>
        <v>0</v>
      </c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hidden="1" customHeight="1">
      <c r="A497" s="160">
        <v>49623.0</v>
      </c>
      <c r="B497" s="127"/>
      <c r="C497" s="127"/>
      <c r="D497" s="128"/>
      <c r="E497" s="129"/>
      <c r="F497" s="130"/>
      <c r="G497" s="129"/>
      <c r="H497" s="164"/>
      <c r="I497" s="128"/>
      <c r="J497" s="129"/>
      <c r="K497" s="130"/>
      <c r="L497" s="130"/>
      <c r="M497" s="165">
        <f t="shared" si="1"/>
        <v>0</v>
      </c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hidden="1" customHeight="1">
      <c r="A498" s="153">
        <v>49723.0</v>
      </c>
      <c r="B498" s="120"/>
      <c r="C498" s="120"/>
      <c r="D498" s="121"/>
      <c r="E498" s="123"/>
      <c r="F498" s="122"/>
      <c r="G498" s="123"/>
      <c r="H498" s="122"/>
      <c r="I498" s="121"/>
      <c r="J498" s="123"/>
      <c r="K498" s="122"/>
      <c r="L498" s="122"/>
      <c r="M498" s="158">
        <f t="shared" si="1"/>
        <v>0</v>
      </c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hidden="1" customHeight="1">
      <c r="A499" s="160">
        <v>49823.0</v>
      </c>
      <c r="B499" s="127"/>
      <c r="C499" s="127"/>
      <c r="D499" s="128"/>
      <c r="E499" s="129"/>
      <c r="F499" s="130"/>
      <c r="G499" s="129"/>
      <c r="H499" s="164"/>
      <c r="I499" s="128"/>
      <c r="J499" s="129"/>
      <c r="K499" s="130"/>
      <c r="L499" s="130"/>
      <c r="M499" s="165">
        <f t="shared" si="1"/>
        <v>0</v>
      </c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hidden="1" customHeight="1">
      <c r="A500" s="153">
        <v>49923.0</v>
      </c>
      <c r="B500" s="120"/>
      <c r="C500" s="120"/>
      <c r="D500" s="121"/>
      <c r="E500" s="123"/>
      <c r="F500" s="122"/>
      <c r="G500" s="123"/>
      <c r="H500" s="122"/>
      <c r="I500" s="121"/>
      <c r="J500" s="123"/>
      <c r="K500" s="122"/>
      <c r="L500" s="122"/>
      <c r="M500" s="158">
        <f t="shared" si="1"/>
        <v>0</v>
      </c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hidden="1" customHeight="1">
      <c r="A501" s="160">
        <v>50023.0</v>
      </c>
      <c r="B501" s="127"/>
      <c r="C501" s="127"/>
      <c r="D501" s="128"/>
      <c r="E501" s="129"/>
      <c r="F501" s="130"/>
      <c r="G501" s="129"/>
      <c r="H501" s="164"/>
      <c r="I501" s="128"/>
      <c r="J501" s="129"/>
      <c r="K501" s="130"/>
      <c r="L501" s="130"/>
      <c r="M501" s="165">
        <f t="shared" si="1"/>
        <v>0</v>
      </c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2.75" hidden="1" customHeight="1">
      <c r="A502" s="153">
        <v>50123.0</v>
      </c>
      <c r="B502" s="120"/>
      <c r="C502" s="120"/>
      <c r="D502" s="121"/>
      <c r="E502" s="123"/>
      <c r="F502" s="122"/>
      <c r="G502" s="123"/>
      <c r="H502" s="122"/>
      <c r="I502" s="121"/>
      <c r="J502" s="123"/>
      <c r="K502" s="122"/>
      <c r="L502" s="122"/>
      <c r="M502" s="158">
        <f t="shared" si="1"/>
        <v>0</v>
      </c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hidden="1" customHeight="1">
      <c r="A503" s="160">
        <v>50223.0</v>
      </c>
      <c r="B503" s="127"/>
      <c r="C503" s="127"/>
      <c r="D503" s="128"/>
      <c r="E503" s="129"/>
      <c r="F503" s="130"/>
      <c r="G503" s="129"/>
      <c r="H503" s="164"/>
      <c r="I503" s="128"/>
      <c r="J503" s="129"/>
      <c r="K503" s="130"/>
      <c r="L503" s="130"/>
      <c r="M503" s="165">
        <f t="shared" si="1"/>
        <v>0</v>
      </c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hidden="1" customHeight="1">
      <c r="A504" s="153">
        <v>50323.0</v>
      </c>
      <c r="B504" s="120"/>
      <c r="C504" s="120"/>
      <c r="D504" s="121"/>
      <c r="E504" s="123"/>
      <c r="F504" s="122"/>
      <c r="G504" s="123"/>
      <c r="H504" s="122"/>
      <c r="I504" s="121"/>
      <c r="J504" s="123"/>
      <c r="K504" s="122"/>
      <c r="L504" s="122"/>
      <c r="M504" s="158">
        <f t="shared" si="1"/>
        <v>0</v>
      </c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hidden="1" customHeight="1">
      <c r="A505" s="160">
        <v>50423.0</v>
      </c>
      <c r="B505" s="127"/>
      <c r="C505" s="127"/>
      <c r="D505" s="128"/>
      <c r="E505" s="129"/>
      <c r="F505" s="130"/>
      <c r="G505" s="129"/>
      <c r="H505" s="164"/>
      <c r="I505" s="128"/>
      <c r="J505" s="129"/>
      <c r="K505" s="130"/>
      <c r="L505" s="130"/>
      <c r="M505" s="165">
        <f t="shared" si="1"/>
        <v>0</v>
      </c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hidden="1" customHeight="1">
      <c r="A506" s="153">
        <v>50523.0</v>
      </c>
      <c r="B506" s="120"/>
      <c r="C506" s="120"/>
      <c r="D506" s="121"/>
      <c r="E506" s="123"/>
      <c r="F506" s="122"/>
      <c r="G506" s="123"/>
      <c r="H506" s="122"/>
      <c r="I506" s="121"/>
      <c r="J506" s="123"/>
      <c r="K506" s="122"/>
      <c r="L506" s="122"/>
      <c r="M506" s="158">
        <f t="shared" si="1"/>
        <v>0</v>
      </c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hidden="1" customHeight="1">
      <c r="A507" s="160">
        <v>50623.0</v>
      </c>
      <c r="B507" s="127"/>
      <c r="C507" s="127"/>
      <c r="D507" s="128"/>
      <c r="E507" s="129"/>
      <c r="F507" s="130"/>
      <c r="G507" s="129"/>
      <c r="H507" s="164"/>
      <c r="I507" s="128"/>
      <c r="J507" s="129"/>
      <c r="K507" s="130"/>
      <c r="L507" s="130"/>
      <c r="M507" s="165">
        <f t="shared" si="1"/>
        <v>0</v>
      </c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hidden="1" customHeight="1">
      <c r="A508" s="153">
        <v>50723.0</v>
      </c>
      <c r="B508" s="120"/>
      <c r="C508" s="120"/>
      <c r="D508" s="121"/>
      <c r="E508" s="123"/>
      <c r="F508" s="122"/>
      <c r="G508" s="123"/>
      <c r="H508" s="122"/>
      <c r="I508" s="121"/>
      <c r="J508" s="123"/>
      <c r="K508" s="122"/>
      <c r="L508" s="122"/>
      <c r="M508" s="158">
        <f t="shared" si="1"/>
        <v>0</v>
      </c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hidden="1" customHeight="1">
      <c r="A509" s="160">
        <v>50823.0</v>
      </c>
      <c r="B509" s="127"/>
      <c r="C509" s="127"/>
      <c r="D509" s="128"/>
      <c r="E509" s="129"/>
      <c r="F509" s="130"/>
      <c r="G509" s="129"/>
      <c r="H509" s="164"/>
      <c r="I509" s="128"/>
      <c r="J509" s="129"/>
      <c r="K509" s="130"/>
      <c r="L509" s="130"/>
      <c r="M509" s="165">
        <f t="shared" si="1"/>
        <v>0</v>
      </c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hidden="1" customHeight="1">
      <c r="A510" s="153">
        <v>50923.0</v>
      </c>
      <c r="B510" s="120"/>
      <c r="C510" s="120"/>
      <c r="D510" s="121"/>
      <c r="E510" s="123"/>
      <c r="F510" s="122"/>
      <c r="G510" s="123"/>
      <c r="H510" s="122"/>
      <c r="I510" s="121"/>
      <c r="J510" s="123"/>
      <c r="K510" s="122"/>
      <c r="L510" s="122"/>
      <c r="M510" s="158">
        <f t="shared" si="1"/>
        <v>0</v>
      </c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hidden="1" customHeight="1">
      <c r="A511" s="160">
        <v>51023.0</v>
      </c>
      <c r="B511" s="127"/>
      <c r="C511" s="127"/>
      <c r="D511" s="128"/>
      <c r="E511" s="129"/>
      <c r="F511" s="130"/>
      <c r="G511" s="129"/>
      <c r="H511" s="164"/>
      <c r="I511" s="128"/>
      <c r="J511" s="129"/>
      <c r="K511" s="130"/>
      <c r="L511" s="130"/>
      <c r="M511" s="165">
        <f t="shared" si="1"/>
        <v>0</v>
      </c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hidden="1" customHeight="1">
      <c r="A512" s="153">
        <v>51123.0</v>
      </c>
      <c r="B512" s="120"/>
      <c r="C512" s="120"/>
      <c r="D512" s="121"/>
      <c r="E512" s="123"/>
      <c r="F512" s="122"/>
      <c r="G512" s="123"/>
      <c r="H512" s="122"/>
      <c r="I512" s="121"/>
      <c r="J512" s="123"/>
      <c r="K512" s="122"/>
      <c r="L512" s="122"/>
      <c r="M512" s="158">
        <f t="shared" si="1"/>
        <v>0</v>
      </c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hidden="1" customHeight="1">
      <c r="A513" s="160">
        <v>51223.0</v>
      </c>
      <c r="B513" s="127"/>
      <c r="C513" s="127"/>
      <c r="D513" s="128"/>
      <c r="E513" s="129"/>
      <c r="F513" s="130"/>
      <c r="G513" s="129"/>
      <c r="H513" s="164"/>
      <c r="I513" s="128"/>
      <c r="J513" s="129"/>
      <c r="K513" s="130"/>
      <c r="L513" s="130"/>
      <c r="M513" s="165">
        <f t="shared" si="1"/>
        <v>0</v>
      </c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hidden="1" customHeight="1">
      <c r="A514" s="153">
        <v>51323.0</v>
      </c>
      <c r="B514" s="120"/>
      <c r="C514" s="120"/>
      <c r="D514" s="121"/>
      <c r="E514" s="123"/>
      <c r="F514" s="122"/>
      <c r="G514" s="123"/>
      <c r="H514" s="122"/>
      <c r="I514" s="121"/>
      <c r="J514" s="123"/>
      <c r="K514" s="122"/>
      <c r="L514" s="122"/>
      <c r="M514" s="158">
        <f t="shared" si="1"/>
        <v>0</v>
      </c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hidden="1" customHeight="1">
      <c r="A515" s="160">
        <v>51423.0</v>
      </c>
      <c r="B515" s="127"/>
      <c r="C515" s="127"/>
      <c r="D515" s="128"/>
      <c r="E515" s="129"/>
      <c r="F515" s="130"/>
      <c r="G515" s="129"/>
      <c r="H515" s="164"/>
      <c r="I515" s="128"/>
      <c r="J515" s="129"/>
      <c r="K515" s="130"/>
      <c r="L515" s="130"/>
      <c r="M515" s="165">
        <f t="shared" si="1"/>
        <v>0</v>
      </c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hidden="1" customHeight="1">
      <c r="A516" s="153">
        <v>51523.0</v>
      </c>
      <c r="B516" s="120"/>
      <c r="C516" s="120"/>
      <c r="D516" s="121"/>
      <c r="E516" s="123"/>
      <c r="F516" s="122"/>
      <c r="G516" s="123"/>
      <c r="H516" s="122"/>
      <c r="I516" s="121"/>
      <c r="J516" s="123"/>
      <c r="K516" s="122"/>
      <c r="L516" s="122"/>
      <c r="M516" s="158">
        <f t="shared" si="1"/>
        <v>0</v>
      </c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hidden="1" customHeight="1">
      <c r="A517" s="160">
        <v>51623.0</v>
      </c>
      <c r="B517" s="127"/>
      <c r="C517" s="127"/>
      <c r="D517" s="128"/>
      <c r="E517" s="129"/>
      <c r="F517" s="130"/>
      <c r="G517" s="129"/>
      <c r="H517" s="164"/>
      <c r="I517" s="128"/>
      <c r="J517" s="129"/>
      <c r="K517" s="130"/>
      <c r="L517" s="130"/>
      <c r="M517" s="165">
        <f t="shared" si="1"/>
        <v>0</v>
      </c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hidden="1" customHeight="1">
      <c r="A518" s="153">
        <v>51723.0</v>
      </c>
      <c r="B518" s="120"/>
      <c r="C518" s="120"/>
      <c r="D518" s="121"/>
      <c r="E518" s="123"/>
      <c r="F518" s="122"/>
      <c r="G518" s="123"/>
      <c r="H518" s="122"/>
      <c r="I518" s="121"/>
      <c r="J518" s="123"/>
      <c r="K518" s="122"/>
      <c r="L518" s="122"/>
      <c r="M518" s="158">
        <f t="shared" si="1"/>
        <v>0</v>
      </c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hidden="1" customHeight="1">
      <c r="A519" s="160">
        <v>51823.0</v>
      </c>
      <c r="B519" s="127"/>
      <c r="C519" s="127"/>
      <c r="D519" s="128"/>
      <c r="E519" s="129"/>
      <c r="F519" s="130"/>
      <c r="G519" s="129"/>
      <c r="H519" s="164"/>
      <c r="I519" s="128"/>
      <c r="J519" s="129"/>
      <c r="K519" s="130"/>
      <c r="L519" s="130"/>
      <c r="M519" s="165">
        <f t="shared" si="1"/>
        <v>0</v>
      </c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hidden="1" customHeight="1">
      <c r="A520" s="153">
        <v>51923.0</v>
      </c>
      <c r="B520" s="120"/>
      <c r="C520" s="120"/>
      <c r="D520" s="121"/>
      <c r="E520" s="123"/>
      <c r="F520" s="122"/>
      <c r="G520" s="123"/>
      <c r="H520" s="122"/>
      <c r="I520" s="121"/>
      <c r="J520" s="123"/>
      <c r="K520" s="122"/>
      <c r="L520" s="122"/>
      <c r="M520" s="158">
        <f t="shared" si="1"/>
        <v>0</v>
      </c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hidden="1" customHeight="1">
      <c r="A521" s="160">
        <v>52023.0</v>
      </c>
      <c r="B521" s="127"/>
      <c r="C521" s="127"/>
      <c r="D521" s="128"/>
      <c r="E521" s="129"/>
      <c r="F521" s="130"/>
      <c r="G521" s="129"/>
      <c r="H521" s="164"/>
      <c r="I521" s="128"/>
      <c r="J521" s="129"/>
      <c r="K521" s="130"/>
      <c r="L521" s="130"/>
      <c r="M521" s="165">
        <f t="shared" si="1"/>
        <v>0</v>
      </c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hidden="1" customHeight="1">
      <c r="A522" s="153">
        <v>52123.0</v>
      </c>
      <c r="B522" s="120"/>
      <c r="C522" s="120"/>
      <c r="D522" s="121"/>
      <c r="E522" s="123"/>
      <c r="F522" s="122"/>
      <c r="G522" s="123"/>
      <c r="H522" s="122"/>
      <c r="I522" s="121"/>
      <c r="J522" s="123"/>
      <c r="K522" s="122"/>
      <c r="L522" s="122"/>
      <c r="M522" s="158">
        <f t="shared" si="1"/>
        <v>0</v>
      </c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hidden="1" customHeight="1">
      <c r="A523" s="160">
        <v>52223.0</v>
      </c>
      <c r="B523" s="127"/>
      <c r="C523" s="127"/>
      <c r="D523" s="128"/>
      <c r="E523" s="129"/>
      <c r="F523" s="130"/>
      <c r="G523" s="129"/>
      <c r="H523" s="164"/>
      <c r="I523" s="128"/>
      <c r="J523" s="129"/>
      <c r="K523" s="130"/>
      <c r="L523" s="130"/>
      <c r="M523" s="165">
        <f t="shared" si="1"/>
        <v>0</v>
      </c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hidden="1" customHeight="1">
      <c r="A524" s="153">
        <v>52323.0</v>
      </c>
      <c r="B524" s="120"/>
      <c r="C524" s="120"/>
      <c r="D524" s="121"/>
      <c r="E524" s="123"/>
      <c r="F524" s="122"/>
      <c r="G524" s="123"/>
      <c r="H524" s="122"/>
      <c r="I524" s="121"/>
      <c r="J524" s="123"/>
      <c r="K524" s="122"/>
      <c r="L524" s="122"/>
      <c r="M524" s="158">
        <f t="shared" si="1"/>
        <v>0</v>
      </c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hidden="1" customHeight="1">
      <c r="A525" s="160">
        <v>52423.0</v>
      </c>
      <c r="B525" s="127"/>
      <c r="C525" s="127"/>
      <c r="D525" s="128"/>
      <c r="E525" s="129"/>
      <c r="F525" s="130"/>
      <c r="G525" s="129"/>
      <c r="H525" s="164"/>
      <c r="I525" s="128"/>
      <c r="J525" s="129"/>
      <c r="K525" s="130"/>
      <c r="L525" s="130"/>
      <c r="M525" s="165">
        <f t="shared" si="1"/>
        <v>0</v>
      </c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hidden="1" customHeight="1">
      <c r="A526" s="153">
        <v>52523.0</v>
      </c>
      <c r="B526" s="120"/>
      <c r="C526" s="120"/>
      <c r="D526" s="121"/>
      <c r="E526" s="123"/>
      <c r="F526" s="122"/>
      <c r="G526" s="123"/>
      <c r="H526" s="122"/>
      <c r="I526" s="121"/>
      <c r="J526" s="123"/>
      <c r="K526" s="122"/>
      <c r="L526" s="122"/>
      <c r="M526" s="158">
        <f t="shared" si="1"/>
        <v>0</v>
      </c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hidden="1" customHeight="1">
      <c r="A527" s="160">
        <v>52623.0</v>
      </c>
      <c r="B527" s="127"/>
      <c r="C527" s="127"/>
      <c r="D527" s="128"/>
      <c r="E527" s="129"/>
      <c r="F527" s="130"/>
      <c r="G527" s="129"/>
      <c r="H527" s="164"/>
      <c r="I527" s="128"/>
      <c r="J527" s="129"/>
      <c r="K527" s="130"/>
      <c r="L527" s="130"/>
      <c r="M527" s="165">
        <f t="shared" si="1"/>
        <v>0</v>
      </c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hidden="1" customHeight="1">
      <c r="A528" s="153">
        <v>52723.0</v>
      </c>
      <c r="B528" s="120"/>
      <c r="C528" s="120"/>
      <c r="D528" s="121"/>
      <c r="E528" s="123"/>
      <c r="F528" s="122"/>
      <c r="G528" s="123"/>
      <c r="H528" s="122"/>
      <c r="I528" s="121"/>
      <c r="J528" s="123"/>
      <c r="K528" s="122"/>
      <c r="L528" s="122"/>
      <c r="M528" s="158">
        <f t="shared" si="1"/>
        <v>0</v>
      </c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hidden="1" customHeight="1">
      <c r="A529" s="160">
        <v>52823.0</v>
      </c>
      <c r="B529" s="127"/>
      <c r="C529" s="127"/>
      <c r="D529" s="128"/>
      <c r="E529" s="129"/>
      <c r="F529" s="130"/>
      <c r="G529" s="129"/>
      <c r="H529" s="164"/>
      <c r="I529" s="128"/>
      <c r="J529" s="129"/>
      <c r="K529" s="130"/>
      <c r="L529" s="130"/>
      <c r="M529" s="165">
        <f t="shared" si="1"/>
        <v>0</v>
      </c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hidden="1" customHeight="1">
      <c r="A530" s="153">
        <v>52923.0</v>
      </c>
      <c r="B530" s="120"/>
      <c r="C530" s="120"/>
      <c r="D530" s="121"/>
      <c r="E530" s="123"/>
      <c r="F530" s="122"/>
      <c r="G530" s="123"/>
      <c r="H530" s="122"/>
      <c r="I530" s="121"/>
      <c r="J530" s="123"/>
      <c r="K530" s="122"/>
      <c r="L530" s="122"/>
      <c r="M530" s="158">
        <f t="shared" si="1"/>
        <v>0</v>
      </c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hidden="1" customHeight="1">
      <c r="A531" s="160">
        <v>53023.0</v>
      </c>
      <c r="B531" s="127"/>
      <c r="C531" s="127"/>
      <c r="D531" s="128"/>
      <c r="E531" s="129"/>
      <c r="F531" s="130"/>
      <c r="G531" s="129"/>
      <c r="H531" s="164"/>
      <c r="I531" s="128"/>
      <c r="J531" s="129"/>
      <c r="K531" s="130"/>
      <c r="L531" s="130"/>
      <c r="M531" s="165">
        <f t="shared" si="1"/>
        <v>0</v>
      </c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hidden="1" customHeight="1">
      <c r="A532" s="153">
        <v>53123.0</v>
      </c>
      <c r="B532" s="120"/>
      <c r="C532" s="120"/>
      <c r="D532" s="121"/>
      <c r="E532" s="123"/>
      <c r="F532" s="122"/>
      <c r="G532" s="123"/>
      <c r="H532" s="122"/>
      <c r="I532" s="121"/>
      <c r="J532" s="123"/>
      <c r="K532" s="122"/>
      <c r="L532" s="122"/>
      <c r="M532" s="158">
        <f t="shared" si="1"/>
        <v>0</v>
      </c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hidden="1" customHeight="1">
      <c r="A533" s="160">
        <v>53223.0</v>
      </c>
      <c r="B533" s="127"/>
      <c r="C533" s="127"/>
      <c r="D533" s="128"/>
      <c r="E533" s="129"/>
      <c r="F533" s="130"/>
      <c r="G533" s="129"/>
      <c r="H533" s="164"/>
      <c r="I533" s="128"/>
      <c r="J533" s="129"/>
      <c r="K533" s="130"/>
      <c r="L533" s="130"/>
      <c r="M533" s="165">
        <f t="shared" si="1"/>
        <v>0</v>
      </c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hidden="1" customHeight="1">
      <c r="A534" s="153">
        <v>53323.0</v>
      </c>
      <c r="B534" s="120"/>
      <c r="C534" s="120"/>
      <c r="D534" s="121"/>
      <c r="E534" s="123"/>
      <c r="F534" s="122"/>
      <c r="G534" s="123"/>
      <c r="H534" s="122"/>
      <c r="I534" s="121"/>
      <c r="J534" s="123"/>
      <c r="K534" s="122"/>
      <c r="L534" s="122"/>
      <c r="M534" s="158">
        <f t="shared" si="1"/>
        <v>0</v>
      </c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hidden="1" customHeight="1">
      <c r="A535" s="160">
        <v>53423.0</v>
      </c>
      <c r="B535" s="127"/>
      <c r="C535" s="127"/>
      <c r="D535" s="128"/>
      <c r="E535" s="129"/>
      <c r="F535" s="130"/>
      <c r="G535" s="129"/>
      <c r="H535" s="164"/>
      <c r="I535" s="128"/>
      <c r="J535" s="129"/>
      <c r="K535" s="130"/>
      <c r="L535" s="130"/>
      <c r="M535" s="165">
        <f t="shared" si="1"/>
        <v>0</v>
      </c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hidden="1" customHeight="1">
      <c r="A536" s="153">
        <v>53523.0</v>
      </c>
      <c r="B536" s="120"/>
      <c r="C536" s="120"/>
      <c r="D536" s="121"/>
      <c r="E536" s="123"/>
      <c r="F536" s="122"/>
      <c r="G536" s="123"/>
      <c r="H536" s="122"/>
      <c r="I536" s="121"/>
      <c r="J536" s="123"/>
      <c r="K536" s="122"/>
      <c r="L536" s="122"/>
      <c r="M536" s="158">
        <f t="shared" si="1"/>
        <v>0</v>
      </c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hidden="1" customHeight="1">
      <c r="A537" s="160">
        <v>53623.0</v>
      </c>
      <c r="B537" s="127"/>
      <c r="C537" s="127"/>
      <c r="D537" s="128"/>
      <c r="E537" s="129"/>
      <c r="F537" s="130"/>
      <c r="G537" s="129"/>
      <c r="H537" s="164"/>
      <c r="I537" s="128"/>
      <c r="J537" s="129"/>
      <c r="K537" s="130"/>
      <c r="L537" s="130"/>
      <c r="M537" s="165">
        <f t="shared" si="1"/>
        <v>0</v>
      </c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hidden="1" customHeight="1">
      <c r="A538" s="153">
        <v>53723.0</v>
      </c>
      <c r="B538" s="120"/>
      <c r="C538" s="120"/>
      <c r="D538" s="121"/>
      <c r="E538" s="123"/>
      <c r="F538" s="122"/>
      <c r="G538" s="123"/>
      <c r="H538" s="122"/>
      <c r="I538" s="121"/>
      <c r="J538" s="123"/>
      <c r="K538" s="122"/>
      <c r="L538" s="122"/>
      <c r="M538" s="158">
        <f t="shared" si="1"/>
        <v>0</v>
      </c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hidden="1" customHeight="1">
      <c r="A539" s="160">
        <v>53823.0</v>
      </c>
      <c r="B539" s="127"/>
      <c r="C539" s="127"/>
      <c r="D539" s="128"/>
      <c r="E539" s="129"/>
      <c r="F539" s="130"/>
      <c r="G539" s="129"/>
      <c r="H539" s="164"/>
      <c r="I539" s="128"/>
      <c r="J539" s="129"/>
      <c r="K539" s="130"/>
      <c r="L539" s="130"/>
      <c r="M539" s="165">
        <f t="shared" si="1"/>
        <v>0</v>
      </c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hidden="1" customHeight="1">
      <c r="A540" s="153">
        <v>53923.0</v>
      </c>
      <c r="B540" s="120"/>
      <c r="C540" s="120"/>
      <c r="D540" s="121"/>
      <c r="E540" s="123"/>
      <c r="F540" s="122"/>
      <c r="G540" s="123"/>
      <c r="H540" s="122"/>
      <c r="I540" s="121"/>
      <c r="J540" s="123"/>
      <c r="K540" s="122"/>
      <c r="L540" s="122"/>
      <c r="M540" s="158">
        <f t="shared" si="1"/>
        <v>0</v>
      </c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hidden="1" customHeight="1">
      <c r="A541" s="160">
        <v>54023.0</v>
      </c>
      <c r="B541" s="127"/>
      <c r="C541" s="127"/>
      <c r="D541" s="128"/>
      <c r="E541" s="129"/>
      <c r="F541" s="130"/>
      <c r="G541" s="129"/>
      <c r="H541" s="164"/>
      <c r="I541" s="128"/>
      <c r="J541" s="129"/>
      <c r="K541" s="130"/>
      <c r="L541" s="130"/>
      <c r="M541" s="165">
        <f t="shared" si="1"/>
        <v>0</v>
      </c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hidden="1" customHeight="1">
      <c r="A542" s="153">
        <v>54123.0</v>
      </c>
      <c r="B542" s="120"/>
      <c r="C542" s="120"/>
      <c r="D542" s="121"/>
      <c r="E542" s="123"/>
      <c r="F542" s="122"/>
      <c r="G542" s="123"/>
      <c r="H542" s="122"/>
      <c r="I542" s="121"/>
      <c r="J542" s="123"/>
      <c r="K542" s="122"/>
      <c r="L542" s="122"/>
      <c r="M542" s="158">
        <f t="shared" si="1"/>
        <v>0</v>
      </c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hidden="1" customHeight="1">
      <c r="A543" s="160">
        <v>54223.0</v>
      </c>
      <c r="B543" s="127"/>
      <c r="C543" s="127"/>
      <c r="D543" s="128"/>
      <c r="E543" s="129"/>
      <c r="F543" s="130"/>
      <c r="G543" s="129"/>
      <c r="H543" s="164"/>
      <c r="I543" s="128"/>
      <c r="J543" s="129"/>
      <c r="K543" s="130"/>
      <c r="L543" s="130"/>
      <c r="M543" s="165">
        <f t="shared" si="1"/>
        <v>0</v>
      </c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hidden="1" customHeight="1">
      <c r="A544" s="153">
        <v>54323.0</v>
      </c>
      <c r="B544" s="120"/>
      <c r="C544" s="120"/>
      <c r="D544" s="121"/>
      <c r="E544" s="123"/>
      <c r="F544" s="122"/>
      <c r="G544" s="123"/>
      <c r="H544" s="122"/>
      <c r="I544" s="121"/>
      <c r="J544" s="123"/>
      <c r="K544" s="122"/>
      <c r="L544" s="122"/>
      <c r="M544" s="158">
        <f t="shared" si="1"/>
        <v>0</v>
      </c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hidden="1" customHeight="1">
      <c r="A545" s="160">
        <v>54423.0</v>
      </c>
      <c r="B545" s="127"/>
      <c r="C545" s="127"/>
      <c r="D545" s="128"/>
      <c r="E545" s="129"/>
      <c r="F545" s="130"/>
      <c r="G545" s="129"/>
      <c r="H545" s="164"/>
      <c r="I545" s="128"/>
      <c r="J545" s="129"/>
      <c r="K545" s="130"/>
      <c r="L545" s="130"/>
      <c r="M545" s="165">
        <f t="shared" si="1"/>
        <v>0</v>
      </c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hidden="1" customHeight="1">
      <c r="A546" s="153">
        <v>54523.0</v>
      </c>
      <c r="B546" s="120"/>
      <c r="C546" s="120"/>
      <c r="D546" s="121"/>
      <c r="E546" s="123"/>
      <c r="F546" s="122"/>
      <c r="G546" s="123"/>
      <c r="H546" s="122"/>
      <c r="I546" s="121"/>
      <c r="J546" s="123"/>
      <c r="K546" s="122"/>
      <c r="L546" s="122"/>
      <c r="M546" s="158">
        <f t="shared" si="1"/>
        <v>0</v>
      </c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hidden="1" customHeight="1">
      <c r="A547" s="160">
        <v>54623.0</v>
      </c>
      <c r="B547" s="127"/>
      <c r="C547" s="127"/>
      <c r="D547" s="128"/>
      <c r="E547" s="129"/>
      <c r="F547" s="130"/>
      <c r="G547" s="129"/>
      <c r="H547" s="164"/>
      <c r="I547" s="128"/>
      <c r="J547" s="129"/>
      <c r="K547" s="130"/>
      <c r="L547" s="130"/>
      <c r="M547" s="165">
        <f t="shared" si="1"/>
        <v>0</v>
      </c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hidden="1" customHeight="1">
      <c r="A548" s="153">
        <v>54723.0</v>
      </c>
      <c r="B548" s="120"/>
      <c r="C548" s="120"/>
      <c r="D548" s="121"/>
      <c r="E548" s="123"/>
      <c r="F548" s="122"/>
      <c r="G548" s="123"/>
      <c r="H548" s="122"/>
      <c r="I548" s="121"/>
      <c r="J548" s="123"/>
      <c r="K548" s="122"/>
      <c r="L548" s="122"/>
      <c r="M548" s="158">
        <f t="shared" si="1"/>
        <v>0</v>
      </c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hidden="1" customHeight="1">
      <c r="A549" s="160">
        <v>54823.0</v>
      </c>
      <c r="B549" s="127"/>
      <c r="C549" s="127"/>
      <c r="D549" s="128"/>
      <c r="E549" s="129"/>
      <c r="F549" s="130"/>
      <c r="G549" s="129"/>
      <c r="H549" s="164"/>
      <c r="I549" s="128"/>
      <c r="J549" s="129"/>
      <c r="K549" s="130"/>
      <c r="L549" s="130"/>
      <c r="M549" s="165">
        <f t="shared" si="1"/>
        <v>0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hidden="1" customHeight="1">
      <c r="A550" s="153">
        <v>54923.0</v>
      </c>
      <c r="B550" s="120"/>
      <c r="C550" s="120"/>
      <c r="D550" s="121"/>
      <c r="E550" s="123"/>
      <c r="F550" s="122"/>
      <c r="G550" s="123"/>
      <c r="H550" s="122"/>
      <c r="I550" s="121"/>
      <c r="J550" s="123"/>
      <c r="K550" s="122"/>
      <c r="L550" s="122"/>
      <c r="M550" s="158">
        <f t="shared" si="1"/>
        <v>0</v>
      </c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hidden="1" customHeight="1">
      <c r="A551" s="160">
        <v>55023.0</v>
      </c>
      <c r="B551" s="127"/>
      <c r="C551" s="127"/>
      <c r="D551" s="128"/>
      <c r="E551" s="129"/>
      <c r="F551" s="130"/>
      <c r="G551" s="129"/>
      <c r="H551" s="164"/>
      <c r="I551" s="128"/>
      <c r="J551" s="129"/>
      <c r="K551" s="130"/>
      <c r="L551" s="130"/>
      <c r="M551" s="165">
        <f t="shared" si="1"/>
        <v>0</v>
      </c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hidden="1" customHeight="1">
      <c r="A552" s="153">
        <v>55123.0</v>
      </c>
      <c r="B552" s="120"/>
      <c r="C552" s="120"/>
      <c r="D552" s="121"/>
      <c r="E552" s="123"/>
      <c r="F552" s="122"/>
      <c r="G552" s="123"/>
      <c r="H552" s="122"/>
      <c r="I552" s="121"/>
      <c r="J552" s="123"/>
      <c r="K552" s="122"/>
      <c r="L552" s="122"/>
      <c r="M552" s="158">
        <f t="shared" si="1"/>
        <v>0</v>
      </c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hidden="1" customHeight="1">
      <c r="A553" s="160">
        <v>55223.0</v>
      </c>
      <c r="B553" s="127"/>
      <c r="C553" s="127"/>
      <c r="D553" s="128"/>
      <c r="E553" s="129"/>
      <c r="F553" s="130"/>
      <c r="G553" s="129"/>
      <c r="H553" s="164"/>
      <c r="I553" s="128"/>
      <c r="J553" s="129"/>
      <c r="K553" s="130"/>
      <c r="L553" s="130"/>
      <c r="M553" s="165">
        <f t="shared" si="1"/>
        <v>0</v>
      </c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hidden="1" customHeight="1">
      <c r="A554" s="153">
        <v>55323.0</v>
      </c>
      <c r="B554" s="120"/>
      <c r="C554" s="120"/>
      <c r="D554" s="121"/>
      <c r="E554" s="123"/>
      <c r="F554" s="122"/>
      <c r="G554" s="123"/>
      <c r="H554" s="122"/>
      <c r="I554" s="121"/>
      <c r="J554" s="123"/>
      <c r="K554" s="122"/>
      <c r="L554" s="122"/>
      <c r="M554" s="158">
        <f t="shared" si="1"/>
        <v>0</v>
      </c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hidden="1" customHeight="1">
      <c r="A555" s="160">
        <v>55423.0</v>
      </c>
      <c r="B555" s="127"/>
      <c r="C555" s="127"/>
      <c r="D555" s="128"/>
      <c r="E555" s="129"/>
      <c r="F555" s="130"/>
      <c r="G555" s="129"/>
      <c r="H555" s="164"/>
      <c r="I555" s="128"/>
      <c r="J555" s="129"/>
      <c r="K555" s="130"/>
      <c r="L555" s="130"/>
      <c r="M555" s="165">
        <f t="shared" si="1"/>
        <v>0</v>
      </c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hidden="1" customHeight="1">
      <c r="A556" s="153">
        <v>55523.0</v>
      </c>
      <c r="B556" s="120"/>
      <c r="C556" s="120"/>
      <c r="D556" s="121"/>
      <c r="E556" s="123"/>
      <c r="F556" s="122"/>
      <c r="G556" s="123"/>
      <c r="H556" s="122"/>
      <c r="I556" s="121"/>
      <c r="J556" s="123"/>
      <c r="K556" s="122"/>
      <c r="L556" s="122"/>
      <c r="M556" s="158">
        <f t="shared" si="1"/>
        <v>0</v>
      </c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hidden="1" customHeight="1">
      <c r="A557" s="160">
        <v>55623.0</v>
      </c>
      <c r="B557" s="127"/>
      <c r="C557" s="127"/>
      <c r="D557" s="128"/>
      <c r="E557" s="129"/>
      <c r="F557" s="130"/>
      <c r="G557" s="129"/>
      <c r="H557" s="164"/>
      <c r="I557" s="128"/>
      <c r="J557" s="129"/>
      <c r="K557" s="130"/>
      <c r="L557" s="130"/>
      <c r="M557" s="165">
        <f t="shared" si="1"/>
        <v>0</v>
      </c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hidden="1" customHeight="1">
      <c r="A558" s="153">
        <v>55723.0</v>
      </c>
      <c r="B558" s="120"/>
      <c r="C558" s="120"/>
      <c r="D558" s="121"/>
      <c r="E558" s="123"/>
      <c r="F558" s="122"/>
      <c r="G558" s="123"/>
      <c r="H558" s="122"/>
      <c r="I558" s="121"/>
      <c r="J558" s="123"/>
      <c r="K558" s="122"/>
      <c r="L558" s="122"/>
      <c r="M558" s="158">
        <f t="shared" si="1"/>
        <v>0</v>
      </c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hidden="1" customHeight="1">
      <c r="A559" s="160">
        <v>55823.0</v>
      </c>
      <c r="B559" s="127"/>
      <c r="C559" s="127"/>
      <c r="D559" s="128"/>
      <c r="E559" s="129"/>
      <c r="F559" s="130"/>
      <c r="G559" s="129"/>
      <c r="H559" s="164"/>
      <c r="I559" s="128"/>
      <c r="J559" s="129"/>
      <c r="K559" s="130"/>
      <c r="L559" s="130"/>
      <c r="M559" s="165">
        <f t="shared" si="1"/>
        <v>0</v>
      </c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hidden="1" customHeight="1">
      <c r="A560" s="153">
        <v>55923.0</v>
      </c>
      <c r="B560" s="120"/>
      <c r="C560" s="120"/>
      <c r="D560" s="121"/>
      <c r="E560" s="123"/>
      <c r="F560" s="122"/>
      <c r="G560" s="123"/>
      <c r="H560" s="122"/>
      <c r="I560" s="121"/>
      <c r="J560" s="123"/>
      <c r="K560" s="122"/>
      <c r="L560" s="122"/>
      <c r="M560" s="158">
        <f t="shared" si="1"/>
        <v>0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hidden="1" customHeight="1">
      <c r="A561" s="160">
        <v>56023.0</v>
      </c>
      <c r="B561" s="127"/>
      <c r="C561" s="127"/>
      <c r="D561" s="128"/>
      <c r="E561" s="129"/>
      <c r="F561" s="130"/>
      <c r="G561" s="129"/>
      <c r="H561" s="164"/>
      <c r="I561" s="128"/>
      <c r="J561" s="129"/>
      <c r="K561" s="130"/>
      <c r="L561" s="130"/>
      <c r="M561" s="165">
        <f t="shared" si="1"/>
        <v>0</v>
      </c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hidden="1" customHeight="1">
      <c r="A562" s="153">
        <v>56123.0</v>
      </c>
      <c r="B562" s="120"/>
      <c r="C562" s="120"/>
      <c r="D562" s="121"/>
      <c r="E562" s="123"/>
      <c r="F562" s="122"/>
      <c r="G562" s="123"/>
      <c r="H562" s="122"/>
      <c r="I562" s="121"/>
      <c r="J562" s="123"/>
      <c r="K562" s="122"/>
      <c r="L562" s="122"/>
      <c r="M562" s="158">
        <f t="shared" si="1"/>
        <v>0</v>
      </c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hidden="1" customHeight="1">
      <c r="A563" s="160">
        <v>56223.0</v>
      </c>
      <c r="B563" s="127"/>
      <c r="C563" s="127"/>
      <c r="D563" s="128"/>
      <c r="E563" s="129"/>
      <c r="F563" s="130"/>
      <c r="G563" s="129"/>
      <c r="H563" s="164"/>
      <c r="I563" s="128"/>
      <c r="J563" s="129"/>
      <c r="K563" s="130"/>
      <c r="L563" s="130"/>
      <c r="M563" s="165">
        <f t="shared" si="1"/>
        <v>0</v>
      </c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hidden="1" customHeight="1">
      <c r="A564" s="153">
        <v>56323.0</v>
      </c>
      <c r="B564" s="120"/>
      <c r="C564" s="120"/>
      <c r="D564" s="121"/>
      <c r="E564" s="123"/>
      <c r="F564" s="122"/>
      <c r="G564" s="123"/>
      <c r="H564" s="122"/>
      <c r="I564" s="121"/>
      <c r="J564" s="123"/>
      <c r="K564" s="122"/>
      <c r="L564" s="122"/>
      <c r="M564" s="158">
        <f t="shared" si="1"/>
        <v>0</v>
      </c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hidden="1" customHeight="1">
      <c r="A565" s="160">
        <v>56423.0</v>
      </c>
      <c r="B565" s="127"/>
      <c r="C565" s="127"/>
      <c r="D565" s="128"/>
      <c r="E565" s="129"/>
      <c r="F565" s="130"/>
      <c r="G565" s="129"/>
      <c r="H565" s="164"/>
      <c r="I565" s="128"/>
      <c r="J565" s="129"/>
      <c r="K565" s="130"/>
      <c r="L565" s="130"/>
      <c r="M565" s="165">
        <f t="shared" si="1"/>
        <v>0</v>
      </c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hidden="1" customHeight="1">
      <c r="A566" s="153">
        <v>56523.0</v>
      </c>
      <c r="B566" s="120"/>
      <c r="C566" s="120"/>
      <c r="D566" s="121"/>
      <c r="E566" s="123"/>
      <c r="F566" s="122"/>
      <c r="G566" s="123"/>
      <c r="H566" s="122"/>
      <c r="I566" s="121"/>
      <c r="J566" s="123"/>
      <c r="K566" s="122"/>
      <c r="L566" s="122"/>
      <c r="M566" s="158">
        <f t="shared" si="1"/>
        <v>0</v>
      </c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hidden="1" customHeight="1">
      <c r="A567" s="160">
        <v>56623.0</v>
      </c>
      <c r="B567" s="127"/>
      <c r="C567" s="127"/>
      <c r="D567" s="128"/>
      <c r="E567" s="129"/>
      <c r="F567" s="130"/>
      <c r="G567" s="129"/>
      <c r="H567" s="164"/>
      <c r="I567" s="128"/>
      <c r="J567" s="129"/>
      <c r="K567" s="130"/>
      <c r="L567" s="130"/>
      <c r="M567" s="165">
        <f t="shared" si="1"/>
        <v>0</v>
      </c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hidden="1" customHeight="1">
      <c r="A568" s="153">
        <v>56723.0</v>
      </c>
      <c r="B568" s="120"/>
      <c r="C568" s="120"/>
      <c r="D568" s="121"/>
      <c r="E568" s="123"/>
      <c r="F568" s="122"/>
      <c r="G568" s="123"/>
      <c r="H568" s="122"/>
      <c r="I568" s="121"/>
      <c r="J568" s="123"/>
      <c r="K568" s="122"/>
      <c r="L568" s="122"/>
      <c r="M568" s="158">
        <f t="shared" si="1"/>
        <v>0</v>
      </c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hidden="1" customHeight="1">
      <c r="A569" s="160">
        <v>56823.0</v>
      </c>
      <c r="B569" s="127"/>
      <c r="C569" s="127"/>
      <c r="D569" s="128"/>
      <c r="E569" s="129"/>
      <c r="F569" s="130"/>
      <c r="G569" s="129"/>
      <c r="H569" s="164"/>
      <c r="I569" s="128"/>
      <c r="J569" s="129"/>
      <c r="K569" s="130"/>
      <c r="L569" s="130"/>
      <c r="M569" s="165">
        <f t="shared" si="1"/>
        <v>0</v>
      </c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hidden="1" customHeight="1">
      <c r="A570" s="153">
        <v>56923.0</v>
      </c>
      <c r="B570" s="120"/>
      <c r="C570" s="120"/>
      <c r="D570" s="121"/>
      <c r="E570" s="123"/>
      <c r="F570" s="122"/>
      <c r="G570" s="123"/>
      <c r="H570" s="122"/>
      <c r="I570" s="121"/>
      <c r="J570" s="123"/>
      <c r="K570" s="122"/>
      <c r="L570" s="122"/>
      <c r="M570" s="158">
        <f t="shared" si="1"/>
        <v>0</v>
      </c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hidden="1" customHeight="1">
      <c r="A571" s="160">
        <v>57023.0</v>
      </c>
      <c r="B571" s="127"/>
      <c r="C571" s="127"/>
      <c r="D571" s="128"/>
      <c r="E571" s="129"/>
      <c r="F571" s="130"/>
      <c r="G571" s="129"/>
      <c r="H571" s="164"/>
      <c r="I571" s="128"/>
      <c r="J571" s="129"/>
      <c r="K571" s="130"/>
      <c r="L571" s="130"/>
      <c r="M571" s="165">
        <f t="shared" si="1"/>
        <v>0</v>
      </c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hidden="1" customHeight="1">
      <c r="A572" s="153">
        <v>57123.0</v>
      </c>
      <c r="B572" s="120"/>
      <c r="C572" s="120"/>
      <c r="D572" s="121"/>
      <c r="E572" s="123"/>
      <c r="F572" s="122"/>
      <c r="G572" s="123"/>
      <c r="H572" s="122"/>
      <c r="I572" s="121"/>
      <c r="J572" s="123"/>
      <c r="K572" s="122"/>
      <c r="L572" s="122"/>
      <c r="M572" s="158">
        <f t="shared" si="1"/>
        <v>0</v>
      </c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hidden="1" customHeight="1">
      <c r="A573" s="160">
        <v>57223.0</v>
      </c>
      <c r="B573" s="127"/>
      <c r="C573" s="127"/>
      <c r="D573" s="128"/>
      <c r="E573" s="129"/>
      <c r="F573" s="130"/>
      <c r="G573" s="129"/>
      <c r="H573" s="164"/>
      <c r="I573" s="128"/>
      <c r="J573" s="129"/>
      <c r="K573" s="130"/>
      <c r="L573" s="130"/>
      <c r="M573" s="165">
        <f t="shared" si="1"/>
        <v>0</v>
      </c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hidden="1" customHeight="1">
      <c r="A574" s="153">
        <v>57323.0</v>
      </c>
      <c r="B574" s="120"/>
      <c r="C574" s="120"/>
      <c r="D574" s="121"/>
      <c r="E574" s="123"/>
      <c r="F574" s="122"/>
      <c r="G574" s="123"/>
      <c r="H574" s="122"/>
      <c r="I574" s="121"/>
      <c r="J574" s="123"/>
      <c r="K574" s="122"/>
      <c r="L574" s="122"/>
      <c r="M574" s="158">
        <f t="shared" si="1"/>
        <v>0</v>
      </c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hidden="1" customHeight="1">
      <c r="A575" s="160">
        <v>57423.0</v>
      </c>
      <c r="B575" s="127"/>
      <c r="C575" s="127"/>
      <c r="D575" s="128"/>
      <c r="E575" s="129"/>
      <c r="F575" s="130"/>
      <c r="G575" s="129"/>
      <c r="H575" s="164"/>
      <c r="I575" s="128"/>
      <c r="J575" s="129"/>
      <c r="K575" s="130"/>
      <c r="L575" s="130"/>
      <c r="M575" s="165">
        <f t="shared" si="1"/>
        <v>0</v>
      </c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hidden="1" customHeight="1">
      <c r="A576" s="153">
        <v>57523.0</v>
      </c>
      <c r="B576" s="120"/>
      <c r="C576" s="120"/>
      <c r="D576" s="121"/>
      <c r="E576" s="123"/>
      <c r="F576" s="122"/>
      <c r="G576" s="123"/>
      <c r="H576" s="122"/>
      <c r="I576" s="121"/>
      <c r="J576" s="123"/>
      <c r="K576" s="122"/>
      <c r="L576" s="122"/>
      <c r="M576" s="158">
        <f t="shared" si="1"/>
        <v>0</v>
      </c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hidden="1" customHeight="1">
      <c r="A577" s="160">
        <v>57623.0</v>
      </c>
      <c r="B577" s="127"/>
      <c r="C577" s="127"/>
      <c r="D577" s="128"/>
      <c r="E577" s="129"/>
      <c r="F577" s="130"/>
      <c r="G577" s="129"/>
      <c r="H577" s="164"/>
      <c r="I577" s="128"/>
      <c r="J577" s="129"/>
      <c r="K577" s="130"/>
      <c r="L577" s="130"/>
      <c r="M577" s="165">
        <f t="shared" si="1"/>
        <v>0</v>
      </c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hidden="1" customHeight="1">
      <c r="A578" s="153">
        <v>57723.0</v>
      </c>
      <c r="B578" s="120"/>
      <c r="C578" s="120"/>
      <c r="D578" s="121"/>
      <c r="E578" s="123"/>
      <c r="F578" s="122"/>
      <c r="G578" s="123"/>
      <c r="H578" s="122"/>
      <c r="I578" s="121"/>
      <c r="J578" s="123"/>
      <c r="K578" s="122"/>
      <c r="L578" s="122"/>
      <c r="M578" s="158">
        <f t="shared" si="1"/>
        <v>0</v>
      </c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hidden="1" customHeight="1">
      <c r="A579" s="160">
        <v>57823.0</v>
      </c>
      <c r="B579" s="127"/>
      <c r="C579" s="127"/>
      <c r="D579" s="128"/>
      <c r="E579" s="129"/>
      <c r="F579" s="130"/>
      <c r="G579" s="129"/>
      <c r="H579" s="164"/>
      <c r="I579" s="128"/>
      <c r="J579" s="129"/>
      <c r="K579" s="130"/>
      <c r="L579" s="130"/>
      <c r="M579" s="165">
        <f t="shared" si="1"/>
        <v>0</v>
      </c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hidden="1" customHeight="1">
      <c r="A580" s="153">
        <v>57923.0</v>
      </c>
      <c r="B580" s="120"/>
      <c r="C580" s="120"/>
      <c r="D580" s="121"/>
      <c r="E580" s="123"/>
      <c r="F580" s="122"/>
      <c r="G580" s="123"/>
      <c r="H580" s="122"/>
      <c r="I580" s="121"/>
      <c r="J580" s="123"/>
      <c r="K580" s="122"/>
      <c r="L580" s="122"/>
      <c r="M580" s="158">
        <f t="shared" si="1"/>
        <v>0</v>
      </c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hidden="1" customHeight="1">
      <c r="A581" s="160">
        <v>58023.0</v>
      </c>
      <c r="B581" s="127"/>
      <c r="C581" s="127"/>
      <c r="D581" s="128"/>
      <c r="E581" s="129"/>
      <c r="F581" s="130"/>
      <c r="G581" s="129"/>
      <c r="H581" s="164"/>
      <c r="I581" s="128"/>
      <c r="J581" s="129"/>
      <c r="K581" s="130"/>
      <c r="L581" s="130"/>
      <c r="M581" s="165">
        <f t="shared" si="1"/>
        <v>0</v>
      </c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hidden="1" customHeight="1">
      <c r="A582" s="153">
        <v>58123.0</v>
      </c>
      <c r="B582" s="120"/>
      <c r="C582" s="120"/>
      <c r="D582" s="121"/>
      <c r="E582" s="123"/>
      <c r="F582" s="122"/>
      <c r="G582" s="123"/>
      <c r="H582" s="122"/>
      <c r="I582" s="121"/>
      <c r="J582" s="123"/>
      <c r="K582" s="122"/>
      <c r="L582" s="122"/>
      <c r="M582" s="158">
        <f t="shared" si="1"/>
        <v>0</v>
      </c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hidden="1" customHeight="1">
      <c r="A583" s="160">
        <v>58223.0</v>
      </c>
      <c r="B583" s="127"/>
      <c r="C583" s="127"/>
      <c r="D583" s="128"/>
      <c r="E583" s="129"/>
      <c r="F583" s="130"/>
      <c r="G583" s="129"/>
      <c r="H583" s="164"/>
      <c r="I583" s="128"/>
      <c r="J583" s="129"/>
      <c r="K583" s="130"/>
      <c r="L583" s="130"/>
      <c r="M583" s="165">
        <f t="shared" si="1"/>
        <v>0</v>
      </c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hidden="1" customHeight="1">
      <c r="A584" s="153">
        <v>58323.0</v>
      </c>
      <c r="B584" s="120"/>
      <c r="C584" s="120"/>
      <c r="D584" s="121"/>
      <c r="E584" s="123"/>
      <c r="F584" s="122"/>
      <c r="G584" s="123"/>
      <c r="H584" s="122"/>
      <c r="I584" s="121"/>
      <c r="J584" s="123"/>
      <c r="K584" s="122"/>
      <c r="L584" s="122"/>
      <c r="M584" s="158">
        <f t="shared" si="1"/>
        <v>0</v>
      </c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hidden="1" customHeight="1">
      <c r="A585" s="160">
        <v>58423.0</v>
      </c>
      <c r="B585" s="127"/>
      <c r="C585" s="127"/>
      <c r="D585" s="128"/>
      <c r="E585" s="129"/>
      <c r="F585" s="130"/>
      <c r="G585" s="129"/>
      <c r="H585" s="164"/>
      <c r="I585" s="128"/>
      <c r="J585" s="129"/>
      <c r="K585" s="130"/>
      <c r="L585" s="130"/>
      <c r="M585" s="165">
        <f t="shared" si="1"/>
        <v>0</v>
      </c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hidden="1" customHeight="1">
      <c r="A586" s="153">
        <v>58523.0</v>
      </c>
      <c r="B586" s="120"/>
      <c r="C586" s="120"/>
      <c r="D586" s="121"/>
      <c r="E586" s="123"/>
      <c r="F586" s="122"/>
      <c r="G586" s="123"/>
      <c r="H586" s="122"/>
      <c r="I586" s="121"/>
      <c r="J586" s="123"/>
      <c r="K586" s="122"/>
      <c r="L586" s="122"/>
      <c r="M586" s="158">
        <f t="shared" si="1"/>
        <v>0</v>
      </c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hidden="1" customHeight="1">
      <c r="A587" s="160">
        <v>58623.0</v>
      </c>
      <c r="B587" s="127"/>
      <c r="C587" s="127"/>
      <c r="D587" s="128"/>
      <c r="E587" s="129"/>
      <c r="F587" s="130"/>
      <c r="G587" s="129"/>
      <c r="H587" s="164"/>
      <c r="I587" s="128"/>
      <c r="J587" s="129"/>
      <c r="K587" s="130"/>
      <c r="L587" s="130"/>
      <c r="M587" s="165">
        <f t="shared" si="1"/>
        <v>0</v>
      </c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hidden="1" customHeight="1">
      <c r="A588" s="153">
        <v>58723.0</v>
      </c>
      <c r="B588" s="120"/>
      <c r="C588" s="120"/>
      <c r="D588" s="121"/>
      <c r="E588" s="123"/>
      <c r="F588" s="122"/>
      <c r="G588" s="123"/>
      <c r="H588" s="122"/>
      <c r="I588" s="121"/>
      <c r="J588" s="123"/>
      <c r="K588" s="122"/>
      <c r="L588" s="122"/>
      <c r="M588" s="158">
        <f t="shared" si="1"/>
        <v>0</v>
      </c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hidden="1" customHeight="1">
      <c r="A589" s="160">
        <v>58823.0</v>
      </c>
      <c r="B589" s="127"/>
      <c r="C589" s="127"/>
      <c r="D589" s="128"/>
      <c r="E589" s="129"/>
      <c r="F589" s="130"/>
      <c r="G589" s="129"/>
      <c r="H589" s="164"/>
      <c r="I589" s="128"/>
      <c r="J589" s="129"/>
      <c r="K589" s="130"/>
      <c r="L589" s="130"/>
      <c r="M589" s="165">
        <f t="shared" si="1"/>
        <v>0</v>
      </c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hidden="1" customHeight="1">
      <c r="A590" s="153">
        <v>58923.0</v>
      </c>
      <c r="B590" s="120"/>
      <c r="C590" s="120"/>
      <c r="D590" s="121"/>
      <c r="E590" s="123"/>
      <c r="F590" s="122"/>
      <c r="G590" s="123"/>
      <c r="H590" s="122"/>
      <c r="I590" s="121"/>
      <c r="J590" s="123"/>
      <c r="K590" s="122"/>
      <c r="L590" s="122"/>
      <c r="M590" s="158">
        <f t="shared" si="1"/>
        <v>0</v>
      </c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hidden="1" customHeight="1">
      <c r="A591" s="160">
        <v>59023.0</v>
      </c>
      <c r="B591" s="127"/>
      <c r="C591" s="127"/>
      <c r="D591" s="128"/>
      <c r="E591" s="129"/>
      <c r="F591" s="130"/>
      <c r="G591" s="129"/>
      <c r="H591" s="164"/>
      <c r="I591" s="128"/>
      <c r="J591" s="129"/>
      <c r="K591" s="130"/>
      <c r="L591" s="130"/>
      <c r="M591" s="165">
        <f t="shared" si="1"/>
        <v>0</v>
      </c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hidden="1" customHeight="1">
      <c r="A592" s="153">
        <v>59123.0</v>
      </c>
      <c r="B592" s="120"/>
      <c r="C592" s="120"/>
      <c r="D592" s="121"/>
      <c r="E592" s="123"/>
      <c r="F592" s="122"/>
      <c r="G592" s="123"/>
      <c r="H592" s="122"/>
      <c r="I592" s="121"/>
      <c r="J592" s="123"/>
      <c r="K592" s="122"/>
      <c r="L592" s="122"/>
      <c r="M592" s="158">
        <f t="shared" si="1"/>
        <v>0</v>
      </c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hidden="1" customHeight="1">
      <c r="A593" s="160">
        <v>59223.0</v>
      </c>
      <c r="B593" s="127"/>
      <c r="C593" s="127"/>
      <c r="D593" s="128"/>
      <c r="E593" s="129"/>
      <c r="F593" s="130"/>
      <c r="G593" s="129"/>
      <c r="H593" s="164"/>
      <c r="I593" s="128"/>
      <c r="J593" s="129"/>
      <c r="K593" s="130"/>
      <c r="L593" s="130"/>
      <c r="M593" s="165">
        <f t="shared" si="1"/>
        <v>0</v>
      </c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hidden="1" customHeight="1">
      <c r="A594" s="153">
        <v>59323.0</v>
      </c>
      <c r="B594" s="120"/>
      <c r="C594" s="120"/>
      <c r="D594" s="121"/>
      <c r="E594" s="123"/>
      <c r="F594" s="122"/>
      <c r="G594" s="123"/>
      <c r="H594" s="122"/>
      <c r="I594" s="121"/>
      <c r="J594" s="123"/>
      <c r="K594" s="122"/>
      <c r="L594" s="122"/>
      <c r="M594" s="158">
        <f t="shared" si="1"/>
        <v>0</v>
      </c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hidden="1" customHeight="1">
      <c r="A595" s="160">
        <v>59423.0</v>
      </c>
      <c r="B595" s="127"/>
      <c r="C595" s="127"/>
      <c r="D595" s="128"/>
      <c r="E595" s="129"/>
      <c r="F595" s="130"/>
      <c r="G595" s="129"/>
      <c r="H595" s="164"/>
      <c r="I595" s="128"/>
      <c r="J595" s="129"/>
      <c r="K595" s="130"/>
      <c r="L595" s="130"/>
      <c r="M595" s="165">
        <f t="shared" si="1"/>
        <v>0</v>
      </c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hidden="1" customHeight="1">
      <c r="A596" s="153">
        <v>59523.0</v>
      </c>
      <c r="B596" s="120"/>
      <c r="C596" s="120"/>
      <c r="D596" s="121"/>
      <c r="E596" s="123"/>
      <c r="F596" s="122"/>
      <c r="G596" s="123"/>
      <c r="H596" s="122"/>
      <c r="I596" s="121"/>
      <c r="J596" s="123"/>
      <c r="K596" s="122"/>
      <c r="L596" s="122"/>
      <c r="M596" s="158">
        <f t="shared" si="1"/>
        <v>0</v>
      </c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hidden="1" customHeight="1">
      <c r="A597" s="160">
        <v>59623.0</v>
      </c>
      <c r="B597" s="127"/>
      <c r="C597" s="127"/>
      <c r="D597" s="128"/>
      <c r="E597" s="129"/>
      <c r="F597" s="130"/>
      <c r="G597" s="129"/>
      <c r="H597" s="164"/>
      <c r="I597" s="128"/>
      <c r="J597" s="129"/>
      <c r="K597" s="130"/>
      <c r="L597" s="130"/>
      <c r="M597" s="165">
        <f t="shared" si="1"/>
        <v>0</v>
      </c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hidden="1" customHeight="1">
      <c r="A598" s="153">
        <v>59723.0</v>
      </c>
      <c r="B598" s="120"/>
      <c r="C598" s="120"/>
      <c r="D598" s="121"/>
      <c r="E598" s="123"/>
      <c r="F598" s="122"/>
      <c r="G598" s="123"/>
      <c r="H598" s="122"/>
      <c r="I598" s="121"/>
      <c r="J598" s="123"/>
      <c r="K598" s="122"/>
      <c r="L598" s="122"/>
      <c r="M598" s="158">
        <f t="shared" si="1"/>
        <v>0</v>
      </c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hidden="1" customHeight="1">
      <c r="A599" s="160">
        <v>59823.0</v>
      </c>
      <c r="B599" s="127"/>
      <c r="C599" s="127"/>
      <c r="D599" s="128"/>
      <c r="E599" s="129"/>
      <c r="F599" s="130"/>
      <c r="G599" s="129"/>
      <c r="H599" s="164"/>
      <c r="I599" s="128"/>
      <c r="J599" s="129"/>
      <c r="K599" s="130"/>
      <c r="L599" s="130"/>
      <c r="M599" s="165">
        <f t="shared" si="1"/>
        <v>0</v>
      </c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hidden="1" customHeight="1">
      <c r="A600" s="153">
        <v>59923.0</v>
      </c>
      <c r="B600" s="120"/>
      <c r="C600" s="120"/>
      <c r="D600" s="121"/>
      <c r="E600" s="123"/>
      <c r="F600" s="122"/>
      <c r="G600" s="123"/>
      <c r="H600" s="122"/>
      <c r="I600" s="121"/>
      <c r="J600" s="123"/>
      <c r="K600" s="122"/>
      <c r="L600" s="122"/>
      <c r="M600" s="158">
        <f t="shared" si="1"/>
        <v>0</v>
      </c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hidden="1" customHeight="1">
      <c r="A601" s="160">
        <v>60023.0</v>
      </c>
      <c r="B601" s="127"/>
      <c r="C601" s="127"/>
      <c r="D601" s="128"/>
      <c r="E601" s="129"/>
      <c r="F601" s="130"/>
      <c r="G601" s="129"/>
      <c r="H601" s="164"/>
      <c r="I601" s="128"/>
      <c r="J601" s="129"/>
      <c r="K601" s="130"/>
      <c r="L601" s="130"/>
      <c r="M601" s="165">
        <f t="shared" si="1"/>
        <v>0</v>
      </c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hidden="1" customHeight="1">
      <c r="A602" s="153">
        <v>60123.0</v>
      </c>
      <c r="B602" s="120"/>
      <c r="C602" s="120"/>
      <c r="D602" s="121"/>
      <c r="E602" s="123"/>
      <c r="F602" s="122"/>
      <c r="G602" s="123"/>
      <c r="H602" s="122"/>
      <c r="I602" s="121"/>
      <c r="J602" s="123"/>
      <c r="K602" s="122"/>
      <c r="L602" s="122"/>
      <c r="M602" s="158">
        <f t="shared" si="1"/>
        <v>0</v>
      </c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hidden="1" customHeight="1">
      <c r="A603" s="160">
        <v>60223.0</v>
      </c>
      <c r="B603" s="127"/>
      <c r="C603" s="127"/>
      <c r="D603" s="128"/>
      <c r="E603" s="129"/>
      <c r="F603" s="130"/>
      <c r="G603" s="129"/>
      <c r="H603" s="164"/>
      <c r="I603" s="128"/>
      <c r="J603" s="129"/>
      <c r="K603" s="130"/>
      <c r="L603" s="130"/>
      <c r="M603" s="165">
        <f t="shared" si="1"/>
        <v>0</v>
      </c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hidden="1" customHeight="1">
      <c r="A604" s="153">
        <v>60323.0</v>
      </c>
      <c r="B604" s="120"/>
      <c r="C604" s="120"/>
      <c r="D604" s="121"/>
      <c r="E604" s="123"/>
      <c r="F604" s="122"/>
      <c r="G604" s="123"/>
      <c r="H604" s="122"/>
      <c r="I604" s="121"/>
      <c r="J604" s="123"/>
      <c r="K604" s="122"/>
      <c r="L604" s="122"/>
      <c r="M604" s="158">
        <f t="shared" si="1"/>
        <v>0</v>
      </c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hidden="1" customHeight="1">
      <c r="A605" s="160">
        <v>60423.0</v>
      </c>
      <c r="B605" s="127"/>
      <c r="C605" s="127"/>
      <c r="D605" s="128"/>
      <c r="E605" s="129"/>
      <c r="F605" s="130"/>
      <c r="G605" s="129"/>
      <c r="H605" s="164"/>
      <c r="I605" s="128"/>
      <c r="J605" s="129"/>
      <c r="K605" s="130"/>
      <c r="L605" s="130"/>
      <c r="M605" s="165">
        <f t="shared" si="1"/>
        <v>0</v>
      </c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hidden="1" customHeight="1">
      <c r="A606" s="153">
        <v>60523.0</v>
      </c>
      <c r="B606" s="120"/>
      <c r="C606" s="120"/>
      <c r="D606" s="121"/>
      <c r="E606" s="123"/>
      <c r="F606" s="122"/>
      <c r="G606" s="123"/>
      <c r="H606" s="122"/>
      <c r="I606" s="121"/>
      <c r="J606" s="123"/>
      <c r="K606" s="122"/>
      <c r="L606" s="122"/>
      <c r="M606" s="158">
        <f t="shared" si="1"/>
        <v>0</v>
      </c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hidden="1" customHeight="1">
      <c r="A607" s="160">
        <v>60623.0</v>
      </c>
      <c r="B607" s="127"/>
      <c r="C607" s="127"/>
      <c r="D607" s="128"/>
      <c r="E607" s="129"/>
      <c r="F607" s="130"/>
      <c r="G607" s="129"/>
      <c r="H607" s="164"/>
      <c r="I607" s="128"/>
      <c r="J607" s="129"/>
      <c r="K607" s="130"/>
      <c r="L607" s="130"/>
      <c r="M607" s="165">
        <f t="shared" si="1"/>
        <v>0</v>
      </c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hidden="1" customHeight="1">
      <c r="A608" s="153">
        <v>60723.0</v>
      </c>
      <c r="B608" s="120"/>
      <c r="C608" s="120"/>
      <c r="D608" s="121"/>
      <c r="E608" s="123"/>
      <c r="F608" s="122"/>
      <c r="G608" s="123"/>
      <c r="H608" s="122"/>
      <c r="I608" s="121"/>
      <c r="J608" s="123"/>
      <c r="K608" s="122"/>
      <c r="L608" s="122"/>
      <c r="M608" s="158">
        <f t="shared" si="1"/>
        <v>0</v>
      </c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hidden="1" customHeight="1">
      <c r="A609" s="160">
        <v>60823.0</v>
      </c>
      <c r="B609" s="127"/>
      <c r="C609" s="127"/>
      <c r="D609" s="128"/>
      <c r="E609" s="129"/>
      <c r="F609" s="130"/>
      <c r="G609" s="129"/>
      <c r="H609" s="164"/>
      <c r="I609" s="128"/>
      <c r="J609" s="129"/>
      <c r="K609" s="130"/>
      <c r="L609" s="130"/>
      <c r="M609" s="165">
        <f t="shared" si="1"/>
        <v>0</v>
      </c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hidden="1" customHeight="1">
      <c r="A610" s="153">
        <v>60923.0</v>
      </c>
      <c r="B610" s="120"/>
      <c r="C610" s="120"/>
      <c r="D610" s="121"/>
      <c r="E610" s="123"/>
      <c r="F610" s="122"/>
      <c r="G610" s="123"/>
      <c r="H610" s="122"/>
      <c r="I610" s="121"/>
      <c r="J610" s="123"/>
      <c r="K610" s="122"/>
      <c r="L610" s="122"/>
      <c r="M610" s="158">
        <f t="shared" si="1"/>
        <v>0</v>
      </c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hidden="1" customHeight="1">
      <c r="A611" s="160">
        <v>61023.0</v>
      </c>
      <c r="B611" s="127"/>
      <c r="C611" s="127"/>
      <c r="D611" s="128"/>
      <c r="E611" s="129"/>
      <c r="F611" s="130"/>
      <c r="G611" s="129"/>
      <c r="H611" s="164"/>
      <c r="I611" s="128"/>
      <c r="J611" s="129"/>
      <c r="K611" s="130"/>
      <c r="L611" s="130"/>
      <c r="M611" s="165">
        <f t="shared" si="1"/>
        <v>0</v>
      </c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hidden="1" customHeight="1">
      <c r="A612" s="153">
        <v>61123.0</v>
      </c>
      <c r="B612" s="120"/>
      <c r="C612" s="120"/>
      <c r="D612" s="121"/>
      <c r="E612" s="123"/>
      <c r="F612" s="122"/>
      <c r="G612" s="123"/>
      <c r="H612" s="122"/>
      <c r="I612" s="121"/>
      <c r="J612" s="123"/>
      <c r="K612" s="122"/>
      <c r="L612" s="122"/>
      <c r="M612" s="158">
        <f t="shared" si="1"/>
        <v>0</v>
      </c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hidden="1" customHeight="1">
      <c r="A613" s="160">
        <v>61223.0</v>
      </c>
      <c r="B613" s="127"/>
      <c r="C613" s="127"/>
      <c r="D613" s="128"/>
      <c r="E613" s="129"/>
      <c r="F613" s="130"/>
      <c r="G613" s="129"/>
      <c r="H613" s="164"/>
      <c r="I613" s="128"/>
      <c r="J613" s="129"/>
      <c r="K613" s="130"/>
      <c r="L613" s="130"/>
      <c r="M613" s="165">
        <f t="shared" si="1"/>
        <v>0</v>
      </c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hidden="1" customHeight="1">
      <c r="A614" s="153">
        <v>61323.0</v>
      </c>
      <c r="B614" s="120"/>
      <c r="C614" s="120"/>
      <c r="D614" s="121"/>
      <c r="E614" s="123"/>
      <c r="F614" s="122"/>
      <c r="G614" s="123"/>
      <c r="H614" s="122"/>
      <c r="I614" s="121"/>
      <c r="J614" s="123"/>
      <c r="K614" s="122"/>
      <c r="L614" s="122"/>
      <c r="M614" s="158">
        <f t="shared" si="1"/>
        <v>0</v>
      </c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hidden="1" customHeight="1">
      <c r="A615" s="160">
        <v>61423.0</v>
      </c>
      <c r="B615" s="127"/>
      <c r="C615" s="127"/>
      <c r="D615" s="128"/>
      <c r="E615" s="129"/>
      <c r="F615" s="130"/>
      <c r="G615" s="129"/>
      <c r="H615" s="164"/>
      <c r="I615" s="128"/>
      <c r="J615" s="129"/>
      <c r="K615" s="130"/>
      <c r="L615" s="130"/>
      <c r="M615" s="165">
        <f t="shared" si="1"/>
        <v>0</v>
      </c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hidden="1" customHeight="1">
      <c r="A616" s="153">
        <v>61523.0</v>
      </c>
      <c r="B616" s="120"/>
      <c r="C616" s="120"/>
      <c r="D616" s="121"/>
      <c r="E616" s="123"/>
      <c r="F616" s="122"/>
      <c r="G616" s="123"/>
      <c r="H616" s="122"/>
      <c r="I616" s="121"/>
      <c r="J616" s="123"/>
      <c r="K616" s="122"/>
      <c r="L616" s="122"/>
      <c r="M616" s="158">
        <f t="shared" si="1"/>
        <v>0</v>
      </c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hidden="1" customHeight="1">
      <c r="A617" s="160">
        <v>61623.0</v>
      </c>
      <c r="B617" s="127"/>
      <c r="C617" s="127"/>
      <c r="D617" s="128"/>
      <c r="E617" s="129"/>
      <c r="F617" s="130"/>
      <c r="G617" s="129"/>
      <c r="H617" s="164"/>
      <c r="I617" s="128"/>
      <c r="J617" s="129"/>
      <c r="K617" s="130"/>
      <c r="L617" s="130"/>
      <c r="M617" s="165">
        <f t="shared" si="1"/>
        <v>0</v>
      </c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hidden="1" customHeight="1">
      <c r="A618" s="153">
        <v>61723.0</v>
      </c>
      <c r="B618" s="120"/>
      <c r="C618" s="120"/>
      <c r="D618" s="121"/>
      <c r="E618" s="123"/>
      <c r="F618" s="122"/>
      <c r="G618" s="123"/>
      <c r="H618" s="122"/>
      <c r="I618" s="121"/>
      <c r="J618" s="123"/>
      <c r="K618" s="122"/>
      <c r="L618" s="122"/>
      <c r="M618" s="158">
        <f t="shared" si="1"/>
        <v>0</v>
      </c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hidden="1" customHeight="1">
      <c r="A619" s="160">
        <v>61823.0</v>
      </c>
      <c r="B619" s="127"/>
      <c r="C619" s="127"/>
      <c r="D619" s="128"/>
      <c r="E619" s="129"/>
      <c r="F619" s="130"/>
      <c r="G619" s="129"/>
      <c r="H619" s="164"/>
      <c r="I619" s="128"/>
      <c r="J619" s="129"/>
      <c r="K619" s="130"/>
      <c r="L619" s="130"/>
      <c r="M619" s="165">
        <f t="shared" si="1"/>
        <v>0</v>
      </c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hidden="1" customHeight="1">
      <c r="A620" s="153">
        <v>61923.0</v>
      </c>
      <c r="B620" s="120"/>
      <c r="C620" s="120"/>
      <c r="D620" s="121"/>
      <c r="E620" s="123"/>
      <c r="F620" s="122"/>
      <c r="G620" s="123"/>
      <c r="H620" s="122"/>
      <c r="I620" s="121"/>
      <c r="J620" s="123"/>
      <c r="K620" s="122"/>
      <c r="L620" s="122"/>
      <c r="M620" s="158">
        <f t="shared" si="1"/>
        <v>0</v>
      </c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hidden="1" customHeight="1">
      <c r="A621" s="160">
        <v>62023.0</v>
      </c>
      <c r="B621" s="127"/>
      <c r="C621" s="127"/>
      <c r="D621" s="128"/>
      <c r="E621" s="129"/>
      <c r="F621" s="130"/>
      <c r="G621" s="129"/>
      <c r="H621" s="164"/>
      <c r="I621" s="128"/>
      <c r="J621" s="129"/>
      <c r="K621" s="130"/>
      <c r="L621" s="130"/>
      <c r="M621" s="165">
        <f t="shared" si="1"/>
        <v>0</v>
      </c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hidden="1" customHeight="1">
      <c r="A622" s="153">
        <v>62123.0</v>
      </c>
      <c r="B622" s="120"/>
      <c r="C622" s="120"/>
      <c r="D622" s="121"/>
      <c r="E622" s="123"/>
      <c r="F622" s="122"/>
      <c r="G622" s="123"/>
      <c r="H622" s="122"/>
      <c r="I622" s="121"/>
      <c r="J622" s="123"/>
      <c r="K622" s="122"/>
      <c r="L622" s="122"/>
      <c r="M622" s="158">
        <f t="shared" si="1"/>
        <v>0</v>
      </c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hidden="1" customHeight="1">
      <c r="A623" s="160">
        <v>62223.0</v>
      </c>
      <c r="B623" s="127"/>
      <c r="C623" s="127"/>
      <c r="D623" s="128"/>
      <c r="E623" s="129"/>
      <c r="F623" s="130"/>
      <c r="G623" s="129"/>
      <c r="H623" s="164"/>
      <c r="I623" s="128"/>
      <c r="J623" s="129"/>
      <c r="K623" s="130"/>
      <c r="L623" s="130"/>
      <c r="M623" s="165">
        <f t="shared" si="1"/>
        <v>0</v>
      </c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hidden="1" customHeight="1">
      <c r="A624" s="153">
        <v>62323.0</v>
      </c>
      <c r="B624" s="120"/>
      <c r="C624" s="120"/>
      <c r="D624" s="121"/>
      <c r="E624" s="123"/>
      <c r="F624" s="122"/>
      <c r="G624" s="123"/>
      <c r="H624" s="122"/>
      <c r="I624" s="121"/>
      <c r="J624" s="123"/>
      <c r="K624" s="122"/>
      <c r="L624" s="122"/>
      <c r="M624" s="158">
        <f t="shared" si="1"/>
        <v>0</v>
      </c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hidden="1" customHeight="1">
      <c r="A625" s="160">
        <v>62423.0</v>
      </c>
      <c r="B625" s="127"/>
      <c r="C625" s="127"/>
      <c r="D625" s="128"/>
      <c r="E625" s="129"/>
      <c r="F625" s="130"/>
      <c r="G625" s="129"/>
      <c r="H625" s="164"/>
      <c r="I625" s="128"/>
      <c r="J625" s="129"/>
      <c r="K625" s="130"/>
      <c r="L625" s="130"/>
      <c r="M625" s="165">
        <f t="shared" si="1"/>
        <v>0</v>
      </c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hidden="1" customHeight="1">
      <c r="A626" s="153">
        <v>62523.0</v>
      </c>
      <c r="B626" s="120"/>
      <c r="C626" s="120"/>
      <c r="D626" s="121"/>
      <c r="E626" s="123"/>
      <c r="F626" s="122"/>
      <c r="G626" s="123"/>
      <c r="H626" s="122"/>
      <c r="I626" s="121"/>
      <c r="J626" s="123"/>
      <c r="K626" s="122"/>
      <c r="L626" s="122"/>
      <c r="M626" s="158">
        <f t="shared" si="1"/>
        <v>0</v>
      </c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hidden="1" customHeight="1">
      <c r="A627" s="160">
        <v>62623.0</v>
      </c>
      <c r="B627" s="127"/>
      <c r="C627" s="127"/>
      <c r="D627" s="128"/>
      <c r="E627" s="129"/>
      <c r="F627" s="130"/>
      <c r="G627" s="129"/>
      <c r="H627" s="164"/>
      <c r="I627" s="128"/>
      <c r="J627" s="129"/>
      <c r="K627" s="130"/>
      <c r="L627" s="130"/>
      <c r="M627" s="165">
        <f t="shared" si="1"/>
        <v>0</v>
      </c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hidden="1" customHeight="1">
      <c r="A628" s="153">
        <v>62723.0</v>
      </c>
      <c r="B628" s="120"/>
      <c r="C628" s="120"/>
      <c r="D628" s="121"/>
      <c r="E628" s="123"/>
      <c r="F628" s="122"/>
      <c r="G628" s="123"/>
      <c r="H628" s="122"/>
      <c r="I628" s="121"/>
      <c r="J628" s="123"/>
      <c r="K628" s="122"/>
      <c r="L628" s="122"/>
      <c r="M628" s="158">
        <f t="shared" si="1"/>
        <v>0</v>
      </c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hidden="1" customHeight="1">
      <c r="A629" s="160">
        <v>62823.0</v>
      </c>
      <c r="B629" s="127"/>
      <c r="C629" s="127"/>
      <c r="D629" s="128"/>
      <c r="E629" s="129"/>
      <c r="F629" s="130"/>
      <c r="G629" s="129"/>
      <c r="H629" s="164"/>
      <c r="I629" s="128"/>
      <c r="J629" s="129"/>
      <c r="K629" s="130"/>
      <c r="L629" s="130"/>
      <c r="M629" s="165">
        <f t="shared" si="1"/>
        <v>0</v>
      </c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hidden="1" customHeight="1">
      <c r="A630" s="153">
        <v>62923.0</v>
      </c>
      <c r="B630" s="120"/>
      <c r="C630" s="120"/>
      <c r="D630" s="121"/>
      <c r="E630" s="123"/>
      <c r="F630" s="122"/>
      <c r="G630" s="123"/>
      <c r="H630" s="122"/>
      <c r="I630" s="121"/>
      <c r="J630" s="123"/>
      <c r="K630" s="122"/>
      <c r="L630" s="122"/>
      <c r="M630" s="158">
        <f t="shared" si="1"/>
        <v>0</v>
      </c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hidden="1" customHeight="1">
      <c r="A631" s="160">
        <v>63023.0</v>
      </c>
      <c r="B631" s="127"/>
      <c r="C631" s="127"/>
      <c r="D631" s="128"/>
      <c r="E631" s="129"/>
      <c r="F631" s="130"/>
      <c r="G631" s="129"/>
      <c r="H631" s="164"/>
      <c r="I631" s="128"/>
      <c r="J631" s="129"/>
      <c r="K631" s="130"/>
      <c r="L631" s="130"/>
      <c r="M631" s="165">
        <f t="shared" si="1"/>
        <v>0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hidden="1" customHeight="1">
      <c r="A632" s="153">
        <v>63123.0</v>
      </c>
      <c r="B632" s="120"/>
      <c r="C632" s="120"/>
      <c r="D632" s="121"/>
      <c r="E632" s="123"/>
      <c r="F632" s="122"/>
      <c r="G632" s="123"/>
      <c r="H632" s="122"/>
      <c r="I632" s="121"/>
      <c r="J632" s="123"/>
      <c r="K632" s="122"/>
      <c r="L632" s="122"/>
      <c r="M632" s="158">
        <f t="shared" si="1"/>
        <v>0</v>
      </c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hidden="1" customHeight="1">
      <c r="A633" s="160">
        <v>63223.0</v>
      </c>
      <c r="B633" s="127"/>
      <c r="C633" s="127"/>
      <c r="D633" s="128"/>
      <c r="E633" s="129"/>
      <c r="F633" s="130"/>
      <c r="G633" s="129"/>
      <c r="H633" s="164"/>
      <c r="I633" s="128"/>
      <c r="J633" s="129"/>
      <c r="K633" s="130"/>
      <c r="L633" s="130"/>
      <c r="M633" s="165">
        <f t="shared" si="1"/>
        <v>0</v>
      </c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hidden="1" customHeight="1">
      <c r="A634" s="153">
        <v>63323.0</v>
      </c>
      <c r="B634" s="120"/>
      <c r="C634" s="120"/>
      <c r="D634" s="121"/>
      <c r="E634" s="123"/>
      <c r="F634" s="122"/>
      <c r="G634" s="123"/>
      <c r="H634" s="122"/>
      <c r="I634" s="121"/>
      <c r="J634" s="123"/>
      <c r="K634" s="122"/>
      <c r="L634" s="122"/>
      <c r="M634" s="158">
        <f t="shared" si="1"/>
        <v>0</v>
      </c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hidden="1" customHeight="1">
      <c r="A635" s="160">
        <v>63423.0</v>
      </c>
      <c r="B635" s="127"/>
      <c r="C635" s="127"/>
      <c r="D635" s="128"/>
      <c r="E635" s="129"/>
      <c r="F635" s="130"/>
      <c r="G635" s="129"/>
      <c r="H635" s="164"/>
      <c r="I635" s="128"/>
      <c r="J635" s="129"/>
      <c r="K635" s="130"/>
      <c r="L635" s="130"/>
      <c r="M635" s="165">
        <f t="shared" si="1"/>
        <v>0</v>
      </c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hidden="1" customHeight="1">
      <c r="A636" s="153">
        <v>63523.0</v>
      </c>
      <c r="B636" s="120"/>
      <c r="C636" s="120"/>
      <c r="D636" s="121"/>
      <c r="E636" s="123"/>
      <c r="F636" s="122"/>
      <c r="G636" s="123"/>
      <c r="H636" s="122"/>
      <c r="I636" s="121"/>
      <c r="J636" s="123"/>
      <c r="K636" s="122"/>
      <c r="L636" s="122"/>
      <c r="M636" s="158">
        <f t="shared" si="1"/>
        <v>0</v>
      </c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hidden="1" customHeight="1">
      <c r="A637" s="160">
        <v>63623.0</v>
      </c>
      <c r="B637" s="127"/>
      <c r="C637" s="127"/>
      <c r="D637" s="128"/>
      <c r="E637" s="129"/>
      <c r="F637" s="130"/>
      <c r="G637" s="129"/>
      <c r="H637" s="164"/>
      <c r="I637" s="128"/>
      <c r="J637" s="129"/>
      <c r="K637" s="130"/>
      <c r="L637" s="130"/>
      <c r="M637" s="165">
        <f t="shared" si="1"/>
        <v>0</v>
      </c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hidden="1" customHeight="1">
      <c r="A638" s="153">
        <v>63723.0</v>
      </c>
      <c r="B638" s="120"/>
      <c r="C638" s="120"/>
      <c r="D638" s="121"/>
      <c r="E638" s="123"/>
      <c r="F638" s="122"/>
      <c r="G638" s="123"/>
      <c r="H638" s="122"/>
      <c r="I638" s="121"/>
      <c r="J638" s="123"/>
      <c r="K638" s="122"/>
      <c r="L638" s="122"/>
      <c r="M638" s="158">
        <f t="shared" si="1"/>
        <v>0</v>
      </c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hidden="1" customHeight="1">
      <c r="A639" s="160">
        <v>63823.0</v>
      </c>
      <c r="B639" s="127"/>
      <c r="C639" s="127"/>
      <c r="D639" s="128"/>
      <c r="E639" s="129"/>
      <c r="F639" s="130"/>
      <c r="G639" s="129"/>
      <c r="H639" s="164"/>
      <c r="I639" s="128"/>
      <c r="J639" s="129"/>
      <c r="K639" s="130"/>
      <c r="L639" s="130"/>
      <c r="M639" s="165">
        <f t="shared" si="1"/>
        <v>0</v>
      </c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hidden="1" customHeight="1">
      <c r="A640" s="153">
        <v>63923.0</v>
      </c>
      <c r="B640" s="120"/>
      <c r="C640" s="120"/>
      <c r="D640" s="121"/>
      <c r="E640" s="123"/>
      <c r="F640" s="122"/>
      <c r="G640" s="123"/>
      <c r="H640" s="122"/>
      <c r="I640" s="121"/>
      <c r="J640" s="123"/>
      <c r="K640" s="122"/>
      <c r="L640" s="122"/>
      <c r="M640" s="158">
        <f t="shared" si="1"/>
        <v>0</v>
      </c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hidden="1" customHeight="1">
      <c r="A641" s="160">
        <v>64023.0</v>
      </c>
      <c r="B641" s="127"/>
      <c r="C641" s="127"/>
      <c r="D641" s="128"/>
      <c r="E641" s="129"/>
      <c r="F641" s="130"/>
      <c r="G641" s="129"/>
      <c r="H641" s="164"/>
      <c r="I641" s="128"/>
      <c r="J641" s="129"/>
      <c r="K641" s="130"/>
      <c r="L641" s="130"/>
      <c r="M641" s="165">
        <f t="shared" si="1"/>
        <v>0</v>
      </c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hidden="1" customHeight="1">
      <c r="A642" s="153">
        <v>64123.0</v>
      </c>
      <c r="B642" s="120"/>
      <c r="C642" s="120"/>
      <c r="D642" s="121"/>
      <c r="E642" s="123"/>
      <c r="F642" s="122"/>
      <c r="G642" s="123"/>
      <c r="H642" s="122"/>
      <c r="I642" s="121"/>
      <c r="J642" s="123"/>
      <c r="K642" s="122"/>
      <c r="L642" s="122"/>
      <c r="M642" s="158">
        <f t="shared" si="1"/>
        <v>0</v>
      </c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hidden="1" customHeight="1">
      <c r="A643" s="160">
        <v>64223.0</v>
      </c>
      <c r="B643" s="127"/>
      <c r="C643" s="127"/>
      <c r="D643" s="128"/>
      <c r="E643" s="129"/>
      <c r="F643" s="130"/>
      <c r="G643" s="129"/>
      <c r="H643" s="164"/>
      <c r="I643" s="128"/>
      <c r="J643" s="129"/>
      <c r="K643" s="130"/>
      <c r="L643" s="130"/>
      <c r="M643" s="165">
        <f t="shared" si="1"/>
        <v>0</v>
      </c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hidden="1" customHeight="1">
      <c r="A644" s="153">
        <v>64323.0</v>
      </c>
      <c r="B644" s="120"/>
      <c r="C644" s="120"/>
      <c r="D644" s="121"/>
      <c r="E644" s="123"/>
      <c r="F644" s="122"/>
      <c r="G644" s="123"/>
      <c r="H644" s="122"/>
      <c r="I644" s="121"/>
      <c r="J644" s="123"/>
      <c r="K644" s="122"/>
      <c r="L644" s="122"/>
      <c r="M644" s="158">
        <f t="shared" si="1"/>
        <v>0</v>
      </c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hidden="1" customHeight="1">
      <c r="A645" s="160">
        <v>64423.0</v>
      </c>
      <c r="B645" s="127"/>
      <c r="C645" s="127"/>
      <c r="D645" s="128"/>
      <c r="E645" s="129"/>
      <c r="F645" s="130"/>
      <c r="G645" s="129"/>
      <c r="H645" s="164"/>
      <c r="I645" s="128"/>
      <c r="J645" s="129"/>
      <c r="K645" s="130"/>
      <c r="L645" s="130"/>
      <c r="M645" s="165">
        <f t="shared" si="1"/>
        <v>0</v>
      </c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hidden="1" customHeight="1">
      <c r="A646" s="153">
        <v>64523.0</v>
      </c>
      <c r="B646" s="120"/>
      <c r="C646" s="120"/>
      <c r="D646" s="121"/>
      <c r="E646" s="123"/>
      <c r="F646" s="122"/>
      <c r="G646" s="123"/>
      <c r="H646" s="122"/>
      <c r="I646" s="121"/>
      <c r="J646" s="123"/>
      <c r="K646" s="122"/>
      <c r="L646" s="122"/>
      <c r="M646" s="158">
        <f t="shared" si="1"/>
        <v>0</v>
      </c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hidden="1" customHeight="1">
      <c r="A647" s="160">
        <v>64623.0</v>
      </c>
      <c r="B647" s="127"/>
      <c r="C647" s="127"/>
      <c r="D647" s="128"/>
      <c r="E647" s="129"/>
      <c r="F647" s="130"/>
      <c r="G647" s="129"/>
      <c r="H647" s="164"/>
      <c r="I647" s="128"/>
      <c r="J647" s="129"/>
      <c r="K647" s="130"/>
      <c r="L647" s="130"/>
      <c r="M647" s="165">
        <f t="shared" si="1"/>
        <v>0</v>
      </c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hidden="1" customHeight="1">
      <c r="A648" s="153">
        <v>64723.0</v>
      </c>
      <c r="B648" s="120"/>
      <c r="C648" s="120"/>
      <c r="D648" s="121"/>
      <c r="E648" s="123"/>
      <c r="F648" s="122"/>
      <c r="G648" s="123"/>
      <c r="H648" s="122"/>
      <c r="I648" s="121"/>
      <c r="J648" s="123"/>
      <c r="K648" s="122"/>
      <c r="L648" s="122"/>
      <c r="M648" s="158">
        <f t="shared" si="1"/>
        <v>0</v>
      </c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hidden="1" customHeight="1">
      <c r="A649" s="160">
        <v>64823.0</v>
      </c>
      <c r="B649" s="127"/>
      <c r="C649" s="127"/>
      <c r="D649" s="128"/>
      <c r="E649" s="129"/>
      <c r="F649" s="130"/>
      <c r="G649" s="129"/>
      <c r="H649" s="164"/>
      <c r="I649" s="128"/>
      <c r="J649" s="129"/>
      <c r="K649" s="130"/>
      <c r="L649" s="130"/>
      <c r="M649" s="165">
        <f t="shared" si="1"/>
        <v>0</v>
      </c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hidden="1" customHeight="1">
      <c r="A650" s="153">
        <v>64923.0</v>
      </c>
      <c r="B650" s="120"/>
      <c r="C650" s="120"/>
      <c r="D650" s="121"/>
      <c r="E650" s="123"/>
      <c r="F650" s="122"/>
      <c r="G650" s="123"/>
      <c r="H650" s="122"/>
      <c r="I650" s="121"/>
      <c r="J650" s="123"/>
      <c r="K650" s="122"/>
      <c r="L650" s="122"/>
      <c r="M650" s="158">
        <f t="shared" si="1"/>
        <v>0</v>
      </c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hidden="1" customHeight="1">
      <c r="A651" s="160">
        <v>65023.0</v>
      </c>
      <c r="B651" s="127"/>
      <c r="C651" s="127"/>
      <c r="D651" s="128"/>
      <c r="E651" s="129"/>
      <c r="F651" s="130"/>
      <c r="G651" s="129"/>
      <c r="H651" s="164"/>
      <c r="I651" s="128"/>
      <c r="J651" s="129"/>
      <c r="K651" s="130"/>
      <c r="L651" s="130"/>
      <c r="M651" s="165">
        <f t="shared" si="1"/>
        <v>0</v>
      </c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hidden="1" customHeight="1">
      <c r="A652" s="153">
        <v>65123.0</v>
      </c>
      <c r="B652" s="120"/>
      <c r="C652" s="120"/>
      <c r="D652" s="121"/>
      <c r="E652" s="123"/>
      <c r="F652" s="122"/>
      <c r="G652" s="123"/>
      <c r="H652" s="122"/>
      <c r="I652" s="121"/>
      <c r="J652" s="123"/>
      <c r="K652" s="122"/>
      <c r="L652" s="122"/>
      <c r="M652" s="158">
        <f t="shared" si="1"/>
        <v>0</v>
      </c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hidden="1" customHeight="1">
      <c r="A653" s="160">
        <v>65223.0</v>
      </c>
      <c r="B653" s="127"/>
      <c r="C653" s="127"/>
      <c r="D653" s="128"/>
      <c r="E653" s="129"/>
      <c r="F653" s="130"/>
      <c r="G653" s="129"/>
      <c r="H653" s="164"/>
      <c r="I653" s="128"/>
      <c r="J653" s="129"/>
      <c r="K653" s="130"/>
      <c r="L653" s="130"/>
      <c r="M653" s="165">
        <f t="shared" si="1"/>
        <v>0</v>
      </c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hidden="1" customHeight="1">
      <c r="A654" s="153">
        <v>65323.0</v>
      </c>
      <c r="B654" s="120"/>
      <c r="C654" s="120"/>
      <c r="D654" s="121"/>
      <c r="E654" s="123"/>
      <c r="F654" s="122"/>
      <c r="G654" s="123"/>
      <c r="H654" s="122"/>
      <c r="I654" s="121"/>
      <c r="J654" s="123"/>
      <c r="K654" s="122"/>
      <c r="L654" s="122"/>
      <c r="M654" s="158">
        <f t="shared" si="1"/>
        <v>0</v>
      </c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60">
        <v>65423.0</v>
      </c>
      <c r="B655" s="127"/>
      <c r="C655" s="127"/>
      <c r="D655" s="128"/>
      <c r="E655" s="129"/>
      <c r="F655" s="130"/>
      <c r="G655" s="129"/>
      <c r="H655" s="164"/>
      <c r="I655" s="128"/>
      <c r="J655" s="129"/>
      <c r="K655" s="130"/>
      <c r="L655" s="130"/>
      <c r="M655" s="165">
        <f t="shared" si="1"/>
        <v>0</v>
      </c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53">
        <v>65523.0</v>
      </c>
      <c r="B656" s="120"/>
      <c r="C656" s="120"/>
      <c r="D656" s="121"/>
      <c r="E656" s="123"/>
      <c r="F656" s="122"/>
      <c r="G656" s="123"/>
      <c r="H656" s="122"/>
      <c r="I656" s="121"/>
      <c r="J656" s="123"/>
      <c r="K656" s="122"/>
      <c r="L656" s="122"/>
      <c r="M656" s="158">
        <f t="shared" si="1"/>
        <v>0</v>
      </c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60">
        <v>65623.0</v>
      </c>
      <c r="B657" s="127"/>
      <c r="C657" s="127"/>
      <c r="D657" s="128"/>
      <c r="E657" s="129"/>
      <c r="F657" s="130"/>
      <c r="G657" s="129"/>
      <c r="H657" s="164"/>
      <c r="I657" s="128"/>
      <c r="J657" s="129"/>
      <c r="K657" s="130"/>
      <c r="L657" s="130"/>
      <c r="M657" s="165">
        <f t="shared" si="1"/>
        <v>0</v>
      </c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53">
        <v>65723.0</v>
      </c>
      <c r="B658" s="120"/>
      <c r="C658" s="120"/>
      <c r="D658" s="121"/>
      <c r="E658" s="123"/>
      <c r="F658" s="122"/>
      <c r="G658" s="123"/>
      <c r="H658" s="122"/>
      <c r="I658" s="121"/>
      <c r="J658" s="123"/>
      <c r="K658" s="122"/>
      <c r="L658" s="122"/>
      <c r="M658" s="158">
        <f t="shared" si="1"/>
        <v>0</v>
      </c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60">
        <v>65823.0</v>
      </c>
      <c r="B659" s="127"/>
      <c r="C659" s="127"/>
      <c r="D659" s="128"/>
      <c r="E659" s="129"/>
      <c r="F659" s="130"/>
      <c r="G659" s="129"/>
      <c r="H659" s="164"/>
      <c r="I659" s="128"/>
      <c r="J659" s="129"/>
      <c r="K659" s="130"/>
      <c r="L659" s="130"/>
      <c r="M659" s="165">
        <f t="shared" si="1"/>
        <v>0</v>
      </c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53">
        <v>65923.0</v>
      </c>
      <c r="B660" s="120"/>
      <c r="C660" s="120"/>
      <c r="D660" s="121"/>
      <c r="E660" s="123"/>
      <c r="F660" s="122"/>
      <c r="G660" s="123"/>
      <c r="H660" s="122"/>
      <c r="I660" s="121"/>
      <c r="J660" s="123"/>
      <c r="K660" s="122"/>
      <c r="L660" s="122"/>
      <c r="M660" s="158">
        <f t="shared" si="1"/>
        <v>0</v>
      </c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60">
        <v>66023.0</v>
      </c>
      <c r="B661" s="127"/>
      <c r="C661" s="127"/>
      <c r="D661" s="128"/>
      <c r="E661" s="129"/>
      <c r="F661" s="130"/>
      <c r="G661" s="129"/>
      <c r="H661" s="164"/>
      <c r="I661" s="128"/>
      <c r="J661" s="129"/>
      <c r="K661" s="130"/>
      <c r="L661" s="130"/>
      <c r="M661" s="165">
        <f t="shared" si="1"/>
        <v>0</v>
      </c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53">
        <v>66123.0</v>
      </c>
      <c r="B662" s="120"/>
      <c r="C662" s="120"/>
      <c r="D662" s="121"/>
      <c r="E662" s="123"/>
      <c r="F662" s="122"/>
      <c r="G662" s="123"/>
      <c r="H662" s="122"/>
      <c r="I662" s="121"/>
      <c r="J662" s="123"/>
      <c r="K662" s="122"/>
      <c r="L662" s="122"/>
      <c r="M662" s="158">
        <f t="shared" si="1"/>
        <v>0</v>
      </c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60">
        <v>66223.0</v>
      </c>
      <c r="B663" s="127"/>
      <c r="C663" s="127"/>
      <c r="D663" s="128"/>
      <c r="E663" s="129"/>
      <c r="F663" s="130"/>
      <c r="G663" s="129"/>
      <c r="H663" s="164"/>
      <c r="I663" s="128"/>
      <c r="J663" s="129"/>
      <c r="K663" s="130"/>
      <c r="L663" s="130"/>
      <c r="M663" s="165">
        <f t="shared" si="1"/>
        <v>0</v>
      </c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53">
        <v>66323.0</v>
      </c>
      <c r="B664" s="120"/>
      <c r="C664" s="120"/>
      <c r="D664" s="121"/>
      <c r="E664" s="123"/>
      <c r="F664" s="122"/>
      <c r="G664" s="123"/>
      <c r="H664" s="122"/>
      <c r="I664" s="121"/>
      <c r="J664" s="123"/>
      <c r="K664" s="122"/>
      <c r="L664" s="122"/>
      <c r="M664" s="158">
        <f t="shared" si="1"/>
        <v>0</v>
      </c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60">
        <v>66423.0</v>
      </c>
      <c r="B665" s="127"/>
      <c r="C665" s="127"/>
      <c r="D665" s="128"/>
      <c r="E665" s="129"/>
      <c r="F665" s="130"/>
      <c r="G665" s="129"/>
      <c r="H665" s="164"/>
      <c r="I665" s="128"/>
      <c r="J665" s="129"/>
      <c r="K665" s="130"/>
      <c r="L665" s="130"/>
      <c r="M665" s="165">
        <f t="shared" si="1"/>
        <v>0</v>
      </c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53">
        <v>66523.0</v>
      </c>
      <c r="B666" s="120"/>
      <c r="C666" s="120"/>
      <c r="D666" s="121"/>
      <c r="E666" s="123"/>
      <c r="F666" s="122"/>
      <c r="G666" s="123"/>
      <c r="H666" s="122"/>
      <c r="I666" s="121"/>
      <c r="J666" s="123"/>
      <c r="K666" s="122"/>
      <c r="L666" s="122"/>
      <c r="M666" s="158">
        <f t="shared" si="1"/>
        <v>0</v>
      </c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60">
        <v>66623.0</v>
      </c>
      <c r="B667" s="127"/>
      <c r="C667" s="127"/>
      <c r="D667" s="128"/>
      <c r="E667" s="129"/>
      <c r="F667" s="130"/>
      <c r="G667" s="129"/>
      <c r="H667" s="164"/>
      <c r="I667" s="128"/>
      <c r="J667" s="129"/>
      <c r="K667" s="130"/>
      <c r="L667" s="130"/>
      <c r="M667" s="165">
        <f t="shared" si="1"/>
        <v>0</v>
      </c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53">
        <v>66723.0</v>
      </c>
      <c r="B668" s="120"/>
      <c r="C668" s="120"/>
      <c r="D668" s="121"/>
      <c r="E668" s="123"/>
      <c r="F668" s="122"/>
      <c r="G668" s="123"/>
      <c r="H668" s="122"/>
      <c r="I668" s="121"/>
      <c r="J668" s="123"/>
      <c r="K668" s="122"/>
      <c r="L668" s="122"/>
      <c r="M668" s="158">
        <f t="shared" si="1"/>
        <v>0</v>
      </c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60">
        <v>66823.0</v>
      </c>
      <c r="B669" s="127"/>
      <c r="C669" s="127"/>
      <c r="D669" s="128"/>
      <c r="E669" s="129"/>
      <c r="F669" s="130"/>
      <c r="G669" s="129"/>
      <c r="H669" s="164"/>
      <c r="I669" s="128"/>
      <c r="J669" s="129"/>
      <c r="K669" s="130"/>
      <c r="L669" s="130"/>
      <c r="M669" s="165">
        <f t="shared" si="1"/>
        <v>0</v>
      </c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53">
        <v>66923.0</v>
      </c>
      <c r="B670" s="120"/>
      <c r="C670" s="120"/>
      <c r="D670" s="121"/>
      <c r="E670" s="123"/>
      <c r="F670" s="122"/>
      <c r="G670" s="123"/>
      <c r="H670" s="122"/>
      <c r="I670" s="121"/>
      <c r="J670" s="123"/>
      <c r="K670" s="122"/>
      <c r="L670" s="122"/>
      <c r="M670" s="158">
        <f t="shared" si="1"/>
        <v>0</v>
      </c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60">
        <v>67023.0</v>
      </c>
      <c r="B671" s="127"/>
      <c r="C671" s="127"/>
      <c r="D671" s="128"/>
      <c r="E671" s="129"/>
      <c r="F671" s="130"/>
      <c r="G671" s="129"/>
      <c r="H671" s="164"/>
      <c r="I671" s="128"/>
      <c r="J671" s="129"/>
      <c r="K671" s="130"/>
      <c r="L671" s="130"/>
      <c r="M671" s="165">
        <f t="shared" si="1"/>
        <v>0</v>
      </c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53">
        <v>67123.0</v>
      </c>
      <c r="B672" s="120"/>
      <c r="C672" s="120"/>
      <c r="D672" s="121"/>
      <c r="E672" s="123"/>
      <c r="F672" s="122"/>
      <c r="G672" s="123"/>
      <c r="H672" s="122"/>
      <c r="I672" s="121"/>
      <c r="J672" s="123"/>
      <c r="K672" s="122"/>
      <c r="L672" s="122"/>
      <c r="M672" s="158">
        <f t="shared" si="1"/>
        <v>0</v>
      </c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60">
        <v>67223.0</v>
      </c>
      <c r="B673" s="127"/>
      <c r="C673" s="127"/>
      <c r="D673" s="128"/>
      <c r="E673" s="129"/>
      <c r="F673" s="130"/>
      <c r="G673" s="129"/>
      <c r="H673" s="164"/>
      <c r="I673" s="128"/>
      <c r="J673" s="129"/>
      <c r="K673" s="130"/>
      <c r="L673" s="130"/>
      <c r="M673" s="165">
        <f t="shared" si="1"/>
        <v>0</v>
      </c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53">
        <v>67323.0</v>
      </c>
      <c r="B674" s="120"/>
      <c r="C674" s="120"/>
      <c r="D674" s="121"/>
      <c r="E674" s="123"/>
      <c r="F674" s="122"/>
      <c r="G674" s="123"/>
      <c r="H674" s="122"/>
      <c r="I674" s="121"/>
      <c r="J674" s="123"/>
      <c r="K674" s="122"/>
      <c r="L674" s="122"/>
      <c r="M674" s="158">
        <f t="shared" si="1"/>
        <v>0</v>
      </c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60">
        <v>67423.0</v>
      </c>
      <c r="B675" s="127"/>
      <c r="C675" s="127"/>
      <c r="D675" s="128"/>
      <c r="E675" s="129"/>
      <c r="F675" s="130"/>
      <c r="G675" s="129"/>
      <c r="H675" s="164"/>
      <c r="I675" s="128"/>
      <c r="J675" s="129"/>
      <c r="K675" s="130"/>
      <c r="L675" s="130"/>
      <c r="M675" s="165">
        <f t="shared" si="1"/>
        <v>0</v>
      </c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53">
        <v>67523.0</v>
      </c>
      <c r="B676" s="120"/>
      <c r="C676" s="120"/>
      <c r="D676" s="121"/>
      <c r="E676" s="123"/>
      <c r="F676" s="122"/>
      <c r="G676" s="123"/>
      <c r="H676" s="122"/>
      <c r="I676" s="121"/>
      <c r="J676" s="123"/>
      <c r="K676" s="122"/>
      <c r="L676" s="122"/>
      <c r="M676" s="158">
        <f t="shared" si="1"/>
        <v>0</v>
      </c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60">
        <v>67623.0</v>
      </c>
      <c r="B677" s="127"/>
      <c r="C677" s="127"/>
      <c r="D677" s="128"/>
      <c r="E677" s="129"/>
      <c r="F677" s="130"/>
      <c r="G677" s="129"/>
      <c r="H677" s="164"/>
      <c r="I677" s="128"/>
      <c r="J677" s="129"/>
      <c r="K677" s="130"/>
      <c r="L677" s="130"/>
      <c r="M677" s="165">
        <f t="shared" si="1"/>
        <v>0</v>
      </c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53">
        <v>67723.0</v>
      </c>
      <c r="B678" s="120"/>
      <c r="C678" s="120"/>
      <c r="D678" s="121"/>
      <c r="E678" s="123"/>
      <c r="F678" s="122"/>
      <c r="G678" s="123"/>
      <c r="H678" s="122"/>
      <c r="I678" s="121"/>
      <c r="J678" s="123"/>
      <c r="K678" s="122"/>
      <c r="L678" s="122"/>
      <c r="M678" s="158">
        <f t="shared" si="1"/>
        <v>0</v>
      </c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60">
        <v>67823.0</v>
      </c>
      <c r="B679" s="127"/>
      <c r="C679" s="127"/>
      <c r="D679" s="128"/>
      <c r="E679" s="129"/>
      <c r="F679" s="130"/>
      <c r="G679" s="129"/>
      <c r="H679" s="164"/>
      <c r="I679" s="128"/>
      <c r="J679" s="129"/>
      <c r="K679" s="130"/>
      <c r="L679" s="130"/>
      <c r="M679" s="165">
        <f t="shared" si="1"/>
        <v>0</v>
      </c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53">
        <v>67923.0</v>
      </c>
      <c r="B680" s="120"/>
      <c r="C680" s="120"/>
      <c r="D680" s="121"/>
      <c r="E680" s="123"/>
      <c r="F680" s="122"/>
      <c r="G680" s="123"/>
      <c r="H680" s="122"/>
      <c r="I680" s="121"/>
      <c r="J680" s="123"/>
      <c r="K680" s="122"/>
      <c r="L680" s="122"/>
      <c r="M680" s="158">
        <f t="shared" si="1"/>
        <v>0</v>
      </c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60">
        <v>68023.0</v>
      </c>
      <c r="B681" s="127"/>
      <c r="C681" s="127"/>
      <c r="D681" s="128"/>
      <c r="E681" s="129"/>
      <c r="F681" s="130"/>
      <c r="G681" s="129"/>
      <c r="H681" s="164"/>
      <c r="I681" s="128"/>
      <c r="J681" s="129"/>
      <c r="K681" s="130"/>
      <c r="L681" s="130"/>
      <c r="M681" s="165">
        <f t="shared" si="1"/>
        <v>0</v>
      </c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53">
        <v>68123.0</v>
      </c>
      <c r="B682" s="120"/>
      <c r="C682" s="120"/>
      <c r="D682" s="121"/>
      <c r="E682" s="123"/>
      <c r="F682" s="122"/>
      <c r="G682" s="123"/>
      <c r="H682" s="122"/>
      <c r="I682" s="121"/>
      <c r="J682" s="123"/>
      <c r="K682" s="122"/>
      <c r="L682" s="122"/>
      <c r="M682" s="158">
        <f t="shared" si="1"/>
        <v>0</v>
      </c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60">
        <v>68223.0</v>
      </c>
      <c r="B683" s="127"/>
      <c r="C683" s="127"/>
      <c r="D683" s="128"/>
      <c r="E683" s="129"/>
      <c r="F683" s="130"/>
      <c r="G683" s="129"/>
      <c r="H683" s="164"/>
      <c r="I683" s="128"/>
      <c r="J683" s="129"/>
      <c r="K683" s="130"/>
      <c r="L683" s="130"/>
      <c r="M683" s="165">
        <f t="shared" si="1"/>
        <v>0</v>
      </c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53">
        <v>68323.0</v>
      </c>
      <c r="B684" s="120"/>
      <c r="C684" s="120"/>
      <c r="D684" s="121"/>
      <c r="E684" s="123"/>
      <c r="F684" s="122"/>
      <c r="G684" s="123"/>
      <c r="H684" s="122"/>
      <c r="I684" s="121"/>
      <c r="J684" s="123"/>
      <c r="K684" s="122"/>
      <c r="L684" s="122"/>
      <c r="M684" s="158">
        <f t="shared" si="1"/>
        <v>0</v>
      </c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60">
        <v>68423.0</v>
      </c>
      <c r="B685" s="127"/>
      <c r="C685" s="127"/>
      <c r="D685" s="128"/>
      <c r="E685" s="129"/>
      <c r="F685" s="130"/>
      <c r="G685" s="129"/>
      <c r="H685" s="164"/>
      <c r="I685" s="128"/>
      <c r="J685" s="129"/>
      <c r="K685" s="130"/>
      <c r="L685" s="130"/>
      <c r="M685" s="165">
        <f t="shared" si="1"/>
        <v>0</v>
      </c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53">
        <v>68523.0</v>
      </c>
      <c r="B686" s="120"/>
      <c r="C686" s="120"/>
      <c r="D686" s="121"/>
      <c r="E686" s="123"/>
      <c r="F686" s="122"/>
      <c r="G686" s="123"/>
      <c r="H686" s="122"/>
      <c r="I686" s="121"/>
      <c r="J686" s="123"/>
      <c r="K686" s="122"/>
      <c r="L686" s="122"/>
      <c r="M686" s="158">
        <f t="shared" si="1"/>
        <v>0</v>
      </c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60">
        <v>68623.0</v>
      </c>
      <c r="B687" s="127"/>
      <c r="C687" s="127"/>
      <c r="D687" s="128"/>
      <c r="E687" s="129"/>
      <c r="F687" s="130"/>
      <c r="G687" s="129"/>
      <c r="H687" s="164"/>
      <c r="I687" s="128"/>
      <c r="J687" s="129"/>
      <c r="K687" s="130"/>
      <c r="L687" s="130"/>
      <c r="M687" s="165">
        <f t="shared" si="1"/>
        <v>0</v>
      </c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53">
        <v>68723.0</v>
      </c>
      <c r="B688" s="120"/>
      <c r="C688" s="120"/>
      <c r="D688" s="121"/>
      <c r="E688" s="123"/>
      <c r="F688" s="122"/>
      <c r="G688" s="123"/>
      <c r="H688" s="122"/>
      <c r="I688" s="121"/>
      <c r="J688" s="123"/>
      <c r="K688" s="122"/>
      <c r="L688" s="122"/>
      <c r="M688" s="158">
        <f t="shared" si="1"/>
        <v>0</v>
      </c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60">
        <v>68823.0</v>
      </c>
      <c r="B689" s="127"/>
      <c r="C689" s="127"/>
      <c r="D689" s="128"/>
      <c r="E689" s="129"/>
      <c r="F689" s="130"/>
      <c r="G689" s="129"/>
      <c r="H689" s="164"/>
      <c r="I689" s="128"/>
      <c r="J689" s="129"/>
      <c r="K689" s="130"/>
      <c r="L689" s="130"/>
      <c r="M689" s="165">
        <f t="shared" si="1"/>
        <v>0</v>
      </c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53">
        <v>68923.0</v>
      </c>
      <c r="B690" s="120"/>
      <c r="C690" s="120"/>
      <c r="D690" s="121"/>
      <c r="E690" s="123"/>
      <c r="F690" s="122"/>
      <c r="G690" s="123"/>
      <c r="H690" s="122"/>
      <c r="I690" s="121"/>
      <c r="J690" s="123"/>
      <c r="K690" s="122"/>
      <c r="L690" s="122"/>
      <c r="M690" s="158">
        <f t="shared" si="1"/>
        <v>0</v>
      </c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60">
        <v>69023.0</v>
      </c>
      <c r="B691" s="127"/>
      <c r="C691" s="127"/>
      <c r="D691" s="128"/>
      <c r="E691" s="129"/>
      <c r="F691" s="130"/>
      <c r="G691" s="129"/>
      <c r="H691" s="164"/>
      <c r="I691" s="128"/>
      <c r="J691" s="129"/>
      <c r="K691" s="130"/>
      <c r="L691" s="130"/>
      <c r="M691" s="165">
        <f t="shared" si="1"/>
        <v>0</v>
      </c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53">
        <v>69123.0</v>
      </c>
      <c r="B692" s="120"/>
      <c r="C692" s="120"/>
      <c r="D692" s="121"/>
      <c r="E692" s="123"/>
      <c r="F692" s="122"/>
      <c r="G692" s="123"/>
      <c r="H692" s="122"/>
      <c r="I692" s="121"/>
      <c r="J692" s="123"/>
      <c r="K692" s="122"/>
      <c r="L692" s="122"/>
      <c r="M692" s="158">
        <f t="shared" si="1"/>
        <v>0</v>
      </c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60">
        <v>69223.0</v>
      </c>
      <c r="B693" s="127"/>
      <c r="C693" s="127"/>
      <c r="D693" s="128"/>
      <c r="E693" s="129"/>
      <c r="F693" s="130"/>
      <c r="G693" s="129"/>
      <c r="H693" s="164"/>
      <c r="I693" s="128"/>
      <c r="J693" s="129"/>
      <c r="K693" s="130"/>
      <c r="L693" s="130"/>
      <c r="M693" s="165">
        <f t="shared" si="1"/>
        <v>0</v>
      </c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53">
        <v>69323.0</v>
      </c>
      <c r="B694" s="120"/>
      <c r="C694" s="120"/>
      <c r="D694" s="121"/>
      <c r="E694" s="123"/>
      <c r="F694" s="122"/>
      <c r="G694" s="123"/>
      <c r="H694" s="122"/>
      <c r="I694" s="121"/>
      <c r="J694" s="123"/>
      <c r="K694" s="122"/>
      <c r="L694" s="122"/>
      <c r="M694" s="158">
        <f t="shared" si="1"/>
        <v>0</v>
      </c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60">
        <v>69423.0</v>
      </c>
      <c r="B695" s="127"/>
      <c r="C695" s="127"/>
      <c r="D695" s="128"/>
      <c r="E695" s="129"/>
      <c r="F695" s="130"/>
      <c r="G695" s="129"/>
      <c r="H695" s="164"/>
      <c r="I695" s="128"/>
      <c r="J695" s="129"/>
      <c r="K695" s="130"/>
      <c r="L695" s="130"/>
      <c r="M695" s="165">
        <f t="shared" si="1"/>
        <v>0</v>
      </c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hidden="1" customHeight="1">
      <c r="A696" s="153">
        <v>69523.0</v>
      </c>
      <c r="B696" s="120"/>
      <c r="C696" s="120"/>
      <c r="D696" s="121"/>
      <c r="E696" s="123"/>
      <c r="F696" s="122"/>
      <c r="G696" s="123"/>
      <c r="H696" s="122"/>
      <c r="I696" s="121"/>
      <c r="J696" s="123"/>
      <c r="K696" s="122"/>
      <c r="L696" s="122"/>
      <c r="M696" s="158">
        <f t="shared" si="1"/>
        <v>0</v>
      </c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hidden="1" customHeight="1">
      <c r="A697" s="160">
        <v>69623.0</v>
      </c>
      <c r="B697" s="127"/>
      <c r="C697" s="127"/>
      <c r="D697" s="128"/>
      <c r="E697" s="129"/>
      <c r="F697" s="130"/>
      <c r="G697" s="129"/>
      <c r="H697" s="164"/>
      <c r="I697" s="128"/>
      <c r="J697" s="129"/>
      <c r="K697" s="130"/>
      <c r="L697" s="130"/>
      <c r="M697" s="165">
        <f t="shared" si="1"/>
        <v>0</v>
      </c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hidden="1" customHeight="1">
      <c r="A698" s="153">
        <v>69723.0</v>
      </c>
      <c r="B698" s="120"/>
      <c r="C698" s="120"/>
      <c r="D698" s="121"/>
      <c r="E698" s="123"/>
      <c r="F698" s="122"/>
      <c r="G698" s="123"/>
      <c r="H698" s="122"/>
      <c r="I698" s="121"/>
      <c r="J698" s="123"/>
      <c r="K698" s="122"/>
      <c r="L698" s="122"/>
      <c r="M698" s="158">
        <f t="shared" si="1"/>
        <v>0</v>
      </c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hidden="1" customHeight="1">
      <c r="A699" s="160">
        <v>69823.0</v>
      </c>
      <c r="B699" s="127"/>
      <c r="C699" s="127"/>
      <c r="D699" s="128"/>
      <c r="E699" s="129"/>
      <c r="F699" s="130"/>
      <c r="G699" s="129"/>
      <c r="H699" s="164"/>
      <c r="I699" s="128"/>
      <c r="J699" s="129"/>
      <c r="K699" s="130"/>
      <c r="L699" s="130"/>
      <c r="M699" s="165">
        <f t="shared" si="1"/>
        <v>0</v>
      </c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hidden="1" customHeight="1">
      <c r="A700" s="153">
        <v>69923.0</v>
      </c>
      <c r="B700" s="120"/>
      <c r="C700" s="120"/>
      <c r="D700" s="121"/>
      <c r="E700" s="123"/>
      <c r="F700" s="122"/>
      <c r="G700" s="123"/>
      <c r="H700" s="122"/>
      <c r="I700" s="121"/>
      <c r="J700" s="123"/>
      <c r="K700" s="122"/>
      <c r="L700" s="122"/>
      <c r="M700" s="158">
        <f t="shared" si="1"/>
        <v>0</v>
      </c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hidden="1" customHeight="1">
      <c r="A701" s="160">
        <v>70023.0</v>
      </c>
      <c r="B701" s="127"/>
      <c r="C701" s="127"/>
      <c r="D701" s="128"/>
      <c r="E701" s="129"/>
      <c r="F701" s="130"/>
      <c r="G701" s="129"/>
      <c r="H701" s="164"/>
      <c r="I701" s="128"/>
      <c r="J701" s="129"/>
      <c r="K701" s="130"/>
      <c r="L701" s="130"/>
      <c r="M701" s="165">
        <f t="shared" si="1"/>
        <v>0</v>
      </c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hidden="1" customHeight="1">
      <c r="A702" s="153">
        <v>70123.0</v>
      </c>
      <c r="B702" s="120"/>
      <c r="C702" s="120"/>
      <c r="D702" s="121"/>
      <c r="E702" s="123"/>
      <c r="F702" s="122"/>
      <c r="G702" s="123"/>
      <c r="H702" s="122"/>
      <c r="I702" s="121"/>
      <c r="J702" s="123"/>
      <c r="K702" s="122"/>
      <c r="L702" s="122"/>
      <c r="M702" s="158">
        <f t="shared" si="1"/>
        <v>0</v>
      </c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hidden="1" customHeight="1">
      <c r="A703" s="160">
        <v>70223.0</v>
      </c>
      <c r="B703" s="127"/>
      <c r="C703" s="127"/>
      <c r="D703" s="128"/>
      <c r="E703" s="129"/>
      <c r="F703" s="130"/>
      <c r="G703" s="129"/>
      <c r="H703" s="164"/>
      <c r="I703" s="128"/>
      <c r="J703" s="129"/>
      <c r="K703" s="130"/>
      <c r="L703" s="130"/>
      <c r="M703" s="165">
        <f t="shared" si="1"/>
        <v>0</v>
      </c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hidden="1" customHeight="1">
      <c r="A704" s="153">
        <v>70323.0</v>
      </c>
      <c r="B704" s="120"/>
      <c r="C704" s="120"/>
      <c r="D704" s="121"/>
      <c r="E704" s="123"/>
      <c r="F704" s="122"/>
      <c r="G704" s="123"/>
      <c r="H704" s="122"/>
      <c r="I704" s="121"/>
      <c r="J704" s="123"/>
      <c r="K704" s="122"/>
      <c r="L704" s="122"/>
      <c r="M704" s="158">
        <f t="shared" si="1"/>
        <v>0</v>
      </c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hidden="1" customHeight="1">
      <c r="A705" s="160">
        <v>70423.0</v>
      </c>
      <c r="B705" s="127"/>
      <c r="C705" s="127"/>
      <c r="D705" s="128"/>
      <c r="E705" s="129"/>
      <c r="F705" s="130"/>
      <c r="G705" s="129"/>
      <c r="H705" s="164"/>
      <c r="I705" s="128"/>
      <c r="J705" s="129"/>
      <c r="K705" s="130"/>
      <c r="L705" s="130"/>
      <c r="M705" s="165">
        <f t="shared" si="1"/>
        <v>0</v>
      </c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hidden="1" customHeight="1">
      <c r="A706" s="153">
        <v>70523.0</v>
      </c>
      <c r="B706" s="120"/>
      <c r="C706" s="120"/>
      <c r="D706" s="121"/>
      <c r="E706" s="123"/>
      <c r="F706" s="122"/>
      <c r="G706" s="123"/>
      <c r="H706" s="122"/>
      <c r="I706" s="121"/>
      <c r="J706" s="123"/>
      <c r="K706" s="122"/>
      <c r="L706" s="122"/>
      <c r="M706" s="158">
        <f t="shared" si="1"/>
        <v>0</v>
      </c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hidden="1" customHeight="1">
      <c r="A707" s="160">
        <v>70623.0</v>
      </c>
      <c r="B707" s="127"/>
      <c r="C707" s="127"/>
      <c r="D707" s="128"/>
      <c r="E707" s="129"/>
      <c r="F707" s="130"/>
      <c r="G707" s="129"/>
      <c r="H707" s="164"/>
      <c r="I707" s="128"/>
      <c r="J707" s="129"/>
      <c r="K707" s="130"/>
      <c r="L707" s="130"/>
      <c r="M707" s="165">
        <f t="shared" si="1"/>
        <v>0</v>
      </c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hidden="1" customHeight="1">
      <c r="A708" s="153">
        <v>70723.0</v>
      </c>
      <c r="B708" s="120"/>
      <c r="C708" s="120"/>
      <c r="D708" s="121"/>
      <c r="E708" s="123"/>
      <c r="F708" s="122"/>
      <c r="G708" s="123"/>
      <c r="H708" s="122"/>
      <c r="I708" s="121"/>
      <c r="J708" s="123"/>
      <c r="K708" s="122"/>
      <c r="L708" s="122"/>
      <c r="M708" s="158">
        <f t="shared" si="1"/>
        <v>0</v>
      </c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hidden="1" customHeight="1">
      <c r="A709" s="160">
        <v>70823.0</v>
      </c>
      <c r="B709" s="127"/>
      <c r="C709" s="127"/>
      <c r="D709" s="128"/>
      <c r="E709" s="129"/>
      <c r="F709" s="130"/>
      <c r="G709" s="129"/>
      <c r="H709" s="164"/>
      <c r="I709" s="128"/>
      <c r="J709" s="129"/>
      <c r="K709" s="130"/>
      <c r="L709" s="130"/>
      <c r="M709" s="165">
        <f t="shared" si="1"/>
        <v>0</v>
      </c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hidden="1" customHeight="1">
      <c r="A710" s="153">
        <v>70923.0</v>
      </c>
      <c r="B710" s="120"/>
      <c r="C710" s="120"/>
      <c r="D710" s="121"/>
      <c r="E710" s="123"/>
      <c r="F710" s="122"/>
      <c r="G710" s="123"/>
      <c r="H710" s="122"/>
      <c r="I710" s="121"/>
      <c r="J710" s="123"/>
      <c r="K710" s="122"/>
      <c r="L710" s="122"/>
      <c r="M710" s="158">
        <f t="shared" si="1"/>
        <v>0</v>
      </c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hidden="1" customHeight="1">
      <c r="A711" s="160">
        <v>71023.0</v>
      </c>
      <c r="B711" s="127"/>
      <c r="C711" s="127"/>
      <c r="D711" s="128"/>
      <c r="E711" s="129"/>
      <c r="F711" s="130"/>
      <c r="G711" s="129"/>
      <c r="H711" s="164"/>
      <c r="I711" s="128"/>
      <c r="J711" s="129"/>
      <c r="K711" s="130"/>
      <c r="L711" s="130"/>
      <c r="M711" s="165">
        <f t="shared" si="1"/>
        <v>0</v>
      </c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hidden="1" customHeight="1">
      <c r="A712" s="153">
        <v>71123.0</v>
      </c>
      <c r="B712" s="120"/>
      <c r="C712" s="120"/>
      <c r="D712" s="121"/>
      <c r="E712" s="123"/>
      <c r="F712" s="122"/>
      <c r="G712" s="123"/>
      <c r="H712" s="122"/>
      <c r="I712" s="121"/>
      <c r="J712" s="123"/>
      <c r="K712" s="122"/>
      <c r="L712" s="122"/>
      <c r="M712" s="158">
        <f t="shared" si="1"/>
        <v>0</v>
      </c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hidden="1" customHeight="1">
      <c r="A713" s="160">
        <v>71223.0</v>
      </c>
      <c r="B713" s="127"/>
      <c r="C713" s="127"/>
      <c r="D713" s="128"/>
      <c r="E713" s="129"/>
      <c r="F713" s="130"/>
      <c r="G713" s="129"/>
      <c r="H713" s="164"/>
      <c r="I713" s="128"/>
      <c r="J713" s="129"/>
      <c r="K713" s="130"/>
      <c r="L713" s="130"/>
      <c r="M713" s="165">
        <f t="shared" si="1"/>
        <v>0</v>
      </c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hidden="1" customHeight="1">
      <c r="A714" s="153">
        <v>71323.0</v>
      </c>
      <c r="B714" s="120"/>
      <c r="C714" s="120"/>
      <c r="D714" s="121"/>
      <c r="E714" s="123"/>
      <c r="F714" s="122"/>
      <c r="G714" s="123"/>
      <c r="H714" s="122"/>
      <c r="I714" s="121"/>
      <c r="J714" s="123"/>
      <c r="K714" s="122"/>
      <c r="L714" s="122"/>
      <c r="M714" s="158">
        <f t="shared" si="1"/>
        <v>0</v>
      </c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hidden="1" customHeight="1">
      <c r="A715" s="160">
        <v>71423.0</v>
      </c>
      <c r="B715" s="127"/>
      <c r="C715" s="127"/>
      <c r="D715" s="128"/>
      <c r="E715" s="129"/>
      <c r="F715" s="130"/>
      <c r="G715" s="129"/>
      <c r="H715" s="164"/>
      <c r="I715" s="128"/>
      <c r="J715" s="129"/>
      <c r="K715" s="130"/>
      <c r="L715" s="130"/>
      <c r="M715" s="165">
        <f t="shared" si="1"/>
        <v>0</v>
      </c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hidden="1" customHeight="1">
      <c r="A716" s="153">
        <v>71523.0</v>
      </c>
      <c r="B716" s="120"/>
      <c r="C716" s="120"/>
      <c r="D716" s="121"/>
      <c r="E716" s="123"/>
      <c r="F716" s="122"/>
      <c r="G716" s="123"/>
      <c r="H716" s="122"/>
      <c r="I716" s="121"/>
      <c r="J716" s="123"/>
      <c r="K716" s="122"/>
      <c r="L716" s="122"/>
      <c r="M716" s="158">
        <f t="shared" si="1"/>
        <v>0</v>
      </c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hidden="1" customHeight="1">
      <c r="A717" s="160">
        <v>71623.0</v>
      </c>
      <c r="B717" s="127"/>
      <c r="C717" s="127"/>
      <c r="D717" s="128"/>
      <c r="E717" s="129"/>
      <c r="F717" s="130"/>
      <c r="G717" s="129"/>
      <c r="H717" s="164"/>
      <c r="I717" s="128"/>
      <c r="J717" s="129"/>
      <c r="K717" s="130"/>
      <c r="L717" s="130"/>
      <c r="M717" s="165">
        <f t="shared" si="1"/>
        <v>0</v>
      </c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hidden="1" customHeight="1">
      <c r="A718" s="153">
        <v>71723.0</v>
      </c>
      <c r="B718" s="120"/>
      <c r="C718" s="120"/>
      <c r="D718" s="121"/>
      <c r="E718" s="123"/>
      <c r="F718" s="122"/>
      <c r="G718" s="123"/>
      <c r="H718" s="122"/>
      <c r="I718" s="121"/>
      <c r="J718" s="123"/>
      <c r="K718" s="122"/>
      <c r="L718" s="122"/>
      <c r="M718" s="158">
        <f t="shared" si="1"/>
        <v>0</v>
      </c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hidden="1" customHeight="1">
      <c r="A719" s="160">
        <v>71823.0</v>
      </c>
      <c r="B719" s="127"/>
      <c r="C719" s="127"/>
      <c r="D719" s="128"/>
      <c r="E719" s="129"/>
      <c r="F719" s="130"/>
      <c r="G719" s="129"/>
      <c r="H719" s="164"/>
      <c r="I719" s="128"/>
      <c r="J719" s="129"/>
      <c r="K719" s="130"/>
      <c r="L719" s="130"/>
      <c r="M719" s="165">
        <f t="shared" si="1"/>
        <v>0</v>
      </c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hidden="1" customHeight="1">
      <c r="A720" s="153">
        <v>71923.0</v>
      </c>
      <c r="B720" s="120"/>
      <c r="C720" s="120"/>
      <c r="D720" s="121"/>
      <c r="E720" s="123"/>
      <c r="F720" s="122"/>
      <c r="G720" s="123"/>
      <c r="H720" s="122"/>
      <c r="I720" s="121"/>
      <c r="J720" s="123"/>
      <c r="K720" s="122"/>
      <c r="L720" s="122"/>
      <c r="M720" s="158">
        <f t="shared" si="1"/>
        <v>0</v>
      </c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hidden="1" customHeight="1">
      <c r="A721" s="160">
        <v>72023.0</v>
      </c>
      <c r="B721" s="127"/>
      <c r="C721" s="127"/>
      <c r="D721" s="128"/>
      <c r="E721" s="129"/>
      <c r="F721" s="130"/>
      <c r="G721" s="129"/>
      <c r="H721" s="164"/>
      <c r="I721" s="128"/>
      <c r="J721" s="129"/>
      <c r="K721" s="130"/>
      <c r="L721" s="130"/>
      <c r="M721" s="165">
        <f t="shared" si="1"/>
        <v>0</v>
      </c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hidden="1" customHeight="1">
      <c r="A722" s="153">
        <v>72123.0</v>
      </c>
      <c r="B722" s="120"/>
      <c r="C722" s="120"/>
      <c r="D722" s="121"/>
      <c r="E722" s="123"/>
      <c r="F722" s="122"/>
      <c r="G722" s="123"/>
      <c r="H722" s="122"/>
      <c r="I722" s="121"/>
      <c r="J722" s="123"/>
      <c r="K722" s="122"/>
      <c r="L722" s="122"/>
      <c r="M722" s="158">
        <f t="shared" si="1"/>
        <v>0</v>
      </c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hidden="1" customHeight="1">
      <c r="A723" s="160">
        <v>72223.0</v>
      </c>
      <c r="B723" s="127"/>
      <c r="C723" s="127"/>
      <c r="D723" s="128"/>
      <c r="E723" s="129"/>
      <c r="F723" s="130"/>
      <c r="G723" s="129"/>
      <c r="H723" s="164"/>
      <c r="I723" s="128"/>
      <c r="J723" s="129"/>
      <c r="K723" s="130"/>
      <c r="L723" s="130"/>
      <c r="M723" s="165">
        <f t="shared" si="1"/>
        <v>0</v>
      </c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hidden="1" customHeight="1">
      <c r="A724" s="153">
        <v>72323.0</v>
      </c>
      <c r="B724" s="120"/>
      <c r="C724" s="120"/>
      <c r="D724" s="121"/>
      <c r="E724" s="123"/>
      <c r="F724" s="122"/>
      <c r="G724" s="123"/>
      <c r="H724" s="122"/>
      <c r="I724" s="121"/>
      <c r="J724" s="123"/>
      <c r="K724" s="122"/>
      <c r="L724" s="122"/>
      <c r="M724" s="158">
        <f t="shared" si="1"/>
        <v>0</v>
      </c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hidden="1" customHeight="1">
      <c r="A725" s="160">
        <v>72423.0</v>
      </c>
      <c r="B725" s="127"/>
      <c r="C725" s="127"/>
      <c r="D725" s="128"/>
      <c r="E725" s="129"/>
      <c r="F725" s="130"/>
      <c r="G725" s="129"/>
      <c r="H725" s="164"/>
      <c r="I725" s="128"/>
      <c r="J725" s="129"/>
      <c r="K725" s="130"/>
      <c r="L725" s="130"/>
      <c r="M725" s="165">
        <f t="shared" si="1"/>
        <v>0</v>
      </c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hidden="1" customHeight="1">
      <c r="A726" s="153">
        <v>72523.0</v>
      </c>
      <c r="B726" s="120"/>
      <c r="C726" s="120"/>
      <c r="D726" s="121"/>
      <c r="E726" s="123"/>
      <c r="F726" s="122"/>
      <c r="G726" s="123"/>
      <c r="H726" s="122"/>
      <c r="I726" s="121"/>
      <c r="J726" s="123"/>
      <c r="K726" s="122"/>
      <c r="L726" s="122"/>
      <c r="M726" s="158">
        <f t="shared" si="1"/>
        <v>0</v>
      </c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hidden="1" customHeight="1">
      <c r="A727" s="160">
        <v>72623.0</v>
      </c>
      <c r="B727" s="127"/>
      <c r="C727" s="127"/>
      <c r="D727" s="128"/>
      <c r="E727" s="129"/>
      <c r="F727" s="130"/>
      <c r="G727" s="129"/>
      <c r="H727" s="164"/>
      <c r="I727" s="128"/>
      <c r="J727" s="129"/>
      <c r="K727" s="130"/>
      <c r="L727" s="130"/>
      <c r="M727" s="165">
        <f t="shared" si="1"/>
        <v>0</v>
      </c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hidden="1" customHeight="1">
      <c r="A728" s="153">
        <v>72723.0</v>
      </c>
      <c r="B728" s="120"/>
      <c r="C728" s="120"/>
      <c r="D728" s="121"/>
      <c r="E728" s="123"/>
      <c r="F728" s="122"/>
      <c r="G728" s="123"/>
      <c r="H728" s="122"/>
      <c r="I728" s="121"/>
      <c r="J728" s="123"/>
      <c r="K728" s="122"/>
      <c r="L728" s="122"/>
      <c r="M728" s="158">
        <f t="shared" si="1"/>
        <v>0</v>
      </c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hidden="1" customHeight="1">
      <c r="A729" s="160">
        <v>72823.0</v>
      </c>
      <c r="B729" s="127"/>
      <c r="C729" s="127"/>
      <c r="D729" s="128"/>
      <c r="E729" s="129"/>
      <c r="F729" s="130"/>
      <c r="G729" s="129"/>
      <c r="H729" s="164"/>
      <c r="I729" s="128"/>
      <c r="J729" s="129"/>
      <c r="K729" s="130"/>
      <c r="L729" s="130"/>
      <c r="M729" s="165">
        <f t="shared" si="1"/>
        <v>0</v>
      </c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hidden="1" customHeight="1">
      <c r="A730" s="153">
        <v>72923.0</v>
      </c>
      <c r="B730" s="120"/>
      <c r="C730" s="120"/>
      <c r="D730" s="121"/>
      <c r="E730" s="123"/>
      <c r="F730" s="122"/>
      <c r="G730" s="123"/>
      <c r="H730" s="122"/>
      <c r="I730" s="121"/>
      <c r="J730" s="123"/>
      <c r="K730" s="122"/>
      <c r="L730" s="122"/>
      <c r="M730" s="158">
        <f t="shared" si="1"/>
        <v>0</v>
      </c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hidden="1" customHeight="1">
      <c r="A731" s="160">
        <v>73023.0</v>
      </c>
      <c r="B731" s="127"/>
      <c r="C731" s="127"/>
      <c r="D731" s="128"/>
      <c r="E731" s="129"/>
      <c r="F731" s="130"/>
      <c r="G731" s="129"/>
      <c r="H731" s="164"/>
      <c r="I731" s="128"/>
      <c r="J731" s="129"/>
      <c r="K731" s="130"/>
      <c r="L731" s="130"/>
      <c r="M731" s="165">
        <f t="shared" si="1"/>
        <v>0</v>
      </c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hidden="1" customHeight="1">
      <c r="A732" s="153">
        <v>73123.0</v>
      </c>
      <c r="B732" s="120"/>
      <c r="C732" s="120"/>
      <c r="D732" s="121"/>
      <c r="E732" s="123"/>
      <c r="F732" s="122"/>
      <c r="G732" s="123"/>
      <c r="H732" s="122"/>
      <c r="I732" s="121"/>
      <c r="J732" s="123"/>
      <c r="K732" s="122"/>
      <c r="L732" s="122"/>
      <c r="M732" s="158">
        <f t="shared" si="1"/>
        <v>0</v>
      </c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hidden="1" customHeight="1">
      <c r="A733" s="160">
        <v>73223.0</v>
      </c>
      <c r="B733" s="127"/>
      <c r="C733" s="127"/>
      <c r="D733" s="128"/>
      <c r="E733" s="129"/>
      <c r="F733" s="130"/>
      <c r="G733" s="129"/>
      <c r="H733" s="164"/>
      <c r="I733" s="128"/>
      <c r="J733" s="129"/>
      <c r="K733" s="130"/>
      <c r="L733" s="130"/>
      <c r="M733" s="165">
        <f t="shared" si="1"/>
        <v>0</v>
      </c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hidden="1" customHeight="1">
      <c r="A734" s="153">
        <v>73323.0</v>
      </c>
      <c r="B734" s="120"/>
      <c r="C734" s="120"/>
      <c r="D734" s="121"/>
      <c r="E734" s="123"/>
      <c r="F734" s="122"/>
      <c r="G734" s="123"/>
      <c r="H734" s="122"/>
      <c r="I734" s="121"/>
      <c r="J734" s="123"/>
      <c r="K734" s="122"/>
      <c r="L734" s="122"/>
      <c r="M734" s="158">
        <f t="shared" si="1"/>
        <v>0</v>
      </c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hidden="1" customHeight="1">
      <c r="A735" s="160">
        <v>73423.0</v>
      </c>
      <c r="B735" s="127"/>
      <c r="C735" s="127"/>
      <c r="D735" s="128"/>
      <c r="E735" s="129"/>
      <c r="F735" s="130"/>
      <c r="G735" s="129"/>
      <c r="H735" s="164"/>
      <c r="I735" s="128"/>
      <c r="J735" s="129"/>
      <c r="K735" s="130"/>
      <c r="L735" s="130"/>
      <c r="M735" s="165">
        <f t="shared" si="1"/>
        <v>0</v>
      </c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hidden="1" customHeight="1">
      <c r="A736" s="153">
        <v>73523.0</v>
      </c>
      <c r="B736" s="120"/>
      <c r="C736" s="120"/>
      <c r="D736" s="121"/>
      <c r="E736" s="123"/>
      <c r="F736" s="122"/>
      <c r="G736" s="123"/>
      <c r="H736" s="122"/>
      <c r="I736" s="121"/>
      <c r="J736" s="123"/>
      <c r="K736" s="122"/>
      <c r="L736" s="122"/>
      <c r="M736" s="158">
        <f t="shared" si="1"/>
        <v>0</v>
      </c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hidden="1" customHeight="1">
      <c r="A737" s="160">
        <v>73623.0</v>
      </c>
      <c r="B737" s="127"/>
      <c r="C737" s="127"/>
      <c r="D737" s="128"/>
      <c r="E737" s="129"/>
      <c r="F737" s="130"/>
      <c r="G737" s="129"/>
      <c r="H737" s="164"/>
      <c r="I737" s="128"/>
      <c r="J737" s="129"/>
      <c r="K737" s="130"/>
      <c r="L737" s="130"/>
      <c r="M737" s="165">
        <f t="shared" si="1"/>
        <v>0</v>
      </c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hidden="1" customHeight="1">
      <c r="A738" s="153">
        <v>73723.0</v>
      </c>
      <c r="B738" s="120"/>
      <c r="C738" s="120"/>
      <c r="D738" s="121"/>
      <c r="E738" s="123"/>
      <c r="F738" s="122"/>
      <c r="G738" s="123"/>
      <c r="H738" s="122"/>
      <c r="I738" s="121"/>
      <c r="J738" s="123"/>
      <c r="K738" s="122"/>
      <c r="L738" s="122"/>
      <c r="M738" s="158">
        <f t="shared" si="1"/>
        <v>0</v>
      </c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hidden="1" customHeight="1">
      <c r="A739" s="160">
        <v>73823.0</v>
      </c>
      <c r="B739" s="127"/>
      <c r="C739" s="127"/>
      <c r="D739" s="128"/>
      <c r="E739" s="129"/>
      <c r="F739" s="130"/>
      <c r="G739" s="129"/>
      <c r="H739" s="164"/>
      <c r="I739" s="128"/>
      <c r="J739" s="129"/>
      <c r="K739" s="130"/>
      <c r="L739" s="130"/>
      <c r="M739" s="165">
        <f t="shared" si="1"/>
        <v>0</v>
      </c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hidden="1" customHeight="1">
      <c r="A740" s="153">
        <v>73923.0</v>
      </c>
      <c r="B740" s="120"/>
      <c r="C740" s="120"/>
      <c r="D740" s="121"/>
      <c r="E740" s="123"/>
      <c r="F740" s="122"/>
      <c r="G740" s="123"/>
      <c r="H740" s="122"/>
      <c r="I740" s="121"/>
      <c r="J740" s="123"/>
      <c r="K740" s="122"/>
      <c r="L740" s="122"/>
      <c r="M740" s="158">
        <f t="shared" si="1"/>
        <v>0</v>
      </c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hidden="1" customHeight="1">
      <c r="A741" s="160">
        <v>74023.0</v>
      </c>
      <c r="B741" s="127"/>
      <c r="C741" s="127"/>
      <c r="D741" s="128"/>
      <c r="E741" s="129"/>
      <c r="F741" s="130"/>
      <c r="G741" s="129"/>
      <c r="H741" s="164"/>
      <c r="I741" s="128"/>
      <c r="J741" s="129"/>
      <c r="K741" s="130"/>
      <c r="L741" s="130"/>
      <c r="M741" s="165">
        <f t="shared" si="1"/>
        <v>0</v>
      </c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hidden="1" customHeight="1">
      <c r="A742" s="153">
        <v>74123.0</v>
      </c>
      <c r="B742" s="120"/>
      <c r="C742" s="120"/>
      <c r="D742" s="121"/>
      <c r="E742" s="123"/>
      <c r="F742" s="122"/>
      <c r="G742" s="123"/>
      <c r="H742" s="122"/>
      <c r="I742" s="121"/>
      <c r="J742" s="123"/>
      <c r="K742" s="122"/>
      <c r="L742" s="122"/>
      <c r="M742" s="158">
        <f t="shared" si="1"/>
        <v>0</v>
      </c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hidden="1" customHeight="1">
      <c r="A743" s="160">
        <v>74223.0</v>
      </c>
      <c r="B743" s="127"/>
      <c r="C743" s="127"/>
      <c r="D743" s="128"/>
      <c r="E743" s="129"/>
      <c r="F743" s="130"/>
      <c r="G743" s="129"/>
      <c r="H743" s="164"/>
      <c r="I743" s="128"/>
      <c r="J743" s="129"/>
      <c r="K743" s="130"/>
      <c r="L743" s="130"/>
      <c r="M743" s="165">
        <f t="shared" si="1"/>
        <v>0</v>
      </c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hidden="1" customHeight="1">
      <c r="A744" s="153">
        <v>74323.0</v>
      </c>
      <c r="B744" s="120"/>
      <c r="C744" s="120"/>
      <c r="D744" s="121"/>
      <c r="E744" s="123"/>
      <c r="F744" s="122"/>
      <c r="G744" s="123"/>
      <c r="H744" s="122"/>
      <c r="I744" s="121"/>
      <c r="J744" s="123"/>
      <c r="K744" s="122"/>
      <c r="L744" s="122"/>
      <c r="M744" s="158">
        <f t="shared" si="1"/>
        <v>0</v>
      </c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hidden="1" customHeight="1">
      <c r="A745" s="160">
        <v>74423.0</v>
      </c>
      <c r="B745" s="127"/>
      <c r="C745" s="127"/>
      <c r="D745" s="128"/>
      <c r="E745" s="129"/>
      <c r="F745" s="130"/>
      <c r="G745" s="129"/>
      <c r="H745" s="164"/>
      <c r="I745" s="128"/>
      <c r="J745" s="129"/>
      <c r="K745" s="130"/>
      <c r="L745" s="130"/>
      <c r="M745" s="165">
        <f t="shared" si="1"/>
        <v>0</v>
      </c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hidden="1" customHeight="1">
      <c r="A746" s="153">
        <v>74523.0</v>
      </c>
      <c r="B746" s="120"/>
      <c r="C746" s="120"/>
      <c r="D746" s="121"/>
      <c r="E746" s="123"/>
      <c r="F746" s="122"/>
      <c r="G746" s="123"/>
      <c r="H746" s="122"/>
      <c r="I746" s="121"/>
      <c r="J746" s="123"/>
      <c r="K746" s="122"/>
      <c r="L746" s="122"/>
      <c r="M746" s="158">
        <f t="shared" si="1"/>
        <v>0</v>
      </c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hidden="1" customHeight="1">
      <c r="A747" s="160">
        <v>74623.0</v>
      </c>
      <c r="B747" s="127"/>
      <c r="C747" s="127"/>
      <c r="D747" s="128"/>
      <c r="E747" s="129"/>
      <c r="F747" s="130"/>
      <c r="G747" s="129"/>
      <c r="H747" s="164"/>
      <c r="I747" s="128"/>
      <c r="J747" s="129"/>
      <c r="K747" s="130"/>
      <c r="L747" s="130"/>
      <c r="M747" s="165">
        <f t="shared" si="1"/>
        <v>0</v>
      </c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hidden="1" customHeight="1">
      <c r="A748" s="153">
        <v>74723.0</v>
      </c>
      <c r="B748" s="120"/>
      <c r="C748" s="120"/>
      <c r="D748" s="121"/>
      <c r="E748" s="123"/>
      <c r="F748" s="122"/>
      <c r="G748" s="123"/>
      <c r="H748" s="122"/>
      <c r="I748" s="121"/>
      <c r="J748" s="123"/>
      <c r="K748" s="122"/>
      <c r="L748" s="122"/>
      <c r="M748" s="158">
        <f t="shared" si="1"/>
        <v>0</v>
      </c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hidden="1" customHeight="1">
      <c r="A749" s="160">
        <v>74823.0</v>
      </c>
      <c r="B749" s="127"/>
      <c r="C749" s="127"/>
      <c r="D749" s="128"/>
      <c r="E749" s="129"/>
      <c r="F749" s="130"/>
      <c r="G749" s="129"/>
      <c r="H749" s="164"/>
      <c r="I749" s="128"/>
      <c r="J749" s="129"/>
      <c r="K749" s="130"/>
      <c r="L749" s="130"/>
      <c r="M749" s="165">
        <f t="shared" si="1"/>
        <v>0</v>
      </c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hidden="1" customHeight="1">
      <c r="A750" s="153">
        <v>74923.0</v>
      </c>
      <c r="B750" s="120"/>
      <c r="C750" s="120"/>
      <c r="D750" s="121"/>
      <c r="E750" s="123"/>
      <c r="F750" s="122"/>
      <c r="G750" s="123"/>
      <c r="H750" s="122"/>
      <c r="I750" s="121"/>
      <c r="J750" s="123"/>
      <c r="K750" s="122"/>
      <c r="L750" s="122"/>
      <c r="M750" s="158">
        <f t="shared" si="1"/>
        <v>0</v>
      </c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hidden="1" customHeight="1">
      <c r="A751" s="160">
        <v>75023.0</v>
      </c>
      <c r="B751" s="127"/>
      <c r="C751" s="127"/>
      <c r="D751" s="128"/>
      <c r="E751" s="129"/>
      <c r="F751" s="130"/>
      <c r="G751" s="129"/>
      <c r="H751" s="164"/>
      <c r="I751" s="128"/>
      <c r="J751" s="129"/>
      <c r="K751" s="130"/>
      <c r="L751" s="130"/>
      <c r="M751" s="165">
        <f t="shared" si="1"/>
        <v>0</v>
      </c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hidden="1" customHeight="1">
      <c r="A752" s="153">
        <v>75123.0</v>
      </c>
      <c r="B752" s="120"/>
      <c r="C752" s="120"/>
      <c r="D752" s="121"/>
      <c r="E752" s="123"/>
      <c r="F752" s="122"/>
      <c r="G752" s="123"/>
      <c r="H752" s="122"/>
      <c r="I752" s="121"/>
      <c r="J752" s="123"/>
      <c r="K752" s="122"/>
      <c r="L752" s="122"/>
      <c r="M752" s="158">
        <f t="shared" si="1"/>
        <v>0</v>
      </c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hidden="1" customHeight="1">
      <c r="A753" s="160">
        <v>75223.0</v>
      </c>
      <c r="B753" s="127"/>
      <c r="C753" s="127"/>
      <c r="D753" s="128"/>
      <c r="E753" s="129"/>
      <c r="F753" s="130"/>
      <c r="G753" s="129"/>
      <c r="H753" s="164"/>
      <c r="I753" s="128"/>
      <c r="J753" s="129"/>
      <c r="K753" s="130"/>
      <c r="L753" s="130"/>
      <c r="M753" s="165">
        <f t="shared" si="1"/>
        <v>0</v>
      </c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hidden="1" customHeight="1">
      <c r="A754" s="153">
        <v>75323.0</v>
      </c>
      <c r="B754" s="120"/>
      <c r="C754" s="120"/>
      <c r="D754" s="121"/>
      <c r="E754" s="123"/>
      <c r="F754" s="122"/>
      <c r="G754" s="123"/>
      <c r="H754" s="122"/>
      <c r="I754" s="121"/>
      <c r="J754" s="123"/>
      <c r="K754" s="122"/>
      <c r="L754" s="122"/>
      <c r="M754" s="158">
        <f t="shared" si="1"/>
        <v>0</v>
      </c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hidden="1" customHeight="1">
      <c r="A755" s="160">
        <v>75423.0</v>
      </c>
      <c r="B755" s="127"/>
      <c r="C755" s="127"/>
      <c r="D755" s="128"/>
      <c r="E755" s="129"/>
      <c r="F755" s="130"/>
      <c r="G755" s="129"/>
      <c r="H755" s="164"/>
      <c r="I755" s="128"/>
      <c r="J755" s="129"/>
      <c r="K755" s="130"/>
      <c r="L755" s="130"/>
      <c r="M755" s="165">
        <f t="shared" si="1"/>
        <v>0</v>
      </c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hidden="1" customHeight="1">
      <c r="A756" s="153">
        <v>75523.0</v>
      </c>
      <c r="B756" s="120"/>
      <c r="C756" s="120"/>
      <c r="D756" s="121"/>
      <c r="E756" s="123"/>
      <c r="F756" s="122"/>
      <c r="G756" s="123"/>
      <c r="H756" s="122"/>
      <c r="I756" s="121"/>
      <c r="J756" s="123"/>
      <c r="K756" s="122"/>
      <c r="L756" s="122"/>
      <c r="M756" s="158">
        <f t="shared" si="1"/>
        <v>0</v>
      </c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hidden="1" customHeight="1">
      <c r="A757" s="160">
        <v>75623.0</v>
      </c>
      <c r="B757" s="127"/>
      <c r="C757" s="127"/>
      <c r="D757" s="128"/>
      <c r="E757" s="129"/>
      <c r="F757" s="130"/>
      <c r="G757" s="129"/>
      <c r="H757" s="164"/>
      <c r="I757" s="128"/>
      <c r="J757" s="129"/>
      <c r="K757" s="130"/>
      <c r="L757" s="130"/>
      <c r="M757" s="165">
        <f t="shared" si="1"/>
        <v>0</v>
      </c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hidden="1" customHeight="1">
      <c r="A758" s="153">
        <v>75723.0</v>
      </c>
      <c r="B758" s="120"/>
      <c r="C758" s="120"/>
      <c r="D758" s="121"/>
      <c r="E758" s="123"/>
      <c r="F758" s="122"/>
      <c r="G758" s="123"/>
      <c r="H758" s="122"/>
      <c r="I758" s="121"/>
      <c r="J758" s="123"/>
      <c r="K758" s="122"/>
      <c r="L758" s="122"/>
      <c r="M758" s="158">
        <f t="shared" si="1"/>
        <v>0</v>
      </c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hidden="1" customHeight="1">
      <c r="A759" s="160">
        <v>75823.0</v>
      </c>
      <c r="B759" s="127"/>
      <c r="C759" s="127"/>
      <c r="D759" s="128"/>
      <c r="E759" s="129"/>
      <c r="F759" s="130"/>
      <c r="G759" s="129"/>
      <c r="H759" s="164"/>
      <c r="I759" s="128"/>
      <c r="J759" s="129"/>
      <c r="K759" s="130"/>
      <c r="L759" s="130"/>
      <c r="M759" s="165">
        <f t="shared" si="1"/>
        <v>0</v>
      </c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hidden="1" customHeight="1">
      <c r="A760" s="153">
        <v>75923.0</v>
      </c>
      <c r="B760" s="120"/>
      <c r="C760" s="120"/>
      <c r="D760" s="121"/>
      <c r="E760" s="123"/>
      <c r="F760" s="122"/>
      <c r="G760" s="123"/>
      <c r="H760" s="122"/>
      <c r="I760" s="121"/>
      <c r="J760" s="123"/>
      <c r="K760" s="122"/>
      <c r="L760" s="122"/>
      <c r="M760" s="158">
        <f t="shared" si="1"/>
        <v>0</v>
      </c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hidden="1" customHeight="1">
      <c r="A761" s="160">
        <v>76023.0</v>
      </c>
      <c r="B761" s="127"/>
      <c r="C761" s="127"/>
      <c r="D761" s="128"/>
      <c r="E761" s="129"/>
      <c r="F761" s="130"/>
      <c r="G761" s="129"/>
      <c r="H761" s="164"/>
      <c r="I761" s="128"/>
      <c r="J761" s="129"/>
      <c r="K761" s="130"/>
      <c r="L761" s="130"/>
      <c r="M761" s="165">
        <f t="shared" si="1"/>
        <v>0</v>
      </c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hidden="1" customHeight="1">
      <c r="A762" s="153">
        <v>76123.0</v>
      </c>
      <c r="B762" s="120"/>
      <c r="C762" s="120"/>
      <c r="D762" s="121"/>
      <c r="E762" s="123"/>
      <c r="F762" s="122"/>
      <c r="G762" s="123"/>
      <c r="H762" s="122"/>
      <c r="I762" s="121"/>
      <c r="J762" s="123"/>
      <c r="K762" s="122"/>
      <c r="L762" s="122"/>
      <c r="M762" s="158">
        <f t="shared" si="1"/>
        <v>0</v>
      </c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hidden="1" customHeight="1">
      <c r="A763" s="160">
        <v>76223.0</v>
      </c>
      <c r="B763" s="127"/>
      <c r="C763" s="127"/>
      <c r="D763" s="128"/>
      <c r="E763" s="129"/>
      <c r="F763" s="130"/>
      <c r="G763" s="129"/>
      <c r="H763" s="164"/>
      <c r="I763" s="128"/>
      <c r="J763" s="129"/>
      <c r="K763" s="130"/>
      <c r="L763" s="130"/>
      <c r="M763" s="165">
        <f t="shared" si="1"/>
        <v>0</v>
      </c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hidden="1" customHeight="1">
      <c r="A764" s="153">
        <v>76323.0</v>
      </c>
      <c r="B764" s="120"/>
      <c r="C764" s="120"/>
      <c r="D764" s="121"/>
      <c r="E764" s="123"/>
      <c r="F764" s="122"/>
      <c r="G764" s="123"/>
      <c r="H764" s="122"/>
      <c r="I764" s="121"/>
      <c r="J764" s="123"/>
      <c r="K764" s="122"/>
      <c r="L764" s="122"/>
      <c r="M764" s="158">
        <f t="shared" si="1"/>
        <v>0</v>
      </c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hidden="1" customHeight="1">
      <c r="A765" s="160">
        <v>76423.0</v>
      </c>
      <c r="B765" s="127"/>
      <c r="C765" s="127"/>
      <c r="D765" s="128"/>
      <c r="E765" s="129"/>
      <c r="F765" s="130"/>
      <c r="G765" s="129"/>
      <c r="H765" s="164"/>
      <c r="I765" s="128"/>
      <c r="J765" s="129"/>
      <c r="K765" s="130"/>
      <c r="L765" s="130"/>
      <c r="M765" s="165">
        <f t="shared" si="1"/>
        <v>0</v>
      </c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hidden="1" customHeight="1">
      <c r="A766" s="153">
        <v>76523.0</v>
      </c>
      <c r="B766" s="120"/>
      <c r="C766" s="120"/>
      <c r="D766" s="121"/>
      <c r="E766" s="123"/>
      <c r="F766" s="122"/>
      <c r="G766" s="123"/>
      <c r="H766" s="122"/>
      <c r="I766" s="121"/>
      <c r="J766" s="123"/>
      <c r="K766" s="122"/>
      <c r="L766" s="122"/>
      <c r="M766" s="158">
        <f t="shared" si="1"/>
        <v>0</v>
      </c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hidden="1" customHeight="1">
      <c r="A767" s="160">
        <v>76623.0</v>
      </c>
      <c r="B767" s="127"/>
      <c r="C767" s="127"/>
      <c r="D767" s="128"/>
      <c r="E767" s="129"/>
      <c r="F767" s="130"/>
      <c r="G767" s="129"/>
      <c r="H767" s="164"/>
      <c r="I767" s="128"/>
      <c r="J767" s="129"/>
      <c r="K767" s="130"/>
      <c r="L767" s="130"/>
      <c r="M767" s="165">
        <f t="shared" si="1"/>
        <v>0</v>
      </c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hidden="1" customHeight="1">
      <c r="A768" s="153">
        <v>76723.0</v>
      </c>
      <c r="B768" s="120"/>
      <c r="C768" s="120"/>
      <c r="D768" s="121"/>
      <c r="E768" s="123"/>
      <c r="F768" s="122"/>
      <c r="G768" s="123"/>
      <c r="H768" s="122"/>
      <c r="I768" s="121"/>
      <c r="J768" s="123"/>
      <c r="K768" s="122"/>
      <c r="L768" s="122"/>
      <c r="M768" s="158">
        <f t="shared" si="1"/>
        <v>0</v>
      </c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hidden="1" customHeight="1">
      <c r="A769" s="160">
        <v>76823.0</v>
      </c>
      <c r="B769" s="127"/>
      <c r="C769" s="127"/>
      <c r="D769" s="128"/>
      <c r="E769" s="129"/>
      <c r="F769" s="130"/>
      <c r="G769" s="129"/>
      <c r="H769" s="164"/>
      <c r="I769" s="128"/>
      <c r="J769" s="129"/>
      <c r="K769" s="130"/>
      <c r="L769" s="130"/>
      <c r="M769" s="165">
        <f t="shared" si="1"/>
        <v>0</v>
      </c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hidden="1" customHeight="1">
      <c r="A770" s="153">
        <v>76923.0</v>
      </c>
      <c r="B770" s="120"/>
      <c r="C770" s="120"/>
      <c r="D770" s="121"/>
      <c r="E770" s="123"/>
      <c r="F770" s="122"/>
      <c r="G770" s="123"/>
      <c r="H770" s="122"/>
      <c r="I770" s="121"/>
      <c r="J770" s="123"/>
      <c r="K770" s="122"/>
      <c r="L770" s="122"/>
      <c r="M770" s="158">
        <f t="shared" si="1"/>
        <v>0</v>
      </c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hidden="1" customHeight="1">
      <c r="A771" s="160">
        <v>77023.0</v>
      </c>
      <c r="B771" s="127"/>
      <c r="C771" s="127"/>
      <c r="D771" s="128"/>
      <c r="E771" s="129"/>
      <c r="F771" s="130"/>
      <c r="G771" s="129"/>
      <c r="H771" s="164"/>
      <c r="I771" s="128"/>
      <c r="J771" s="129"/>
      <c r="K771" s="130"/>
      <c r="L771" s="130"/>
      <c r="M771" s="165">
        <f t="shared" si="1"/>
        <v>0</v>
      </c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hidden="1" customHeight="1">
      <c r="A772" s="153">
        <v>77123.0</v>
      </c>
      <c r="B772" s="120"/>
      <c r="C772" s="120"/>
      <c r="D772" s="121"/>
      <c r="E772" s="123"/>
      <c r="F772" s="122"/>
      <c r="G772" s="123"/>
      <c r="H772" s="122"/>
      <c r="I772" s="121"/>
      <c r="J772" s="123"/>
      <c r="K772" s="122"/>
      <c r="L772" s="122"/>
      <c r="M772" s="158">
        <f t="shared" si="1"/>
        <v>0</v>
      </c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hidden="1" customHeight="1">
      <c r="A773" s="160">
        <v>77223.0</v>
      </c>
      <c r="B773" s="127"/>
      <c r="C773" s="127"/>
      <c r="D773" s="128"/>
      <c r="E773" s="129"/>
      <c r="F773" s="130"/>
      <c r="G773" s="129"/>
      <c r="H773" s="164"/>
      <c r="I773" s="128"/>
      <c r="J773" s="129"/>
      <c r="K773" s="130"/>
      <c r="L773" s="130"/>
      <c r="M773" s="165">
        <f t="shared" si="1"/>
        <v>0</v>
      </c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hidden="1" customHeight="1">
      <c r="A774" s="153">
        <v>77323.0</v>
      </c>
      <c r="B774" s="120"/>
      <c r="C774" s="120"/>
      <c r="D774" s="121"/>
      <c r="E774" s="123"/>
      <c r="F774" s="122"/>
      <c r="G774" s="123"/>
      <c r="H774" s="122"/>
      <c r="I774" s="121"/>
      <c r="J774" s="123"/>
      <c r="K774" s="122"/>
      <c r="L774" s="122"/>
      <c r="M774" s="158">
        <f t="shared" si="1"/>
        <v>0</v>
      </c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hidden="1" customHeight="1">
      <c r="A775" s="160">
        <v>77423.0</v>
      </c>
      <c r="B775" s="127"/>
      <c r="C775" s="127"/>
      <c r="D775" s="128"/>
      <c r="E775" s="129"/>
      <c r="F775" s="130"/>
      <c r="G775" s="129"/>
      <c r="H775" s="164"/>
      <c r="I775" s="128"/>
      <c r="J775" s="129"/>
      <c r="K775" s="130"/>
      <c r="L775" s="130"/>
      <c r="M775" s="165">
        <f t="shared" si="1"/>
        <v>0</v>
      </c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hidden="1" customHeight="1">
      <c r="A776" s="153">
        <v>77523.0</v>
      </c>
      <c r="B776" s="120"/>
      <c r="C776" s="120"/>
      <c r="D776" s="121"/>
      <c r="E776" s="123"/>
      <c r="F776" s="122"/>
      <c r="G776" s="123"/>
      <c r="H776" s="122"/>
      <c r="I776" s="121"/>
      <c r="J776" s="123"/>
      <c r="K776" s="122"/>
      <c r="L776" s="122"/>
      <c r="M776" s="158">
        <f t="shared" si="1"/>
        <v>0</v>
      </c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hidden="1" customHeight="1">
      <c r="A777" s="160">
        <v>77623.0</v>
      </c>
      <c r="B777" s="127"/>
      <c r="C777" s="127"/>
      <c r="D777" s="128"/>
      <c r="E777" s="129"/>
      <c r="F777" s="130"/>
      <c r="G777" s="129"/>
      <c r="H777" s="164"/>
      <c r="I777" s="128"/>
      <c r="J777" s="129"/>
      <c r="K777" s="130"/>
      <c r="L777" s="130"/>
      <c r="M777" s="165">
        <f t="shared" si="1"/>
        <v>0</v>
      </c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hidden="1" customHeight="1">
      <c r="A778" s="153">
        <v>77723.0</v>
      </c>
      <c r="B778" s="120"/>
      <c r="C778" s="120"/>
      <c r="D778" s="121"/>
      <c r="E778" s="123"/>
      <c r="F778" s="122"/>
      <c r="G778" s="123"/>
      <c r="H778" s="122"/>
      <c r="I778" s="121"/>
      <c r="J778" s="123"/>
      <c r="K778" s="122"/>
      <c r="L778" s="122"/>
      <c r="M778" s="158">
        <f t="shared" si="1"/>
        <v>0</v>
      </c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hidden="1" customHeight="1">
      <c r="A779" s="160">
        <v>77823.0</v>
      </c>
      <c r="B779" s="127"/>
      <c r="C779" s="127"/>
      <c r="D779" s="128"/>
      <c r="E779" s="129"/>
      <c r="F779" s="130"/>
      <c r="G779" s="129"/>
      <c r="H779" s="164"/>
      <c r="I779" s="128"/>
      <c r="J779" s="129"/>
      <c r="K779" s="130"/>
      <c r="L779" s="130"/>
      <c r="M779" s="165">
        <f t="shared" si="1"/>
        <v>0</v>
      </c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hidden="1" customHeight="1">
      <c r="A780" s="153">
        <v>77923.0</v>
      </c>
      <c r="B780" s="120"/>
      <c r="C780" s="120"/>
      <c r="D780" s="121"/>
      <c r="E780" s="123"/>
      <c r="F780" s="122"/>
      <c r="G780" s="123"/>
      <c r="H780" s="122"/>
      <c r="I780" s="121"/>
      <c r="J780" s="123"/>
      <c r="K780" s="122"/>
      <c r="L780" s="122"/>
      <c r="M780" s="158">
        <f t="shared" si="1"/>
        <v>0</v>
      </c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hidden="1" customHeight="1">
      <c r="A781" s="160">
        <v>78023.0</v>
      </c>
      <c r="B781" s="127"/>
      <c r="C781" s="127"/>
      <c r="D781" s="128"/>
      <c r="E781" s="129"/>
      <c r="F781" s="130"/>
      <c r="G781" s="129"/>
      <c r="H781" s="164"/>
      <c r="I781" s="128"/>
      <c r="J781" s="129"/>
      <c r="K781" s="130"/>
      <c r="L781" s="130"/>
      <c r="M781" s="165">
        <f t="shared" si="1"/>
        <v>0</v>
      </c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hidden="1" customHeight="1">
      <c r="A782" s="153">
        <v>78123.0</v>
      </c>
      <c r="B782" s="120"/>
      <c r="C782" s="120"/>
      <c r="D782" s="121"/>
      <c r="E782" s="123"/>
      <c r="F782" s="122"/>
      <c r="G782" s="123"/>
      <c r="H782" s="122"/>
      <c r="I782" s="121"/>
      <c r="J782" s="123"/>
      <c r="K782" s="122"/>
      <c r="L782" s="122"/>
      <c r="M782" s="158">
        <f t="shared" si="1"/>
        <v>0</v>
      </c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hidden="1" customHeight="1">
      <c r="A783" s="160">
        <v>78223.0</v>
      </c>
      <c r="B783" s="127"/>
      <c r="C783" s="127"/>
      <c r="D783" s="128"/>
      <c r="E783" s="129"/>
      <c r="F783" s="130"/>
      <c r="G783" s="129"/>
      <c r="H783" s="164"/>
      <c r="I783" s="128"/>
      <c r="J783" s="129"/>
      <c r="K783" s="130"/>
      <c r="L783" s="130"/>
      <c r="M783" s="165">
        <f t="shared" si="1"/>
        <v>0</v>
      </c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hidden="1" customHeight="1">
      <c r="A784" s="153">
        <v>78323.0</v>
      </c>
      <c r="B784" s="120"/>
      <c r="C784" s="120"/>
      <c r="D784" s="121"/>
      <c r="E784" s="123"/>
      <c r="F784" s="122"/>
      <c r="G784" s="123"/>
      <c r="H784" s="122"/>
      <c r="I784" s="121"/>
      <c r="J784" s="123"/>
      <c r="K784" s="122"/>
      <c r="L784" s="122"/>
      <c r="M784" s="158">
        <f t="shared" si="1"/>
        <v>0</v>
      </c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hidden="1" customHeight="1">
      <c r="A785" s="160">
        <v>78423.0</v>
      </c>
      <c r="B785" s="127"/>
      <c r="C785" s="127"/>
      <c r="D785" s="128"/>
      <c r="E785" s="129"/>
      <c r="F785" s="130"/>
      <c r="G785" s="129"/>
      <c r="H785" s="164"/>
      <c r="I785" s="128"/>
      <c r="J785" s="129"/>
      <c r="K785" s="130"/>
      <c r="L785" s="130"/>
      <c r="M785" s="165">
        <f t="shared" si="1"/>
        <v>0</v>
      </c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hidden="1" customHeight="1">
      <c r="A786" s="153">
        <v>78523.0</v>
      </c>
      <c r="B786" s="120"/>
      <c r="C786" s="120"/>
      <c r="D786" s="121"/>
      <c r="E786" s="123"/>
      <c r="F786" s="122"/>
      <c r="G786" s="123"/>
      <c r="H786" s="122"/>
      <c r="I786" s="121"/>
      <c r="J786" s="123"/>
      <c r="K786" s="122"/>
      <c r="L786" s="122"/>
      <c r="M786" s="158">
        <f t="shared" si="1"/>
        <v>0</v>
      </c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hidden="1" customHeight="1">
      <c r="A787" s="160">
        <v>78623.0</v>
      </c>
      <c r="B787" s="127"/>
      <c r="C787" s="127"/>
      <c r="D787" s="128"/>
      <c r="E787" s="129"/>
      <c r="F787" s="130"/>
      <c r="G787" s="129"/>
      <c r="H787" s="164"/>
      <c r="I787" s="128"/>
      <c r="J787" s="129"/>
      <c r="K787" s="130"/>
      <c r="L787" s="130"/>
      <c r="M787" s="165">
        <f t="shared" si="1"/>
        <v>0</v>
      </c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hidden="1" customHeight="1">
      <c r="A788" s="153">
        <v>78723.0</v>
      </c>
      <c r="B788" s="120"/>
      <c r="C788" s="120"/>
      <c r="D788" s="121"/>
      <c r="E788" s="123"/>
      <c r="F788" s="122"/>
      <c r="G788" s="123"/>
      <c r="H788" s="122"/>
      <c r="I788" s="121"/>
      <c r="J788" s="123"/>
      <c r="K788" s="122"/>
      <c r="L788" s="122"/>
      <c r="M788" s="158">
        <f t="shared" si="1"/>
        <v>0</v>
      </c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hidden="1" customHeight="1">
      <c r="A789" s="160">
        <v>78823.0</v>
      </c>
      <c r="B789" s="127"/>
      <c r="C789" s="127"/>
      <c r="D789" s="128"/>
      <c r="E789" s="129"/>
      <c r="F789" s="130"/>
      <c r="G789" s="129"/>
      <c r="H789" s="164"/>
      <c r="I789" s="128"/>
      <c r="J789" s="129"/>
      <c r="K789" s="130"/>
      <c r="L789" s="130"/>
      <c r="M789" s="165">
        <f t="shared" si="1"/>
        <v>0</v>
      </c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hidden="1" customHeight="1">
      <c r="A790" s="153">
        <v>78923.0</v>
      </c>
      <c r="B790" s="120"/>
      <c r="C790" s="120"/>
      <c r="D790" s="121"/>
      <c r="E790" s="123"/>
      <c r="F790" s="122"/>
      <c r="G790" s="123"/>
      <c r="H790" s="122"/>
      <c r="I790" s="121"/>
      <c r="J790" s="123"/>
      <c r="K790" s="122"/>
      <c r="L790" s="122"/>
      <c r="M790" s="158">
        <f t="shared" si="1"/>
        <v>0</v>
      </c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hidden="1" customHeight="1">
      <c r="A791" s="160">
        <v>79023.0</v>
      </c>
      <c r="B791" s="127"/>
      <c r="C791" s="127"/>
      <c r="D791" s="128"/>
      <c r="E791" s="129"/>
      <c r="F791" s="130"/>
      <c r="G791" s="129"/>
      <c r="H791" s="164"/>
      <c r="I791" s="128"/>
      <c r="J791" s="129"/>
      <c r="K791" s="130"/>
      <c r="L791" s="130"/>
      <c r="M791" s="165">
        <f t="shared" si="1"/>
        <v>0</v>
      </c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hidden="1" customHeight="1">
      <c r="A792" s="153">
        <v>79123.0</v>
      </c>
      <c r="B792" s="120"/>
      <c r="C792" s="120"/>
      <c r="D792" s="121"/>
      <c r="E792" s="123"/>
      <c r="F792" s="122"/>
      <c r="G792" s="123"/>
      <c r="H792" s="122"/>
      <c r="I792" s="121"/>
      <c r="J792" s="123"/>
      <c r="K792" s="122"/>
      <c r="L792" s="122"/>
      <c r="M792" s="158">
        <f t="shared" si="1"/>
        <v>0</v>
      </c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hidden="1" customHeight="1">
      <c r="A793" s="160">
        <v>79223.0</v>
      </c>
      <c r="B793" s="127"/>
      <c r="C793" s="127"/>
      <c r="D793" s="128"/>
      <c r="E793" s="129"/>
      <c r="F793" s="130"/>
      <c r="G793" s="129"/>
      <c r="H793" s="164"/>
      <c r="I793" s="128"/>
      <c r="J793" s="129"/>
      <c r="K793" s="130"/>
      <c r="L793" s="130"/>
      <c r="M793" s="165">
        <f t="shared" si="1"/>
        <v>0</v>
      </c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hidden="1" customHeight="1">
      <c r="A794" s="153">
        <v>79323.0</v>
      </c>
      <c r="B794" s="120"/>
      <c r="C794" s="120"/>
      <c r="D794" s="121"/>
      <c r="E794" s="123"/>
      <c r="F794" s="122"/>
      <c r="G794" s="123"/>
      <c r="H794" s="122"/>
      <c r="I794" s="121"/>
      <c r="J794" s="123"/>
      <c r="K794" s="122"/>
      <c r="L794" s="122"/>
      <c r="M794" s="158">
        <f t="shared" si="1"/>
        <v>0</v>
      </c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hidden="1" customHeight="1">
      <c r="A795" s="160">
        <v>79423.0</v>
      </c>
      <c r="B795" s="127"/>
      <c r="C795" s="127"/>
      <c r="D795" s="128"/>
      <c r="E795" s="129"/>
      <c r="F795" s="130"/>
      <c r="G795" s="129"/>
      <c r="H795" s="164"/>
      <c r="I795" s="128"/>
      <c r="J795" s="129"/>
      <c r="K795" s="130"/>
      <c r="L795" s="130"/>
      <c r="M795" s="165">
        <f t="shared" si="1"/>
        <v>0</v>
      </c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hidden="1" customHeight="1">
      <c r="A796" s="153">
        <v>79523.0</v>
      </c>
      <c r="B796" s="120"/>
      <c r="C796" s="120"/>
      <c r="D796" s="121"/>
      <c r="E796" s="123"/>
      <c r="F796" s="122"/>
      <c r="G796" s="123"/>
      <c r="H796" s="122"/>
      <c r="I796" s="121"/>
      <c r="J796" s="123"/>
      <c r="K796" s="122"/>
      <c r="L796" s="122"/>
      <c r="M796" s="158">
        <f t="shared" si="1"/>
        <v>0</v>
      </c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hidden="1" customHeight="1">
      <c r="A797" s="160">
        <v>79623.0</v>
      </c>
      <c r="B797" s="127"/>
      <c r="C797" s="127"/>
      <c r="D797" s="128"/>
      <c r="E797" s="129"/>
      <c r="F797" s="130"/>
      <c r="G797" s="129"/>
      <c r="H797" s="164"/>
      <c r="I797" s="128"/>
      <c r="J797" s="129"/>
      <c r="K797" s="130"/>
      <c r="L797" s="130"/>
      <c r="M797" s="165">
        <f t="shared" si="1"/>
        <v>0</v>
      </c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hidden="1" customHeight="1">
      <c r="A798" s="153">
        <v>79723.0</v>
      </c>
      <c r="B798" s="120"/>
      <c r="C798" s="120"/>
      <c r="D798" s="121"/>
      <c r="E798" s="123"/>
      <c r="F798" s="122"/>
      <c r="G798" s="123"/>
      <c r="H798" s="122"/>
      <c r="I798" s="121"/>
      <c r="J798" s="123"/>
      <c r="K798" s="122"/>
      <c r="L798" s="122"/>
      <c r="M798" s="158">
        <f t="shared" si="1"/>
        <v>0</v>
      </c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hidden="1" customHeight="1">
      <c r="A799" s="160">
        <v>79823.0</v>
      </c>
      <c r="B799" s="127"/>
      <c r="C799" s="127"/>
      <c r="D799" s="128"/>
      <c r="E799" s="129"/>
      <c r="F799" s="130"/>
      <c r="G799" s="129"/>
      <c r="H799" s="164"/>
      <c r="I799" s="128"/>
      <c r="J799" s="129"/>
      <c r="K799" s="130"/>
      <c r="L799" s="130"/>
      <c r="M799" s="165">
        <f t="shared" si="1"/>
        <v>0</v>
      </c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hidden="1" customHeight="1">
      <c r="A800" s="153">
        <v>79923.0</v>
      </c>
      <c r="B800" s="120"/>
      <c r="C800" s="120"/>
      <c r="D800" s="121"/>
      <c r="E800" s="123"/>
      <c r="F800" s="122"/>
      <c r="G800" s="123"/>
      <c r="H800" s="122"/>
      <c r="I800" s="121"/>
      <c r="J800" s="123"/>
      <c r="K800" s="122"/>
      <c r="L800" s="122"/>
      <c r="M800" s="158">
        <f t="shared" si="1"/>
        <v>0</v>
      </c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hidden="1" customHeight="1">
      <c r="A801" s="160">
        <v>80023.0</v>
      </c>
      <c r="B801" s="127"/>
      <c r="C801" s="127"/>
      <c r="D801" s="128"/>
      <c r="E801" s="129"/>
      <c r="F801" s="130"/>
      <c r="G801" s="129"/>
      <c r="H801" s="164"/>
      <c r="I801" s="128"/>
      <c r="J801" s="129"/>
      <c r="K801" s="130"/>
      <c r="L801" s="130"/>
      <c r="M801" s="165">
        <f t="shared" si="1"/>
        <v>0</v>
      </c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hidden="1" customHeight="1">
      <c r="A802" s="153">
        <v>80123.0</v>
      </c>
      <c r="B802" s="120"/>
      <c r="C802" s="120"/>
      <c r="D802" s="121"/>
      <c r="E802" s="123"/>
      <c r="F802" s="122"/>
      <c r="G802" s="123"/>
      <c r="H802" s="122"/>
      <c r="I802" s="121"/>
      <c r="J802" s="123"/>
      <c r="K802" s="122"/>
      <c r="L802" s="122"/>
      <c r="M802" s="158">
        <f t="shared" si="1"/>
        <v>0</v>
      </c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hidden="1" customHeight="1">
      <c r="A803" s="160">
        <v>80223.0</v>
      </c>
      <c r="B803" s="127"/>
      <c r="C803" s="127"/>
      <c r="D803" s="128"/>
      <c r="E803" s="129"/>
      <c r="F803" s="130"/>
      <c r="G803" s="129"/>
      <c r="H803" s="164"/>
      <c r="I803" s="128"/>
      <c r="J803" s="129"/>
      <c r="K803" s="130"/>
      <c r="L803" s="130"/>
      <c r="M803" s="165">
        <f t="shared" si="1"/>
        <v>0</v>
      </c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hidden="1" customHeight="1">
      <c r="A804" s="153">
        <v>80323.0</v>
      </c>
      <c r="B804" s="120"/>
      <c r="C804" s="120"/>
      <c r="D804" s="121"/>
      <c r="E804" s="123"/>
      <c r="F804" s="122"/>
      <c r="G804" s="123"/>
      <c r="H804" s="122"/>
      <c r="I804" s="121"/>
      <c r="J804" s="123"/>
      <c r="K804" s="122"/>
      <c r="L804" s="122"/>
      <c r="M804" s="158">
        <f t="shared" si="1"/>
        <v>0</v>
      </c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hidden="1" customHeight="1">
      <c r="A805" s="160">
        <v>80423.0</v>
      </c>
      <c r="B805" s="127"/>
      <c r="C805" s="127"/>
      <c r="D805" s="128"/>
      <c r="E805" s="129"/>
      <c r="F805" s="130"/>
      <c r="G805" s="129"/>
      <c r="H805" s="164"/>
      <c r="I805" s="128"/>
      <c r="J805" s="129"/>
      <c r="K805" s="130"/>
      <c r="L805" s="130"/>
      <c r="M805" s="165">
        <f t="shared" si="1"/>
        <v>0</v>
      </c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hidden="1" customHeight="1">
      <c r="A806" s="153">
        <v>80523.0</v>
      </c>
      <c r="B806" s="120"/>
      <c r="C806" s="120"/>
      <c r="D806" s="121"/>
      <c r="E806" s="123"/>
      <c r="F806" s="122"/>
      <c r="G806" s="123"/>
      <c r="H806" s="122"/>
      <c r="I806" s="121"/>
      <c r="J806" s="123"/>
      <c r="K806" s="122"/>
      <c r="L806" s="122"/>
      <c r="M806" s="158">
        <f t="shared" si="1"/>
        <v>0</v>
      </c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hidden="1" customHeight="1">
      <c r="A807" s="160">
        <v>80623.0</v>
      </c>
      <c r="B807" s="127"/>
      <c r="C807" s="127"/>
      <c r="D807" s="128"/>
      <c r="E807" s="129"/>
      <c r="F807" s="130"/>
      <c r="G807" s="129"/>
      <c r="H807" s="164"/>
      <c r="I807" s="128"/>
      <c r="J807" s="129"/>
      <c r="K807" s="130"/>
      <c r="L807" s="130"/>
      <c r="M807" s="165">
        <f t="shared" si="1"/>
        <v>0</v>
      </c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hidden="1" customHeight="1">
      <c r="A808" s="153">
        <v>80723.0</v>
      </c>
      <c r="B808" s="120"/>
      <c r="C808" s="120"/>
      <c r="D808" s="121"/>
      <c r="E808" s="123"/>
      <c r="F808" s="122"/>
      <c r="G808" s="123"/>
      <c r="H808" s="122"/>
      <c r="I808" s="121"/>
      <c r="J808" s="123"/>
      <c r="K808" s="122"/>
      <c r="L808" s="122"/>
      <c r="M808" s="158">
        <f t="shared" si="1"/>
        <v>0</v>
      </c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hidden="1" customHeight="1">
      <c r="A809" s="160">
        <v>80823.0</v>
      </c>
      <c r="B809" s="127"/>
      <c r="C809" s="127"/>
      <c r="D809" s="128"/>
      <c r="E809" s="129"/>
      <c r="F809" s="130"/>
      <c r="G809" s="129"/>
      <c r="H809" s="164"/>
      <c r="I809" s="128"/>
      <c r="J809" s="129"/>
      <c r="K809" s="130"/>
      <c r="L809" s="130"/>
      <c r="M809" s="165">
        <f t="shared" si="1"/>
        <v>0</v>
      </c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hidden="1" customHeight="1">
      <c r="A810" s="153">
        <v>80923.0</v>
      </c>
      <c r="B810" s="120"/>
      <c r="C810" s="120"/>
      <c r="D810" s="121"/>
      <c r="E810" s="123"/>
      <c r="F810" s="122"/>
      <c r="G810" s="123"/>
      <c r="H810" s="122"/>
      <c r="I810" s="121"/>
      <c r="J810" s="123"/>
      <c r="K810" s="122"/>
      <c r="L810" s="122"/>
      <c r="M810" s="158">
        <f t="shared" si="1"/>
        <v>0</v>
      </c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hidden="1" customHeight="1">
      <c r="A811" s="160">
        <v>81023.0</v>
      </c>
      <c r="B811" s="127"/>
      <c r="C811" s="127"/>
      <c r="D811" s="128"/>
      <c r="E811" s="129"/>
      <c r="F811" s="130"/>
      <c r="G811" s="129"/>
      <c r="H811" s="164"/>
      <c r="I811" s="128"/>
      <c r="J811" s="129"/>
      <c r="K811" s="130"/>
      <c r="L811" s="130"/>
      <c r="M811" s="165">
        <f t="shared" si="1"/>
        <v>0</v>
      </c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hidden="1" customHeight="1">
      <c r="A812" s="153">
        <v>81123.0</v>
      </c>
      <c r="B812" s="120"/>
      <c r="C812" s="120"/>
      <c r="D812" s="121"/>
      <c r="E812" s="123"/>
      <c r="F812" s="122"/>
      <c r="G812" s="123"/>
      <c r="H812" s="122"/>
      <c r="I812" s="121"/>
      <c r="J812" s="123"/>
      <c r="K812" s="122"/>
      <c r="L812" s="122"/>
      <c r="M812" s="158">
        <f t="shared" si="1"/>
        <v>0</v>
      </c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hidden="1" customHeight="1">
      <c r="A813" s="160">
        <v>81223.0</v>
      </c>
      <c r="B813" s="127"/>
      <c r="C813" s="127"/>
      <c r="D813" s="128"/>
      <c r="E813" s="129"/>
      <c r="F813" s="130"/>
      <c r="G813" s="129"/>
      <c r="H813" s="164"/>
      <c r="I813" s="128"/>
      <c r="J813" s="129"/>
      <c r="K813" s="130"/>
      <c r="L813" s="130"/>
      <c r="M813" s="165">
        <f t="shared" si="1"/>
        <v>0</v>
      </c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hidden="1" customHeight="1">
      <c r="A814" s="153">
        <v>81323.0</v>
      </c>
      <c r="B814" s="120"/>
      <c r="C814" s="120"/>
      <c r="D814" s="121"/>
      <c r="E814" s="123"/>
      <c r="F814" s="122"/>
      <c r="G814" s="123"/>
      <c r="H814" s="122"/>
      <c r="I814" s="121"/>
      <c r="J814" s="123"/>
      <c r="K814" s="122"/>
      <c r="L814" s="122"/>
      <c r="M814" s="158">
        <f t="shared" si="1"/>
        <v>0</v>
      </c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hidden="1" customHeight="1">
      <c r="A815" s="160">
        <v>81423.0</v>
      </c>
      <c r="B815" s="127"/>
      <c r="C815" s="127"/>
      <c r="D815" s="128"/>
      <c r="E815" s="129"/>
      <c r="F815" s="130"/>
      <c r="G815" s="129"/>
      <c r="H815" s="164"/>
      <c r="I815" s="128"/>
      <c r="J815" s="129"/>
      <c r="K815" s="130"/>
      <c r="L815" s="130"/>
      <c r="M815" s="165">
        <f t="shared" si="1"/>
        <v>0</v>
      </c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hidden="1" customHeight="1">
      <c r="A816" s="153">
        <v>81523.0</v>
      </c>
      <c r="B816" s="120"/>
      <c r="C816" s="120"/>
      <c r="D816" s="121"/>
      <c r="E816" s="123"/>
      <c r="F816" s="122"/>
      <c r="G816" s="123"/>
      <c r="H816" s="122"/>
      <c r="I816" s="121"/>
      <c r="J816" s="123"/>
      <c r="K816" s="122"/>
      <c r="L816" s="122"/>
      <c r="M816" s="158">
        <f t="shared" si="1"/>
        <v>0</v>
      </c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hidden="1" customHeight="1">
      <c r="A817" s="160">
        <v>81623.0</v>
      </c>
      <c r="B817" s="127"/>
      <c r="C817" s="127"/>
      <c r="D817" s="128"/>
      <c r="E817" s="129"/>
      <c r="F817" s="130"/>
      <c r="G817" s="129"/>
      <c r="H817" s="164"/>
      <c r="I817" s="128"/>
      <c r="J817" s="129"/>
      <c r="K817" s="130"/>
      <c r="L817" s="130"/>
      <c r="M817" s="165">
        <f t="shared" si="1"/>
        <v>0</v>
      </c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hidden="1" customHeight="1">
      <c r="A818" s="153">
        <v>81723.0</v>
      </c>
      <c r="B818" s="120"/>
      <c r="C818" s="120"/>
      <c r="D818" s="121"/>
      <c r="E818" s="123"/>
      <c r="F818" s="122"/>
      <c r="G818" s="123"/>
      <c r="H818" s="122"/>
      <c r="I818" s="121"/>
      <c r="J818" s="123"/>
      <c r="K818" s="122"/>
      <c r="L818" s="122"/>
      <c r="M818" s="158">
        <f t="shared" si="1"/>
        <v>0</v>
      </c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hidden="1" customHeight="1">
      <c r="A819" s="160">
        <v>81823.0</v>
      </c>
      <c r="B819" s="127"/>
      <c r="C819" s="127"/>
      <c r="D819" s="128"/>
      <c r="E819" s="129"/>
      <c r="F819" s="130"/>
      <c r="G819" s="129"/>
      <c r="H819" s="164"/>
      <c r="I819" s="128"/>
      <c r="J819" s="129"/>
      <c r="K819" s="130"/>
      <c r="L819" s="130"/>
      <c r="M819" s="165">
        <f t="shared" si="1"/>
        <v>0</v>
      </c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hidden="1" customHeight="1">
      <c r="A820" s="153">
        <v>81923.0</v>
      </c>
      <c r="B820" s="120"/>
      <c r="C820" s="120"/>
      <c r="D820" s="121"/>
      <c r="E820" s="123"/>
      <c r="F820" s="122"/>
      <c r="G820" s="123"/>
      <c r="H820" s="122"/>
      <c r="I820" s="121"/>
      <c r="J820" s="123"/>
      <c r="K820" s="122"/>
      <c r="L820" s="122"/>
      <c r="M820" s="158">
        <f t="shared" si="1"/>
        <v>0</v>
      </c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hidden="1" customHeight="1">
      <c r="A821" s="160">
        <v>82023.0</v>
      </c>
      <c r="B821" s="127"/>
      <c r="C821" s="127"/>
      <c r="D821" s="128"/>
      <c r="E821" s="129"/>
      <c r="F821" s="130"/>
      <c r="G821" s="129"/>
      <c r="H821" s="164"/>
      <c r="I821" s="128"/>
      <c r="J821" s="129"/>
      <c r="K821" s="130"/>
      <c r="L821" s="130"/>
      <c r="M821" s="165">
        <f t="shared" si="1"/>
        <v>0</v>
      </c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hidden="1" customHeight="1">
      <c r="A822" s="153">
        <v>82123.0</v>
      </c>
      <c r="B822" s="120"/>
      <c r="C822" s="120"/>
      <c r="D822" s="121"/>
      <c r="E822" s="123"/>
      <c r="F822" s="122"/>
      <c r="G822" s="123"/>
      <c r="H822" s="122"/>
      <c r="I822" s="121"/>
      <c r="J822" s="123"/>
      <c r="K822" s="122"/>
      <c r="L822" s="122"/>
      <c r="M822" s="158">
        <f t="shared" si="1"/>
        <v>0</v>
      </c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hidden="1" customHeight="1">
      <c r="A823" s="160">
        <v>82223.0</v>
      </c>
      <c r="B823" s="127"/>
      <c r="C823" s="127"/>
      <c r="D823" s="128"/>
      <c r="E823" s="129"/>
      <c r="F823" s="130"/>
      <c r="G823" s="129"/>
      <c r="H823" s="164"/>
      <c r="I823" s="128"/>
      <c r="J823" s="129"/>
      <c r="K823" s="130"/>
      <c r="L823" s="130"/>
      <c r="M823" s="165">
        <f t="shared" si="1"/>
        <v>0</v>
      </c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hidden="1" customHeight="1">
      <c r="A824" s="153">
        <v>82323.0</v>
      </c>
      <c r="B824" s="120"/>
      <c r="C824" s="120"/>
      <c r="D824" s="121"/>
      <c r="E824" s="123"/>
      <c r="F824" s="122"/>
      <c r="G824" s="123"/>
      <c r="H824" s="122"/>
      <c r="I824" s="121"/>
      <c r="J824" s="123"/>
      <c r="K824" s="122"/>
      <c r="L824" s="122"/>
      <c r="M824" s="158">
        <f t="shared" si="1"/>
        <v>0</v>
      </c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hidden="1" customHeight="1">
      <c r="A825" s="160">
        <v>82423.0</v>
      </c>
      <c r="B825" s="127"/>
      <c r="C825" s="127"/>
      <c r="D825" s="128"/>
      <c r="E825" s="129"/>
      <c r="F825" s="130"/>
      <c r="G825" s="129"/>
      <c r="H825" s="164"/>
      <c r="I825" s="128"/>
      <c r="J825" s="129"/>
      <c r="K825" s="130"/>
      <c r="L825" s="130"/>
      <c r="M825" s="165">
        <f t="shared" si="1"/>
        <v>0</v>
      </c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hidden="1" customHeight="1">
      <c r="A826" s="153">
        <v>82523.0</v>
      </c>
      <c r="B826" s="120"/>
      <c r="C826" s="120"/>
      <c r="D826" s="121"/>
      <c r="E826" s="123"/>
      <c r="F826" s="122"/>
      <c r="G826" s="123"/>
      <c r="H826" s="122"/>
      <c r="I826" s="121"/>
      <c r="J826" s="123"/>
      <c r="K826" s="122"/>
      <c r="L826" s="122"/>
      <c r="M826" s="158">
        <f t="shared" si="1"/>
        <v>0</v>
      </c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hidden="1" customHeight="1">
      <c r="A827" s="160">
        <v>82623.0</v>
      </c>
      <c r="B827" s="127"/>
      <c r="C827" s="127"/>
      <c r="D827" s="128"/>
      <c r="E827" s="129"/>
      <c r="F827" s="130"/>
      <c r="G827" s="129"/>
      <c r="H827" s="164"/>
      <c r="I827" s="128"/>
      <c r="J827" s="129"/>
      <c r="K827" s="130"/>
      <c r="L827" s="130"/>
      <c r="M827" s="165">
        <f t="shared" si="1"/>
        <v>0</v>
      </c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hidden="1" customHeight="1">
      <c r="A828" s="153">
        <v>82723.0</v>
      </c>
      <c r="B828" s="120"/>
      <c r="C828" s="120"/>
      <c r="D828" s="121"/>
      <c r="E828" s="123"/>
      <c r="F828" s="122"/>
      <c r="G828" s="123"/>
      <c r="H828" s="122"/>
      <c r="I828" s="121"/>
      <c r="J828" s="123"/>
      <c r="K828" s="122"/>
      <c r="L828" s="122"/>
      <c r="M828" s="158">
        <f t="shared" si="1"/>
        <v>0</v>
      </c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hidden="1" customHeight="1">
      <c r="A829" s="160">
        <v>82823.0</v>
      </c>
      <c r="B829" s="127"/>
      <c r="C829" s="127"/>
      <c r="D829" s="128"/>
      <c r="E829" s="129"/>
      <c r="F829" s="130"/>
      <c r="G829" s="129"/>
      <c r="H829" s="164"/>
      <c r="I829" s="128"/>
      <c r="J829" s="129"/>
      <c r="K829" s="130"/>
      <c r="L829" s="130"/>
      <c r="M829" s="165">
        <f t="shared" si="1"/>
        <v>0</v>
      </c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hidden="1" customHeight="1">
      <c r="A830" s="153">
        <v>82923.0</v>
      </c>
      <c r="B830" s="120"/>
      <c r="C830" s="120"/>
      <c r="D830" s="121"/>
      <c r="E830" s="123"/>
      <c r="F830" s="122"/>
      <c r="G830" s="123"/>
      <c r="H830" s="122"/>
      <c r="I830" s="121"/>
      <c r="J830" s="123"/>
      <c r="K830" s="122"/>
      <c r="L830" s="122"/>
      <c r="M830" s="158">
        <f t="shared" si="1"/>
        <v>0</v>
      </c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hidden="1" customHeight="1">
      <c r="A831" s="160">
        <v>83023.0</v>
      </c>
      <c r="B831" s="127"/>
      <c r="C831" s="127"/>
      <c r="D831" s="128"/>
      <c r="E831" s="129"/>
      <c r="F831" s="130"/>
      <c r="G831" s="129"/>
      <c r="H831" s="164"/>
      <c r="I831" s="128"/>
      <c r="J831" s="129"/>
      <c r="K831" s="130"/>
      <c r="L831" s="130"/>
      <c r="M831" s="165">
        <f t="shared" si="1"/>
        <v>0</v>
      </c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hidden="1" customHeight="1">
      <c r="A832" s="153">
        <v>83123.0</v>
      </c>
      <c r="B832" s="120"/>
      <c r="C832" s="120"/>
      <c r="D832" s="121"/>
      <c r="E832" s="123"/>
      <c r="F832" s="122"/>
      <c r="G832" s="123"/>
      <c r="H832" s="122"/>
      <c r="I832" s="121"/>
      <c r="J832" s="123"/>
      <c r="K832" s="122"/>
      <c r="L832" s="122"/>
      <c r="M832" s="158">
        <f t="shared" si="1"/>
        <v>0</v>
      </c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hidden="1" customHeight="1">
      <c r="A833" s="160">
        <v>83223.0</v>
      </c>
      <c r="B833" s="127"/>
      <c r="C833" s="127"/>
      <c r="D833" s="128"/>
      <c r="E833" s="129"/>
      <c r="F833" s="130"/>
      <c r="G833" s="129"/>
      <c r="H833" s="164"/>
      <c r="I833" s="128"/>
      <c r="J833" s="129"/>
      <c r="K833" s="130"/>
      <c r="L833" s="130"/>
      <c r="M833" s="165">
        <f t="shared" si="1"/>
        <v>0</v>
      </c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hidden="1" customHeight="1">
      <c r="A834" s="153">
        <v>83323.0</v>
      </c>
      <c r="B834" s="120"/>
      <c r="C834" s="120"/>
      <c r="D834" s="121"/>
      <c r="E834" s="123"/>
      <c r="F834" s="122"/>
      <c r="G834" s="123"/>
      <c r="H834" s="122"/>
      <c r="I834" s="121"/>
      <c r="J834" s="123"/>
      <c r="K834" s="122"/>
      <c r="L834" s="122"/>
      <c r="M834" s="158">
        <f t="shared" si="1"/>
        <v>0</v>
      </c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hidden="1" customHeight="1">
      <c r="A835" s="160">
        <v>83423.0</v>
      </c>
      <c r="B835" s="127"/>
      <c r="C835" s="127"/>
      <c r="D835" s="128"/>
      <c r="E835" s="129"/>
      <c r="F835" s="130"/>
      <c r="G835" s="129"/>
      <c r="H835" s="164"/>
      <c r="I835" s="128"/>
      <c r="J835" s="129"/>
      <c r="K835" s="130"/>
      <c r="L835" s="130"/>
      <c r="M835" s="165">
        <f t="shared" si="1"/>
        <v>0</v>
      </c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hidden="1" customHeight="1">
      <c r="A836" s="153">
        <v>83523.0</v>
      </c>
      <c r="B836" s="120"/>
      <c r="C836" s="120"/>
      <c r="D836" s="121"/>
      <c r="E836" s="123"/>
      <c r="F836" s="122"/>
      <c r="G836" s="123"/>
      <c r="H836" s="122"/>
      <c r="I836" s="121"/>
      <c r="J836" s="123"/>
      <c r="K836" s="122"/>
      <c r="L836" s="122"/>
      <c r="M836" s="158">
        <f t="shared" si="1"/>
        <v>0</v>
      </c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hidden="1" customHeight="1">
      <c r="A837" s="160">
        <v>83623.0</v>
      </c>
      <c r="B837" s="127"/>
      <c r="C837" s="127"/>
      <c r="D837" s="128"/>
      <c r="E837" s="129"/>
      <c r="F837" s="130"/>
      <c r="G837" s="129"/>
      <c r="H837" s="164"/>
      <c r="I837" s="128"/>
      <c r="J837" s="129"/>
      <c r="K837" s="130"/>
      <c r="L837" s="130"/>
      <c r="M837" s="165">
        <f t="shared" si="1"/>
        <v>0</v>
      </c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hidden="1" customHeight="1">
      <c r="A838" s="153">
        <v>83723.0</v>
      </c>
      <c r="B838" s="120"/>
      <c r="C838" s="120"/>
      <c r="D838" s="121"/>
      <c r="E838" s="123"/>
      <c r="F838" s="122"/>
      <c r="G838" s="123"/>
      <c r="H838" s="122"/>
      <c r="I838" s="121"/>
      <c r="J838" s="123"/>
      <c r="K838" s="122"/>
      <c r="L838" s="122"/>
      <c r="M838" s="158">
        <f t="shared" si="1"/>
        <v>0</v>
      </c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hidden="1" customHeight="1">
      <c r="A839" s="160">
        <v>83823.0</v>
      </c>
      <c r="B839" s="127"/>
      <c r="C839" s="127"/>
      <c r="D839" s="128"/>
      <c r="E839" s="129"/>
      <c r="F839" s="130"/>
      <c r="G839" s="129"/>
      <c r="H839" s="164"/>
      <c r="I839" s="128"/>
      <c r="J839" s="129"/>
      <c r="K839" s="130"/>
      <c r="L839" s="130"/>
      <c r="M839" s="165">
        <f t="shared" si="1"/>
        <v>0</v>
      </c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hidden="1" customHeight="1">
      <c r="A840" s="153">
        <v>83923.0</v>
      </c>
      <c r="B840" s="120"/>
      <c r="C840" s="120"/>
      <c r="D840" s="121"/>
      <c r="E840" s="123"/>
      <c r="F840" s="122"/>
      <c r="G840" s="123"/>
      <c r="H840" s="122"/>
      <c r="I840" s="121"/>
      <c r="J840" s="123"/>
      <c r="K840" s="122"/>
      <c r="L840" s="122"/>
      <c r="M840" s="158">
        <f t="shared" si="1"/>
        <v>0</v>
      </c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hidden="1" customHeight="1">
      <c r="A841" s="160">
        <v>84023.0</v>
      </c>
      <c r="B841" s="127"/>
      <c r="C841" s="127"/>
      <c r="D841" s="128"/>
      <c r="E841" s="129"/>
      <c r="F841" s="130"/>
      <c r="G841" s="129"/>
      <c r="H841" s="164"/>
      <c r="I841" s="128"/>
      <c r="J841" s="129"/>
      <c r="K841" s="130"/>
      <c r="L841" s="130"/>
      <c r="M841" s="165">
        <f t="shared" si="1"/>
        <v>0</v>
      </c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hidden="1" customHeight="1">
      <c r="A842" s="153">
        <v>84123.0</v>
      </c>
      <c r="B842" s="120"/>
      <c r="C842" s="120"/>
      <c r="D842" s="121"/>
      <c r="E842" s="123"/>
      <c r="F842" s="122"/>
      <c r="G842" s="123"/>
      <c r="H842" s="122"/>
      <c r="I842" s="121"/>
      <c r="J842" s="123"/>
      <c r="K842" s="122"/>
      <c r="L842" s="122"/>
      <c r="M842" s="158">
        <f t="shared" si="1"/>
        <v>0</v>
      </c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hidden="1" customHeight="1">
      <c r="A843" s="160">
        <v>84223.0</v>
      </c>
      <c r="B843" s="127"/>
      <c r="C843" s="127"/>
      <c r="D843" s="128"/>
      <c r="E843" s="129"/>
      <c r="F843" s="130"/>
      <c r="G843" s="129"/>
      <c r="H843" s="164"/>
      <c r="I843" s="128"/>
      <c r="J843" s="129"/>
      <c r="K843" s="130"/>
      <c r="L843" s="130"/>
      <c r="M843" s="165">
        <f t="shared" si="1"/>
        <v>0</v>
      </c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hidden="1" customHeight="1">
      <c r="A844" s="153">
        <v>84323.0</v>
      </c>
      <c r="B844" s="120"/>
      <c r="C844" s="120"/>
      <c r="D844" s="121"/>
      <c r="E844" s="123"/>
      <c r="F844" s="122"/>
      <c r="G844" s="123"/>
      <c r="H844" s="122"/>
      <c r="I844" s="121"/>
      <c r="J844" s="123"/>
      <c r="K844" s="122"/>
      <c r="L844" s="122"/>
      <c r="M844" s="158">
        <f t="shared" si="1"/>
        <v>0</v>
      </c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hidden="1" customHeight="1">
      <c r="A845" s="160">
        <v>84423.0</v>
      </c>
      <c r="B845" s="127"/>
      <c r="C845" s="127"/>
      <c r="D845" s="128"/>
      <c r="E845" s="129"/>
      <c r="F845" s="130"/>
      <c r="G845" s="129"/>
      <c r="H845" s="164"/>
      <c r="I845" s="128"/>
      <c r="J845" s="129"/>
      <c r="K845" s="130"/>
      <c r="L845" s="130"/>
      <c r="M845" s="165">
        <f t="shared" si="1"/>
        <v>0</v>
      </c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hidden="1" customHeight="1">
      <c r="A846" s="153">
        <v>84523.0</v>
      </c>
      <c r="B846" s="120"/>
      <c r="C846" s="120"/>
      <c r="D846" s="121"/>
      <c r="E846" s="123"/>
      <c r="F846" s="122"/>
      <c r="G846" s="123"/>
      <c r="H846" s="122"/>
      <c r="I846" s="121"/>
      <c r="J846" s="123"/>
      <c r="K846" s="122"/>
      <c r="L846" s="122"/>
      <c r="M846" s="158">
        <f t="shared" si="1"/>
        <v>0</v>
      </c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hidden="1" customHeight="1">
      <c r="A847" s="160">
        <v>84623.0</v>
      </c>
      <c r="B847" s="127"/>
      <c r="C847" s="127"/>
      <c r="D847" s="128"/>
      <c r="E847" s="129"/>
      <c r="F847" s="130"/>
      <c r="G847" s="129"/>
      <c r="H847" s="164"/>
      <c r="I847" s="128"/>
      <c r="J847" s="129"/>
      <c r="K847" s="130"/>
      <c r="L847" s="130"/>
      <c r="M847" s="165">
        <f t="shared" si="1"/>
        <v>0</v>
      </c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hidden="1" customHeight="1">
      <c r="A848" s="153">
        <v>84723.0</v>
      </c>
      <c r="B848" s="120"/>
      <c r="C848" s="120"/>
      <c r="D848" s="121"/>
      <c r="E848" s="123"/>
      <c r="F848" s="122"/>
      <c r="G848" s="123"/>
      <c r="H848" s="122"/>
      <c r="I848" s="121"/>
      <c r="J848" s="123"/>
      <c r="K848" s="122"/>
      <c r="L848" s="122"/>
      <c r="M848" s="158">
        <f t="shared" si="1"/>
        <v>0</v>
      </c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hidden="1" customHeight="1">
      <c r="A849" s="160">
        <v>84823.0</v>
      </c>
      <c r="B849" s="127"/>
      <c r="C849" s="127"/>
      <c r="D849" s="128"/>
      <c r="E849" s="129"/>
      <c r="F849" s="130"/>
      <c r="G849" s="129"/>
      <c r="H849" s="164"/>
      <c r="I849" s="128"/>
      <c r="J849" s="129"/>
      <c r="K849" s="130"/>
      <c r="L849" s="130"/>
      <c r="M849" s="165">
        <f t="shared" si="1"/>
        <v>0</v>
      </c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hidden="1" customHeight="1">
      <c r="A850" s="153">
        <v>84923.0</v>
      </c>
      <c r="B850" s="120"/>
      <c r="C850" s="120"/>
      <c r="D850" s="121"/>
      <c r="E850" s="123"/>
      <c r="F850" s="122"/>
      <c r="G850" s="123"/>
      <c r="H850" s="122"/>
      <c r="I850" s="121"/>
      <c r="J850" s="123"/>
      <c r="K850" s="122"/>
      <c r="L850" s="122"/>
      <c r="M850" s="158">
        <f t="shared" si="1"/>
        <v>0</v>
      </c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hidden="1" customHeight="1">
      <c r="A851" s="160">
        <v>85023.0</v>
      </c>
      <c r="B851" s="127"/>
      <c r="C851" s="127"/>
      <c r="D851" s="128"/>
      <c r="E851" s="129"/>
      <c r="F851" s="130"/>
      <c r="G851" s="129"/>
      <c r="H851" s="164"/>
      <c r="I851" s="128"/>
      <c r="J851" s="129"/>
      <c r="K851" s="130"/>
      <c r="L851" s="130"/>
      <c r="M851" s="165">
        <f t="shared" si="1"/>
        <v>0</v>
      </c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hidden="1" customHeight="1">
      <c r="A852" s="153">
        <v>85123.0</v>
      </c>
      <c r="B852" s="120"/>
      <c r="C852" s="120"/>
      <c r="D852" s="121"/>
      <c r="E852" s="123"/>
      <c r="F852" s="122"/>
      <c r="G852" s="123"/>
      <c r="H852" s="122"/>
      <c r="I852" s="121"/>
      <c r="J852" s="123"/>
      <c r="K852" s="122"/>
      <c r="L852" s="122"/>
      <c r="M852" s="158">
        <f t="shared" si="1"/>
        <v>0</v>
      </c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hidden="1" customHeight="1">
      <c r="A853" s="160">
        <v>85223.0</v>
      </c>
      <c r="B853" s="127"/>
      <c r="C853" s="127"/>
      <c r="D853" s="128"/>
      <c r="E853" s="129"/>
      <c r="F853" s="130"/>
      <c r="G853" s="129"/>
      <c r="H853" s="164"/>
      <c r="I853" s="128"/>
      <c r="J853" s="129"/>
      <c r="K853" s="130"/>
      <c r="L853" s="130"/>
      <c r="M853" s="165">
        <f t="shared" si="1"/>
        <v>0</v>
      </c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hidden="1" customHeight="1">
      <c r="A854" s="153">
        <v>85323.0</v>
      </c>
      <c r="B854" s="120"/>
      <c r="C854" s="120"/>
      <c r="D854" s="121"/>
      <c r="E854" s="123"/>
      <c r="F854" s="122"/>
      <c r="G854" s="123"/>
      <c r="H854" s="122"/>
      <c r="I854" s="121"/>
      <c r="J854" s="123"/>
      <c r="K854" s="122"/>
      <c r="L854" s="122"/>
      <c r="M854" s="158">
        <f t="shared" si="1"/>
        <v>0</v>
      </c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hidden="1" customHeight="1">
      <c r="A855" s="160">
        <v>85423.0</v>
      </c>
      <c r="B855" s="127"/>
      <c r="C855" s="127"/>
      <c r="D855" s="128"/>
      <c r="E855" s="129"/>
      <c r="F855" s="130"/>
      <c r="G855" s="129"/>
      <c r="H855" s="164"/>
      <c r="I855" s="128"/>
      <c r="J855" s="129"/>
      <c r="K855" s="130"/>
      <c r="L855" s="130"/>
      <c r="M855" s="165">
        <f t="shared" si="1"/>
        <v>0</v>
      </c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hidden="1" customHeight="1">
      <c r="A856" s="153">
        <v>85523.0</v>
      </c>
      <c r="B856" s="120"/>
      <c r="C856" s="120"/>
      <c r="D856" s="121"/>
      <c r="E856" s="123"/>
      <c r="F856" s="122"/>
      <c r="G856" s="123"/>
      <c r="H856" s="122"/>
      <c r="I856" s="121"/>
      <c r="J856" s="123"/>
      <c r="K856" s="122"/>
      <c r="L856" s="122"/>
      <c r="M856" s="158">
        <f t="shared" si="1"/>
        <v>0</v>
      </c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hidden="1" customHeight="1">
      <c r="A857" s="160">
        <v>85623.0</v>
      </c>
      <c r="B857" s="127"/>
      <c r="C857" s="127"/>
      <c r="D857" s="128"/>
      <c r="E857" s="129"/>
      <c r="F857" s="130"/>
      <c r="G857" s="129"/>
      <c r="H857" s="164"/>
      <c r="I857" s="128"/>
      <c r="J857" s="129"/>
      <c r="K857" s="130"/>
      <c r="L857" s="130"/>
      <c r="M857" s="165">
        <f t="shared" si="1"/>
        <v>0</v>
      </c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hidden="1" customHeight="1">
      <c r="A858" s="153">
        <v>85723.0</v>
      </c>
      <c r="B858" s="120"/>
      <c r="C858" s="120"/>
      <c r="D858" s="121"/>
      <c r="E858" s="123"/>
      <c r="F858" s="122"/>
      <c r="G858" s="123"/>
      <c r="H858" s="122"/>
      <c r="I858" s="121"/>
      <c r="J858" s="123"/>
      <c r="K858" s="122"/>
      <c r="L858" s="122"/>
      <c r="M858" s="158">
        <f t="shared" si="1"/>
        <v>0</v>
      </c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hidden="1" customHeight="1">
      <c r="A859" s="160">
        <v>85823.0</v>
      </c>
      <c r="B859" s="127"/>
      <c r="C859" s="127"/>
      <c r="D859" s="128"/>
      <c r="E859" s="129"/>
      <c r="F859" s="130"/>
      <c r="G859" s="129"/>
      <c r="H859" s="164"/>
      <c r="I859" s="128"/>
      <c r="J859" s="129"/>
      <c r="K859" s="130"/>
      <c r="L859" s="130"/>
      <c r="M859" s="165">
        <f t="shared" si="1"/>
        <v>0</v>
      </c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hidden="1" customHeight="1">
      <c r="A860" s="153">
        <v>85923.0</v>
      </c>
      <c r="B860" s="120"/>
      <c r="C860" s="120"/>
      <c r="D860" s="121"/>
      <c r="E860" s="123"/>
      <c r="F860" s="122"/>
      <c r="G860" s="123"/>
      <c r="H860" s="122"/>
      <c r="I860" s="121"/>
      <c r="J860" s="123"/>
      <c r="K860" s="122"/>
      <c r="L860" s="122"/>
      <c r="M860" s="158">
        <f t="shared" si="1"/>
        <v>0</v>
      </c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hidden="1" customHeight="1">
      <c r="A861" s="160">
        <v>86023.0</v>
      </c>
      <c r="B861" s="127"/>
      <c r="C861" s="127"/>
      <c r="D861" s="128"/>
      <c r="E861" s="129"/>
      <c r="F861" s="130"/>
      <c r="G861" s="129"/>
      <c r="H861" s="164"/>
      <c r="I861" s="128"/>
      <c r="J861" s="129"/>
      <c r="K861" s="130"/>
      <c r="L861" s="130"/>
      <c r="M861" s="165">
        <f t="shared" si="1"/>
        <v>0</v>
      </c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hidden="1" customHeight="1">
      <c r="A862" s="153">
        <v>86123.0</v>
      </c>
      <c r="B862" s="120"/>
      <c r="C862" s="120"/>
      <c r="D862" s="121"/>
      <c r="E862" s="123"/>
      <c r="F862" s="122"/>
      <c r="G862" s="123"/>
      <c r="H862" s="122"/>
      <c r="I862" s="121"/>
      <c r="J862" s="123"/>
      <c r="K862" s="122"/>
      <c r="L862" s="122"/>
      <c r="M862" s="158">
        <f t="shared" si="1"/>
        <v>0</v>
      </c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hidden="1" customHeight="1">
      <c r="A863" s="160">
        <v>86223.0</v>
      </c>
      <c r="B863" s="127"/>
      <c r="C863" s="127"/>
      <c r="D863" s="128"/>
      <c r="E863" s="129"/>
      <c r="F863" s="130"/>
      <c r="G863" s="129"/>
      <c r="H863" s="164"/>
      <c r="I863" s="128"/>
      <c r="J863" s="129"/>
      <c r="K863" s="130"/>
      <c r="L863" s="130"/>
      <c r="M863" s="165">
        <f t="shared" si="1"/>
        <v>0</v>
      </c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hidden="1" customHeight="1">
      <c r="A864" s="153">
        <v>86323.0</v>
      </c>
      <c r="B864" s="120"/>
      <c r="C864" s="120"/>
      <c r="D864" s="121"/>
      <c r="E864" s="123"/>
      <c r="F864" s="122"/>
      <c r="G864" s="123"/>
      <c r="H864" s="122"/>
      <c r="I864" s="121"/>
      <c r="J864" s="123"/>
      <c r="K864" s="122"/>
      <c r="L864" s="122"/>
      <c r="M864" s="158">
        <f t="shared" si="1"/>
        <v>0</v>
      </c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hidden="1" customHeight="1">
      <c r="A865" s="160">
        <v>86423.0</v>
      </c>
      <c r="B865" s="127"/>
      <c r="C865" s="127"/>
      <c r="D865" s="128"/>
      <c r="E865" s="129"/>
      <c r="F865" s="130"/>
      <c r="G865" s="129"/>
      <c r="H865" s="164"/>
      <c r="I865" s="128"/>
      <c r="J865" s="129"/>
      <c r="K865" s="130"/>
      <c r="L865" s="130"/>
      <c r="M865" s="165">
        <f t="shared" si="1"/>
        <v>0</v>
      </c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hidden="1" customHeight="1">
      <c r="A866" s="153">
        <v>86523.0</v>
      </c>
      <c r="B866" s="120"/>
      <c r="C866" s="120"/>
      <c r="D866" s="121"/>
      <c r="E866" s="123"/>
      <c r="F866" s="122"/>
      <c r="G866" s="123"/>
      <c r="H866" s="122"/>
      <c r="I866" s="121"/>
      <c r="J866" s="123"/>
      <c r="K866" s="122"/>
      <c r="L866" s="122"/>
      <c r="M866" s="158">
        <f t="shared" si="1"/>
        <v>0</v>
      </c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hidden="1" customHeight="1">
      <c r="A867" s="160">
        <v>86623.0</v>
      </c>
      <c r="B867" s="127"/>
      <c r="C867" s="127"/>
      <c r="D867" s="128"/>
      <c r="E867" s="129"/>
      <c r="F867" s="130"/>
      <c r="G867" s="129"/>
      <c r="H867" s="164"/>
      <c r="I867" s="128"/>
      <c r="J867" s="129"/>
      <c r="K867" s="130"/>
      <c r="L867" s="130"/>
      <c r="M867" s="165">
        <f t="shared" si="1"/>
        <v>0</v>
      </c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hidden="1" customHeight="1">
      <c r="A868" s="153">
        <v>86723.0</v>
      </c>
      <c r="B868" s="120"/>
      <c r="C868" s="120"/>
      <c r="D868" s="121"/>
      <c r="E868" s="123"/>
      <c r="F868" s="122"/>
      <c r="G868" s="123"/>
      <c r="H868" s="122"/>
      <c r="I868" s="121"/>
      <c r="J868" s="123"/>
      <c r="K868" s="122"/>
      <c r="L868" s="122"/>
      <c r="M868" s="158">
        <f t="shared" si="1"/>
        <v>0</v>
      </c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hidden="1" customHeight="1">
      <c r="A869" s="160">
        <v>86823.0</v>
      </c>
      <c r="B869" s="127"/>
      <c r="C869" s="127"/>
      <c r="D869" s="128"/>
      <c r="E869" s="129"/>
      <c r="F869" s="130"/>
      <c r="G869" s="129"/>
      <c r="H869" s="164"/>
      <c r="I869" s="128"/>
      <c r="J869" s="129"/>
      <c r="K869" s="130"/>
      <c r="L869" s="130"/>
      <c r="M869" s="165">
        <f t="shared" si="1"/>
        <v>0</v>
      </c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hidden="1" customHeight="1">
      <c r="A870" s="153">
        <v>86923.0</v>
      </c>
      <c r="B870" s="120"/>
      <c r="C870" s="120"/>
      <c r="D870" s="121"/>
      <c r="E870" s="123"/>
      <c r="F870" s="122"/>
      <c r="G870" s="123"/>
      <c r="H870" s="122"/>
      <c r="I870" s="121"/>
      <c r="J870" s="123"/>
      <c r="K870" s="122"/>
      <c r="L870" s="122"/>
      <c r="M870" s="158">
        <f t="shared" si="1"/>
        <v>0</v>
      </c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hidden="1" customHeight="1">
      <c r="A871" s="160">
        <v>87023.0</v>
      </c>
      <c r="B871" s="127"/>
      <c r="C871" s="127"/>
      <c r="D871" s="128"/>
      <c r="E871" s="129"/>
      <c r="F871" s="130"/>
      <c r="G871" s="129"/>
      <c r="H871" s="164"/>
      <c r="I871" s="128"/>
      <c r="J871" s="129"/>
      <c r="K871" s="130"/>
      <c r="L871" s="130"/>
      <c r="M871" s="165">
        <f t="shared" si="1"/>
        <v>0</v>
      </c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hidden="1" customHeight="1">
      <c r="A872" s="153">
        <v>87123.0</v>
      </c>
      <c r="B872" s="120"/>
      <c r="C872" s="120"/>
      <c r="D872" s="121"/>
      <c r="E872" s="123"/>
      <c r="F872" s="122"/>
      <c r="G872" s="123"/>
      <c r="H872" s="122"/>
      <c r="I872" s="121"/>
      <c r="J872" s="123"/>
      <c r="K872" s="122"/>
      <c r="L872" s="122"/>
      <c r="M872" s="158">
        <f t="shared" si="1"/>
        <v>0</v>
      </c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hidden="1" customHeight="1">
      <c r="A873" s="160">
        <v>87223.0</v>
      </c>
      <c r="B873" s="127"/>
      <c r="C873" s="127"/>
      <c r="D873" s="128"/>
      <c r="E873" s="129"/>
      <c r="F873" s="130"/>
      <c r="G873" s="129"/>
      <c r="H873" s="164"/>
      <c r="I873" s="128"/>
      <c r="J873" s="129"/>
      <c r="K873" s="130"/>
      <c r="L873" s="130"/>
      <c r="M873" s="165">
        <f t="shared" si="1"/>
        <v>0</v>
      </c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hidden="1" customHeight="1">
      <c r="A874" s="153">
        <v>87323.0</v>
      </c>
      <c r="B874" s="120"/>
      <c r="C874" s="120"/>
      <c r="D874" s="121"/>
      <c r="E874" s="123"/>
      <c r="F874" s="122"/>
      <c r="G874" s="123"/>
      <c r="H874" s="122"/>
      <c r="I874" s="121"/>
      <c r="J874" s="123"/>
      <c r="K874" s="122"/>
      <c r="L874" s="122"/>
      <c r="M874" s="158">
        <f t="shared" si="1"/>
        <v>0</v>
      </c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hidden="1" customHeight="1">
      <c r="A875" s="160">
        <v>87423.0</v>
      </c>
      <c r="B875" s="127"/>
      <c r="C875" s="127"/>
      <c r="D875" s="128"/>
      <c r="E875" s="129"/>
      <c r="F875" s="130"/>
      <c r="G875" s="129"/>
      <c r="H875" s="164"/>
      <c r="I875" s="128"/>
      <c r="J875" s="129"/>
      <c r="K875" s="130"/>
      <c r="L875" s="130"/>
      <c r="M875" s="165">
        <f t="shared" si="1"/>
        <v>0</v>
      </c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hidden="1" customHeight="1">
      <c r="A876" s="153">
        <v>87523.0</v>
      </c>
      <c r="B876" s="120"/>
      <c r="C876" s="120"/>
      <c r="D876" s="121"/>
      <c r="E876" s="123"/>
      <c r="F876" s="122"/>
      <c r="G876" s="123"/>
      <c r="H876" s="122"/>
      <c r="I876" s="121"/>
      <c r="J876" s="123"/>
      <c r="K876" s="122"/>
      <c r="L876" s="122"/>
      <c r="M876" s="158">
        <f t="shared" si="1"/>
        <v>0</v>
      </c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hidden="1" customHeight="1">
      <c r="A877" s="160">
        <v>87623.0</v>
      </c>
      <c r="B877" s="127"/>
      <c r="C877" s="127"/>
      <c r="D877" s="128"/>
      <c r="E877" s="129"/>
      <c r="F877" s="130"/>
      <c r="G877" s="129"/>
      <c r="H877" s="164"/>
      <c r="I877" s="128"/>
      <c r="J877" s="129"/>
      <c r="K877" s="130"/>
      <c r="L877" s="130"/>
      <c r="M877" s="165">
        <f t="shared" si="1"/>
        <v>0</v>
      </c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hidden="1" customHeight="1">
      <c r="A878" s="153">
        <v>87723.0</v>
      </c>
      <c r="B878" s="120"/>
      <c r="C878" s="120"/>
      <c r="D878" s="121"/>
      <c r="E878" s="123"/>
      <c r="F878" s="122"/>
      <c r="G878" s="123"/>
      <c r="H878" s="122"/>
      <c r="I878" s="121"/>
      <c r="J878" s="123"/>
      <c r="K878" s="122"/>
      <c r="L878" s="122"/>
      <c r="M878" s="158">
        <f t="shared" si="1"/>
        <v>0</v>
      </c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hidden="1" customHeight="1">
      <c r="A879" s="160">
        <v>87823.0</v>
      </c>
      <c r="B879" s="127"/>
      <c r="C879" s="127"/>
      <c r="D879" s="128"/>
      <c r="E879" s="129"/>
      <c r="F879" s="130"/>
      <c r="G879" s="129"/>
      <c r="H879" s="164"/>
      <c r="I879" s="128"/>
      <c r="J879" s="129"/>
      <c r="K879" s="130"/>
      <c r="L879" s="130"/>
      <c r="M879" s="165">
        <f t="shared" si="1"/>
        <v>0</v>
      </c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hidden="1" customHeight="1">
      <c r="A880" s="153">
        <v>87923.0</v>
      </c>
      <c r="B880" s="120"/>
      <c r="C880" s="120"/>
      <c r="D880" s="121"/>
      <c r="E880" s="123"/>
      <c r="F880" s="122"/>
      <c r="G880" s="123"/>
      <c r="H880" s="122"/>
      <c r="I880" s="121"/>
      <c r="J880" s="123"/>
      <c r="K880" s="122"/>
      <c r="L880" s="122"/>
      <c r="M880" s="158">
        <f t="shared" si="1"/>
        <v>0</v>
      </c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hidden="1" customHeight="1">
      <c r="A881" s="160">
        <v>88023.0</v>
      </c>
      <c r="B881" s="127"/>
      <c r="C881" s="127"/>
      <c r="D881" s="128"/>
      <c r="E881" s="129"/>
      <c r="F881" s="130"/>
      <c r="G881" s="129"/>
      <c r="H881" s="164"/>
      <c r="I881" s="128"/>
      <c r="J881" s="129"/>
      <c r="K881" s="130"/>
      <c r="L881" s="130"/>
      <c r="M881" s="165">
        <f t="shared" si="1"/>
        <v>0</v>
      </c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hidden="1" customHeight="1">
      <c r="A882" s="153">
        <v>88123.0</v>
      </c>
      <c r="B882" s="120"/>
      <c r="C882" s="120"/>
      <c r="D882" s="121"/>
      <c r="E882" s="123"/>
      <c r="F882" s="122"/>
      <c r="G882" s="123"/>
      <c r="H882" s="122"/>
      <c r="I882" s="121"/>
      <c r="J882" s="123"/>
      <c r="K882" s="122"/>
      <c r="L882" s="122"/>
      <c r="M882" s="158">
        <f t="shared" si="1"/>
        <v>0</v>
      </c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hidden="1" customHeight="1">
      <c r="A883" s="160">
        <v>88223.0</v>
      </c>
      <c r="B883" s="127"/>
      <c r="C883" s="127"/>
      <c r="D883" s="128"/>
      <c r="E883" s="129"/>
      <c r="F883" s="130"/>
      <c r="G883" s="129"/>
      <c r="H883" s="164"/>
      <c r="I883" s="128"/>
      <c r="J883" s="129"/>
      <c r="K883" s="130"/>
      <c r="L883" s="130"/>
      <c r="M883" s="165">
        <f t="shared" si="1"/>
        <v>0</v>
      </c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hidden="1" customHeight="1">
      <c r="A884" s="153">
        <v>88323.0</v>
      </c>
      <c r="B884" s="120"/>
      <c r="C884" s="120"/>
      <c r="D884" s="121"/>
      <c r="E884" s="123"/>
      <c r="F884" s="122"/>
      <c r="G884" s="123"/>
      <c r="H884" s="122"/>
      <c r="I884" s="121"/>
      <c r="J884" s="123"/>
      <c r="K884" s="122"/>
      <c r="L884" s="122"/>
      <c r="M884" s="158">
        <f t="shared" si="1"/>
        <v>0</v>
      </c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hidden="1" customHeight="1">
      <c r="A885" s="160">
        <v>88423.0</v>
      </c>
      <c r="B885" s="127"/>
      <c r="C885" s="127"/>
      <c r="D885" s="128"/>
      <c r="E885" s="129"/>
      <c r="F885" s="130"/>
      <c r="G885" s="129"/>
      <c r="H885" s="164"/>
      <c r="I885" s="128"/>
      <c r="J885" s="129"/>
      <c r="K885" s="130"/>
      <c r="L885" s="130"/>
      <c r="M885" s="165">
        <f t="shared" si="1"/>
        <v>0</v>
      </c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hidden="1" customHeight="1">
      <c r="A886" s="153">
        <v>88523.0</v>
      </c>
      <c r="B886" s="120"/>
      <c r="C886" s="120"/>
      <c r="D886" s="121"/>
      <c r="E886" s="123"/>
      <c r="F886" s="122"/>
      <c r="G886" s="123"/>
      <c r="H886" s="122"/>
      <c r="I886" s="121"/>
      <c r="J886" s="123"/>
      <c r="K886" s="122"/>
      <c r="L886" s="122"/>
      <c r="M886" s="158">
        <f t="shared" si="1"/>
        <v>0</v>
      </c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hidden="1" customHeight="1">
      <c r="A887" s="160">
        <v>88623.0</v>
      </c>
      <c r="B887" s="127"/>
      <c r="C887" s="127"/>
      <c r="D887" s="128"/>
      <c r="E887" s="129"/>
      <c r="F887" s="130"/>
      <c r="G887" s="129"/>
      <c r="H887" s="164"/>
      <c r="I887" s="128"/>
      <c r="J887" s="129"/>
      <c r="K887" s="130"/>
      <c r="L887" s="130"/>
      <c r="M887" s="165">
        <f t="shared" si="1"/>
        <v>0</v>
      </c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hidden="1" customHeight="1">
      <c r="A888" s="153">
        <v>88723.0</v>
      </c>
      <c r="B888" s="120"/>
      <c r="C888" s="120"/>
      <c r="D888" s="121"/>
      <c r="E888" s="123"/>
      <c r="F888" s="122"/>
      <c r="G888" s="123"/>
      <c r="H888" s="122"/>
      <c r="I888" s="121"/>
      <c r="J888" s="123"/>
      <c r="K888" s="122"/>
      <c r="L888" s="122"/>
      <c r="M888" s="158">
        <f t="shared" si="1"/>
        <v>0</v>
      </c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hidden="1" customHeight="1">
      <c r="A889" s="160">
        <v>88823.0</v>
      </c>
      <c r="B889" s="127"/>
      <c r="C889" s="127"/>
      <c r="D889" s="128"/>
      <c r="E889" s="129"/>
      <c r="F889" s="130"/>
      <c r="G889" s="129"/>
      <c r="H889" s="164"/>
      <c r="I889" s="128"/>
      <c r="J889" s="129"/>
      <c r="K889" s="130"/>
      <c r="L889" s="130"/>
      <c r="M889" s="165">
        <f t="shared" si="1"/>
        <v>0</v>
      </c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hidden="1" customHeight="1">
      <c r="A890" s="153">
        <v>88923.0</v>
      </c>
      <c r="B890" s="120"/>
      <c r="C890" s="120"/>
      <c r="D890" s="121"/>
      <c r="E890" s="123"/>
      <c r="F890" s="122"/>
      <c r="G890" s="123"/>
      <c r="H890" s="122"/>
      <c r="I890" s="121"/>
      <c r="J890" s="123"/>
      <c r="K890" s="122"/>
      <c r="L890" s="122"/>
      <c r="M890" s="158">
        <f t="shared" si="1"/>
        <v>0</v>
      </c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hidden="1" customHeight="1">
      <c r="A891" s="160">
        <v>89023.0</v>
      </c>
      <c r="B891" s="127"/>
      <c r="C891" s="127"/>
      <c r="D891" s="128"/>
      <c r="E891" s="129"/>
      <c r="F891" s="130"/>
      <c r="G891" s="129"/>
      <c r="H891" s="164"/>
      <c r="I891" s="128"/>
      <c r="J891" s="129"/>
      <c r="K891" s="130"/>
      <c r="L891" s="130"/>
      <c r="M891" s="165">
        <f t="shared" si="1"/>
        <v>0</v>
      </c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hidden="1" customHeight="1">
      <c r="A892" s="153">
        <v>89123.0</v>
      </c>
      <c r="B892" s="120"/>
      <c r="C892" s="120"/>
      <c r="D892" s="121"/>
      <c r="E892" s="123"/>
      <c r="F892" s="122"/>
      <c r="G892" s="123"/>
      <c r="H892" s="122"/>
      <c r="I892" s="121"/>
      <c r="J892" s="123"/>
      <c r="K892" s="122"/>
      <c r="L892" s="122"/>
      <c r="M892" s="158">
        <f t="shared" si="1"/>
        <v>0</v>
      </c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hidden="1" customHeight="1">
      <c r="A893" s="160">
        <v>89223.0</v>
      </c>
      <c r="B893" s="127"/>
      <c r="C893" s="127"/>
      <c r="D893" s="128"/>
      <c r="E893" s="129"/>
      <c r="F893" s="130"/>
      <c r="G893" s="129"/>
      <c r="H893" s="164"/>
      <c r="I893" s="128"/>
      <c r="J893" s="129"/>
      <c r="K893" s="130"/>
      <c r="L893" s="130"/>
      <c r="M893" s="165">
        <f t="shared" si="1"/>
        <v>0</v>
      </c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hidden="1" customHeight="1">
      <c r="A894" s="153">
        <v>89323.0</v>
      </c>
      <c r="B894" s="120"/>
      <c r="C894" s="120"/>
      <c r="D894" s="121"/>
      <c r="E894" s="123"/>
      <c r="F894" s="122"/>
      <c r="G894" s="123"/>
      <c r="H894" s="122"/>
      <c r="I894" s="121"/>
      <c r="J894" s="123"/>
      <c r="K894" s="122"/>
      <c r="L894" s="122"/>
      <c r="M894" s="158">
        <f t="shared" si="1"/>
        <v>0</v>
      </c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hidden="1" customHeight="1">
      <c r="A895" s="160">
        <v>89423.0</v>
      </c>
      <c r="B895" s="127"/>
      <c r="C895" s="127"/>
      <c r="D895" s="128"/>
      <c r="E895" s="129"/>
      <c r="F895" s="130"/>
      <c r="G895" s="129"/>
      <c r="H895" s="164"/>
      <c r="I895" s="128"/>
      <c r="J895" s="129"/>
      <c r="K895" s="130"/>
      <c r="L895" s="130"/>
      <c r="M895" s="165">
        <f t="shared" si="1"/>
        <v>0</v>
      </c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hidden="1" customHeight="1">
      <c r="A896" s="153">
        <v>89523.0</v>
      </c>
      <c r="B896" s="120"/>
      <c r="C896" s="120"/>
      <c r="D896" s="121"/>
      <c r="E896" s="123"/>
      <c r="F896" s="122"/>
      <c r="G896" s="123"/>
      <c r="H896" s="122"/>
      <c r="I896" s="121"/>
      <c r="J896" s="123"/>
      <c r="K896" s="122"/>
      <c r="L896" s="122"/>
      <c r="M896" s="158">
        <f t="shared" si="1"/>
        <v>0</v>
      </c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hidden="1" customHeight="1">
      <c r="A897" s="160">
        <v>89623.0</v>
      </c>
      <c r="B897" s="127"/>
      <c r="C897" s="127"/>
      <c r="D897" s="128"/>
      <c r="E897" s="129"/>
      <c r="F897" s="130"/>
      <c r="G897" s="129"/>
      <c r="H897" s="164"/>
      <c r="I897" s="128"/>
      <c r="J897" s="129"/>
      <c r="K897" s="130"/>
      <c r="L897" s="130"/>
      <c r="M897" s="165">
        <f t="shared" si="1"/>
        <v>0</v>
      </c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hidden="1" customHeight="1">
      <c r="A898" s="153">
        <v>89723.0</v>
      </c>
      <c r="B898" s="120"/>
      <c r="C898" s="120"/>
      <c r="D898" s="121"/>
      <c r="E898" s="123"/>
      <c r="F898" s="122"/>
      <c r="G898" s="123"/>
      <c r="H898" s="122"/>
      <c r="I898" s="121"/>
      <c r="J898" s="123"/>
      <c r="K898" s="122"/>
      <c r="L898" s="122"/>
      <c r="M898" s="158">
        <f t="shared" si="1"/>
        <v>0</v>
      </c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hidden="1" customHeight="1">
      <c r="A899" s="160">
        <v>89823.0</v>
      </c>
      <c r="B899" s="127"/>
      <c r="C899" s="127"/>
      <c r="D899" s="128"/>
      <c r="E899" s="129"/>
      <c r="F899" s="130"/>
      <c r="G899" s="129"/>
      <c r="H899" s="164"/>
      <c r="I899" s="128"/>
      <c r="J899" s="129"/>
      <c r="K899" s="130"/>
      <c r="L899" s="130"/>
      <c r="M899" s="165">
        <f t="shared" si="1"/>
        <v>0</v>
      </c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hidden="1" customHeight="1">
      <c r="A900" s="153">
        <v>89923.0</v>
      </c>
      <c r="B900" s="120"/>
      <c r="C900" s="120"/>
      <c r="D900" s="121"/>
      <c r="E900" s="123"/>
      <c r="F900" s="122"/>
      <c r="G900" s="123"/>
      <c r="H900" s="122"/>
      <c r="I900" s="121"/>
      <c r="J900" s="123"/>
      <c r="K900" s="122"/>
      <c r="L900" s="122"/>
      <c r="M900" s="158">
        <f t="shared" si="1"/>
        <v>0</v>
      </c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hidden="1" customHeight="1">
      <c r="A901" s="160">
        <v>90023.0</v>
      </c>
      <c r="B901" s="127"/>
      <c r="C901" s="127"/>
      <c r="D901" s="128"/>
      <c r="E901" s="129"/>
      <c r="F901" s="130"/>
      <c r="G901" s="129"/>
      <c r="H901" s="164"/>
      <c r="I901" s="128"/>
      <c r="J901" s="129"/>
      <c r="K901" s="130"/>
      <c r="L901" s="130"/>
      <c r="M901" s="165">
        <f t="shared" si="1"/>
        <v>0</v>
      </c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hidden="1" customHeight="1">
      <c r="A902" s="153">
        <v>90123.0</v>
      </c>
      <c r="B902" s="120"/>
      <c r="C902" s="120"/>
      <c r="D902" s="121"/>
      <c r="E902" s="123"/>
      <c r="F902" s="122"/>
      <c r="G902" s="123"/>
      <c r="H902" s="122"/>
      <c r="I902" s="121"/>
      <c r="J902" s="123"/>
      <c r="K902" s="122"/>
      <c r="L902" s="122"/>
      <c r="M902" s="158">
        <f t="shared" si="1"/>
        <v>0</v>
      </c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hidden="1" customHeight="1">
      <c r="A903" s="160">
        <v>90223.0</v>
      </c>
      <c r="B903" s="127"/>
      <c r="C903" s="127"/>
      <c r="D903" s="128"/>
      <c r="E903" s="129"/>
      <c r="F903" s="130"/>
      <c r="G903" s="129"/>
      <c r="H903" s="164"/>
      <c r="I903" s="128"/>
      <c r="J903" s="129"/>
      <c r="K903" s="130"/>
      <c r="L903" s="130"/>
      <c r="M903" s="165">
        <f t="shared" si="1"/>
        <v>0</v>
      </c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hidden="1" customHeight="1">
      <c r="A904" s="153">
        <v>90323.0</v>
      </c>
      <c r="B904" s="120"/>
      <c r="C904" s="120"/>
      <c r="D904" s="121"/>
      <c r="E904" s="123"/>
      <c r="F904" s="122"/>
      <c r="G904" s="123"/>
      <c r="H904" s="122"/>
      <c r="I904" s="121"/>
      <c r="J904" s="123"/>
      <c r="K904" s="122"/>
      <c r="L904" s="122"/>
      <c r="M904" s="158">
        <f t="shared" si="1"/>
        <v>0</v>
      </c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hidden="1" customHeight="1">
      <c r="A905" s="160">
        <v>90423.0</v>
      </c>
      <c r="B905" s="127"/>
      <c r="C905" s="127"/>
      <c r="D905" s="128"/>
      <c r="E905" s="129"/>
      <c r="F905" s="130"/>
      <c r="G905" s="129"/>
      <c r="H905" s="164"/>
      <c r="I905" s="128"/>
      <c r="J905" s="129"/>
      <c r="K905" s="130"/>
      <c r="L905" s="130"/>
      <c r="M905" s="165">
        <f t="shared" si="1"/>
        <v>0</v>
      </c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hidden="1" customHeight="1">
      <c r="A906" s="153">
        <v>90523.0</v>
      </c>
      <c r="B906" s="120"/>
      <c r="C906" s="120"/>
      <c r="D906" s="121"/>
      <c r="E906" s="123"/>
      <c r="F906" s="122"/>
      <c r="G906" s="123"/>
      <c r="H906" s="122"/>
      <c r="I906" s="121"/>
      <c r="J906" s="123"/>
      <c r="K906" s="122"/>
      <c r="L906" s="122"/>
      <c r="M906" s="158">
        <f t="shared" si="1"/>
        <v>0</v>
      </c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hidden="1" customHeight="1">
      <c r="A907" s="160">
        <v>90623.0</v>
      </c>
      <c r="B907" s="127"/>
      <c r="C907" s="127"/>
      <c r="D907" s="128"/>
      <c r="E907" s="129"/>
      <c r="F907" s="130"/>
      <c r="G907" s="129"/>
      <c r="H907" s="164"/>
      <c r="I907" s="128"/>
      <c r="J907" s="129"/>
      <c r="K907" s="130"/>
      <c r="L907" s="130"/>
      <c r="M907" s="165">
        <f t="shared" si="1"/>
        <v>0</v>
      </c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hidden="1" customHeight="1">
      <c r="A908" s="153">
        <v>90723.0</v>
      </c>
      <c r="B908" s="120"/>
      <c r="C908" s="120"/>
      <c r="D908" s="121"/>
      <c r="E908" s="123"/>
      <c r="F908" s="122"/>
      <c r="G908" s="123"/>
      <c r="H908" s="122"/>
      <c r="I908" s="121"/>
      <c r="J908" s="123"/>
      <c r="K908" s="122"/>
      <c r="L908" s="122"/>
      <c r="M908" s="158">
        <f t="shared" si="1"/>
        <v>0</v>
      </c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hidden="1" customHeight="1">
      <c r="A909" s="160">
        <v>90823.0</v>
      </c>
      <c r="B909" s="127"/>
      <c r="C909" s="127"/>
      <c r="D909" s="128"/>
      <c r="E909" s="129"/>
      <c r="F909" s="130"/>
      <c r="G909" s="129"/>
      <c r="H909" s="164"/>
      <c r="I909" s="128"/>
      <c r="J909" s="129"/>
      <c r="K909" s="130"/>
      <c r="L909" s="130"/>
      <c r="M909" s="165">
        <f t="shared" si="1"/>
        <v>0</v>
      </c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hidden="1" customHeight="1">
      <c r="A910" s="153">
        <v>90923.0</v>
      </c>
      <c r="B910" s="120"/>
      <c r="C910" s="120"/>
      <c r="D910" s="121"/>
      <c r="E910" s="123"/>
      <c r="F910" s="122"/>
      <c r="G910" s="123"/>
      <c r="H910" s="122"/>
      <c r="I910" s="121"/>
      <c r="J910" s="123"/>
      <c r="K910" s="122"/>
      <c r="L910" s="122"/>
      <c r="M910" s="158">
        <f t="shared" si="1"/>
        <v>0</v>
      </c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hidden="1" customHeight="1">
      <c r="A911" s="160">
        <v>91023.0</v>
      </c>
      <c r="B911" s="127"/>
      <c r="C911" s="127"/>
      <c r="D911" s="128"/>
      <c r="E911" s="129"/>
      <c r="F911" s="130"/>
      <c r="G911" s="129"/>
      <c r="H911" s="164"/>
      <c r="I911" s="128"/>
      <c r="J911" s="129"/>
      <c r="K911" s="130"/>
      <c r="L911" s="130"/>
      <c r="M911" s="165">
        <f t="shared" si="1"/>
        <v>0</v>
      </c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hidden="1" customHeight="1">
      <c r="A912" s="153">
        <v>91123.0</v>
      </c>
      <c r="B912" s="120"/>
      <c r="C912" s="120"/>
      <c r="D912" s="121"/>
      <c r="E912" s="123"/>
      <c r="F912" s="122"/>
      <c r="G912" s="123"/>
      <c r="H912" s="122"/>
      <c r="I912" s="121"/>
      <c r="J912" s="123"/>
      <c r="K912" s="122"/>
      <c r="L912" s="122"/>
      <c r="M912" s="158">
        <f t="shared" si="1"/>
        <v>0</v>
      </c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hidden="1" customHeight="1">
      <c r="A913" s="160">
        <v>91223.0</v>
      </c>
      <c r="B913" s="127"/>
      <c r="C913" s="127"/>
      <c r="D913" s="128"/>
      <c r="E913" s="129"/>
      <c r="F913" s="130"/>
      <c r="G913" s="129"/>
      <c r="H913" s="164"/>
      <c r="I913" s="128"/>
      <c r="J913" s="129"/>
      <c r="K913" s="130"/>
      <c r="L913" s="130"/>
      <c r="M913" s="165">
        <f t="shared" si="1"/>
        <v>0</v>
      </c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hidden="1" customHeight="1">
      <c r="A914" s="153">
        <v>91323.0</v>
      </c>
      <c r="B914" s="120"/>
      <c r="C914" s="120"/>
      <c r="D914" s="121"/>
      <c r="E914" s="123"/>
      <c r="F914" s="122"/>
      <c r="G914" s="123"/>
      <c r="H914" s="122"/>
      <c r="I914" s="121"/>
      <c r="J914" s="123"/>
      <c r="K914" s="122"/>
      <c r="L914" s="122"/>
      <c r="M914" s="158">
        <f t="shared" si="1"/>
        <v>0</v>
      </c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hidden="1" customHeight="1">
      <c r="A915" s="160">
        <v>91423.0</v>
      </c>
      <c r="B915" s="127"/>
      <c r="C915" s="127"/>
      <c r="D915" s="128"/>
      <c r="E915" s="129"/>
      <c r="F915" s="130"/>
      <c r="G915" s="129"/>
      <c r="H915" s="164"/>
      <c r="I915" s="128"/>
      <c r="J915" s="129"/>
      <c r="K915" s="130"/>
      <c r="L915" s="130"/>
      <c r="M915" s="165">
        <f t="shared" si="1"/>
        <v>0</v>
      </c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hidden="1" customHeight="1">
      <c r="A916" s="153">
        <v>91523.0</v>
      </c>
      <c r="B916" s="120"/>
      <c r="C916" s="120"/>
      <c r="D916" s="121"/>
      <c r="E916" s="123"/>
      <c r="F916" s="122"/>
      <c r="G916" s="123"/>
      <c r="H916" s="122"/>
      <c r="I916" s="121"/>
      <c r="J916" s="123"/>
      <c r="K916" s="122"/>
      <c r="L916" s="122"/>
      <c r="M916" s="158">
        <f t="shared" si="1"/>
        <v>0</v>
      </c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hidden="1" customHeight="1">
      <c r="A917" s="160">
        <v>91623.0</v>
      </c>
      <c r="B917" s="127"/>
      <c r="C917" s="127"/>
      <c r="D917" s="128"/>
      <c r="E917" s="129"/>
      <c r="F917" s="130"/>
      <c r="G917" s="129"/>
      <c r="H917" s="164"/>
      <c r="I917" s="128"/>
      <c r="J917" s="129"/>
      <c r="K917" s="130"/>
      <c r="L917" s="130"/>
      <c r="M917" s="165">
        <f t="shared" si="1"/>
        <v>0</v>
      </c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hidden="1" customHeight="1">
      <c r="A918" s="153">
        <v>91723.0</v>
      </c>
      <c r="B918" s="120"/>
      <c r="C918" s="120"/>
      <c r="D918" s="121"/>
      <c r="E918" s="123"/>
      <c r="F918" s="122"/>
      <c r="G918" s="123"/>
      <c r="H918" s="122"/>
      <c r="I918" s="121"/>
      <c r="J918" s="123"/>
      <c r="K918" s="122"/>
      <c r="L918" s="122"/>
      <c r="M918" s="158">
        <f t="shared" si="1"/>
        <v>0</v>
      </c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hidden="1" customHeight="1">
      <c r="A919" s="160">
        <v>91823.0</v>
      </c>
      <c r="B919" s="127"/>
      <c r="C919" s="127"/>
      <c r="D919" s="128"/>
      <c r="E919" s="129"/>
      <c r="F919" s="130"/>
      <c r="G919" s="129"/>
      <c r="H919" s="164"/>
      <c r="I919" s="128"/>
      <c r="J919" s="129"/>
      <c r="K919" s="130"/>
      <c r="L919" s="130"/>
      <c r="M919" s="165">
        <f t="shared" si="1"/>
        <v>0</v>
      </c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hidden="1" customHeight="1">
      <c r="A920" s="153">
        <v>91923.0</v>
      </c>
      <c r="B920" s="120"/>
      <c r="C920" s="120"/>
      <c r="D920" s="121"/>
      <c r="E920" s="123"/>
      <c r="F920" s="122"/>
      <c r="G920" s="123"/>
      <c r="H920" s="122"/>
      <c r="I920" s="121"/>
      <c r="J920" s="123"/>
      <c r="K920" s="122"/>
      <c r="L920" s="122"/>
      <c r="M920" s="158">
        <f t="shared" si="1"/>
        <v>0</v>
      </c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hidden="1" customHeight="1">
      <c r="A921" s="160">
        <v>92023.0</v>
      </c>
      <c r="B921" s="127"/>
      <c r="C921" s="127"/>
      <c r="D921" s="128"/>
      <c r="E921" s="129"/>
      <c r="F921" s="130"/>
      <c r="G921" s="129"/>
      <c r="H921" s="164"/>
      <c r="I921" s="128"/>
      <c r="J921" s="129"/>
      <c r="K921" s="130"/>
      <c r="L921" s="130"/>
      <c r="M921" s="165">
        <f t="shared" si="1"/>
        <v>0</v>
      </c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hidden="1" customHeight="1">
      <c r="A922" s="153">
        <v>92123.0</v>
      </c>
      <c r="B922" s="120"/>
      <c r="C922" s="120"/>
      <c r="D922" s="121"/>
      <c r="E922" s="123"/>
      <c r="F922" s="122"/>
      <c r="G922" s="123"/>
      <c r="H922" s="122"/>
      <c r="I922" s="121"/>
      <c r="J922" s="123"/>
      <c r="K922" s="122"/>
      <c r="L922" s="122"/>
      <c r="M922" s="158">
        <f t="shared" si="1"/>
        <v>0</v>
      </c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hidden="1" customHeight="1">
      <c r="A923" s="160">
        <v>92223.0</v>
      </c>
      <c r="B923" s="127"/>
      <c r="C923" s="127"/>
      <c r="D923" s="128"/>
      <c r="E923" s="129"/>
      <c r="F923" s="130"/>
      <c r="G923" s="129"/>
      <c r="H923" s="164"/>
      <c r="I923" s="128"/>
      <c r="J923" s="129"/>
      <c r="K923" s="130"/>
      <c r="L923" s="130"/>
      <c r="M923" s="165">
        <f t="shared" si="1"/>
        <v>0</v>
      </c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hidden="1" customHeight="1">
      <c r="A924" s="153">
        <v>92323.0</v>
      </c>
      <c r="B924" s="120"/>
      <c r="C924" s="120"/>
      <c r="D924" s="121"/>
      <c r="E924" s="123"/>
      <c r="F924" s="122"/>
      <c r="G924" s="123"/>
      <c r="H924" s="122"/>
      <c r="I924" s="121"/>
      <c r="J924" s="123"/>
      <c r="K924" s="122"/>
      <c r="L924" s="122"/>
      <c r="M924" s="158">
        <f t="shared" si="1"/>
        <v>0</v>
      </c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hidden="1" customHeight="1">
      <c r="A925" s="160">
        <v>92423.0</v>
      </c>
      <c r="B925" s="127"/>
      <c r="C925" s="127"/>
      <c r="D925" s="128"/>
      <c r="E925" s="129"/>
      <c r="F925" s="130"/>
      <c r="G925" s="129"/>
      <c r="H925" s="164"/>
      <c r="I925" s="128"/>
      <c r="J925" s="129"/>
      <c r="K925" s="130"/>
      <c r="L925" s="130"/>
      <c r="M925" s="165">
        <f t="shared" si="1"/>
        <v>0</v>
      </c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hidden="1" customHeight="1">
      <c r="A926" s="153">
        <v>92523.0</v>
      </c>
      <c r="B926" s="120"/>
      <c r="C926" s="120"/>
      <c r="D926" s="121"/>
      <c r="E926" s="123"/>
      <c r="F926" s="122"/>
      <c r="G926" s="123"/>
      <c r="H926" s="122"/>
      <c r="I926" s="121"/>
      <c r="J926" s="123"/>
      <c r="K926" s="122"/>
      <c r="L926" s="122"/>
      <c r="M926" s="158">
        <f t="shared" si="1"/>
        <v>0</v>
      </c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hidden="1" customHeight="1">
      <c r="A927" s="160">
        <v>92623.0</v>
      </c>
      <c r="B927" s="127"/>
      <c r="C927" s="127"/>
      <c r="D927" s="128"/>
      <c r="E927" s="129"/>
      <c r="F927" s="130"/>
      <c r="G927" s="129"/>
      <c r="H927" s="164"/>
      <c r="I927" s="128"/>
      <c r="J927" s="129"/>
      <c r="K927" s="130"/>
      <c r="L927" s="130"/>
      <c r="M927" s="165">
        <f t="shared" si="1"/>
        <v>0</v>
      </c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hidden="1" customHeight="1">
      <c r="A928" s="153">
        <v>92723.0</v>
      </c>
      <c r="B928" s="120"/>
      <c r="C928" s="120"/>
      <c r="D928" s="121"/>
      <c r="E928" s="123"/>
      <c r="F928" s="122"/>
      <c r="G928" s="123"/>
      <c r="H928" s="122"/>
      <c r="I928" s="121"/>
      <c r="J928" s="123"/>
      <c r="K928" s="122"/>
      <c r="L928" s="122"/>
      <c r="M928" s="158">
        <f t="shared" si="1"/>
        <v>0</v>
      </c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hidden="1" customHeight="1">
      <c r="A929" s="160">
        <v>92823.0</v>
      </c>
      <c r="B929" s="127"/>
      <c r="C929" s="127"/>
      <c r="D929" s="128"/>
      <c r="E929" s="129"/>
      <c r="F929" s="130"/>
      <c r="G929" s="129"/>
      <c r="H929" s="164"/>
      <c r="I929" s="128"/>
      <c r="J929" s="129"/>
      <c r="K929" s="130"/>
      <c r="L929" s="130"/>
      <c r="M929" s="165">
        <f t="shared" si="1"/>
        <v>0</v>
      </c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hidden="1" customHeight="1">
      <c r="A930" s="153">
        <v>92923.0</v>
      </c>
      <c r="B930" s="120"/>
      <c r="C930" s="120"/>
      <c r="D930" s="121"/>
      <c r="E930" s="123"/>
      <c r="F930" s="122"/>
      <c r="G930" s="123"/>
      <c r="H930" s="122"/>
      <c r="I930" s="121"/>
      <c r="J930" s="123"/>
      <c r="K930" s="122"/>
      <c r="L930" s="122"/>
      <c r="M930" s="158">
        <f t="shared" si="1"/>
        <v>0</v>
      </c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hidden="1" customHeight="1">
      <c r="A931" s="160">
        <v>93023.0</v>
      </c>
      <c r="B931" s="127"/>
      <c r="C931" s="127"/>
      <c r="D931" s="128"/>
      <c r="E931" s="129"/>
      <c r="F931" s="130"/>
      <c r="G931" s="129"/>
      <c r="H931" s="164"/>
      <c r="I931" s="128"/>
      <c r="J931" s="129"/>
      <c r="K931" s="130"/>
      <c r="L931" s="130"/>
      <c r="M931" s="165">
        <f t="shared" si="1"/>
        <v>0</v>
      </c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hidden="1" customHeight="1">
      <c r="A932" s="153">
        <v>93123.0</v>
      </c>
      <c r="B932" s="120"/>
      <c r="C932" s="120"/>
      <c r="D932" s="121"/>
      <c r="E932" s="123"/>
      <c r="F932" s="122"/>
      <c r="G932" s="123"/>
      <c r="H932" s="122"/>
      <c r="I932" s="121"/>
      <c r="J932" s="123"/>
      <c r="K932" s="122"/>
      <c r="L932" s="122"/>
      <c r="M932" s="158">
        <f t="shared" si="1"/>
        <v>0</v>
      </c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hidden="1" customHeight="1">
      <c r="A933" s="160">
        <v>93223.0</v>
      </c>
      <c r="B933" s="127"/>
      <c r="C933" s="127"/>
      <c r="D933" s="128"/>
      <c r="E933" s="129"/>
      <c r="F933" s="130"/>
      <c r="G933" s="129"/>
      <c r="H933" s="164"/>
      <c r="I933" s="128"/>
      <c r="J933" s="129"/>
      <c r="K933" s="130"/>
      <c r="L933" s="130"/>
      <c r="M933" s="165">
        <f t="shared" si="1"/>
        <v>0</v>
      </c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hidden="1" customHeight="1">
      <c r="A934" s="153">
        <v>93323.0</v>
      </c>
      <c r="B934" s="120"/>
      <c r="C934" s="120"/>
      <c r="D934" s="121"/>
      <c r="E934" s="123"/>
      <c r="F934" s="122"/>
      <c r="G934" s="123"/>
      <c r="H934" s="122"/>
      <c r="I934" s="121"/>
      <c r="J934" s="123"/>
      <c r="K934" s="122"/>
      <c r="L934" s="122"/>
      <c r="M934" s="158">
        <f t="shared" si="1"/>
        <v>0</v>
      </c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hidden="1" customHeight="1">
      <c r="A935" s="160">
        <v>93423.0</v>
      </c>
      <c r="B935" s="127"/>
      <c r="C935" s="127"/>
      <c r="D935" s="128"/>
      <c r="E935" s="129"/>
      <c r="F935" s="130"/>
      <c r="G935" s="129"/>
      <c r="H935" s="164"/>
      <c r="I935" s="128"/>
      <c r="J935" s="129"/>
      <c r="K935" s="130"/>
      <c r="L935" s="130"/>
      <c r="M935" s="165">
        <f t="shared" si="1"/>
        <v>0</v>
      </c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hidden="1" customHeight="1">
      <c r="A936" s="153">
        <v>93523.0</v>
      </c>
      <c r="B936" s="120"/>
      <c r="C936" s="120"/>
      <c r="D936" s="121"/>
      <c r="E936" s="123"/>
      <c r="F936" s="122"/>
      <c r="G936" s="123"/>
      <c r="H936" s="122"/>
      <c r="I936" s="121"/>
      <c r="J936" s="123"/>
      <c r="K936" s="122"/>
      <c r="L936" s="122"/>
      <c r="M936" s="158">
        <f t="shared" si="1"/>
        <v>0</v>
      </c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hidden="1" customHeight="1">
      <c r="A937" s="160">
        <v>93623.0</v>
      </c>
      <c r="B937" s="127"/>
      <c r="C937" s="127"/>
      <c r="D937" s="128"/>
      <c r="E937" s="129"/>
      <c r="F937" s="130"/>
      <c r="G937" s="129"/>
      <c r="H937" s="164"/>
      <c r="I937" s="128"/>
      <c r="J937" s="129"/>
      <c r="K937" s="130"/>
      <c r="L937" s="130"/>
      <c r="M937" s="165">
        <f t="shared" si="1"/>
        <v>0</v>
      </c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hidden="1" customHeight="1">
      <c r="A938" s="153">
        <v>93723.0</v>
      </c>
      <c r="B938" s="120"/>
      <c r="C938" s="120"/>
      <c r="D938" s="121"/>
      <c r="E938" s="123"/>
      <c r="F938" s="122"/>
      <c r="G938" s="123"/>
      <c r="H938" s="122"/>
      <c r="I938" s="121"/>
      <c r="J938" s="123"/>
      <c r="K938" s="122"/>
      <c r="L938" s="122"/>
      <c r="M938" s="158">
        <f t="shared" si="1"/>
        <v>0</v>
      </c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hidden="1" customHeight="1">
      <c r="A939" s="160">
        <v>93823.0</v>
      </c>
      <c r="B939" s="127"/>
      <c r="C939" s="127"/>
      <c r="D939" s="128"/>
      <c r="E939" s="129"/>
      <c r="F939" s="130"/>
      <c r="G939" s="129"/>
      <c r="H939" s="164"/>
      <c r="I939" s="128"/>
      <c r="J939" s="129"/>
      <c r="K939" s="130"/>
      <c r="L939" s="130"/>
      <c r="M939" s="165">
        <f t="shared" si="1"/>
        <v>0</v>
      </c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hidden="1" customHeight="1">
      <c r="A940" s="153">
        <v>93923.0</v>
      </c>
      <c r="B940" s="120"/>
      <c r="C940" s="120"/>
      <c r="D940" s="121"/>
      <c r="E940" s="123"/>
      <c r="F940" s="122"/>
      <c r="G940" s="123"/>
      <c r="H940" s="122"/>
      <c r="I940" s="121"/>
      <c r="J940" s="123"/>
      <c r="K940" s="122"/>
      <c r="L940" s="122"/>
      <c r="M940" s="158">
        <f t="shared" si="1"/>
        <v>0</v>
      </c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hidden="1" customHeight="1">
      <c r="A941" s="160">
        <v>94023.0</v>
      </c>
      <c r="B941" s="127"/>
      <c r="C941" s="127"/>
      <c r="D941" s="128"/>
      <c r="E941" s="129"/>
      <c r="F941" s="130"/>
      <c r="G941" s="129"/>
      <c r="H941" s="164"/>
      <c r="I941" s="128"/>
      <c r="J941" s="129"/>
      <c r="K941" s="130"/>
      <c r="L941" s="130"/>
      <c r="M941" s="165">
        <f t="shared" si="1"/>
        <v>0</v>
      </c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hidden="1" customHeight="1">
      <c r="A942" s="153">
        <v>94123.0</v>
      </c>
      <c r="B942" s="120"/>
      <c r="C942" s="120"/>
      <c r="D942" s="121"/>
      <c r="E942" s="123"/>
      <c r="F942" s="122"/>
      <c r="G942" s="123"/>
      <c r="H942" s="122"/>
      <c r="I942" s="121"/>
      <c r="J942" s="123"/>
      <c r="K942" s="122"/>
      <c r="L942" s="122"/>
      <c r="M942" s="158">
        <f t="shared" si="1"/>
        <v>0</v>
      </c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hidden="1" customHeight="1">
      <c r="A943" s="160">
        <v>94223.0</v>
      </c>
      <c r="B943" s="127"/>
      <c r="C943" s="127"/>
      <c r="D943" s="128"/>
      <c r="E943" s="129"/>
      <c r="F943" s="130"/>
      <c r="G943" s="129"/>
      <c r="H943" s="164"/>
      <c r="I943" s="128"/>
      <c r="J943" s="129"/>
      <c r="K943" s="130"/>
      <c r="L943" s="130"/>
      <c r="M943" s="165">
        <f t="shared" si="1"/>
        <v>0</v>
      </c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hidden="1" customHeight="1">
      <c r="A944" s="153">
        <v>94323.0</v>
      </c>
      <c r="B944" s="120"/>
      <c r="C944" s="120"/>
      <c r="D944" s="121"/>
      <c r="E944" s="123"/>
      <c r="F944" s="122"/>
      <c r="G944" s="123"/>
      <c r="H944" s="122"/>
      <c r="I944" s="121"/>
      <c r="J944" s="123"/>
      <c r="K944" s="122"/>
      <c r="L944" s="122"/>
      <c r="M944" s="158">
        <f t="shared" si="1"/>
        <v>0</v>
      </c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hidden="1" customHeight="1">
      <c r="A945" s="160">
        <v>94423.0</v>
      </c>
      <c r="B945" s="127"/>
      <c r="C945" s="127"/>
      <c r="D945" s="128"/>
      <c r="E945" s="129"/>
      <c r="F945" s="130"/>
      <c r="G945" s="129"/>
      <c r="H945" s="164"/>
      <c r="I945" s="128"/>
      <c r="J945" s="129"/>
      <c r="K945" s="130"/>
      <c r="L945" s="130"/>
      <c r="M945" s="165">
        <f t="shared" si="1"/>
        <v>0</v>
      </c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hidden="1" customHeight="1">
      <c r="A946" s="153">
        <v>94523.0</v>
      </c>
      <c r="B946" s="120"/>
      <c r="C946" s="120"/>
      <c r="D946" s="121"/>
      <c r="E946" s="123"/>
      <c r="F946" s="122"/>
      <c r="G946" s="123"/>
      <c r="H946" s="122"/>
      <c r="I946" s="121"/>
      <c r="J946" s="123"/>
      <c r="K946" s="122"/>
      <c r="L946" s="122"/>
      <c r="M946" s="158">
        <f t="shared" si="1"/>
        <v>0</v>
      </c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hidden="1" customHeight="1">
      <c r="A947" s="160">
        <v>94623.0</v>
      </c>
      <c r="B947" s="127"/>
      <c r="C947" s="127"/>
      <c r="D947" s="128"/>
      <c r="E947" s="129"/>
      <c r="F947" s="130"/>
      <c r="G947" s="129"/>
      <c r="H947" s="164"/>
      <c r="I947" s="128"/>
      <c r="J947" s="129"/>
      <c r="K947" s="130"/>
      <c r="L947" s="130"/>
      <c r="M947" s="165">
        <f t="shared" si="1"/>
        <v>0</v>
      </c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hidden="1" customHeight="1">
      <c r="A948" s="153">
        <v>94723.0</v>
      </c>
      <c r="B948" s="120"/>
      <c r="C948" s="120"/>
      <c r="D948" s="121"/>
      <c r="E948" s="123"/>
      <c r="F948" s="122"/>
      <c r="G948" s="123"/>
      <c r="H948" s="122"/>
      <c r="I948" s="121"/>
      <c r="J948" s="123"/>
      <c r="K948" s="122"/>
      <c r="L948" s="122"/>
      <c r="M948" s="158">
        <f t="shared" si="1"/>
        <v>0</v>
      </c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hidden="1" customHeight="1">
      <c r="A949" s="160">
        <v>94823.0</v>
      </c>
      <c r="B949" s="127"/>
      <c r="C949" s="127"/>
      <c r="D949" s="128"/>
      <c r="E949" s="129"/>
      <c r="F949" s="130"/>
      <c r="G949" s="129"/>
      <c r="H949" s="164"/>
      <c r="I949" s="128"/>
      <c r="J949" s="129"/>
      <c r="K949" s="130"/>
      <c r="L949" s="130"/>
      <c r="M949" s="165">
        <f t="shared" si="1"/>
        <v>0</v>
      </c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hidden="1" customHeight="1">
      <c r="A950" s="153">
        <v>94923.0</v>
      </c>
      <c r="B950" s="120"/>
      <c r="C950" s="120"/>
      <c r="D950" s="121"/>
      <c r="E950" s="123"/>
      <c r="F950" s="122"/>
      <c r="G950" s="123"/>
      <c r="H950" s="122"/>
      <c r="I950" s="121"/>
      <c r="J950" s="123"/>
      <c r="K950" s="122"/>
      <c r="L950" s="122"/>
      <c r="M950" s="158">
        <f t="shared" si="1"/>
        <v>0</v>
      </c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hidden="1" customHeight="1">
      <c r="A951" s="160">
        <v>95023.0</v>
      </c>
      <c r="B951" s="127"/>
      <c r="C951" s="127"/>
      <c r="D951" s="128"/>
      <c r="E951" s="129"/>
      <c r="F951" s="130"/>
      <c r="G951" s="129"/>
      <c r="H951" s="164"/>
      <c r="I951" s="128"/>
      <c r="J951" s="129"/>
      <c r="K951" s="130"/>
      <c r="L951" s="130"/>
      <c r="M951" s="165">
        <f t="shared" si="1"/>
        <v>0</v>
      </c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hidden="1" customHeight="1">
      <c r="A952" s="153">
        <v>95123.0</v>
      </c>
      <c r="B952" s="120"/>
      <c r="C952" s="120"/>
      <c r="D952" s="121"/>
      <c r="E952" s="123"/>
      <c r="F952" s="122"/>
      <c r="G952" s="123"/>
      <c r="H952" s="122"/>
      <c r="I952" s="121"/>
      <c r="J952" s="123"/>
      <c r="K952" s="122"/>
      <c r="L952" s="122"/>
      <c r="M952" s="158">
        <f t="shared" si="1"/>
        <v>0</v>
      </c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hidden="1" customHeight="1">
      <c r="A953" s="160">
        <v>95223.0</v>
      </c>
      <c r="B953" s="127"/>
      <c r="C953" s="127"/>
      <c r="D953" s="128"/>
      <c r="E953" s="129"/>
      <c r="F953" s="130"/>
      <c r="G953" s="129"/>
      <c r="H953" s="164"/>
      <c r="I953" s="128"/>
      <c r="J953" s="129"/>
      <c r="K953" s="130"/>
      <c r="L953" s="130"/>
      <c r="M953" s="165">
        <f t="shared" si="1"/>
        <v>0</v>
      </c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hidden="1" customHeight="1">
      <c r="A954" s="160">
        <v>95323.0</v>
      </c>
      <c r="B954" s="120"/>
      <c r="C954" s="120"/>
      <c r="D954" s="121"/>
      <c r="E954" s="123"/>
      <c r="F954" s="122"/>
      <c r="G954" s="123"/>
      <c r="H954" s="122"/>
      <c r="I954" s="121"/>
      <c r="J954" s="123"/>
      <c r="K954" s="122"/>
      <c r="L954" s="122"/>
      <c r="M954" s="158">
        <f t="shared" si="1"/>
        <v>0</v>
      </c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hidden="1" customHeight="1">
      <c r="A955" s="160">
        <v>95423.0</v>
      </c>
      <c r="B955" s="127"/>
      <c r="C955" s="127"/>
      <c r="D955" s="128"/>
      <c r="E955" s="129"/>
      <c r="F955" s="130"/>
      <c r="G955" s="129"/>
      <c r="H955" s="164"/>
      <c r="I955" s="128"/>
      <c r="J955" s="129"/>
      <c r="K955" s="130"/>
      <c r="L955" s="130"/>
      <c r="M955" s="165">
        <f t="shared" si="1"/>
        <v>0</v>
      </c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hidden="1" customHeight="1">
      <c r="A956" s="153">
        <v>95523.0</v>
      </c>
      <c r="B956" s="120"/>
      <c r="C956" s="120"/>
      <c r="D956" s="121"/>
      <c r="E956" s="123"/>
      <c r="F956" s="122"/>
      <c r="G956" s="123"/>
      <c r="H956" s="122"/>
      <c r="I956" s="121"/>
      <c r="J956" s="123"/>
      <c r="K956" s="122"/>
      <c r="L956" s="122"/>
      <c r="M956" s="158">
        <f t="shared" si="1"/>
        <v>0</v>
      </c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hidden="1" customHeight="1">
      <c r="A957" s="160">
        <v>95623.0</v>
      </c>
      <c r="B957" s="127"/>
      <c r="C957" s="127"/>
      <c r="D957" s="128"/>
      <c r="E957" s="129"/>
      <c r="F957" s="130"/>
      <c r="G957" s="129"/>
      <c r="H957" s="164"/>
      <c r="I957" s="128"/>
      <c r="J957" s="129"/>
      <c r="K957" s="130"/>
      <c r="L957" s="130"/>
      <c r="M957" s="165">
        <f t="shared" si="1"/>
        <v>0</v>
      </c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hidden="1" customHeight="1">
      <c r="A958" s="153">
        <v>95723.0</v>
      </c>
      <c r="B958" s="120"/>
      <c r="C958" s="120"/>
      <c r="D958" s="121"/>
      <c r="E958" s="123"/>
      <c r="F958" s="122"/>
      <c r="G958" s="123"/>
      <c r="H958" s="122"/>
      <c r="I958" s="121"/>
      <c r="J958" s="123"/>
      <c r="K958" s="122"/>
      <c r="L958" s="122"/>
      <c r="M958" s="158">
        <f t="shared" si="1"/>
        <v>0</v>
      </c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hidden="1" customHeight="1">
      <c r="A959" s="160">
        <v>95823.0</v>
      </c>
      <c r="B959" s="127"/>
      <c r="C959" s="127"/>
      <c r="D959" s="128"/>
      <c r="E959" s="129"/>
      <c r="F959" s="130"/>
      <c r="G959" s="129"/>
      <c r="H959" s="164"/>
      <c r="I959" s="128"/>
      <c r="J959" s="129"/>
      <c r="K959" s="130"/>
      <c r="L959" s="130"/>
      <c r="M959" s="165">
        <f t="shared" si="1"/>
        <v>0</v>
      </c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hidden="1" customHeight="1">
      <c r="A960" s="153">
        <v>95923.0</v>
      </c>
      <c r="B960" s="120"/>
      <c r="C960" s="120"/>
      <c r="D960" s="121"/>
      <c r="E960" s="123"/>
      <c r="F960" s="122"/>
      <c r="G960" s="123"/>
      <c r="H960" s="122"/>
      <c r="I960" s="121"/>
      <c r="J960" s="123"/>
      <c r="K960" s="122"/>
      <c r="L960" s="122"/>
      <c r="M960" s="158">
        <f t="shared" si="1"/>
        <v>0</v>
      </c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hidden="1" customHeight="1">
      <c r="A961" s="160">
        <v>96023.0</v>
      </c>
      <c r="B961" s="127"/>
      <c r="C961" s="127"/>
      <c r="D961" s="128"/>
      <c r="E961" s="129"/>
      <c r="F961" s="130"/>
      <c r="G961" s="129"/>
      <c r="H961" s="164"/>
      <c r="I961" s="128"/>
      <c r="J961" s="129"/>
      <c r="K961" s="130"/>
      <c r="L961" s="130"/>
      <c r="M961" s="165">
        <f t="shared" si="1"/>
        <v>0</v>
      </c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hidden="1" customHeight="1">
      <c r="A962" s="153">
        <v>96123.0</v>
      </c>
      <c r="B962" s="120"/>
      <c r="C962" s="120"/>
      <c r="D962" s="121"/>
      <c r="E962" s="123"/>
      <c r="F962" s="122"/>
      <c r="G962" s="123"/>
      <c r="H962" s="122"/>
      <c r="I962" s="121"/>
      <c r="J962" s="123"/>
      <c r="K962" s="122"/>
      <c r="L962" s="122"/>
      <c r="M962" s="158">
        <f t="shared" si="1"/>
        <v>0</v>
      </c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hidden="1" customHeight="1">
      <c r="A963" s="160">
        <v>96223.0</v>
      </c>
      <c r="B963" s="127"/>
      <c r="C963" s="127"/>
      <c r="D963" s="128"/>
      <c r="E963" s="129"/>
      <c r="F963" s="130"/>
      <c r="G963" s="129"/>
      <c r="H963" s="164"/>
      <c r="I963" s="128"/>
      <c r="J963" s="129"/>
      <c r="K963" s="130"/>
      <c r="L963" s="130"/>
      <c r="M963" s="165">
        <f t="shared" si="1"/>
        <v>0</v>
      </c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hidden="1" customHeight="1">
      <c r="A964" s="153">
        <v>96323.0</v>
      </c>
      <c r="B964" s="120"/>
      <c r="C964" s="120"/>
      <c r="D964" s="121"/>
      <c r="E964" s="123"/>
      <c r="F964" s="122"/>
      <c r="G964" s="123"/>
      <c r="H964" s="122"/>
      <c r="I964" s="121"/>
      <c r="J964" s="123"/>
      <c r="K964" s="122"/>
      <c r="L964" s="122"/>
      <c r="M964" s="158">
        <f t="shared" si="1"/>
        <v>0</v>
      </c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hidden="1" customHeight="1">
      <c r="A965" s="160">
        <v>96423.0</v>
      </c>
      <c r="B965" s="127"/>
      <c r="C965" s="127"/>
      <c r="D965" s="128"/>
      <c r="E965" s="129"/>
      <c r="F965" s="130"/>
      <c r="G965" s="129"/>
      <c r="H965" s="164"/>
      <c r="I965" s="128"/>
      <c r="J965" s="129"/>
      <c r="K965" s="130"/>
      <c r="L965" s="130"/>
      <c r="M965" s="165">
        <f t="shared" si="1"/>
        <v>0</v>
      </c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hidden="1" customHeight="1">
      <c r="A966" s="153">
        <v>96523.0</v>
      </c>
      <c r="B966" s="120"/>
      <c r="C966" s="120"/>
      <c r="D966" s="121"/>
      <c r="E966" s="123"/>
      <c r="F966" s="122"/>
      <c r="G966" s="123"/>
      <c r="H966" s="122"/>
      <c r="I966" s="121"/>
      <c r="J966" s="123"/>
      <c r="K966" s="122"/>
      <c r="L966" s="122"/>
      <c r="M966" s="158">
        <f t="shared" si="1"/>
        <v>0</v>
      </c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hidden="1" customHeight="1">
      <c r="A967" s="160">
        <v>96623.0</v>
      </c>
      <c r="B967" s="127"/>
      <c r="C967" s="127"/>
      <c r="D967" s="128"/>
      <c r="E967" s="129"/>
      <c r="F967" s="130"/>
      <c r="G967" s="129"/>
      <c r="H967" s="164"/>
      <c r="I967" s="128"/>
      <c r="J967" s="129"/>
      <c r="K967" s="130"/>
      <c r="L967" s="130"/>
      <c r="M967" s="165">
        <f t="shared" si="1"/>
        <v>0</v>
      </c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hidden="1" customHeight="1">
      <c r="A968" s="153">
        <v>96723.0</v>
      </c>
      <c r="B968" s="120"/>
      <c r="C968" s="120"/>
      <c r="D968" s="121"/>
      <c r="E968" s="123"/>
      <c r="F968" s="122"/>
      <c r="G968" s="123"/>
      <c r="H968" s="122"/>
      <c r="I968" s="121"/>
      <c r="J968" s="123"/>
      <c r="K968" s="122"/>
      <c r="L968" s="122"/>
      <c r="M968" s="158">
        <f t="shared" si="1"/>
        <v>0</v>
      </c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hidden="1" customHeight="1">
      <c r="A969" s="160">
        <v>96823.0</v>
      </c>
      <c r="B969" s="127"/>
      <c r="C969" s="127"/>
      <c r="D969" s="128"/>
      <c r="E969" s="129"/>
      <c r="F969" s="130"/>
      <c r="G969" s="129"/>
      <c r="H969" s="164"/>
      <c r="I969" s="128"/>
      <c r="J969" s="129"/>
      <c r="K969" s="130"/>
      <c r="L969" s="130"/>
      <c r="M969" s="165">
        <f t="shared" si="1"/>
        <v>0</v>
      </c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hidden="1" customHeight="1">
      <c r="A970" s="153">
        <v>96923.0</v>
      </c>
      <c r="B970" s="120"/>
      <c r="C970" s="120"/>
      <c r="D970" s="121"/>
      <c r="E970" s="123"/>
      <c r="F970" s="122"/>
      <c r="G970" s="123"/>
      <c r="H970" s="122"/>
      <c r="I970" s="121"/>
      <c r="J970" s="123"/>
      <c r="K970" s="122"/>
      <c r="L970" s="122"/>
      <c r="M970" s="158">
        <f t="shared" si="1"/>
        <v>0</v>
      </c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hidden="1" customHeight="1">
      <c r="A971" s="160">
        <v>97023.0</v>
      </c>
      <c r="B971" s="127"/>
      <c r="C971" s="127"/>
      <c r="D971" s="128"/>
      <c r="E971" s="129"/>
      <c r="F971" s="130"/>
      <c r="G971" s="129"/>
      <c r="H971" s="164"/>
      <c r="I971" s="128"/>
      <c r="J971" s="129"/>
      <c r="K971" s="130"/>
      <c r="L971" s="130"/>
      <c r="M971" s="165">
        <f t="shared" si="1"/>
        <v>0</v>
      </c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hidden="1" customHeight="1">
      <c r="A972" s="153">
        <v>97123.0</v>
      </c>
      <c r="B972" s="120"/>
      <c r="C972" s="120"/>
      <c r="D972" s="121"/>
      <c r="E972" s="123"/>
      <c r="F972" s="122"/>
      <c r="G972" s="123"/>
      <c r="H972" s="122"/>
      <c r="I972" s="121"/>
      <c r="J972" s="123"/>
      <c r="K972" s="122"/>
      <c r="L972" s="122"/>
      <c r="M972" s="158">
        <f t="shared" si="1"/>
        <v>0</v>
      </c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hidden="1" customHeight="1">
      <c r="A973" s="160">
        <v>97223.0</v>
      </c>
      <c r="B973" s="127"/>
      <c r="C973" s="127"/>
      <c r="D973" s="128"/>
      <c r="E973" s="129"/>
      <c r="F973" s="130"/>
      <c r="G973" s="129"/>
      <c r="H973" s="164"/>
      <c r="I973" s="128"/>
      <c r="J973" s="129"/>
      <c r="K973" s="130"/>
      <c r="L973" s="130"/>
      <c r="M973" s="165">
        <f t="shared" si="1"/>
        <v>0</v>
      </c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hidden="1" customHeight="1">
      <c r="A974" s="153">
        <v>97323.0</v>
      </c>
      <c r="B974" s="120"/>
      <c r="C974" s="120"/>
      <c r="D974" s="121"/>
      <c r="E974" s="123"/>
      <c r="F974" s="122"/>
      <c r="G974" s="123"/>
      <c r="H974" s="122"/>
      <c r="I974" s="121"/>
      <c r="J974" s="123"/>
      <c r="K974" s="122"/>
      <c r="L974" s="122"/>
      <c r="M974" s="158">
        <f t="shared" si="1"/>
        <v>0</v>
      </c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hidden="1" customHeight="1">
      <c r="A975" s="160">
        <v>97423.0</v>
      </c>
      <c r="B975" s="127"/>
      <c r="C975" s="127"/>
      <c r="D975" s="128"/>
      <c r="E975" s="129"/>
      <c r="F975" s="130"/>
      <c r="G975" s="129"/>
      <c r="H975" s="164"/>
      <c r="I975" s="128"/>
      <c r="J975" s="129"/>
      <c r="K975" s="130"/>
      <c r="L975" s="130"/>
      <c r="M975" s="165">
        <f t="shared" si="1"/>
        <v>0</v>
      </c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hidden="1" customHeight="1">
      <c r="A976" s="153">
        <v>97523.0</v>
      </c>
      <c r="B976" s="120"/>
      <c r="C976" s="120"/>
      <c r="D976" s="121"/>
      <c r="E976" s="123"/>
      <c r="F976" s="122"/>
      <c r="G976" s="123"/>
      <c r="H976" s="122"/>
      <c r="I976" s="121"/>
      <c r="J976" s="123"/>
      <c r="K976" s="122"/>
      <c r="L976" s="122"/>
      <c r="M976" s="158">
        <f t="shared" si="1"/>
        <v>0</v>
      </c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hidden="1" customHeight="1">
      <c r="A977" s="160">
        <v>97623.0</v>
      </c>
      <c r="B977" s="127"/>
      <c r="C977" s="127"/>
      <c r="D977" s="128"/>
      <c r="E977" s="129"/>
      <c r="F977" s="130"/>
      <c r="G977" s="129"/>
      <c r="H977" s="164"/>
      <c r="I977" s="128"/>
      <c r="J977" s="129"/>
      <c r="K977" s="130"/>
      <c r="L977" s="130"/>
      <c r="M977" s="165">
        <f t="shared" si="1"/>
        <v>0</v>
      </c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hidden="1" customHeight="1">
      <c r="A978" s="153">
        <v>97723.0</v>
      </c>
      <c r="B978" s="120"/>
      <c r="C978" s="120"/>
      <c r="D978" s="121"/>
      <c r="E978" s="123"/>
      <c r="F978" s="122"/>
      <c r="G978" s="123"/>
      <c r="H978" s="122"/>
      <c r="I978" s="121"/>
      <c r="J978" s="123"/>
      <c r="K978" s="122"/>
      <c r="L978" s="122"/>
      <c r="M978" s="158">
        <f t="shared" si="1"/>
        <v>0</v>
      </c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hidden="1" customHeight="1">
      <c r="A979" s="160">
        <v>97823.0</v>
      </c>
      <c r="B979" s="127"/>
      <c r="C979" s="127"/>
      <c r="D979" s="128"/>
      <c r="E979" s="129"/>
      <c r="F979" s="130"/>
      <c r="G979" s="129"/>
      <c r="H979" s="164"/>
      <c r="I979" s="128"/>
      <c r="J979" s="129"/>
      <c r="K979" s="130"/>
      <c r="L979" s="130"/>
      <c r="M979" s="165">
        <f t="shared" si="1"/>
        <v>0</v>
      </c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hidden="1" customHeight="1">
      <c r="A980" s="153">
        <v>97923.0</v>
      </c>
      <c r="B980" s="120"/>
      <c r="C980" s="120"/>
      <c r="D980" s="121"/>
      <c r="E980" s="123"/>
      <c r="F980" s="122"/>
      <c r="G980" s="123"/>
      <c r="H980" s="122"/>
      <c r="I980" s="121"/>
      <c r="J980" s="123"/>
      <c r="K980" s="122"/>
      <c r="L980" s="122"/>
      <c r="M980" s="158">
        <f t="shared" si="1"/>
        <v>0</v>
      </c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hidden="1" customHeight="1">
      <c r="A981" s="160">
        <v>98023.0</v>
      </c>
      <c r="B981" s="127"/>
      <c r="C981" s="127"/>
      <c r="D981" s="128"/>
      <c r="E981" s="129"/>
      <c r="F981" s="130"/>
      <c r="G981" s="129"/>
      <c r="H981" s="164"/>
      <c r="I981" s="128"/>
      <c r="J981" s="129"/>
      <c r="K981" s="130"/>
      <c r="L981" s="130"/>
      <c r="M981" s="165">
        <f t="shared" si="1"/>
        <v>0</v>
      </c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hidden="1" customHeight="1">
      <c r="A982" s="153">
        <v>98123.0</v>
      </c>
      <c r="B982" s="120"/>
      <c r="C982" s="120"/>
      <c r="D982" s="121"/>
      <c r="E982" s="123"/>
      <c r="F982" s="122"/>
      <c r="G982" s="123"/>
      <c r="H982" s="122"/>
      <c r="I982" s="121"/>
      <c r="J982" s="123"/>
      <c r="K982" s="122"/>
      <c r="L982" s="122"/>
      <c r="M982" s="158">
        <f t="shared" si="1"/>
        <v>0</v>
      </c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hidden="1" customHeight="1">
      <c r="A983" s="160">
        <v>98223.0</v>
      </c>
      <c r="B983" s="127"/>
      <c r="C983" s="127"/>
      <c r="D983" s="128"/>
      <c r="E983" s="129"/>
      <c r="F983" s="130"/>
      <c r="G983" s="129"/>
      <c r="H983" s="164"/>
      <c r="I983" s="128"/>
      <c r="J983" s="129"/>
      <c r="K983" s="130"/>
      <c r="L983" s="130"/>
      <c r="M983" s="165">
        <f t="shared" si="1"/>
        <v>0</v>
      </c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hidden="1" customHeight="1">
      <c r="A984" s="153">
        <v>98323.0</v>
      </c>
      <c r="B984" s="120"/>
      <c r="C984" s="120"/>
      <c r="D984" s="121"/>
      <c r="E984" s="123"/>
      <c r="F984" s="122"/>
      <c r="G984" s="123"/>
      <c r="H984" s="122"/>
      <c r="I984" s="121"/>
      <c r="J984" s="123"/>
      <c r="K984" s="122"/>
      <c r="L984" s="122"/>
      <c r="M984" s="158">
        <f t="shared" si="1"/>
        <v>0</v>
      </c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hidden="1" customHeight="1">
      <c r="A985" s="160">
        <v>98423.0</v>
      </c>
      <c r="B985" s="127"/>
      <c r="C985" s="127"/>
      <c r="D985" s="128"/>
      <c r="E985" s="129"/>
      <c r="F985" s="130"/>
      <c r="G985" s="129"/>
      <c r="H985" s="164"/>
      <c r="I985" s="128"/>
      <c r="J985" s="129"/>
      <c r="K985" s="130"/>
      <c r="L985" s="130"/>
      <c r="M985" s="165">
        <f t="shared" si="1"/>
        <v>0</v>
      </c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hidden="1" customHeight="1">
      <c r="A986" s="153">
        <v>98523.0</v>
      </c>
      <c r="B986" s="120"/>
      <c r="C986" s="120"/>
      <c r="D986" s="121"/>
      <c r="E986" s="123"/>
      <c r="F986" s="122"/>
      <c r="G986" s="123"/>
      <c r="H986" s="122"/>
      <c r="I986" s="121"/>
      <c r="J986" s="123"/>
      <c r="K986" s="122"/>
      <c r="L986" s="122"/>
      <c r="M986" s="158">
        <f t="shared" si="1"/>
        <v>0</v>
      </c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hidden="1" customHeight="1">
      <c r="A987" s="160">
        <v>98623.0</v>
      </c>
      <c r="B987" s="127"/>
      <c r="C987" s="127"/>
      <c r="D987" s="128"/>
      <c r="E987" s="129"/>
      <c r="F987" s="130"/>
      <c r="G987" s="129"/>
      <c r="H987" s="164"/>
      <c r="I987" s="128"/>
      <c r="J987" s="129"/>
      <c r="K987" s="130"/>
      <c r="L987" s="130"/>
      <c r="M987" s="165">
        <f t="shared" si="1"/>
        <v>0</v>
      </c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hidden="1" customHeight="1">
      <c r="A988" s="153">
        <v>98723.0</v>
      </c>
      <c r="B988" s="120"/>
      <c r="C988" s="120"/>
      <c r="D988" s="121"/>
      <c r="E988" s="123"/>
      <c r="F988" s="122"/>
      <c r="G988" s="123"/>
      <c r="H988" s="122"/>
      <c r="I988" s="121"/>
      <c r="J988" s="123"/>
      <c r="K988" s="122"/>
      <c r="L988" s="122"/>
      <c r="M988" s="158">
        <f t="shared" si="1"/>
        <v>0</v>
      </c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hidden="1" customHeight="1">
      <c r="A989" s="160">
        <v>98823.0</v>
      </c>
      <c r="B989" s="127"/>
      <c r="C989" s="127"/>
      <c r="D989" s="128"/>
      <c r="E989" s="129"/>
      <c r="F989" s="130"/>
      <c r="G989" s="129"/>
      <c r="H989" s="164"/>
      <c r="I989" s="128"/>
      <c r="J989" s="129"/>
      <c r="K989" s="130"/>
      <c r="L989" s="130"/>
      <c r="M989" s="165">
        <f t="shared" si="1"/>
        <v>0</v>
      </c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hidden="1" customHeight="1">
      <c r="A990" s="153">
        <v>98923.0</v>
      </c>
      <c r="B990" s="120"/>
      <c r="C990" s="120"/>
      <c r="D990" s="121"/>
      <c r="E990" s="123"/>
      <c r="F990" s="122"/>
      <c r="G990" s="123"/>
      <c r="H990" s="122"/>
      <c r="I990" s="121"/>
      <c r="J990" s="123"/>
      <c r="K990" s="122"/>
      <c r="L990" s="122"/>
      <c r="M990" s="158">
        <f t="shared" si="1"/>
        <v>0</v>
      </c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hidden="1" customHeight="1">
      <c r="A991" s="160">
        <v>99023.0</v>
      </c>
      <c r="B991" s="127"/>
      <c r="C991" s="127"/>
      <c r="D991" s="128"/>
      <c r="E991" s="129"/>
      <c r="F991" s="130"/>
      <c r="G991" s="129"/>
      <c r="H991" s="164"/>
      <c r="I991" s="128"/>
      <c r="J991" s="129"/>
      <c r="K991" s="130"/>
      <c r="L991" s="130"/>
      <c r="M991" s="165">
        <f t="shared" si="1"/>
        <v>0</v>
      </c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hidden="1" customHeight="1">
      <c r="A992" s="153">
        <v>99123.0</v>
      </c>
      <c r="B992" s="120"/>
      <c r="C992" s="120"/>
      <c r="D992" s="121"/>
      <c r="E992" s="123"/>
      <c r="F992" s="122"/>
      <c r="G992" s="123"/>
      <c r="H992" s="122"/>
      <c r="I992" s="121"/>
      <c r="J992" s="123"/>
      <c r="K992" s="122"/>
      <c r="L992" s="122"/>
      <c r="M992" s="158">
        <f t="shared" si="1"/>
        <v>0</v>
      </c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hidden="1" customHeight="1">
      <c r="A993" s="160">
        <v>99223.0</v>
      </c>
      <c r="B993" s="127"/>
      <c r="C993" s="127"/>
      <c r="D993" s="128"/>
      <c r="E993" s="129"/>
      <c r="F993" s="130"/>
      <c r="G993" s="129"/>
      <c r="H993" s="164"/>
      <c r="I993" s="128"/>
      <c r="J993" s="129"/>
      <c r="K993" s="130"/>
      <c r="L993" s="130"/>
      <c r="M993" s="165">
        <f t="shared" si="1"/>
        <v>0</v>
      </c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hidden="1" customHeight="1">
      <c r="A994" s="153">
        <v>99323.0</v>
      </c>
      <c r="B994" s="120"/>
      <c r="C994" s="120"/>
      <c r="D994" s="121"/>
      <c r="E994" s="123"/>
      <c r="F994" s="122"/>
      <c r="G994" s="123"/>
      <c r="H994" s="122"/>
      <c r="I994" s="121"/>
      <c r="J994" s="123"/>
      <c r="K994" s="122"/>
      <c r="L994" s="122"/>
      <c r="M994" s="158">
        <f t="shared" si="1"/>
        <v>0</v>
      </c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hidden="1" customHeight="1">
      <c r="A995" s="160">
        <v>99423.0</v>
      </c>
      <c r="B995" s="127"/>
      <c r="C995" s="127"/>
      <c r="D995" s="128"/>
      <c r="E995" s="129"/>
      <c r="F995" s="130"/>
      <c r="G995" s="129"/>
      <c r="H995" s="164"/>
      <c r="I995" s="128"/>
      <c r="J995" s="129"/>
      <c r="K995" s="130"/>
      <c r="L995" s="130"/>
      <c r="M995" s="165">
        <f t="shared" si="1"/>
        <v>0</v>
      </c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hidden="1" customHeight="1">
      <c r="A996" s="153">
        <v>99523.0</v>
      </c>
      <c r="B996" s="120"/>
      <c r="C996" s="120"/>
      <c r="D996" s="121"/>
      <c r="E996" s="123"/>
      <c r="F996" s="122"/>
      <c r="G996" s="123"/>
      <c r="H996" s="122"/>
      <c r="I996" s="121"/>
      <c r="J996" s="123"/>
      <c r="K996" s="122"/>
      <c r="L996" s="122"/>
      <c r="M996" s="158">
        <f t="shared" si="1"/>
        <v>0</v>
      </c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hidden="1" customHeight="1">
      <c r="A997" s="160">
        <v>99623.0</v>
      </c>
      <c r="B997" s="127"/>
      <c r="C997" s="127"/>
      <c r="D997" s="128"/>
      <c r="E997" s="129"/>
      <c r="F997" s="130"/>
      <c r="G997" s="129"/>
      <c r="H997" s="164"/>
      <c r="I997" s="128"/>
      <c r="J997" s="129"/>
      <c r="K997" s="130"/>
      <c r="L997" s="130"/>
      <c r="M997" s="165">
        <f t="shared" si="1"/>
        <v>0</v>
      </c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hidden="1" customHeight="1">
      <c r="A998" s="153">
        <v>99723.0</v>
      </c>
      <c r="B998" s="120"/>
      <c r="C998" s="120"/>
      <c r="D998" s="121"/>
      <c r="E998" s="123"/>
      <c r="F998" s="122"/>
      <c r="G998" s="123"/>
      <c r="H998" s="122"/>
      <c r="I998" s="121"/>
      <c r="J998" s="123"/>
      <c r="K998" s="122"/>
      <c r="L998" s="122"/>
      <c r="M998" s="158">
        <f t="shared" si="1"/>
        <v>0</v>
      </c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hidden="1" customHeight="1">
      <c r="A999" s="160">
        <v>99823.0</v>
      </c>
      <c r="B999" s="127"/>
      <c r="C999" s="127"/>
      <c r="D999" s="128"/>
      <c r="E999" s="129"/>
      <c r="F999" s="130"/>
      <c r="G999" s="129"/>
      <c r="H999" s="164"/>
      <c r="I999" s="128"/>
      <c r="J999" s="129"/>
      <c r="K999" s="130"/>
      <c r="L999" s="130"/>
      <c r="M999" s="165">
        <f t="shared" si="1"/>
        <v>0</v>
      </c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hidden="1" customHeight="1">
      <c r="A1000" s="153">
        <v>99923.0</v>
      </c>
      <c r="B1000" s="120"/>
      <c r="C1000" s="120"/>
      <c r="D1000" s="121"/>
      <c r="E1000" s="123"/>
      <c r="F1000" s="122"/>
      <c r="G1000" s="123"/>
      <c r="H1000" s="122"/>
      <c r="I1000" s="121"/>
      <c r="J1000" s="123"/>
      <c r="K1000" s="122"/>
      <c r="L1000" s="122"/>
      <c r="M1000" s="158">
        <f t="shared" si="1"/>
        <v>0</v>
      </c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  <row r="1001" ht="12.75" hidden="1" customHeight="1">
      <c r="A1001" s="160">
        <v>100023.0</v>
      </c>
      <c r="B1001" s="127"/>
      <c r="C1001" s="127"/>
      <c r="D1001" s="128"/>
      <c r="E1001" s="129"/>
      <c r="F1001" s="130"/>
      <c r="G1001" s="129"/>
      <c r="H1001" s="164"/>
      <c r="I1001" s="128"/>
      <c r="J1001" s="129"/>
      <c r="K1001" s="130"/>
      <c r="L1001" s="130"/>
      <c r="M1001" s="165">
        <f t="shared" si="1"/>
        <v>0</v>
      </c>
      <c r="N1001" s="135"/>
      <c r="O1001" s="135"/>
      <c r="P1001" s="135"/>
      <c r="Q1001" s="135"/>
      <c r="R1001" s="135"/>
      <c r="S1001" s="135"/>
      <c r="T1001" s="135"/>
      <c r="U1001" s="135"/>
      <c r="V1001" s="135"/>
      <c r="W1001" s="135"/>
      <c r="X1001" s="135"/>
      <c r="Y1001" s="135"/>
      <c r="Z1001" s="135"/>
    </row>
    <row r="1002" ht="12.75" customHeight="1">
      <c r="A1002" s="138"/>
      <c r="B1002" s="139"/>
      <c r="C1002" s="139"/>
      <c r="D1002" s="194"/>
      <c r="E1002" s="141"/>
      <c r="F1002" s="142"/>
      <c r="G1002" s="141"/>
      <c r="H1002" s="142"/>
      <c r="I1002" s="194"/>
      <c r="J1002" s="141"/>
      <c r="K1002" s="141"/>
      <c r="L1002" s="141"/>
      <c r="M1002" s="143"/>
      <c r="N1002" s="135"/>
      <c r="O1002" s="135"/>
      <c r="P1002" s="135"/>
      <c r="Q1002" s="135"/>
      <c r="R1002" s="135"/>
      <c r="S1002" s="135"/>
      <c r="T1002" s="135"/>
      <c r="U1002" s="135"/>
      <c r="V1002" s="135"/>
      <c r="W1002" s="135"/>
      <c r="X1002" s="135"/>
      <c r="Y1002" s="135"/>
      <c r="Z1002" s="135"/>
    </row>
  </sheetData>
  <autoFilter ref="$A$1:$M$1001">
    <filterColumn colId="6">
      <filters>
        <filter val="PF"/>
        <filter val="Bio/Org"/>
        <filter val="PFN"/>
        <filter val="Bio"/>
        <filter val="PF/PTE"/>
      </filters>
    </filterColumn>
  </autoFilter>
  <customSheetViews>
    <customSheetView guid="{79FBE3E8-7F5F-4A89-9A6A-AA8E4E519678}" filter="1" showAutoFilter="1">
      <autoFilter ref="$G$1:$G$1002"/>
      <extLst>
        <ext uri="GoogleSheetsCustomDataVersion1">
          <go:sheetsCustomData xmlns:go="http://customooxmlschemas.google.com/" filterViewId="584645195"/>
        </ext>
      </extLst>
    </customSheetView>
  </customSheetViews>
  <mergeCells count="70">
    <mergeCell ref="O65:R65"/>
    <mergeCell ref="O66:R66"/>
    <mergeCell ref="O67:R67"/>
    <mergeCell ref="O68:R68"/>
    <mergeCell ref="O69:R69"/>
    <mergeCell ref="O71:T72"/>
    <mergeCell ref="O73:R73"/>
    <mergeCell ref="P83:S83"/>
    <mergeCell ref="P84:S84"/>
    <mergeCell ref="P85:S85"/>
    <mergeCell ref="P86:S86"/>
    <mergeCell ref="P87:S87"/>
    <mergeCell ref="O88:O89"/>
    <mergeCell ref="P88:S89"/>
    <mergeCell ref="O74:R74"/>
    <mergeCell ref="O75:R75"/>
    <mergeCell ref="O76:R76"/>
    <mergeCell ref="O77:R77"/>
    <mergeCell ref="O78:R78"/>
    <mergeCell ref="O80:S81"/>
    <mergeCell ref="P82:S82"/>
    <mergeCell ref="O2:P2"/>
    <mergeCell ref="O10:V11"/>
    <mergeCell ref="O12:V12"/>
    <mergeCell ref="O13:V13"/>
    <mergeCell ref="O14:V14"/>
    <mergeCell ref="O15:V15"/>
    <mergeCell ref="O16:V16"/>
    <mergeCell ref="O18:S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O39:S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O56:T57"/>
    <mergeCell ref="O58:R58"/>
    <mergeCell ref="O59:R59"/>
    <mergeCell ref="O60:R60"/>
    <mergeCell ref="O61:R61"/>
    <mergeCell ref="O62:R62"/>
    <mergeCell ref="O63:R63"/>
    <mergeCell ref="O64:R64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43"/>
    <col customWidth="1" min="2" max="2" width="24.71"/>
    <col customWidth="1" min="3" max="3" width="23.86"/>
    <col customWidth="1" min="4" max="4" width="24.57"/>
    <col customWidth="1" min="5" max="5" width="44.71"/>
    <col customWidth="1" min="6" max="6" width="61.86"/>
    <col customWidth="1" min="7" max="8" width="15.43"/>
    <col customWidth="1" min="9" max="9" width="25.57"/>
    <col customWidth="1" min="10" max="10" width="26.71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108.0</v>
      </c>
      <c r="B2" s="426" t="s">
        <v>11487</v>
      </c>
      <c r="C2" s="426">
        <v>2006.0</v>
      </c>
      <c r="D2" s="500">
        <v>39003.0</v>
      </c>
      <c r="E2" s="426" t="s">
        <v>11488</v>
      </c>
      <c r="F2" s="426" t="s">
        <v>3505</v>
      </c>
      <c r="G2" s="426" t="s">
        <v>552</v>
      </c>
      <c r="H2" s="426" t="s">
        <v>5989</v>
      </c>
      <c r="I2" s="500">
        <v>39457.0</v>
      </c>
      <c r="J2" s="428">
        <v>1.0</v>
      </c>
      <c r="K2" s="635" t="s">
        <v>228</v>
      </c>
      <c r="L2" s="428" t="s">
        <v>256</v>
      </c>
      <c r="M2" s="319">
        <f t="shared" ref="M2:M26" si="1">I2-D2</f>
        <v>454</v>
      </c>
      <c r="N2" s="198"/>
      <c r="O2" s="545" t="s">
        <v>11489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208.0</v>
      </c>
      <c r="B3" s="420" t="s">
        <v>11490</v>
      </c>
      <c r="C3" s="420">
        <v>2007.0</v>
      </c>
      <c r="D3" s="497">
        <v>39331.0</v>
      </c>
      <c r="E3" s="420" t="s">
        <v>11491</v>
      </c>
      <c r="F3" s="420" t="s">
        <v>3505</v>
      </c>
      <c r="G3" s="420" t="s">
        <v>552</v>
      </c>
      <c r="H3" s="420" t="s">
        <v>5989</v>
      </c>
      <c r="I3" s="497">
        <v>39457.0</v>
      </c>
      <c r="J3" s="422">
        <v>1.0</v>
      </c>
      <c r="K3" s="637" t="s">
        <v>238</v>
      </c>
      <c r="L3" s="420" t="s">
        <v>256</v>
      </c>
      <c r="M3" s="316">
        <f t="shared" si="1"/>
        <v>126</v>
      </c>
      <c r="N3" s="198"/>
      <c r="O3" s="320" t="s">
        <v>27</v>
      </c>
      <c r="P3" s="320">
        <f>COUNTIF($G$2:$G$476,"PT")</f>
        <v>3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308.0</v>
      </c>
      <c r="B4" s="426" t="s">
        <v>11492</v>
      </c>
      <c r="C4" s="426">
        <v>2006.0</v>
      </c>
      <c r="D4" s="500">
        <v>39037.0</v>
      </c>
      <c r="E4" s="426" t="s">
        <v>11493</v>
      </c>
      <c r="F4" s="426" t="s">
        <v>11494</v>
      </c>
      <c r="G4" s="426" t="s">
        <v>650</v>
      </c>
      <c r="H4" s="426" t="s">
        <v>11495</v>
      </c>
      <c r="I4" s="500">
        <v>39457.0</v>
      </c>
      <c r="J4" s="428">
        <v>1.0</v>
      </c>
      <c r="K4" s="636" t="s">
        <v>244</v>
      </c>
      <c r="L4" s="428" t="s">
        <v>258</v>
      </c>
      <c r="M4" s="319">
        <f t="shared" si="1"/>
        <v>420</v>
      </c>
      <c r="N4" s="198"/>
      <c r="O4" s="321" t="s">
        <v>34</v>
      </c>
      <c r="P4" s="321">
        <f>COUNTIF($G$2:$G$476,"PTN")</f>
        <v>6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408.0</v>
      </c>
      <c r="B5" s="420" t="s">
        <v>11496</v>
      </c>
      <c r="C5" s="420">
        <v>2006.0</v>
      </c>
      <c r="D5" s="497">
        <v>38926.0</v>
      </c>
      <c r="E5" s="420" t="s">
        <v>11497</v>
      </c>
      <c r="F5" s="420" t="s">
        <v>947</v>
      </c>
      <c r="G5" s="420" t="s">
        <v>17</v>
      </c>
      <c r="H5" s="420" t="s">
        <v>1501</v>
      </c>
      <c r="I5" s="497">
        <v>39461.0</v>
      </c>
      <c r="J5" s="422">
        <v>1.0</v>
      </c>
      <c r="K5" s="637" t="s">
        <v>238</v>
      </c>
      <c r="L5" s="420" t="s">
        <v>258</v>
      </c>
      <c r="M5" s="316">
        <f t="shared" si="1"/>
        <v>535</v>
      </c>
      <c r="N5" s="198"/>
      <c r="O5" s="322" t="s">
        <v>40</v>
      </c>
      <c r="P5" s="322">
        <f>COUNTIF($G$2:$G$476,"PTE")</f>
        <v>45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508.0</v>
      </c>
      <c r="B6" s="426" t="s">
        <v>11498</v>
      </c>
      <c r="C6" s="426">
        <v>2004.0</v>
      </c>
      <c r="D6" s="500">
        <v>38344.0</v>
      </c>
      <c r="E6" s="426" t="s">
        <v>11499</v>
      </c>
      <c r="F6" s="426" t="s">
        <v>11500</v>
      </c>
      <c r="G6" s="426" t="s">
        <v>650</v>
      </c>
      <c r="H6" s="426" t="s">
        <v>651</v>
      </c>
      <c r="I6" s="500">
        <v>39465.0</v>
      </c>
      <c r="J6" s="428">
        <v>1.0</v>
      </c>
      <c r="K6" s="635" t="s">
        <v>228</v>
      </c>
      <c r="L6" s="428" t="s">
        <v>258</v>
      </c>
      <c r="M6" s="319">
        <f t="shared" si="1"/>
        <v>1121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608.0</v>
      </c>
      <c r="B7" s="420" t="s">
        <v>11501</v>
      </c>
      <c r="C7" s="420">
        <v>2006.0</v>
      </c>
      <c r="D7" s="497">
        <v>38973.0</v>
      </c>
      <c r="E7" s="420" t="s">
        <v>11502</v>
      </c>
      <c r="F7" s="420" t="s">
        <v>1170</v>
      </c>
      <c r="G7" s="420" t="s">
        <v>552</v>
      </c>
      <c r="H7" s="420" t="s">
        <v>5989</v>
      </c>
      <c r="I7" s="497">
        <v>39469.0</v>
      </c>
      <c r="J7" s="422">
        <v>1.0</v>
      </c>
      <c r="K7" s="637" t="s">
        <v>238</v>
      </c>
      <c r="L7" s="420" t="s">
        <v>258</v>
      </c>
      <c r="M7" s="316">
        <f t="shared" si="1"/>
        <v>496</v>
      </c>
      <c r="N7" s="198"/>
      <c r="O7" s="322" t="s">
        <v>553</v>
      </c>
      <c r="P7" s="322">
        <f>COUNTIF($G$2:$G$476,"PF")</f>
        <v>57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708.0</v>
      </c>
      <c r="B8" s="426" t="s">
        <v>11503</v>
      </c>
      <c r="C8" s="426">
        <v>2005.0</v>
      </c>
      <c r="D8" s="500">
        <v>38688.0</v>
      </c>
      <c r="E8" s="426" t="s">
        <v>11504</v>
      </c>
      <c r="F8" s="426" t="s">
        <v>1170</v>
      </c>
      <c r="G8" s="426" t="s">
        <v>552</v>
      </c>
      <c r="H8" s="426" t="s">
        <v>5989</v>
      </c>
      <c r="I8" s="500">
        <v>39469.0</v>
      </c>
      <c r="J8" s="428">
        <v>1.0</v>
      </c>
      <c r="K8" s="637" t="s">
        <v>238</v>
      </c>
      <c r="L8" s="428" t="s">
        <v>258</v>
      </c>
      <c r="M8" s="319">
        <f t="shared" si="1"/>
        <v>781</v>
      </c>
      <c r="N8" s="198"/>
      <c r="O8" s="321" t="s">
        <v>547</v>
      </c>
      <c r="P8" s="321">
        <f>COUNTIF($G$2:$G$476,"PFN")</f>
        <v>5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808.0</v>
      </c>
      <c r="B9" s="420" t="s">
        <v>11505</v>
      </c>
      <c r="C9" s="420">
        <v>2005.0</v>
      </c>
      <c r="D9" s="497">
        <v>38684.0</v>
      </c>
      <c r="E9" s="420" t="s">
        <v>11506</v>
      </c>
      <c r="F9" s="420" t="s">
        <v>11507</v>
      </c>
      <c r="G9" s="420" t="s">
        <v>650</v>
      </c>
      <c r="H9" s="420" t="s">
        <v>601</v>
      </c>
      <c r="I9" s="497">
        <v>39472.0</v>
      </c>
      <c r="J9" s="422">
        <v>1.0</v>
      </c>
      <c r="K9" s="638" t="s">
        <v>234</v>
      </c>
      <c r="L9" s="420" t="s">
        <v>256</v>
      </c>
      <c r="M9" s="316">
        <f t="shared" si="1"/>
        <v>788</v>
      </c>
      <c r="N9" s="198"/>
      <c r="O9" s="322" t="s">
        <v>560</v>
      </c>
      <c r="P9" s="322">
        <f>COUNTIF($G$2:$G$476,"PF/PTE")</f>
        <v>72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908.0</v>
      </c>
      <c r="B10" s="426" t="s">
        <v>11508</v>
      </c>
      <c r="C10" s="426">
        <v>2000.0</v>
      </c>
      <c r="D10" s="500">
        <v>36696.0</v>
      </c>
      <c r="E10" s="426" t="s">
        <v>11509</v>
      </c>
      <c r="F10" s="426" t="s">
        <v>7332</v>
      </c>
      <c r="G10" s="426" t="s">
        <v>650</v>
      </c>
      <c r="H10" s="426" t="s">
        <v>11301</v>
      </c>
      <c r="I10" s="500">
        <v>39472.0</v>
      </c>
      <c r="J10" s="428">
        <v>1.0</v>
      </c>
      <c r="K10" s="636" t="s">
        <v>244</v>
      </c>
      <c r="L10" s="428" t="s">
        <v>256</v>
      </c>
      <c r="M10" s="319">
        <f t="shared" si="1"/>
        <v>2776</v>
      </c>
      <c r="N10" s="198"/>
      <c r="O10" s="321" t="s">
        <v>565</v>
      </c>
      <c r="P10" s="321">
        <f>COUNTIF($G$2:$G$476,"Bio")</f>
        <v>3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1008.0</v>
      </c>
      <c r="B11" s="420" t="s">
        <v>11510</v>
      </c>
      <c r="C11" s="420">
        <v>2006.0</v>
      </c>
      <c r="D11" s="497">
        <v>39009.0</v>
      </c>
      <c r="E11" s="420" t="s">
        <v>11511</v>
      </c>
      <c r="F11" s="420" t="s">
        <v>563</v>
      </c>
      <c r="G11" s="420" t="s">
        <v>650</v>
      </c>
      <c r="H11" s="420" t="s">
        <v>651</v>
      </c>
      <c r="I11" s="497">
        <v>39475.0</v>
      </c>
      <c r="J11" s="422">
        <v>1.0</v>
      </c>
      <c r="K11" s="637" t="s">
        <v>238</v>
      </c>
      <c r="L11" s="420" t="s">
        <v>256</v>
      </c>
      <c r="M11" s="316">
        <f t="shared" si="1"/>
        <v>466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1108.0</v>
      </c>
      <c r="B12" s="426" t="s">
        <v>11512</v>
      </c>
      <c r="C12" s="426">
        <v>2006.0</v>
      </c>
      <c r="D12" s="500">
        <v>39009.0</v>
      </c>
      <c r="E12" s="426" t="s">
        <v>11513</v>
      </c>
      <c r="F12" s="426" t="s">
        <v>563</v>
      </c>
      <c r="G12" s="426" t="s">
        <v>650</v>
      </c>
      <c r="H12" s="426" t="s">
        <v>651</v>
      </c>
      <c r="I12" s="500">
        <v>39475.0</v>
      </c>
      <c r="J12" s="428">
        <v>1.0</v>
      </c>
      <c r="K12" s="637" t="s">
        <v>238</v>
      </c>
      <c r="L12" s="428" t="s">
        <v>256</v>
      </c>
      <c r="M12" s="319">
        <f t="shared" si="1"/>
        <v>466</v>
      </c>
      <c r="N12" s="198"/>
      <c r="O12" s="324" t="s">
        <v>51</v>
      </c>
      <c r="P12" s="325">
        <f>SUM(P3:P11)</f>
        <v>191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1208.0</v>
      </c>
      <c r="B13" s="420" t="s">
        <v>11514</v>
      </c>
      <c r="C13" s="420">
        <v>2006.0</v>
      </c>
      <c r="D13" s="497">
        <v>39009.0</v>
      </c>
      <c r="E13" s="420" t="s">
        <v>11515</v>
      </c>
      <c r="F13" s="420" t="s">
        <v>563</v>
      </c>
      <c r="G13" s="420" t="s">
        <v>650</v>
      </c>
      <c r="H13" s="420" t="s">
        <v>651</v>
      </c>
      <c r="I13" s="497">
        <v>39475.0</v>
      </c>
      <c r="J13" s="422">
        <v>1.0</v>
      </c>
      <c r="K13" s="637" t="s">
        <v>238</v>
      </c>
      <c r="L13" s="420" t="s">
        <v>256</v>
      </c>
      <c r="M13" s="316">
        <f t="shared" si="1"/>
        <v>466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1308.0</v>
      </c>
      <c r="B14" s="426" t="s">
        <v>11516</v>
      </c>
      <c r="C14" s="426">
        <v>2006.0</v>
      </c>
      <c r="D14" s="500">
        <v>38905.0</v>
      </c>
      <c r="E14" s="426" t="s">
        <v>11517</v>
      </c>
      <c r="F14" s="426" t="s">
        <v>963</v>
      </c>
      <c r="G14" s="426" t="s">
        <v>17</v>
      </c>
      <c r="H14" s="426" t="s">
        <v>1501</v>
      </c>
      <c r="I14" s="500">
        <v>39477.0</v>
      </c>
      <c r="J14" s="428">
        <v>1.0</v>
      </c>
      <c r="K14" s="635" t="s">
        <v>228</v>
      </c>
      <c r="L14" s="428" t="s">
        <v>258</v>
      </c>
      <c r="M14" s="319">
        <f t="shared" si="1"/>
        <v>572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1408.0</v>
      </c>
      <c r="B15" s="420" t="s">
        <v>11518</v>
      </c>
      <c r="C15" s="420">
        <v>2006.0</v>
      </c>
      <c r="D15" s="497">
        <v>38784.0</v>
      </c>
      <c r="E15" s="420" t="s">
        <v>11519</v>
      </c>
      <c r="F15" s="420" t="s">
        <v>660</v>
      </c>
      <c r="G15" s="420" t="s">
        <v>552</v>
      </c>
      <c r="H15" s="420" t="s">
        <v>163</v>
      </c>
      <c r="I15" s="497">
        <v>39486.0</v>
      </c>
      <c r="J15" s="422">
        <v>2.0</v>
      </c>
      <c r="K15" s="635" t="s">
        <v>228</v>
      </c>
      <c r="L15" s="420" t="s">
        <v>258</v>
      </c>
      <c r="M15" s="316">
        <f t="shared" si="1"/>
        <v>702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1508.0</v>
      </c>
      <c r="B16" s="426" t="s">
        <v>11520</v>
      </c>
      <c r="C16" s="426">
        <v>2006.0</v>
      </c>
      <c r="D16" s="500">
        <v>38888.0</v>
      </c>
      <c r="E16" s="426" t="s">
        <v>11521</v>
      </c>
      <c r="F16" s="426" t="s">
        <v>11522</v>
      </c>
      <c r="G16" s="426" t="s">
        <v>650</v>
      </c>
      <c r="H16" s="426" t="s">
        <v>11523</v>
      </c>
      <c r="I16" s="500">
        <v>39486.0</v>
      </c>
      <c r="J16" s="428">
        <v>2.0</v>
      </c>
      <c r="K16" s="636" t="s">
        <v>244</v>
      </c>
      <c r="L16" s="428" t="s">
        <v>260</v>
      </c>
      <c r="M16" s="319">
        <f t="shared" si="1"/>
        <v>598</v>
      </c>
      <c r="N16" s="198"/>
      <c r="O16" s="331" t="s">
        <v>11524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1608.0</v>
      </c>
      <c r="B17" s="420" t="s">
        <v>11525</v>
      </c>
      <c r="C17" s="420">
        <v>2005.0</v>
      </c>
      <c r="D17" s="497">
        <v>38716.0</v>
      </c>
      <c r="E17" s="420" t="s">
        <v>11526</v>
      </c>
      <c r="F17" s="420" t="s">
        <v>134</v>
      </c>
      <c r="G17" s="420" t="s">
        <v>552</v>
      </c>
      <c r="H17" s="420" t="s">
        <v>11527</v>
      </c>
      <c r="I17" s="497">
        <v>39486.0</v>
      </c>
      <c r="J17" s="422">
        <v>2.0</v>
      </c>
      <c r="K17" s="637" t="s">
        <v>238</v>
      </c>
      <c r="L17" s="420" t="s">
        <v>256</v>
      </c>
      <c r="M17" s="316">
        <f t="shared" si="1"/>
        <v>770</v>
      </c>
      <c r="N17" s="198"/>
      <c r="O17" s="334" t="s">
        <v>11528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1708.0</v>
      </c>
      <c r="B18" s="426" t="s">
        <v>11529</v>
      </c>
      <c r="C18" s="426">
        <v>2006.0</v>
      </c>
      <c r="D18" s="500">
        <v>38868.0</v>
      </c>
      <c r="E18" s="426" t="s">
        <v>11530</v>
      </c>
      <c r="F18" s="426" t="s">
        <v>1232</v>
      </c>
      <c r="G18" s="426" t="s">
        <v>17</v>
      </c>
      <c r="H18" s="426" t="s">
        <v>1501</v>
      </c>
      <c r="I18" s="500">
        <v>39492.0</v>
      </c>
      <c r="J18" s="428">
        <v>2.0</v>
      </c>
      <c r="K18" s="637" t="s">
        <v>238</v>
      </c>
      <c r="L18" s="428" t="s">
        <v>256</v>
      </c>
      <c r="M18" s="319">
        <f t="shared" si="1"/>
        <v>624</v>
      </c>
      <c r="N18" s="198"/>
      <c r="O18" s="335" t="s">
        <v>11531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1808.0</v>
      </c>
      <c r="B19" s="420" t="s">
        <v>11532</v>
      </c>
      <c r="C19" s="420">
        <v>2006.0</v>
      </c>
      <c r="D19" s="497">
        <v>39003.0</v>
      </c>
      <c r="E19" s="420" t="s">
        <v>11533</v>
      </c>
      <c r="F19" s="420" t="s">
        <v>44</v>
      </c>
      <c r="G19" s="420" t="s">
        <v>17</v>
      </c>
      <c r="H19" s="420" t="s">
        <v>5989</v>
      </c>
      <c r="I19" s="497">
        <v>39497.0</v>
      </c>
      <c r="J19" s="422">
        <v>2.0</v>
      </c>
      <c r="K19" s="635" t="s">
        <v>228</v>
      </c>
      <c r="L19" s="420" t="s">
        <v>258</v>
      </c>
      <c r="M19" s="316">
        <f t="shared" si="1"/>
        <v>494</v>
      </c>
      <c r="N19" s="198"/>
      <c r="O19" s="334" t="s">
        <v>11534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1908.0</v>
      </c>
      <c r="B20" s="426" t="s">
        <v>11535</v>
      </c>
      <c r="C20" s="426">
        <v>2001.0</v>
      </c>
      <c r="D20" s="500">
        <v>37071.0</v>
      </c>
      <c r="E20" s="426" t="s">
        <v>11536</v>
      </c>
      <c r="F20" s="426" t="s">
        <v>885</v>
      </c>
      <c r="G20" s="426" t="s">
        <v>552</v>
      </c>
      <c r="H20" s="426" t="s">
        <v>9672</v>
      </c>
      <c r="I20" s="500">
        <v>39514.0</v>
      </c>
      <c r="J20" s="428">
        <v>3.0</v>
      </c>
      <c r="K20" s="635" t="s">
        <v>228</v>
      </c>
      <c r="L20" s="428" t="s">
        <v>256</v>
      </c>
      <c r="M20" s="319">
        <f t="shared" si="1"/>
        <v>2443</v>
      </c>
      <c r="N20" s="198"/>
      <c r="O20" s="335" t="s">
        <v>11537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2008.0</v>
      </c>
      <c r="B21" s="420" t="s">
        <v>11538</v>
      </c>
      <c r="C21" s="420">
        <v>2006.0</v>
      </c>
      <c r="D21" s="497">
        <v>38770.0</v>
      </c>
      <c r="E21" s="420" t="s">
        <v>11539</v>
      </c>
      <c r="F21" s="420" t="s">
        <v>900</v>
      </c>
      <c r="G21" s="420" t="s">
        <v>552</v>
      </c>
      <c r="H21" s="420" t="s">
        <v>9033</v>
      </c>
      <c r="I21" s="497">
        <v>39517.0</v>
      </c>
      <c r="J21" s="422">
        <v>3.0</v>
      </c>
      <c r="K21" s="637" t="s">
        <v>238</v>
      </c>
      <c r="L21" s="420" t="s">
        <v>258</v>
      </c>
      <c r="M21" s="316">
        <f t="shared" si="1"/>
        <v>747</v>
      </c>
      <c r="N21" s="198"/>
      <c r="O21" s="334" t="s">
        <v>11540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2108.0</v>
      </c>
      <c r="B22" s="426" t="s">
        <v>11541</v>
      </c>
      <c r="C22" s="426">
        <v>2006.0</v>
      </c>
      <c r="D22" s="500">
        <v>39045.0</v>
      </c>
      <c r="E22" s="426" t="s">
        <v>11542</v>
      </c>
      <c r="F22" s="426" t="s">
        <v>8841</v>
      </c>
      <c r="G22" s="426" t="s">
        <v>17</v>
      </c>
      <c r="H22" s="426" t="s">
        <v>9033</v>
      </c>
      <c r="I22" s="500">
        <v>39517.0</v>
      </c>
      <c r="J22" s="428">
        <v>3.0</v>
      </c>
      <c r="K22" s="635" t="s">
        <v>228</v>
      </c>
      <c r="L22" s="428" t="s">
        <v>258</v>
      </c>
      <c r="M22" s="319">
        <f t="shared" si="1"/>
        <v>472</v>
      </c>
      <c r="N22" s="198"/>
      <c r="O22" s="335" t="s">
        <v>11543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2208.0</v>
      </c>
      <c r="B23" s="420" t="s">
        <v>11544</v>
      </c>
      <c r="C23" s="420">
        <v>2007.0</v>
      </c>
      <c r="D23" s="497">
        <v>39120.0</v>
      </c>
      <c r="E23" s="420" t="s">
        <v>11545</v>
      </c>
      <c r="F23" s="420" t="s">
        <v>1968</v>
      </c>
      <c r="G23" s="420" t="s">
        <v>17</v>
      </c>
      <c r="H23" s="420" t="s">
        <v>7403</v>
      </c>
      <c r="I23" s="497">
        <v>39524.0</v>
      </c>
      <c r="J23" s="422">
        <v>3.0</v>
      </c>
      <c r="K23" s="635" t="s">
        <v>228</v>
      </c>
      <c r="L23" s="420" t="s">
        <v>254</v>
      </c>
      <c r="M23" s="316">
        <f t="shared" si="1"/>
        <v>404</v>
      </c>
      <c r="N23" s="198"/>
      <c r="O23" s="334" t="s">
        <v>11546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2308.0</v>
      </c>
      <c r="B24" s="426" t="s">
        <v>11547</v>
      </c>
      <c r="C24" s="426">
        <v>2006.0</v>
      </c>
      <c r="D24" s="500">
        <v>38827.0</v>
      </c>
      <c r="E24" s="426" t="s">
        <v>11548</v>
      </c>
      <c r="F24" s="426" t="s">
        <v>3505</v>
      </c>
      <c r="G24" s="426" t="s">
        <v>650</v>
      </c>
      <c r="H24" s="426" t="s">
        <v>5180</v>
      </c>
      <c r="I24" s="500">
        <v>39524.0</v>
      </c>
      <c r="J24" s="428">
        <v>3.0</v>
      </c>
      <c r="K24" s="635" t="s">
        <v>228</v>
      </c>
      <c r="L24" s="428" t="s">
        <v>256</v>
      </c>
      <c r="M24" s="319">
        <f t="shared" si="1"/>
        <v>697</v>
      </c>
      <c r="N24" s="198"/>
      <c r="O24" s="336" t="s">
        <v>11549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2408.0</v>
      </c>
      <c r="B25" s="420" t="s">
        <v>11550</v>
      </c>
      <c r="C25" s="420">
        <v>2006.0</v>
      </c>
      <c r="D25" s="497">
        <v>39078.0</v>
      </c>
      <c r="E25" s="420" t="s">
        <v>11551</v>
      </c>
      <c r="F25" s="420" t="s">
        <v>11552</v>
      </c>
      <c r="G25" s="420" t="s">
        <v>650</v>
      </c>
      <c r="H25" s="420" t="s">
        <v>705</v>
      </c>
      <c r="I25" s="497">
        <v>39526.0</v>
      </c>
      <c r="J25" s="422">
        <v>3.0</v>
      </c>
      <c r="K25" s="637" t="s">
        <v>238</v>
      </c>
      <c r="L25" s="420" t="s">
        <v>256</v>
      </c>
      <c r="M25" s="316">
        <f t="shared" si="1"/>
        <v>448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2508.0</v>
      </c>
      <c r="B26" s="426" t="s">
        <v>11553</v>
      </c>
      <c r="C26" s="426">
        <v>2002.0</v>
      </c>
      <c r="D26" s="500">
        <v>37613.0</v>
      </c>
      <c r="E26" s="426" t="s">
        <v>11554</v>
      </c>
      <c r="F26" s="426" t="s">
        <v>11555</v>
      </c>
      <c r="G26" s="426" t="s">
        <v>270</v>
      </c>
      <c r="H26" s="426" t="s">
        <v>5180</v>
      </c>
      <c r="I26" s="500">
        <v>39526.0</v>
      </c>
      <c r="J26" s="428">
        <v>3.0</v>
      </c>
      <c r="K26" s="637" t="s">
        <v>238</v>
      </c>
      <c r="L26" s="428" t="s">
        <v>258</v>
      </c>
      <c r="M26" s="319">
        <f t="shared" si="1"/>
        <v>1913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2608.0</v>
      </c>
      <c r="B27" s="578" t="s">
        <v>3889</v>
      </c>
      <c r="C27" s="578" t="s">
        <v>3889</v>
      </c>
      <c r="D27" s="579" t="s">
        <v>3889</v>
      </c>
      <c r="E27" s="578" t="s">
        <v>3889</v>
      </c>
      <c r="F27" s="578" t="s">
        <v>3889</v>
      </c>
      <c r="G27" s="578" t="s">
        <v>3889</v>
      </c>
      <c r="H27" s="578" t="s">
        <v>3889</v>
      </c>
      <c r="I27" s="579" t="s">
        <v>3889</v>
      </c>
      <c r="J27" s="322" t="s">
        <v>3889</v>
      </c>
      <c r="K27" s="578" t="s">
        <v>3889</v>
      </c>
      <c r="L27" s="578" t="s">
        <v>3889</v>
      </c>
      <c r="M27" s="578" t="s">
        <v>3889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2708.0</v>
      </c>
      <c r="B28" s="426" t="s">
        <v>11556</v>
      </c>
      <c r="C28" s="426">
        <v>2005.0</v>
      </c>
      <c r="D28" s="500">
        <v>38716.0</v>
      </c>
      <c r="E28" s="426" t="s">
        <v>11557</v>
      </c>
      <c r="F28" s="426" t="s">
        <v>7179</v>
      </c>
      <c r="G28" s="426" t="s">
        <v>552</v>
      </c>
      <c r="H28" s="426" t="s">
        <v>11527</v>
      </c>
      <c r="I28" s="500">
        <v>39540.0</v>
      </c>
      <c r="J28" s="428">
        <v>4.0</v>
      </c>
      <c r="K28" s="635" t="s">
        <v>228</v>
      </c>
      <c r="L28" s="428" t="s">
        <v>258</v>
      </c>
      <c r="M28" s="319">
        <f t="shared" ref="M28:M110" si="2">I28-D28</f>
        <v>824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2808.0</v>
      </c>
      <c r="B29" s="420" t="s">
        <v>11558</v>
      </c>
      <c r="C29" s="420">
        <v>2005.0</v>
      </c>
      <c r="D29" s="497">
        <v>38600.0</v>
      </c>
      <c r="E29" s="420" t="s">
        <v>11559</v>
      </c>
      <c r="F29" s="420" t="s">
        <v>900</v>
      </c>
      <c r="G29" s="420" t="s">
        <v>552</v>
      </c>
      <c r="H29" s="420" t="s">
        <v>9033</v>
      </c>
      <c r="I29" s="497">
        <v>39540.0</v>
      </c>
      <c r="J29" s="422">
        <v>4.0</v>
      </c>
      <c r="K29" s="637" t="s">
        <v>238</v>
      </c>
      <c r="L29" s="420" t="s">
        <v>258</v>
      </c>
      <c r="M29" s="316">
        <f t="shared" si="2"/>
        <v>940</v>
      </c>
      <c r="N29" s="198"/>
      <c r="O29" s="322">
        <v>1996.0</v>
      </c>
      <c r="P29" s="346">
        <f>COUNTIF($C$2:$C$503,"1996")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2908.0</v>
      </c>
      <c r="B30" s="426" t="s">
        <v>11560</v>
      </c>
      <c r="C30" s="426">
        <v>2003.0</v>
      </c>
      <c r="D30" s="500">
        <v>37833.0</v>
      </c>
      <c r="E30" s="426" t="s">
        <v>11561</v>
      </c>
      <c r="F30" s="426" t="s">
        <v>3532</v>
      </c>
      <c r="G30" s="426" t="s">
        <v>650</v>
      </c>
      <c r="H30" s="426" t="s">
        <v>651</v>
      </c>
      <c r="I30" s="500">
        <v>39540.0</v>
      </c>
      <c r="J30" s="428">
        <v>4.0</v>
      </c>
      <c r="K30" s="638" t="s">
        <v>234</v>
      </c>
      <c r="L30" s="428" t="s">
        <v>258</v>
      </c>
      <c r="M30" s="319">
        <f t="shared" si="2"/>
        <v>1707</v>
      </c>
      <c r="N30" s="198"/>
      <c r="O30" s="321">
        <v>1997.0</v>
      </c>
      <c r="P30" s="344">
        <f>COUNTIF($C$2:$C$503,"1997")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3008.0</v>
      </c>
      <c r="B31" s="420" t="s">
        <v>11562</v>
      </c>
      <c r="C31" s="420">
        <v>2005.0</v>
      </c>
      <c r="D31" s="497">
        <v>38632.0</v>
      </c>
      <c r="E31" s="420" t="s">
        <v>11563</v>
      </c>
      <c r="F31" s="420" t="s">
        <v>11564</v>
      </c>
      <c r="G31" s="420" t="s">
        <v>650</v>
      </c>
      <c r="H31" s="420" t="s">
        <v>651</v>
      </c>
      <c r="I31" s="497">
        <v>39540.0</v>
      </c>
      <c r="J31" s="422">
        <v>4.0</v>
      </c>
      <c r="K31" s="637" t="s">
        <v>238</v>
      </c>
      <c r="L31" s="420" t="s">
        <v>256</v>
      </c>
      <c r="M31" s="316">
        <f t="shared" si="2"/>
        <v>908</v>
      </c>
      <c r="N31" s="198"/>
      <c r="O31" s="322">
        <v>1998.0</v>
      </c>
      <c r="P31" s="346">
        <f>COUNTIF($C$2:$C$503,"1998")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3108.0</v>
      </c>
      <c r="B32" s="426" t="s">
        <v>11565</v>
      </c>
      <c r="C32" s="426">
        <v>2001.0</v>
      </c>
      <c r="D32" s="500">
        <v>37232.0</v>
      </c>
      <c r="E32" s="426" t="s">
        <v>11566</v>
      </c>
      <c r="F32" s="426" t="s">
        <v>11567</v>
      </c>
      <c r="G32" s="426" t="s">
        <v>34</v>
      </c>
      <c r="H32" s="426" t="s">
        <v>158</v>
      </c>
      <c r="I32" s="500">
        <v>39541.0</v>
      </c>
      <c r="J32" s="428">
        <v>4.0</v>
      </c>
      <c r="K32" s="638" t="s">
        <v>234</v>
      </c>
      <c r="L32" s="428" t="s">
        <v>260</v>
      </c>
      <c r="M32" s="319">
        <f t="shared" si="2"/>
        <v>2309</v>
      </c>
      <c r="N32" s="198"/>
      <c r="O32" s="321">
        <v>1999.0</v>
      </c>
      <c r="P32" s="344">
        <f>COUNTIF($C$2:$C$503,"1999")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3208.0</v>
      </c>
      <c r="B33" s="420" t="s">
        <v>11568</v>
      </c>
      <c r="C33" s="420">
        <v>2007.0</v>
      </c>
      <c r="D33" s="497">
        <v>39251.0</v>
      </c>
      <c r="E33" s="420" t="s">
        <v>11569</v>
      </c>
      <c r="F33" s="420" t="s">
        <v>44</v>
      </c>
      <c r="G33" s="420" t="s">
        <v>17</v>
      </c>
      <c r="H33" s="420" t="s">
        <v>50</v>
      </c>
      <c r="I33" s="497">
        <v>39541.0</v>
      </c>
      <c r="J33" s="422">
        <v>4.0</v>
      </c>
      <c r="K33" s="635" t="s">
        <v>228</v>
      </c>
      <c r="L33" s="420" t="s">
        <v>258</v>
      </c>
      <c r="M33" s="316">
        <f t="shared" si="2"/>
        <v>290</v>
      </c>
      <c r="N33" s="198"/>
      <c r="O33" s="322">
        <v>2000.0</v>
      </c>
      <c r="P33" s="346">
        <f>COUNTIF($C$2:$C$503,"2000")</f>
        <v>2</v>
      </c>
      <c r="Q33" s="113"/>
      <c r="R33" s="114"/>
      <c r="S33" s="343">
        <f>P33/P42</f>
        <v>0.01047120419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3308.0</v>
      </c>
      <c r="B34" s="426" t="s">
        <v>11570</v>
      </c>
      <c r="C34" s="426">
        <v>2001.0</v>
      </c>
      <c r="D34" s="500">
        <v>37236.0</v>
      </c>
      <c r="E34" s="426" t="s">
        <v>11571</v>
      </c>
      <c r="F34" s="426" t="s">
        <v>11567</v>
      </c>
      <c r="G34" s="426" t="s">
        <v>547</v>
      </c>
      <c r="H34" s="426" t="s">
        <v>158</v>
      </c>
      <c r="I34" s="500">
        <v>39542.0</v>
      </c>
      <c r="J34" s="428">
        <v>4.0</v>
      </c>
      <c r="K34" s="637" t="s">
        <v>238</v>
      </c>
      <c r="L34" s="428" t="s">
        <v>260</v>
      </c>
      <c r="M34" s="319">
        <f t="shared" si="2"/>
        <v>2306</v>
      </c>
      <c r="N34" s="198"/>
      <c r="O34" s="321">
        <v>2001.0</v>
      </c>
      <c r="P34" s="344">
        <f>COUNTIF($C$2:$C$503,"2001")</f>
        <v>12</v>
      </c>
      <c r="Q34" s="113"/>
      <c r="R34" s="114"/>
      <c r="S34" s="345">
        <f>P34/P42</f>
        <v>0.06282722513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3408.0</v>
      </c>
      <c r="B35" s="420" t="s">
        <v>11572</v>
      </c>
      <c r="C35" s="420">
        <v>2006.0</v>
      </c>
      <c r="D35" s="497">
        <v>39015.0</v>
      </c>
      <c r="E35" s="420" t="s">
        <v>11573</v>
      </c>
      <c r="F35" s="420" t="s">
        <v>11507</v>
      </c>
      <c r="G35" s="420" t="s">
        <v>650</v>
      </c>
      <c r="H35" s="420" t="s">
        <v>601</v>
      </c>
      <c r="I35" s="497">
        <v>39548.0</v>
      </c>
      <c r="J35" s="422">
        <v>4.0</v>
      </c>
      <c r="K35" s="638" t="s">
        <v>234</v>
      </c>
      <c r="L35" s="420" t="s">
        <v>256</v>
      </c>
      <c r="M35" s="316">
        <f t="shared" si="2"/>
        <v>533</v>
      </c>
      <c r="N35" s="198"/>
      <c r="O35" s="322">
        <v>2002.0</v>
      </c>
      <c r="P35" s="346">
        <f>COUNTIF($C$2:$C$503,"2002")</f>
        <v>2</v>
      </c>
      <c r="Q35" s="113"/>
      <c r="R35" s="114"/>
      <c r="S35" s="343">
        <f>P35/P42</f>
        <v>0.01047120419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3508.0</v>
      </c>
      <c r="B36" s="426" t="s">
        <v>11574</v>
      </c>
      <c r="C36" s="426">
        <v>2003.0</v>
      </c>
      <c r="D36" s="500">
        <v>37861.0</v>
      </c>
      <c r="E36" s="426" t="s">
        <v>11575</v>
      </c>
      <c r="F36" s="426" t="s">
        <v>11576</v>
      </c>
      <c r="G36" s="426" t="s">
        <v>650</v>
      </c>
      <c r="H36" s="426" t="s">
        <v>5826</v>
      </c>
      <c r="I36" s="500">
        <v>39556.0</v>
      </c>
      <c r="J36" s="428">
        <v>4.0</v>
      </c>
      <c r="K36" s="635" t="s">
        <v>228</v>
      </c>
      <c r="L36" s="428" t="s">
        <v>256</v>
      </c>
      <c r="M36" s="319">
        <f t="shared" si="2"/>
        <v>1695</v>
      </c>
      <c r="N36" s="198"/>
      <c r="O36" s="321">
        <v>2003.0</v>
      </c>
      <c r="P36" s="344">
        <f>COUNTIF($C$2:$C$503,"2003")</f>
        <v>3</v>
      </c>
      <c r="Q36" s="113"/>
      <c r="R36" s="114"/>
      <c r="S36" s="345">
        <f>P36/P42</f>
        <v>0.01570680628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578">
        <v>3608.0</v>
      </c>
      <c r="B37" s="420" t="s">
        <v>11577</v>
      </c>
      <c r="C37" s="420">
        <v>2006.0</v>
      </c>
      <c r="D37" s="497">
        <v>38929.0</v>
      </c>
      <c r="E37" s="420" t="s">
        <v>11578</v>
      </c>
      <c r="F37" s="420" t="s">
        <v>1232</v>
      </c>
      <c r="G37" s="420" t="s">
        <v>17</v>
      </c>
      <c r="H37" s="420" t="s">
        <v>11579</v>
      </c>
      <c r="I37" s="497">
        <v>39560.0</v>
      </c>
      <c r="J37" s="422">
        <v>4.0</v>
      </c>
      <c r="K37" s="638" t="s">
        <v>234</v>
      </c>
      <c r="L37" s="420" t="s">
        <v>256</v>
      </c>
      <c r="M37" s="316">
        <f t="shared" si="2"/>
        <v>631</v>
      </c>
      <c r="N37" s="198"/>
      <c r="O37" s="322">
        <v>2004.0</v>
      </c>
      <c r="P37" s="346">
        <f>COUNTIF($C$2:$C$503,"2004")</f>
        <v>18</v>
      </c>
      <c r="Q37" s="113"/>
      <c r="R37" s="114"/>
      <c r="S37" s="343">
        <f>P37/P42</f>
        <v>0.0942408377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3708.0</v>
      </c>
      <c r="B38" s="426" t="s">
        <v>11580</v>
      </c>
      <c r="C38" s="426">
        <v>2006.0</v>
      </c>
      <c r="D38" s="500">
        <v>38916.0</v>
      </c>
      <c r="E38" s="426" t="s">
        <v>11581</v>
      </c>
      <c r="F38" s="426" t="s">
        <v>11582</v>
      </c>
      <c r="G38" s="426" t="s">
        <v>17</v>
      </c>
      <c r="H38" s="426" t="s">
        <v>56</v>
      </c>
      <c r="I38" s="500">
        <v>39560.0</v>
      </c>
      <c r="J38" s="428">
        <v>4.0</v>
      </c>
      <c r="K38" s="637" t="s">
        <v>238</v>
      </c>
      <c r="L38" s="428" t="s">
        <v>258</v>
      </c>
      <c r="M38" s="319">
        <f t="shared" si="2"/>
        <v>644</v>
      </c>
      <c r="N38" s="198"/>
      <c r="O38" s="321">
        <v>2005.0</v>
      </c>
      <c r="P38" s="344">
        <f>COUNTIF($C$2:$C$503,"2005")</f>
        <v>37</v>
      </c>
      <c r="Q38" s="113"/>
      <c r="R38" s="114"/>
      <c r="S38" s="345">
        <f>P38/P42</f>
        <v>0.1937172775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3808.0</v>
      </c>
      <c r="B39" s="420" t="s">
        <v>11583</v>
      </c>
      <c r="C39" s="420">
        <v>2007.0</v>
      </c>
      <c r="D39" s="497">
        <v>39160.0</v>
      </c>
      <c r="E39" s="420" t="s">
        <v>11584</v>
      </c>
      <c r="F39" s="420" t="s">
        <v>8841</v>
      </c>
      <c r="G39" s="420" t="s">
        <v>17</v>
      </c>
      <c r="H39" s="420" t="s">
        <v>56</v>
      </c>
      <c r="I39" s="497">
        <v>39560.0</v>
      </c>
      <c r="J39" s="422">
        <v>4.0</v>
      </c>
      <c r="K39" s="635" t="s">
        <v>228</v>
      </c>
      <c r="L39" s="420" t="s">
        <v>256</v>
      </c>
      <c r="M39" s="316">
        <f t="shared" si="2"/>
        <v>400</v>
      </c>
      <c r="N39" s="198"/>
      <c r="O39" s="322">
        <v>2006.0</v>
      </c>
      <c r="P39" s="346">
        <f>COUNTIF($C$2:$C$503,"2006")</f>
        <v>66</v>
      </c>
      <c r="Q39" s="113"/>
      <c r="R39" s="114"/>
      <c r="S39" s="343">
        <f>P39/P42</f>
        <v>0.3455497382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3908.0</v>
      </c>
      <c r="B40" s="426" t="s">
        <v>11585</v>
      </c>
      <c r="C40" s="426">
        <v>2006.0</v>
      </c>
      <c r="D40" s="500">
        <v>39063.0</v>
      </c>
      <c r="E40" s="426" t="s">
        <v>11586</v>
      </c>
      <c r="F40" s="426" t="s">
        <v>963</v>
      </c>
      <c r="G40" s="426" t="s">
        <v>17</v>
      </c>
      <c r="H40" s="426" t="s">
        <v>56</v>
      </c>
      <c r="I40" s="500">
        <v>39560.0</v>
      </c>
      <c r="J40" s="428">
        <v>4.0</v>
      </c>
      <c r="K40" s="635" t="s">
        <v>228</v>
      </c>
      <c r="L40" s="428" t="s">
        <v>258</v>
      </c>
      <c r="M40" s="319">
        <f t="shared" si="2"/>
        <v>497</v>
      </c>
      <c r="N40" s="198"/>
      <c r="O40" s="321">
        <v>2007.0</v>
      </c>
      <c r="P40" s="344">
        <f>COUNTIF($C$2:$C$503,"2007")</f>
        <v>47</v>
      </c>
      <c r="Q40" s="113"/>
      <c r="R40" s="114"/>
      <c r="S40" s="345">
        <f>P40/P42</f>
        <v>0.2460732984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4008.0</v>
      </c>
      <c r="B41" s="420" t="s">
        <v>11587</v>
      </c>
      <c r="C41" s="420">
        <v>2004.0</v>
      </c>
      <c r="D41" s="497">
        <v>38348.0</v>
      </c>
      <c r="E41" s="420" t="s">
        <v>11588</v>
      </c>
      <c r="F41" s="420" t="s">
        <v>11589</v>
      </c>
      <c r="G41" s="420" t="s">
        <v>552</v>
      </c>
      <c r="H41" s="420" t="s">
        <v>583</v>
      </c>
      <c r="I41" s="497">
        <v>39560.0</v>
      </c>
      <c r="J41" s="422">
        <v>4.0</v>
      </c>
      <c r="K41" s="636" t="s">
        <v>244</v>
      </c>
      <c r="L41" s="420" t="s">
        <v>258</v>
      </c>
      <c r="M41" s="316">
        <f t="shared" si="2"/>
        <v>1212</v>
      </c>
      <c r="N41" s="198"/>
      <c r="O41" s="322">
        <v>2008.0</v>
      </c>
      <c r="P41" s="346">
        <f>COUNTIF($C$2:$C$503,"2008")</f>
        <v>4</v>
      </c>
      <c r="Q41" s="113"/>
      <c r="R41" s="114"/>
      <c r="S41" s="343">
        <f>P41/P42</f>
        <v>0.02094240838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4108.0</v>
      </c>
      <c r="B42" s="426" t="s">
        <v>11590</v>
      </c>
      <c r="C42" s="426">
        <v>2007.0</v>
      </c>
      <c r="D42" s="500">
        <v>39339.0</v>
      </c>
      <c r="E42" s="426" t="s">
        <v>11591</v>
      </c>
      <c r="F42" s="426" t="s">
        <v>666</v>
      </c>
      <c r="G42" s="426" t="s">
        <v>17</v>
      </c>
      <c r="H42" s="426" t="s">
        <v>740</v>
      </c>
      <c r="I42" s="500">
        <v>39561.0</v>
      </c>
      <c r="J42" s="428">
        <v>4.0</v>
      </c>
      <c r="K42" s="637" t="s">
        <v>238</v>
      </c>
      <c r="L42" s="428" t="s">
        <v>258</v>
      </c>
      <c r="M42" s="319">
        <f t="shared" si="2"/>
        <v>222</v>
      </c>
      <c r="N42" s="198"/>
      <c r="O42" s="348" t="s">
        <v>179</v>
      </c>
      <c r="P42" s="349">
        <f>SUM(P29:R41)</f>
        <v>191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578">
        <v>4208.0</v>
      </c>
      <c r="B43" s="420" t="s">
        <v>11592</v>
      </c>
      <c r="C43" s="420">
        <v>2005.0</v>
      </c>
      <c r="D43" s="497">
        <v>38688.0</v>
      </c>
      <c r="E43" s="420" t="s">
        <v>11593</v>
      </c>
      <c r="F43" s="420" t="s">
        <v>11589</v>
      </c>
      <c r="G43" s="420" t="s">
        <v>552</v>
      </c>
      <c r="H43" s="420" t="s">
        <v>11527</v>
      </c>
      <c r="I43" s="497">
        <v>39561.0</v>
      </c>
      <c r="J43" s="422">
        <v>4.0</v>
      </c>
      <c r="K43" s="636" t="s">
        <v>244</v>
      </c>
      <c r="L43" s="420" t="s">
        <v>258</v>
      </c>
      <c r="M43" s="316">
        <f t="shared" si="2"/>
        <v>873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585">
        <v>4308.0</v>
      </c>
      <c r="B44" s="426" t="s">
        <v>11594</v>
      </c>
      <c r="C44" s="426">
        <v>2006.0</v>
      </c>
      <c r="D44" s="500">
        <v>39009.0</v>
      </c>
      <c r="E44" s="426" t="s">
        <v>11595</v>
      </c>
      <c r="F44" s="426" t="s">
        <v>1232</v>
      </c>
      <c r="G44" s="426" t="s">
        <v>17</v>
      </c>
      <c r="H44" s="426" t="s">
        <v>8803</v>
      </c>
      <c r="I44" s="500">
        <v>39561.0</v>
      </c>
      <c r="J44" s="428">
        <v>4.0</v>
      </c>
      <c r="K44" s="637" t="s">
        <v>238</v>
      </c>
      <c r="L44" s="428" t="s">
        <v>256</v>
      </c>
      <c r="M44" s="319">
        <f t="shared" si="2"/>
        <v>552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4408.0</v>
      </c>
      <c r="B45" s="420" t="s">
        <v>11596</v>
      </c>
      <c r="C45" s="420">
        <v>2001.0</v>
      </c>
      <c r="D45" s="497">
        <v>37237.0</v>
      </c>
      <c r="E45" s="420" t="s">
        <v>11597</v>
      </c>
      <c r="F45" s="420" t="s">
        <v>5435</v>
      </c>
      <c r="G45" s="420" t="s">
        <v>650</v>
      </c>
      <c r="H45" s="420" t="s">
        <v>705</v>
      </c>
      <c r="I45" s="497">
        <v>39563.0</v>
      </c>
      <c r="J45" s="422">
        <v>4.0</v>
      </c>
      <c r="K45" s="635" t="s">
        <v>228</v>
      </c>
      <c r="L45" s="420" t="s">
        <v>256</v>
      </c>
      <c r="M45" s="316">
        <f t="shared" si="2"/>
        <v>2326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4508.0</v>
      </c>
      <c r="B46" s="426" t="s">
        <v>11598</v>
      </c>
      <c r="C46" s="426">
        <v>2001.0</v>
      </c>
      <c r="D46" s="500">
        <v>37187.0</v>
      </c>
      <c r="E46" s="426" t="s">
        <v>11599</v>
      </c>
      <c r="F46" s="426" t="s">
        <v>11600</v>
      </c>
      <c r="G46" s="426" t="s">
        <v>650</v>
      </c>
      <c r="H46" s="426" t="s">
        <v>651</v>
      </c>
      <c r="I46" s="500">
        <v>39566.0</v>
      </c>
      <c r="J46" s="428">
        <v>4.0</v>
      </c>
      <c r="K46" s="637" t="s">
        <v>238</v>
      </c>
      <c r="L46" s="428" t="s">
        <v>258</v>
      </c>
      <c r="M46" s="319">
        <f t="shared" si="2"/>
        <v>2379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4608.0</v>
      </c>
      <c r="B47" s="420" t="s">
        <v>11601</v>
      </c>
      <c r="C47" s="420">
        <v>2005.0</v>
      </c>
      <c r="D47" s="497">
        <v>38566.0</v>
      </c>
      <c r="E47" s="420" t="s">
        <v>11602</v>
      </c>
      <c r="F47" s="420" t="s">
        <v>3078</v>
      </c>
      <c r="G47" s="420" t="s">
        <v>552</v>
      </c>
      <c r="H47" s="420" t="s">
        <v>573</v>
      </c>
      <c r="I47" s="497">
        <v>39568.0</v>
      </c>
      <c r="J47" s="422">
        <v>4.0</v>
      </c>
      <c r="K47" s="638" t="s">
        <v>234</v>
      </c>
      <c r="L47" s="420" t="s">
        <v>256</v>
      </c>
      <c r="M47" s="316">
        <f t="shared" si="2"/>
        <v>1002</v>
      </c>
      <c r="N47" s="198"/>
      <c r="O47" s="353" t="s">
        <v>195</v>
      </c>
      <c r="P47" s="342">
        <f>COUNTIF($J$2:$J$476,"1")</f>
        <v>13</v>
      </c>
      <c r="Q47" s="332"/>
      <c r="R47" s="333"/>
      <c r="S47" s="354">
        <f>(P47/P59)</f>
        <v>0.06806282723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4708.0</v>
      </c>
      <c r="B48" s="426" t="s">
        <v>11603</v>
      </c>
      <c r="C48" s="426">
        <v>2005.0</v>
      </c>
      <c r="D48" s="500">
        <v>38427.0</v>
      </c>
      <c r="E48" s="426" t="s">
        <v>11604</v>
      </c>
      <c r="F48" s="426" t="s">
        <v>11605</v>
      </c>
      <c r="G48" s="426" t="s">
        <v>270</v>
      </c>
      <c r="H48" s="426" t="s">
        <v>143</v>
      </c>
      <c r="I48" s="500">
        <v>39575.0</v>
      </c>
      <c r="J48" s="428">
        <v>5.0</v>
      </c>
      <c r="K48" s="637" t="s">
        <v>238</v>
      </c>
      <c r="L48" s="428" t="s">
        <v>256</v>
      </c>
      <c r="M48" s="319">
        <f t="shared" si="2"/>
        <v>1148</v>
      </c>
      <c r="N48" s="198"/>
      <c r="O48" s="321" t="s">
        <v>197</v>
      </c>
      <c r="P48" s="344">
        <f>COUNTIF($J$2:$J$476,"2")</f>
        <v>5</v>
      </c>
      <c r="Q48" s="113"/>
      <c r="R48" s="114"/>
      <c r="S48" s="345">
        <f>(P48/P59)</f>
        <v>0.02617801047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4808.0</v>
      </c>
      <c r="B49" s="420" t="s">
        <v>11606</v>
      </c>
      <c r="C49" s="420">
        <v>2007.0</v>
      </c>
      <c r="D49" s="497">
        <v>39281.0</v>
      </c>
      <c r="E49" s="420" t="s">
        <v>11607</v>
      </c>
      <c r="F49" s="420" t="s">
        <v>900</v>
      </c>
      <c r="G49" s="420" t="s">
        <v>17</v>
      </c>
      <c r="H49" s="420" t="s">
        <v>50</v>
      </c>
      <c r="I49" s="497">
        <v>39580.0</v>
      </c>
      <c r="J49" s="422">
        <v>5.0</v>
      </c>
      <c r="K49" s="635" t="s">
        <v>228</v>
      </c>
      <c r="L49" s="420" t="s">
        <v>256</v>
      </c>
      <c r="M49" s="316">
        <f t="shared" si="2"/>
        <v>299</v>
      </c>
      <c r="N49" s="198"/>
      <c r="O49" s="322" t="s">
        <v>199</v>
      </c>
      <c r="P49" s="346">
        <f>COUNTIF($J$2:$J$476,"3")</f>
        <v>7</v>
      </c>
      <c r="Q49" s="113"/>
      <c r="R49" s="114"/>
      <c r="S49" s="343">
        <f>(P49/P59)</f>
        <v>0.03664921466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4908.0</v>
      </c>
      <c r="B50" s="426" t="s">
        <v>11608</v>
      </c>
      <c r="C50" s="426">
        <v>2007.0</v>
      </c>
      <c r="D50" s="500">
        <v>39213.0</v>
      </c>
      <c r="E50" s="426" t="s">
        <v>11609</v>
      </c>
      <c r="F50" s="426" t="s">
        <v>1401</v>
      </c>
      <c r="G50" s="426" t="s">
        <v>552</v>
      </c>
      <c r="H50" s="426" t="s">
        <v>929</v>
      </c>
      <c r="I50" s="500">
        <v>39581.0</v>
      </c>
      <c r="J50" s="428">
        <v>5.0</v>
      </c>
      <c r="K50" s="637" t="s">
        <v>238</v>
      </c>
      <c r="L50" s="428" t="s">
        <v>258</v>
      </c>
      <c r="M50" s="319">
        <f t="shared" si="2"/>
        <v>368</v>
      </c>
      <c r="N50" s="198"/>
      <c r="O50" s="321" t="s">
        <v>201</v>
      </c>
      <c r="P50" s="344">
        <f>COUNTIF($J$2:$J$476,"4")</f>
        <v>20</v>
      </c>
      <c r="Q50" s="113"/>
      <c r="R50" s="114"/>
      <c r="S50" s="345">
        <f>(P50/P59)</f>
        <v>0.1047120419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5008.0</v>
      </c>
      <c r="B51" s="420" t="s">
        <v>11610</v>
      </c>
      <c r="C51" s="420">
        <v>2005.0</v>
      </c>
      <c r="D51" s="497">
        <v>38679.0</v>
      </c>
      <c r="E51" s="420" t="s">
        <v>11611</v>
      </c>
      <c r="F51" s="420" t="s">
        <v>11612</v>
      </c>
      <c r="G51" s="420" t="s">
        <v>34</v>
      </c>
      <c r="H51" s="420" t="s">
        <v>705</v>
      </c>
      <c r="I51" s="497">
        <v>39587.0</v>
      </c>
      <c r="J51" s="422">
        <v>5.0</v>
      </c>
      <c r="K51" s="635" t="s">
        <v>228</v>
      </c>
      <c r="L51" s="420" t="s">
        <v>258</v>
      </c>
      <c r="M51" s="316">
        <f t="shared" si="2"/>
        <v>908</v>
      </c>
      <c r="N51" s="198"/>
      <c r="O51" s="322" t="s">
        <v>203</v>
      </c>
      <c r="P51" s="346">
        <f>COUNTIF($J$2:$J$476,"5")</f>
        <v>15</v>
      </c>
      <c r="Q51" s="113"/>
      <c r="R51" s="114"/>
      <c r="S51" s="343">
        <f>(P51/P59)</f>
        <v>0.07853403141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5108.0</v>
      </c>
      <c r="B52" s="426" t="s">
        <v>11613</v>
      </c>
      <c r="C52" s="426">
        <v>2005.0</v>
      </c>
      <c r="D52" s="500">
        <v>38685.0</v>
      </c>
      <c r="E52" s="426" t="s">
        <v>11614</v>
      </c>
      <c r="F52" s="426" t="s">
        <v>11612</v>
      </c>
      <c r="G52" s="426" t="s">
        <v>547</v>
      </c>
      <c r="H52" s="426" t="s">
        <v>705</v>
      </c>
      <c r="I52" s="500">
        <v>39587.0</v>
      </c>
      <c r="J52" s="428">
        <v>5.0</v>
      </c>
      <c r="K52" s="637" t="s">
        <v>238</v>
      </c>
      <c r="L52" s="428" t="s">
        <v>258</v>
      </c>
      <c r="M52" s="319">
        <f t="shared" si="2"/>
        <v>902</v>
      </c>
      <c r="N52" s="198"/>
      <c r="O52" s="321" t="s">
        <v>205</v>
      </c>
      <c r="P52" s="344">
        <f>COUNTIF($J$2:$J$476,"6")</f>
        <v>11</v>
      </c>
      <c r="Q52" s="113"/>
      <c r="R52" s="114"/>
      <c r="S52" s="345">
        <f>(P52/P59)</f>
        <v>0.05759162304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5208.0</v>
      </c>
      <c r="B53" s="420" t="s">
        <v>11615</v>
      </c>
      <c r="C53" s="420">
        <v>2004.0</v>
      </c>
      <c r="D53" s="497">
        <v>38079.0</v>
      </c>
      <c r="E53" s="420" t="s">
        <v>11616</v>
      </c>
      <c r="F53" s="420" t="s">
        <v>11617</v>
      </c>
      <c r="G53" s="420" t="s">
        <v>552</v>
      </c>
      <c r="H53" s="420" t="s">
        <v>7403</v>
      </c>
      <c r="I53" s="497">
        <v>39588.0</v>
      </c>
      <c r="J53" s="422">
        <v>5.0</v>
      </c>
      <c r="K53" s="637" t="s">
        <v>238</v>
      </c>
      <c r="L53" s="420" t="s">
        <v>258</v>
      </c>
      <c r="M53" s="316">
        <f t="shared" si="2"/>
        <v>1509</v>
      </c>
      <c r="N53" s="198"/>
      <c r="O53" s="322" t="s">
        <v>207</v>
      </c>
      <c r="P53" s="346">
        <f>COUNTIF($J$2:$J$476,"7")</f>
        <v>30</v>
      </c>
      <c r="Q53" s="113"/>
      <c r="R53" s="114"/>
      <c r="S53" s="343">
        <f>(P53/P59)</f>
        <v>0.1570680628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5308.0</v>
      </c>
      <c r="B54" s="426" t="s">
        <v>11618</v>
      </c>
      <c r="C54" s="426">
        <v>2006.0</v>
      </c>
      <c r="D54" s="500">
        <v>38868.0</v>
      </c>
      <c r="E54" s="426" t="s">
        <v>11619</v>
      </c>
      <c r="F54" s="426" t="s">
        <v>1401</v>
      </c>
      <c r="G54" s="426" t="s">
        <v>552</v>
      </c>
      <c r="H54" s="426" t="s">
        <v>1501</v>
      </c>
      <c r="I54" s="500">
        <v>39594.0</v>
      </c>
      <c r="J54" s="428">
        <v>5.0</v>
      </c>
      <c r="K54" s="637" t="s">
        <v>238</v>
      </c>
      <c r="L54" s="428" t="s">
        <v>258</v>
      </c>
      <c r="M54" s="319">
        <f t="shared" si="2"/>
        <v>726</v>
      </c>
      <c r="N54" s="198"/>
      <c r="O54" s="321" t="s">
        <v>209</v>
      </c>
      <c r="P54" s="344">
        <f>COUNTIF($J$2:$J$476,"8")</f>
        <v>17</v>
      </c>
      <c r="Q54" s="113"/>
      <c r="R54" s="114"/>
      <c r="S54" s="345">
        <f>(P54/P59)</f>
        <v>0.0890052356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5408.0</v>
      </c>
      <c r="B55" s="420" t="s">
        <v>11620</v>
      </c>
      <c r="C55" s="420">
        <v>2006.0</v>
      </c>
      <c r="D55" s="497">
        <v>38834.0</v>
      </c>
      <c r="E55" s="420" t="s">
        <v>11621</v>
      </c>
      <c r="F55" s="420" t="s">
        <v>963</v>
      </c>
      <c r="G55" s="420" t="s">
        <v>17</v>
      </c>
      <c r="H55" s="420" t="s">
        <v>2964</v>
      </c>
      <c r="I55" s="497">
        <v>39594.0</v>
      </c>
      <c r="J55" s="422">
        <v>5.0</v>
      </c>
      <c r="K55" s="635" t="s">
        <v>228</v>
      </c>
      <c r="L55" s="420" t="s">
        <v>258</v>
      </c>
      <c r="M55" s="316">
        <f t="shared" si="2"/>
        <v>760</v>
      </c>
      <c r="N55" s="198"/>
      <c r="O55" s="322" t="s">
        <v>211</v>
      </c>
      <c r="P55" s="346">
        <f>COUNTIF($J$2:$J$476,"9")</f>
        <v>13</v>
      </c>
      <c r="Q55" s="113"/>
      <c r="R55" s="114"/>
      <c r="S55" s="343">
        <f>(P55/P59)</f>
        <v>0.06806282723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5508.0</v>
      </c>
      <c r="B56" s="426" t="s">
        <v>11622</v>
      </c>
      <c r="C56" s="426">
        <v>2006.0</v>
      </c>
      <c r="D56" s="500">
        <v>39037.0</v>
      </c>
      <c r="E56" s="426" t="s">
        <v>11623</v>
      </c>
      <c r="F56" s="426" t="s">
        <v>11624</v>
      </c>
      <c r="G56" s="426" t="s">
        <v>650</v>
      </c>
      <c r="H56" s="426" t="s">
        <v>11495</v>
      </c>
      <c r="I56" s="500">
        <v>39595.0</v>
      </c>
      <c r="J56" s="428">
        <v>5.0</v>
      </c>
      <c r="K56" s="636" t="s">
        <v>244</v>
      </c>
      <c r="L56" s="428" t="s">
        <v>260</v>
      </c>
      <c r="M56" s="319">
        <f t="shared" si="2"/>
        <v>558</v>
      </c>
      <c r="N56" s="198"/>
      <c r="O56" s="321" t="s">
        <v>213</v>
      </c>
      <c r="P56" s="344">
        <f>COUNTIF($J$2:$J$476,"10")</f>
        <v>9</v>
      </c>
      <c r="Q56" s="113"/>
      <c r="R56" s="114"/>
      <c r="S56" s="345">
        <f>(P56/P59)</f>
        <v>0.04712041885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5608.0</v>
      </c>
      <c r="B57" s="420" t="s">
        <v>11625</v>
      </c>
      <c r="C57" s="420">
        <v>2005.0</v>
      </c>
      <c r="D57" s="497">
        <v>38446.0</v>
      </c>
      <c r="E57" s="420" t="s">
        <v>11626</v>
      </c>
      <c r="F57" s="420" t="s">
        <v>11582</v>
      </c>
      <c r="G57" s="420" t="s">
        <v>650</v>
      </c>
      <c r="H57" s="420" t="s">
        <v>1002</v>
      </c>
      <c r="I57" s="497">
        <v>39595.0</v>
      </c>
      <c r="J57" s="422">
        <v>5.0</v>
      </c>
      <c r="K57" s="636" t="s">
        <v>244</v>
      </c>
      <c r="L57" s="420" t="s">
        <v>258</v>
      </c>
      <c r="M57" s="316">
        <f t="shared" si="2"/>
        <v>1149</v>
      </c>
      <c r="N57" s="198"/>
      <c r="O57" s="322" t="s">
        <v>215</v>
      </c>
      <c r="P57" s="346">
        <f>COUNTIF($J$2:$J$476,"11")</f>
        <v>24</v>
      </c>
      <c r="Q57" s="113"/>
      <c r="R57" s="114"/>
      <c r="S57" s="343">
        <f>(P57/P59)</f>
        <v>0.1256544503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5708.0</v>
      </c>
      <c r="B58" s="426" t="s">
        <v>11627</v>
      </c>
      <c r="C58" s="426">
        <v>2006.0</v>
      </c>
      <c r="D58" s="500">
        <v>39003.0</v>
      </c>
      <c r="E58" s="426" t="s">
        <v>11628</v>
      </c>
      <c r="F58" s="426" t="s">
        <v>900</v>
      </c>
      <c r="G58" s="426" t="s">
        <v>552</v>
      </c>
      <c r="H58" s="426" t="s">
        <v>5989</v>
      </c>
      <c r="I58" s="500">
        <v>39595.0</v>
      </c>
      <c r="J58" s="428">
        <v>5.0</v>
      </c>
      <c r="K58" s="637" t="s">
        <v>238</v>
      </c>
      <c r="L58" s="428" t="s">
        <v>258</v>
      </c>
      <c r="M58" s="319">
        <f t="shared" si="2"/>
        <v>592</v>
      </c>
      <c r="N58" s="198"/>
      <c r="O58" s="355" t="s">
        <v>217</v>
      </c>
      <c r="P58" s="344">
        <f>COUNTIF($J$2:$J$476,"12")</f>
        <v>27</v>
      </c>
      <c r="Q58" s="113"/>
      <c r="R58" s="114"/>
      <c r="S58" s="356">
        <f>(P58/P59)</f>
        <v>0.1413612565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5808.0</v>
      </c>
      <c r="B59" s="420" t="s">
        <v>11629</v>
      </c>
      <c r="C59" s="420">
        <v>2007.0</v>
      </c>
      <c r="D59" s="497">
        <v>39435.0</v>
      </c>
      <c r="E59" s="420" t="s">
        <v>900</v>
      </c>
      <c r="F59" s="420" t="s">
        <v>900</v>
      </c>
      <c r="G59" s="420" t="s">
        <v>552</v>
      </c>
      <c r="H59" s="420" t="s">
        <v>5989</v>
      </c>
      <c r="I59" s="497">
        <v>39596.0</v>
      </c>
      <c r="J59" s="422">
        <v>5.0</v>
      </c>
      <c r="K59" s="637" t="s">
        <v>238</v>
      </c>
      <c r="L59" s="420" t="s">
        <v>258</v>
      </c>
      <c r="M59" s="316">
        <f t="shared" si="2"/>
        <v>161</v>
      </c>
      <c r="N59" s="198"/>
      <c r="O59" s="348" t="s">
        <v>219</v>
      </c>
      <c r="P59" s="349">
        <f>SUM(P47:R58)</f>
        <v>191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5908.0</v>
      </c>
      <c r="B60" s="426" t="s">
        <v>11630</v>
      </c>
      <c r="C60" s="426">
        <v>2006.0</v>
      </c>
      <c r="D60" s="500">
        <v>38736.0</v>
      </c>
      <c r="E60" s="426" t="s">
        <v>11631</v>
      </c>
      <c r="F60" s="426" t="s">
        <v>900</v>
      </c>
      <c r="G60" s="426" t="s">
        <v>552</v>
      </c>
      <c r="H60" s="426" t="s">
        <v>5989</v>
      </c>
      <c r="I60" s="500">
        <v>39596.0</v>
      </c>
      <c r="J60" s="428">
        <v>5.0</v>
      </c>
      <c r="K60" s="637" t="s">
        <v>238</v>
      </c>
      <c r="L60" s="428" t="s">
        <v>258</v>
      </c>
      <c r="M60" s="319">
        <f t="shared" si="2"/>
        <v>860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6008.0</v>
      </c>
      <c r="B61" s="420" t="s">
        <v>11632</v>
      </c>
      <c r="C61" s="420">
        <v>2007.0</v>
      </c>
      <c r="D61" s="497">
        <v>39435.0</v>
      </c>
      <c r="E61" s="420" t="s">
        <v>11633</v>
      </c>
      <c r="F61" s="420" t="s">
        <v>900</v>
      </c>
      <c r="G61" s="420" t="s">
        <v>552</v>
      </c>
      <c r="H61" s="420" t="s">
        <v>5989</v>
      </c>
      <c r="I61" s="497">
        <v>39596.0</v>
      </c>
      <c r="J61" s="422">
        <v>5.0</v>
      </c>
      <c r="K61" s="637" t="s">
        <v>238</v>
      </c>
      <c r="L61" s="420" t="s">
        <v>258</v>
      </c>
      <c r="M61" s="316">
        <f t="shared" si="2"/>
        <v>161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6108.0</v>
      </c>
      <c r="B62" s="426" t="s">
        <v>11634</v>
      </c>
      <c r="C62" s="426">
        <v>2006.0</v>
      </c>
      <c r="D62" s="500">
        <v>39070.0</v>
      </c>
      <c r="E62" s="426" t="s">
        <v>11635</v>
      </c>
      <c r="F62" s="426" t="s">
        <v>11636</v>
      </c>
      <c r="G62" s="426" t="s">
        <v>552</v>
      </c>
      <c r="H62" s="426" t="s">
        <v>5989</v>
      </c>
      <c r="I62" s="500">
        <v>39598.0</v>
      </c>
      <c r="J62" s="428">
        <v>5.0</v>
      </c>
      <c r="K62" s="637" t="s">
        <v>238</v>
      </c>
      <c r="L62" s="428" t="s">
        <v>258</v>
      </c>
      <c r="M62" s="319">
        <f t="shared" si="2"/>
        <v>528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6208.0</v>
      </c>
      <c r="B63" s="420" t="s">
        <v>11637</v>
      </c>
      <c r="C63" s="420">
        <v>2001.0</v>
      </c>
      <c r="D63" s="497">
        <v>36945.0</v>
      </c>
      <c r="E63" s="420" t="s">
        <v>11638</v>
      </c>
      <c r="F63" s="420" t="s">
        <v>3078</v>
      </c>
      <c r="G63" s="420" t="s">
        <v>650</v>
      </c>
      <c r="H63" s="420" t="s">
        <v>601</v>
      </c>
      <c r="I63" s="497">
        <v>39601.0</v>
      </c>
      <c r="J63" s="422">
        <v>6.0</v>
      </c>
      <c r="K63" s="638" t="s">
        <v>234</v>
      </c>
      <c r="L63" s="420" t="s">
        <v>256</v>
      </c>
      <c r="M63" s="316">
        <f t="shared" si="2"/>
        <v>2656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6308.0</v>
      </c>
      <c r="B64" s="426" t="s">
        <v>11639</v>
      </c>
      <c r="C64" s="426">
        <v>2002.0</v>
      </c>
      <c r="D64" s="500">
        <v>37538.0</v>
      </c>
      <c r="E64" s="426" t="s">
        <v>11640</v>
      </c>
      <c r="F64" s="426" t="s">
        <v>1823</v>
      </c>
      <c r="G64" s="426" t="s">
        <v>552</v>
      </c>
      <c r="H64" s="426" t="s">
        <v>2509</v>
      </c>
      <c r="I64" s="500">
        <v>39601.0</v>
      </c>
      <c r="J64" s="428">
        <v>6.0</v>
      </c>
      <c r="K64" s="635" t="s">
        <v>228</v>
      </c>
      <c r="L64" s="428" t="s">
        <v>256</v>
      </c>
      <c r="M64" s="319">
        <f t="shared" si="2"/>
        <v>2063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72</v>
      </c>
      <c r="T64" s="366">
        <f>(S64/S76)</f>
        <v>0.3769633508</v>
      </c>
      <c r="U64" s="198"/>
      <c r="V64" s="198"/>
      <c r="W64" s="198"/>
      <c r="X64" s="198"/>
      <c r="Y64" s="198"/>
      <c r="Z64" s="198"/>
    </row>
    <row r="65" ht="12.75" customHeight="1">
      <c r="A65" s="578">
        <v>6408.0</v>
      </c>
      <c r="B65" s="420" t="s">
        <v>11641</v>
      </c>
      <c r="C65" s="420">
        <v>2007.0</v>
      </c>
      <c r="D65" s="497">
        <v>39247.0</v>
      </c>
      <c r="E65" s="420" t="s">
        <v>11642</v>
      </c>
      <c r="F65" s="420" t="s">
        <v>1203</v>
      </c>
      <c r="G65" s="420" t="s">
        <v>17</v>
      </c>
      <c r="H65" s="420" t="s">
        <v>11643</v>
      </c>
      <c r="I65" s="497">
        <v>39602.0</v>
      </c>
      <c r="J65" s="422">
        <v>6.0</v>
      </c>
      <c r="K65" s="637" t="s">
        <v>238</v>
      </c>
      <c r="L65" s="420" t="s">
        <v>256</v>
      </c>
      <c r="M65" s="316">
        <f t="shared" si="2"/>
        <v>355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6508.0</v>
      </c>
      <c r="B66" s="426" t="s">
        <v>11644</v>
      </c>
      <c r="C66" s="426">
        <v>2006.0</v>
      </c>
      <c r="D66" s="500">
        <v>38875.0</v>
      </c>
      <c r="E66" s="426" t="s">
        <v>11645</v>
      </c>
      <c r="F66" s="426" t="s">
        <v>1401</v>
      </c>
      <c r="G66" s="426" t="s">
        <v>17</v>
      </c>
      <c r="H66" s="426" t="s">
        <v>9033</v>
      </c>
      <c r="I66" s="500">
        <v>39604.0</v>
      </c>
      <c r="J66" s="428">
        <v>6.0</v>
      </c>
      <c r="K66" s="637" t="s">
        <v>238</v>
      </c>
      <c r="L66" s="428" t="s">
        <v>258</v>
      </c>
      <c r="M66" s="319">
        <f t="shared" si="2"/>
        <v>729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6608.0</v>
      </c>
      <c r="B67" s="420" t="s">
        <v>11646</v>
      </c>
      <c r="C67" s="420">
        <v>2007.0</v>
      </c>
      <c r="D67" s="497">
        <v>39225.0</v>
      </c>
      <c r="E67" s="420" t="s">
        <v>11647</v>
      </c>
      <c r="F67" s="420" t="s">
        <v>11648</v>
      </c>
      <c r="G67" s="420" t="s">
        <v>650</v>
      </c>
      <c r="H67" s="420" t="s">
        <v>158</v>
      </c>
      <c r="I67" s="497">
        <v>39605.0</v>
      </c>
      <c r="J67" s="422">
        <v>6.0</v>
      </c>
      <c r="K67" s="637" t="s">
        <v>238</v>
      </c>
      <c r="L67" s="420" t="s">
        <v>256</v>
      </c>
      <c r="M67" s="316">
        <f t="shared" si="2"/>
        <v>380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28</v>
      </c>
      <c r="T67" s="374">
        <f>(S67/S76)</f>
        <v>0.1465968586</v>
      </c>
      <c r="U67" s="198"/>
      <c r="V67" s="198"/>
      <c r="W67" s="198"/>
      <c r="X67" s="198"/>
      <c r="Y67" s="198"/>
      <c r="Z67" s="198"/>
    </row>
    <row r="68" ht="12.75" customHeight="1">
      <c r="A68" s="585">
        <v>6708.0</v>
      </c>
      <c r="B68" s="426" t="s">
        <v>11649</v>
      </c>
      <c r="C68" s="426">
        <v>2006.0</v>
      </c>
      <c r="D68" s="500">
        <v>38909.0</v>
      </c>
      <c r="E68" s="426" t="s">
        <v>11650</v>
      </c>
      <c r="F68" s="426" t="s">
        <v>1232</v>
      </c>
      <c r="G68" s="426" t="s">
        <v>552</v>
      </c>
      <c r="H68" s="426" t="s">
        <v>1501</v>
      </c>
      <c r="I68" s="500">
        <v>39605.0</v>
      </c>
      <c r="J68" s="428">
        <v>6.0</v>
      </c>
      <c r="K68" s="635" t="s">
        <v>228</v>
      </c>
      <c r="L68" s="428" t="s">
        <v>256</v>
      </c>
      <c r="M68" s="319">
        <f t="shared" si="2"/>
        <v>696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6808.0</v>
      </c>
      <c r="B69" s="420" t="s">
        <v>11651</v>
      </c>
      <c r="C69" s="420">
        <v>2006.0</v>
      </c>
      <c r="D69" s="497">
        <v>38939.0</v>
      </c>
      <c r="E69" s="420" t="s">
        <v>11652</v>
      </c>
      <c r="F69" s="420" t="s">
        <v>2046</v>
      </c>
      <c r="G69" s="420" t="s">
        <v>17</v>
      </c>
      <c r="H69" s="420" t="s">
        <v>5989</v>
      </c>
      <c r="I69" s="497">
        <v>39617.0</v>
      </c>
      <c r="J69" s="422">
        <v>6.0</v>
      </c>
      <c r="K69" s="637" t="s">
        <v>238</v>
      </c>
      <c r="L69" s="420" t="s">
        <v>256</v>
      </c>
      <c r="M69" s="316">
        <f t="shared" si="2"/>
        <v>678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76</v>
      </c>
      <c r="T69" s="377">
        <f>(S69/S76)</f>
        <v>0.3979057592</v>
      </c>
      <c r="U69" s="198"/>
      <c r="V69" s="198"/>
      <c r="W69" s="198"/>
      <c r="X69" s="198"/>
      <c r="Y69" s="198"/>
      <c r="Z69" s="198"/>
    </row>
    <row r="70" ht="12.75" customHeight="1">
      <c r="A70" s="585">
        <v>6908.0</v>
      </c>
      <c r="B70" s="426" t="s">
        <v>11653</v>
      </c>
      <c r="C70" s="426">
        <v>2007.0</v>
      </c>
      <c r="D70" s="500">
        <v>39377.0</v>
      </c>
      <c r="E70" s="426" t="s">
        <v>11654</v>
      </c>
      <c r="F70" s="426" t="s">
        <v>44</v>
      </c>
      <c r="G70" s="426" t="s">
        <v>552</v>
      </c>
      <c r="H70" s="426" t="s">
        <v>901</v>
      </c>
      <c r="I70" s="500">
        <v>39622.0</v>
      </c>
      <c r="J70" s="428">
        <v>6.0</v>
      </c>
      <c r="K70" s="635" t="s">
        <v>228</v>
      </c>
      <c r="L70" s="428" t="s">
        <v>258</v>
      </c>
      <c r="M70" s="319">
        <f t="shared" si="2"/>
        <v>245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7008.0</v>
      </c>
      <c r="B71" s="420" t="s">
        <v>11655</v>
      </c>
      <c r="C71" s="420">
        <v>2001.0</v>
      </c>
      <c r="D71" s="497">
        <v>36983.0</v>
      </c>
      <c r="E71" s="420" t="s">
        <v>11656</v>
      </c>
      <c r="F71" s="420" t="s">
        <v>11657</v>
      </c>
      <c r="G71" s="420" t="s">
        <v>650</v>
      </c>
      <c r="H71" s="420" t="s">
        <v>601</v>
      </c>
      <c r="I71" s="497">
        <v>39626.0</v>
      </c>
      <c r="J71" s="422">
        <v>7.0</v>
      </c>
      <c r="K71" s="637" t="s">
        <v>238</v>
      </c>
      <c r="L71" s="420" t="s">
        <v>256</v>
      </c>
      <c r="M71" s="316">
        <f t="shared" si="2"/>
        <v>2643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7108.0</v>
      </c>
      <c r="B72" s="426" t="s">
        <v>11658</v>
      </c>
      <c r="C72" s="426">
        <v>2004.0</v>
      </c>
      <c r="D72" s="500">
        <v>38348.0</v>
      </c>
      <c r="E72" s="426" t="s">
        <v>11659</v>
      </c>
      <c r="F72" s="426" t="s">
        <v>11589</v>
      </c>
      <c r="G72" s="426" t="s">
        <v>552</v>
      </c>
      <c r="H72" s="426" t="s">
        <v>45</v>
      </c>
      <c r="I72" s="500">
        <v>39626.0</v>
      </c>
      <c r="J72" s="428">
        <v>6.0</v>
      </c>
      <c r="K72" s="636" t="s">
        <v>244</v>
      </c>
      <c r="L72" s="428" t="s">
        <v>258</v>
      </c>
      <c r="M72" s="319">
        <f t="shared" si="2"/>
        <v>1278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15</v>
      </c>
      <c r="T72" s="380">
        <f>(S72/S76)</f>
        <v>0.07853403141</v>
      </c>
      <c r="U72" s="198"/>
      <c r="V72" s="198"/>
      <c r="W72" s="198"/>
      <c r="X72" s="198"/>
      <c r="Y72" s="198"/>
      <c r="Z72" s="198"/>
    </row>
    <row r="73" ht="12.75" customHeight="1">
      <c r="A73" s="578">
        <v>7208.0</v>
      </c>
      <c r="B73" s="420" t="s">
        <v>11660</v>
      </c>
      <c r="C73" s="420">
        <v>2005.0</v>
      </c>
      <c r="D73" s="497">
        <v>38457.0</v>
      </c>
      <c r="E73" s="420" t="s">
        <v>11661</v>
      </c>
      <c r="F73" s="420" t="s">
        <v>11662</v>
      </c>
      <c r="G73" s="420" t="s">
        <v>650</v>
      </c>
      <c r="H73" s="420" t="s">
        <v>158</v>
      </c>
      <c r="I73" s="497">
        <v>39626.0</v>
      </c>
      <c r="J73" s="422">
        <v>6.0</v>
      </c>
      <c r="K73" s="637" t="s">
        <v>238</v>
      </c>
      <c r="L73" s="420" t="s">
        <v>256</v>
      </c>
      <c r="M73" s="316">
        <f t="shared" si="2"/>
        <v>1169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7308.0</v>
      </c>
      <c r="B74" s="426" t="s">
        <v>11663</v>
      </c>
      <c r="C74" s="426">
        <v>2004.0</v>
      </c>
      <c r="D74" s="500">
        <v>38348.0</v>
      </c>
      <c r="E74" s="426" t="s">
        <v>11664</v>
      </c>
      <c r="F74" s="426" t="s">
        <v>31</v>
      </c>
      <c r="G74" s="426" t="s">
        <v>552</v>
      </c>
      <c r="H74" s="426" t="s">
        <v>45</v>
      </c>
      <c r="I74" s="500">
        <v>39629.0</v>
      </c>
      <c r="J74" s="428">
        <v>6.0</v>
      </c>
      <c r="K74" s="635" t="s">
        <v>228</v>
      </c>
      <c r="L74" s="428" t="s">
        <v>258</v>
      </c>
      <c r="M74" s="319">
        <f t="shared" si="2"/>
        <v>1281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7408.0</v>
      </c>
      <c r="B75" s="420" t="s">
        <v>11665</v>
      </c>
      <c r="C75" s="420">
        <v>2004.0</v>
      </c>
      <c r="D75" s="497">
        <v>38212.0</v>
      </c>
      <c r="E75" s="420" t="s">
        <v>11666</v>
      </c>
      <c r="F75" s="420" t="s">
        <v>186</v>
      </c>
      <c r="G75" s="420" t="s">
        <v>34</v>
      </c>
      <c r="H75" s="420" t="s">
        <v>158</v>
      </c>
      <c r="I75" s="497">
        <v>39630.0</v>
      </c>
      <c r="J75" s="422">
        <v>7.0</v>
      </c>
      <c r="K75" s="635" t="s">
        <v>228</v>
      </c>
      <c r="L75" s="420" t="s">
        <v>256</v>
      </c>
      <c r="M75" s="316">
        <f t="shared" si="2"/>
        <v>1418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585">
        <v>7508.0</v>
      </c>
      <c r="B76" s="426" t="s">
        <v>11667</v>
      </c>
      <c r="C76" s="426">
        <v>2007.0</v>
      </c>
      <c r="D76" s="500">
        <v>39426.0</v>
      </c>
      <c r="E76" s="426" t="s">
        <v>11668</v>
      </c>
      <c r="F76" s="426" t="s">
        <v>44</v>
      </c>
      <c r="G76" s="426" t="s">
        <v>552</v>
      </c>
      <c r="H76" s="426" t="s">
        <v>901</v>
      </c>
      <c r="I76" s="500">
        <v>39630.0</v>
      </c>
      <c r="J76" s="428">
        <v>7.0</v>
      </c>
      <c r="K76" s="635" t="s">
        <v>228</v>
      </c>
      <c r="L76" s="428" t="s">
        <v>258</v>
      </c>
      <c r="M76" s="319">
        <f t="shared" si="2"/>
        <v>204</v>
      </c>
      <c r="N76" s="198"/>
      <c r="O76" s="386" t="s">
        <v>219</v>
      </c>
      <c r="P76" s="332"/>
      <c r="Q76" s="332"/>
      <c r="R76" s="387"/>
      <c r="S76" s="388">
        <f>SUM(S64:S75)</f>
        <v>191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7608.0</v>
      </c>
      <c r="B77" s="420" t="s">
        <v>11669</v>
      </c>
      <c r="C77" s="420">
        <v>2006.0</v>
      </c>
      <c r="D77" s="497">
        <v>38789.0</v>
      </c>
      <c r="E77" s="420" t="s">
        <v>11670</v>
      </c>
      <c r="F77" s="420" t="s">
        <v>559</v>
      </c>
      <c r="G77" s="420" t="s">
        <v>17</v>
      </c>
      <c r="H77" s="420" t="s">
        <v>2509</v>
      </c>
      <c r="I77" s="497">
        <v>39630.0</v>
      </c>
      <c r="J77" s="422">
        <v>7.0</v>
      </c>
      <c r="K77" s="637" t="s">
        <v>238</v>
      </c>
      <c r="L77" s="420" t="s">
        <v>256</v>
      </c>
      <c r="M77" s="316">
        <f t="shared" si="2"/>
        <v>841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7708.0</v>
      </c>
      <c r="B78" s="426" t="s">
        <v>11671</v>
      </c>
      <c r="C78" s="426">
        <v>2006.0</v>
      </c>
      <c r="D78" s="500">
        <v>38896.0</v>
      </c>
      <c r="E78" s="426" t="s">
        <v>11672</v>
      </c>
      <c r="F78" s="426" t="s">
        <v>885</v>
      </c>
      <c r="G78" s="426" t="s">
        <v>17</v>
      </c>
      <c r="H78" s="426" t="s">
        <v>7403</v>
      </c>
      <c r="I78" s="500">
        <v>39630.0</v>
      </c>
      <c r="J78" s="428">
        <v>7.0</v>
      </c>
      <c r="K78" s="637" t="s">
        <v>238</v>
      </c>
      <c r="L78" s="428" t="s">
        <v>256</v>
      </c>
      <c r="M78" s="319">
        <f t="shared" si="2"/>
        <v>734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7808.0</v>
      </c>
      <c r="B79" s="420" t="s">
        <v>11673</v>
      </c>
      <c r="C79" s="420">
        <v>2007.0</v>
      </c>
      <c r="D79" s="497">
        <v>39259.0</v>
      </c>
      <c r="E79" s="420" t="s">
        <v>11674</v>
      </c>
      <c r="F79" s="420" t="s">
        <v>1846</v>
      </c>
      <c r="G79" s="420" t="s">
        <v>17</v>
      </c>
      <c r="H79" s="420" t="s">
        <v>11320</v>
      </c>
      <c r="I79" s="497">
        <v>39630.0</v>
      </c>
      <c r="J79" s="422">
        <v>7.0</v>
      </c>
      <c r="K79" s="638" t="s">
        <v>234</v>
      </c>
      <c r="L79" s="420" t="s">
        <v>256</v>
      </c>
      <c r="M79" s="316">
        <f t="shared" si="2"/>
        <v>371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7908.0</v>
      </c>
      <c r="B80" s="426" t="s">
        <v>11675</v>
      </c>
      <c r="C80" s="426">
        <v>2006.0</v>
      </c>
      <c r="D80" s="500">
        <v>38897.0</v>
      </c>
      <c r="E80" s="426" t="s">
        <v>11676</v>
      </c>
      <c r="F80" s="426" t="s">
        <v>963</v>
      </c>
      <c r="G80" s="426" t="s">
        <v>552</v>
      </c>
      <c r="H80" s="426" t="s">
        <v>1501</v>
      </c>
      <c r="I80" s="500">
        <v>39631.0</v>
      </c>
      <c r="J80" s="428">
        <v>7.0</v>
      </c>
      <c r="K80" s="637" t="s">
        <v>238</v>
      </c>
      <c r="L80" s="428" t="s">
        <v>258</v>
      </c>
      <c r="M80" s="319">
        <f t="shared" si="2"/>
        <v>734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8008.0</v>
      </c>
      <c r="B81" s="420" t="s">
        <v>11677</v>
      </c>
      <c r="C81" s="420">
        <v>2005.0</v>
      </c>
      <c r="D81" s="497">
        <v>38677.0</v>
      </c>
      <c r="E81" s="420" t="s">
        <v>11678</v>
      </c>
      <c r="F81" s="420" t="s">
        <v>3078</v>
      </c>
      <c r="G81" s="420" t="s">
        <v>650</v>
      </c>
      <c r="H81" s="420" t="s">
        <v>601</v>
      </c>
      <c r="I81" s="497">
        <v>39631.0</v>
      </c>
      <c r="J81" s="422">
        <v>7.0</v>
      </c>
      <c r="K81" s="637" t="s">
        <v>238</v>
      </c>
      <c r="L81" s="420" t="s">
        <v>256</v>
      </c>
      <c r="M81" s="316">
        <f t="shared" si="2"/>
        <v>954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4</v>
      </c>
      <c r="T81" s="395">
        <f>(S81/S85)</f>
        <v>0.02094240838</v>
      </c>
      <c r="U81" s="198"/>
      <c r="V81" s="198"/>
      <c r="W81" s="198"/>
      <c r="X81" s="198"/>
      <c r="Y81" s="198"/>
      <c r="Z81" s="198"/>
    </row>
    <row r="82" ht="13.5" customHeight="1">
      <c r="A82" s="585">
        <v>8108.0</v>
      </c>
      <c r="B82" s="426" t="s">
        <v>11679</v>
      </c>
      <c r="C82" s="426">
        <v>2007.0</v>
      </c>
      <c r="D82" s="500">
        <v>39331.0</v>
      </c>
      <c r="E82" s="426" t="s">
        <v>11680</v>
      </c>
      <c r="F82" s="426" t="s">
        <v>11636</v>
      </c>
      <c r="G82" s="426" t="s">
        <v>552</v>
      </c>
      <c r="H82" s="426" t="s">
        <v>5989</v>
      </c>
      <c r="I82" s="500">
        <v>39631.0</v>
      </c>
      <c r="J82" s="428">
        <v>7.0</v>
      </c>
      <c r="K82" s="637" t="s">
        <v>238</v>
      </c>
      <c r="L82" s="428" t="s">
        <v>258</v>
      </c>
      <c r="M82" s="319">
        <f t="shared" si="2"/>
        <v>300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95</v>
      </c>
      <c r="T82" s="398">
        <f>(S82/S85)</f>
        <v>0.497382199</v>
      </c>
      <c r="U82" s="198"/>
      <c r="V82" s="198"/>
      <c r="W82" s="198"/>
      <c r="X82" s="198"/>
      <c r="Y82" s="198"/>
      <c r="Z82" s="198"/>
    </row>
    <row r="83" ht="13.5" customHeight="1">
      <c r="A83" s="578">
        <v>8208.0</v>
      </c>
      <c r="B83" s="420" t="s">
        <v>11681</v>
      </c>
      <c r="C83" s="420">
        <v>2006.0</v>
      </c>
      <c r="D83" s="497">
        <v>38888.0</v>
      </c>
      <c r="E83" s="420" t="s">
        <v>11682</v>
      </c>
      <c r="F83" s="420" t="s">
        <v>11683</v>
      </c>
      <c r="G83" s="420" t="s">
        <v>565</v>
      </c>
      <c r="H83" s="420" t="s">
        <v>6534</v>
      </c>
      <c r="I83" s="497">
        <v>39632.0</v>
      </c>
      <c r="J83" s="422">
        <v>7.0</v>
      </c>
      <c r="K83" s="636" t="s">
        <v>244</v>
      </c>
      <c r="L83" s="420" t="s">
        <v>260</v>
      </c>
      <c r="M83" s="316">
        <f t="shared" si="2"/>
        <v>744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81</v>
      </c>
      <c r="T83" s="395">
        <f>(S83/S85)</f>
        <v>0.4240837696</v>
      </c>
      <c r="U83" s="198"/>
      <c r="V83" s="198"/>
      <c r="W83" s="198"/>
      <c r="X83" s="198"/>
      <c r="Y83" s="198"/>
      <c r="Z83" s="198"/>
    </row>
    <row r="84" ht="14.25" customHeight="1">
      <c r="A84" s="585">
        <v>8308.0</v>
      </c>
      <c r="B84" s="426" t="s">
        <v>11684</v>
      </c>
      <c r="C84" s="426">
        <v>2005.0</v>
      </c>
      <c r="D84" s="500">
        <v>38552.0</v>
      </c>
      <c r="E84" s="426" t="s">
        <v>11685</v>
      </c>
      <c r="F84" s="426" t="s">
        <v>11686</v>
      </c>
      <c r="G84" s="426" t="s">
        <v>34</v>
      </c>
      <c r="H84" s="426" t="s">
        <v>705</v>
      </c>
      <c r="I84" s="500">
        <v>39633.0</v>
      </c>
      <c r="J84" s="428">
        <v>7.0</v>
      </c>
      <c r="K84" s="636" t="s">
        <v>244</v>
      </c>
      <c r="L84" s="428" t="s">
        <v>258</v>
      </c>
      <c r="M84" s="319">
        <f t="shared" si="2"/>
        <v>1081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11</v>
      </c>
      <c r="T84" s="398">
        <f>(S84/S85)</f>
        <v>0.05759162304</v>
      </c>
      <c r="U84" s="198"/>
      <c r="V84" s="198"/>
      <c r="W84" s="198"/>
      <c r="X84" s="198"/>
      <c r="Y84" s="198"/>
      <c r="Z84" s="198"/>
    </row>
    <row r="85" ht="12.75" customHeight="1">
      <c r="A85" s="578">
        <v>8408.0</v>
      </c>
      <c r="B85" s="420" t="s">
        <v>11687</v>
      </c>
      <c r="C85" s="420">
        <v>2005.0</v>
      </c>
      <c r="D85" s="497">
        <v>38595.0</v>
      </c>
      <c r="E85" s="420" t="s">
        <v>11688</v>
      </c>
      <c r="F85" s="420" t="s">
        <v>11689</v>
      </c>
      <c r="G85" s="420" t="s">
        <v>650</v>
      </c>
      <c r="H85" s="420" t="s">
        <v>158</v>
      </c>
      <c r="I85" s="497">
        <v>39636.0</v>
      </c>
      <c r="J85" s="422">
        <v>7.0</v>
      </c>
      <c r="K85" s="635" t="s">
        <v>228</v>
      </c>
      <c r="L85" s="420" t="s">
        <v>256</v>
      </c>
      <c r="M85" s="316">
        <f t="shared" si="2"/>
        <v>1041</v>
      </c>
      <c r="N85" s="198"/>
      <c r="O85" s="358" t="s">
        <v>219</v>
      </c>
      <c r="P85" s="359"/>
      <c r="Q85" s="359"/>
      <c r="R85" s="360"/>
      <c r="S85" s="388">
        <f>SUM(S81:S84)</f>
        <v>191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8508.0</v>
      </c>
      <c r="B86" s="426" t="s">
        <v>11690</v>
      </c>
      <c r="C86" s="426">
        <v>2003.0</v>
      </c>
      <c r="D86" s="500">
        <v>37809.0</v>
      </c>
      <c r="E86" s="426" t="s">
        <v>11691</v>
      </c>
      <c r="F86" s="426" t="s">
        <v>11692</v>
      </c>
      <c r="G86" s="426" t="s">
        <v>552</v>
      </c>
      <c r="H86" s="426" t="s">
        <v>740</v>
      </c>
      <c r="I86" s="500">
        <v>39636.0</v>
      </c>
      <c r="J86" s="428">
        <v>7.0</v>
      </c>
      <c r="K86" s="635" t="s">
        <v>228</v>
      </c>
      <c r="L86" s="428" t="s">
        <v>256</v>
      </c>
      <c r="M86" s="319">
        <f t="shared" si="2"/>
        <v>1827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578">
        <v>8608.0</v>
      </c>
      <c r="B87" s="420" t="s">
        <v>11693</v>
      </c>
      <c r="C87" s="420">
        <v>2006.0</v>
      </c>
      <c r="D87" s="497">
        <v>38979.0</v>
      </c>
      <c r="E87" s="420" t="s">
        <v>11694</v>
      </c>
      <c r="F87" s="420" t="s">
        <v>7663</v>
      </c>
      <c r="G87" s="420" t="s">
        <v>650</v>
      </c>
      <c r="H87" s="420" t="s">
        <v>705</v>
      </c>
      <c r="I87" s="497">
        <v>39636.0</v>
      </c>
      <c r="J87" s="422">
        <v>7.0</v>
      </c>
      <c r="K87" s="637" t="s">
        <v>238</v>
      </c>
      <c r="L87" s="420" t="s">
        <v>256</v>
      </c>
      <c r="M87" s="316">
        <f t="shared" si="2"/>
        <v>657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585">
        <v>8708.0</v>
      </c>
      <c r="B88" s="426" t="s">
        <v>11695</v>
      </c>
      <c r="C88" s="426">
        <v>2005.0</v>
      </c>
      <c r="D88" s="500">
        <v>38568.0</v>
      </c>
      <c r="E88" s="426" t="s">
        <v>11696</v>
      </c>
      <c r="F88" s="426" t="s">
        <v>11686</v>
      </c>
      <c r="G88" s="426" t="s">
        <v>547</v>
      </c>
      <c r="H88" s="426" t="s">
        <v>705</v>
      </c>
      <c r="I88" s="500">
        <v>39637.0</v>
      </c>
      <c r="J88" s="428">
        <v>7.0</v>
      </c>
      <c r="K88" s="635" t="s">
        <v>228</v>
      </c>
      <c r="L88" s="428" t="s">
        <v>258</v>
      </c>
      <c r="M88" s="319">
        <f t="shared" si="2"/>
        <v>1069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578">
        <v>8808.0</v>
      </c>
      <c r="B89" s="420" t="s">
        <v>11697</v>
      </c>
      <c r="C89" s="420">
        <v>2005.0</v>
      </c>
      <c r="D89" s="497">
        <v>38622.0</v>
      </c>
      <c r="E89" s="420" t="s">
        <v>11698</v>
      </c>
      <c r="F89" s="420" t="s">
        <v>3505</v>
      </c>
      <c r="G89" s="420" t="s">
        <v>552</v>
      </c>
      <c r="H89" s="420" t="s">
        <v>9672</v>
      </c>
      <c r="I89" s="497">
        <v>39639.0</v>
      </c>
      <c r="J89" s="422">
        <v>7.0</v>
      </c>
      <c r="K89" s="635" t="s">
        <v>228</v>
      </c>
      <c r="L89" s="420" t="s">
        <v>256</v>
      </c>
      <c r="M89" s="316">
        <f t="shared" si="2"/>
        <v>1017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585">
        <v>8908.0</v>
      </c>
      <c r="B90" s="426" t="s">
        <v>11699</v>
      </c>
      <c r="C90" s="426">
        <v>2005.0</v>
      </c>
      <c r="D90" s="500">
        <v>38642.0</v>
      </c>
      <c r="E90" s="426" t="s">
        <v>11700</v>
      </c>
      <c r="F90" s="426" t="s">
        <v>11701</v>
      </c>
      <c r="G90" s="426" t="s">
        <v>650</v>
      </c>
      <c r="H90" s="426" t="s">
        <v>158</v>
      </c>
      <c r="I90" s="500">
        <v>39639.0</v>
      </c>
      <c r="J90" s="428">
        <v>7.0</v>
      </c>
      <c r="K90" s="638" t="s">
        <v>234</v>
      </c>
      <c r="L90" s="428" t="s">
        <v>256</v>
      </c>
      <c r="M90" s="319">
        <f t="shared" si="2"/>
        <v>997</v>
      </c>
      <c r="N90" s="198"/>
      <c r="O90" s="412" t="s">
        <v>270</v>
      </c>
      <c r="P90" s="413">
        <f>AVERAGEIF(G2:G476,"PT",M2:M476)</f>
        <v>1522.666667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578">
        <v>9008.0</v>
      </c>
      <c r="B91" s="420" t="s">
        <v>11702</v>
      </c>
      <c r="C91" s="420">
        <v>2008.0</v>
      </c>
      <c r="D91" s="497">
        <v>39489.0</v>
      </c>
      <c r="E91" s="420" t="s">
        <v>11703</v>
      </c>
      <c r="F91" s="420" t="s">
        <v>3688</v>
      </c>
      <c r="G91" s="420" t="s">
        <v>565</v>
      </c>
      <c r="H91" s="420" t="s">
        <v>6534</v>
      </c>
      <c r="I91" s="497">
        <v>39639.0</v>
      </c>
      <c r="J91" s="422">
        <v>7.0</v>
      </c>
      <c r="K91" s="636" t="s">
        <v>244</v>
      </c>
      <c r="L91" s="420" t="s">
        <v>260</v>
      </c>
      <c r="M91" s="316">
        <f t="shared" si="2"/>
        <v>150</v>
      </c>
      <c r="N91" s="198"/>
      <c r="O91" s="414" t="s">
        <v>34</v>
      </c>
      <c r="P91" s="415">
        <f>AVERAGEIF(G2:G477,"PTN",M2:M477)</f>
        <v>1329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585">
        <v>9108.0</v>
      </c>
      <c r="B92" s="426" t="s">
        <v>11704</v>
      </c>
      <c r="C92" s="426">
        <v>2006.0</v>
      </c>
      <c r="D92" s="500">
        <v>38958.0</v>
      </c>
      <c r="E92" s="426" t="s">
        <v>11705</v>
      </c>
      <c r="F92" s="426" t="s">
        <v>947</v>
      </c>
      <c r="G92" s="426" t="s">
        <v>650</v>
      </c>
      <c r="H92" s="426" t="s">
        <v>5180</v>
      </c>
      <c r="I92" s="500">
        <v>39639.0</v>
      </c>
      <c r="J92" s="428">
        <v>7.0</v>
      </c>
      <c r="K92" s="637" t="s">
        <v>238</v>
      </c>
      <c r="L92" s="428" t="s">
        <v>258</v>
      </c>
      <c r="M92" s="319">
        <f t="shared" si="2"/>
        <v>681</v>
      </c>
      <c r="N92" s="198"/>
      <c r="O92" s="412" t="s">
        <v>17</v>
      </c>
      <c r="P92" s="413">
        <f>AVERAGEIF(G2:G476,"PTE",M2:M476)</f>
        <v>594.6666667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578">
        <v>9208.0</v>
      </c>
      <c r="B93" s="420" t="s">
        <v>11706</v>
      </c>
      <c r="C93" s="420">
        <v>2006.0</v>
      </c>
      <c r="D93" s="497">
        <v>38898.0</v>
      </c>
      <c r="E93" s="420" t="s">
        <v>11707</v>
      </c>
      <c r="F93" s="420" t="s">
        <v>11708</v>
      </c>
      <c r="G93" s="420" t="s">
        <v>17</v>
      </c>
      <c r="H93" s="420" t="s">
        <v>705</v>
      </c>
      <c r="I93" s="497">
        <v>39644.0</v>
      </c>
      <c r="J93" s="422">
        <v>7.0</v>
      </c>
      <c r="K93" s="637" t="s">
        <v>238</v>
      </c>
      <c r="L93" s="420" t="s">
        <v>258</v>
      </c>
      <c r="M93" s="316">
        <f t="shared" si="2"/>
        <v>746</v>
      </c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585">
        <v>9308.0</v>
      </c>
      <c r="B94" s="426" t="s">
        <v>11709</v>
      </c>
      <c r="C94" s="426">
        <v>2005.0</v>
      </c>
      <c r="D94" s="500">
        <v>38521.0</v>
      </c>
      <c r="E94" s="426" t="s">
        <v>11710</v>
      </c>
      <c r="F94" s="426" t="s">
        <v>947</v>
      </c>
      <c r="G94" s="426" t="s">
        <v>552</v>
      </c>
      <c r="H94" s="426" t="s">
        <v>11527</v>
      </c>
      <c r="I94" s="500">
        <v>39646.0</v>
      </c>
      <c r="J94" s="428">
        <v>7.0</v>
      </c>
      <c r="K94" s="637" t="s">
        <v>238</v>
      </c>
      <c r="L94" s="428" t="s">
        <v>258</v>
      </c>
      <c r="M94" s="319">
        <f t="shared" si="2"/>
        <v>1125</v>
      </c>
      <c r="N94" s="198"/>
      <c r="O94" s="412" t="s">
        <v>650</v>
      </c>
      <c r="P94" s="413">
        <f>AVERAGEIF(G2:G476,"PF",M2:M476)</f>
        <v>1091.263158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578">
        <v>9408.0</v>
      </c>
      <c r="B95" s="420" t="s">
        <v>11711</v>
      </c>
      <c r="C95" s="420">
        <v>2007.0</v>
      </c>
      <c r="D95" s="497">
        <v>39335.0</v>
      </c>
      <c r="E95" s="420" t="s">
        <v>11712</v>
      </c>
      <c r="F95" s="420" t="s">
        <v>3078</v>
      </c>
      <c r="G95" s="420" t="s">
        <v>17</v>
      </c>
      <c r="H95" s="420" t="s">
        <v>7403</v>
      </c>
      <c r="I95" s="497">
        <v>39650.0</v>
      </c>
      <c r="J95" s="422">
        <v>7.0</v>
      </c>
      <c r="K95" s="637" t="s">
        <v>238</v>
      </c>
      <c r="L95" s="420" t="s">
        <v>256</v>
      </c>
      <c r="M95" s="316">
        <f t="shared" si="2"/>
        <v>315</v>
      </c>
      <c r="N95" s="198"/>
      <c r="O95" s="414" t="s">
        <v>547</v>
      </c>
      <c r="P95" s="415">
        <f>AVERAGEIF(G2:G476,"PFN",M2:M476)</f>
        <v>1294.2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585">
        <v>9508.0</v>
      </c>
      <c r="B96" s="426" t="s">
        <v>11713</v>
      </c>
      <c r="C96" s="426">
        <v>2007.0</v>
      </c>
      <c r="D96" s="500">
        <v>39323.0</v>
      </c>
      <c r="E96" s="426" t="s">
        <v>11714</v>
      </c>
      <c r="F96" s="426" t="s">
        <v>65</v>
      </c>
      <c r="G96" s="426" t="s">
        <v>650</v>
      </c>
      <c r="H96" s="426" t="s">
        <v>56</v>
      </c>
      <c r="I96" s="500">
        <v>39650.0</v>
      </c>
      <c r="J96" s="428">
        <v>7.0</v>
      </c>
      <c r="K96" s="638" t="s">
        <v>234</v>
      </c>
      <c r="L96" s="428" t="s">
        <v>256</v>
      </c>
      <c r="M96" s="319">
        <f t="shared" si="2"/>
        <v>327</v>
      </c>
      <c r="N96" s="198"/>
      <c r="O96" s="412" t="s">
        <v>552</v>
      </c>
      <c r="P96" s="413">
        <f>AVERAGEIF(G2:G476,"PF/PTE",M2:M476)</f>
        <v>878.8194444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578">
        <v>9608.0</v>
      </c>
      <c r="B97" s="420" t="s">
        <v>11715</v>
      </c>
      <c r="C97" s="420">
        <v>2000.0</v>
      </c>
      <c r="D97" s="497">
        <v>36806.0</v>
      </c>
      <c r="E97" s="420" t="s">
        <v>11716</v>
      </c>
      <c r="F97" s="420" t="s">
        <v>31</v>
      </c>
      <c r="G97" s="420" t="s">
        <v>552</v>
      </c>
      <c r="H97" s="420" t="s">
        <v>9672</v>
      </c>
      <c r="I97" s="497">
        <v>39650.0</v>
      </c>
      <c r="J97" s="422">
        <v>7.0</v>
      </c>
      <c r="K97" s="636" t="s">
        <v>244</v>
      </c>
      <c r="L97" s="420" t="s">
        <v>258</v>
      </c>
      <c r="M97" s="316">
        <f t="shared" si="2"/>
        <v>2844</v>
      </c>
      <c r="N97" s="198"/>
      <c r="O97" s="414" t="s">
        <v>565</v>
      </c>
      <c r="P97" s="415">
        <f>AVERAGEIF(G2:G476,"Bio",M2:M476)</f>
        <v>831.3333333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585">
        <v>9708.0</v>
      </c>
      <c r="B98" s="426" t="s">
        <v>11717</v>
      </c>
      <c r="C98" s="426">
        <v>2005.0</v>
      </c>
      <c r="D98" s="500">
        <v>38716.0</v>
      </c>
      <c r="E98" s="426" t="s">
        <v>11718</v>
      </c>
      <c r="F98" s="426" t="s">
        <v>10686</v>
      </c>
      <c r="G98" s="426" t="s">
        <v>34</v>
      </c>
      <c r="H98" s="426" t="s">
        <v>158</v>
      </c>
      <c r="I98" s="500">
        <v>39650.0</v>
      </c>
      <c r="J98" s="428">
        <v>7.0</v>
      </c>
      <c r="K98" s="638" t="s">
        <v>234</v>
      </c>
      <c r="L98" s="428" t="s">
        <v>258</v>
      </c>
      <c r="M98" s="319">
        <f t="shared" si="2"/>
        <v>934</v>
      </c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578">
        <v>9808.0</v>
      </c>
      <c r="B99" s="420" t="s">
        <v>11719</v>
      </c>
      <c r="C99" s="420">
        <v>2005.0</v>
      </c>
      <c r="D99" s="497">
        <v>38530.0</v>
      </c>
      <c r="E99" s="420" t="s">
        <v>11720</v>
      </c>
      <c r="F99" s="420" t="s">
        <v>5676</v>
      </c>
      <c r="G99" s="420" t="s">
        <v>650</v>
      </c>
      <c r="H99" s="420" t="s">
        <v>158</v>
      </c>
      <c r="I99" s="497">
        <v>39650.0</v>
      </c>
      <c r="J99" s="422">
        <v>7.0</v>
      </c>
      <c r="K99" s="635" t="s">
        <v>228</v>
      </c>
      <c r="L99" s="420" t="s">
        <v>256</v>
      </c>
      <c r="M99" s="316">
        <f t="shared" si="2"/>
        <v>1120</v>
      </c>
      <c r="N99" s="198"/>
      <c r="O99" s="416" t="s">
        <v>275</v>
      </c>
      <c r="P99" s="417">
        <f>AVERAGE(M2:M494)</f>
        <v>909.6544503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585">
        <v>9908.0</v>
      </c>
      <c r="B100" s="426" t="s">
        <v>11721</v>
      </c>
      <c r="C100" s="426">
        <v>2007.0</v>
      </c>
      <c r="D100" s="500">
        <v>39272.0</v>
      </c>
      <c r="E100" s="426" t="s">
        <v>11722</v>
      </c>
      <c r="F100" s="426" t="s">
        <v>11522</v>
      </c>
      <c r="G100" s="426" t="s">
        <v>650</v>
      </c>
      <c r="H100" s="426" t="s">
        <v>11183</v>
      </c>
      <c r="I100" s="500">
        <v>39650.0</v>
      </c>
      <c r="J100" s="428">
        <v>7.0</v>
      </c>
      <c r="K100" s="636" t="s">
        <v>244</v>
      </c>
      <c r="L100" s="428" t="s">
        <v>260</v>
      </c>
      <c r="M100" s="319">
        <f t="shared" si="2"/>
        <v>378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578">
        <v>10008.0</v>
      </c>
      <c r="B101" s="420" t="s">
        <v>11723</v>
      </c>
      <c r="C101" s="420">
        <v>2006.0</v>
      </c>
      <c r="D101" s="497">
        <v>38981.0</v>
      </c>
      <c r="E101" s="420" t="s">
        <v>11724</v>
      </c>
      <c r="F101" s="420" t="s">
        <v>666</v>
      </c>
      <c r="G101" s="420" t="s">
        <v>17</v>
      </c>
      <c r="H101" s="420" t="s">
        <v>163</v>
      </c>
      <c r="I101" s="497">
        <v>39650.0</v>
      </c>
      <c r="J101" s="422">
        <v>7.0</v>
      </c>
      <c r="K101" s="637" t="s">
        <v>238</v>
      </c>
      <c r="L101" s="420" t="s">
        <v>258</v>
      </c>
      <c r="M101" s="316">
        <f t="shared" si="2"/>
        <v>669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585">
        <v>10108.0</v>
      </c>
      <c r="B102" s="426" t="s">
        <v>11725</v>
      </c>
      <c r="C102" s="426">
        <v>2007.0</v>
      </c>
      <c r="D102" s="500">
        <v>39283.0</v>
      </c>
      <c r="E102" s="426" t="s">
        <v>11726</v>
      </c>
      <c r="F102" s="426" t="s">
        <v>1544</v>
      </c>
      <c r="G102" s="426" t="s">
        <v>17</v>
      </c>
      <c r="H102" s="426" t="s">
        <v>163</v>
      </c>
      <c r="I102" s="500">
        <v>39650.0</v>
      </c>
      <c r="J102" s="428">
        <v>7.0</v>
      </c>
      <c r="K102" s="638" t="s">
        <v>234</v>
      </c>
      <c r="L102" s="428" t="s">
        <v>254</v>
      </c>
      <c r="M102" s="319">
        <f t="shared" si="2"/>
        <v>367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578">
        <v>10208.0</v>
      </c>
      <c r="B103" s="420" t="s">
        <v>11727</v>
      </c>
      <c r="C103" s="420">
        <v>2006.0</v>
      </c>
      <c r="D103" s="497">
        <v>38796.0</v>
      </c>
      <c r="E103" s="420" t="s">
        <v>11728</v>
      </c>
      <c r="F103" s="420" t="s">
        <v>6508</v>
      </c>
      <c r="G103" s="420" t="s">
        <v>650</v>
      </c>
      <c r="H103" s="420" t="s">
        <v>1002</v>
      </c>
      <c r="I103" s="497">
        <v>39660.0</v>
      </c>
      <c r="J103" s="422">
        <v>7.0</v>
      </c>
      <c r="K103" s="638" t="s">
        <v>234</v>
      </c>
      <c r="L103" s="420" t="s">
        <v>258</v>
      </c>
      <c r="M103" s="316">
        <f t="shared" si="2"/>
        <v>864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585">
        <v>10308.0</v>
      </c>
      <c r="B104" s="426" t="s">
        <v>11729</v>
      </c>
      <c r="C104" s="426">
        <v>2005.0</v>
      </c>
      <c r="D104" s="500">
        <v>38716.0</v>
      </c>
      <c r="E104" s="426" t="s">
        <v>11730</v>
      </c>
      <c r="F104" s="426" t="s">
        <v>10686</v>
      </c>
      <c r="G104" s="426" t="s">
        <v>547</v>
      </c>
      <c r="H104" s="426" t="s">
        <v>158</v>
      </c>
      <c r="I104" s="500">
        <v>39661.0</v>
      </c>
      <c r="J104" s="428">
        <v>8.0</v>
      </c>
      <c r="K104" s="638" t="s">
        <v>234</v>
      </c>
      <c r="L104" s="428" t="s">
        <v>260</v>
      </c>
      <c r="M104" s="319">
        <f t="shared" si="2"/>
        <v>945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578">
        <v>10408.0</v>
      </c>
      <c r="B105" s="420" t="s">
        <v>11731</v>
      </c>
      <c r="C105" s="420">
        <v>2005.0</v>
      </c>
      <c r="D105" s="497">
        <v>38677.0</v>
      </c>
      <c r="E105" s="420" t="s">
        <v>11732</v>
      </c>
      <c r="F105" s="420" t="s">
        <v>1232</v>
      </c>
      <c r="G105" s="420" t="s">
        <v>17</v>
      </c>
      <c r="H105" s="420" t="s">
        <v>11733</v>
      </c>
      <c r="I105" s="497">
        <v>39661.0</v>
      </c>
      <c r="J105" s="422">
        <v>8.0</v>
      </c>
      <c r="K105" s="635" t="s">
        <v>228</v>
      </c>
      <c r="L105" s="420" t="s">
        <v>256</v>
      </c>
      <c r="M105" s="316">
        <f t="shared" si="2"/>
        <v>984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585">
        <v>10508.0</v>
      </c>
      <c r="B106" s="426" t="s">
        <v>11734</v>
      </c>
      <c r="C106" s="426">
        <v>2004.0</v>
      </c>
      <c r="D106" s="500">
        <v>38310.0</v>
      </c>
      <c r="E106" s="426" t="s">
        <v>11735</v>
      </c>
      <c r="F106" s="426" t="s">
        <v>3078</v>
      </c>
      <c r="G106" s="426" t="s">
        <v>650</v>
      </c>
      <c r="H106" s="426" t="s">
        <v>601</v>
      </c>
      <c r="I106" s="500">
        <v>39667.0</v>
      </c>
      <c r="J106" s="428">
        <v>8.0</v>
      </c>
      <c r="K106" s="638" t="s">
        <v>234</v>
      </c>
      <c r="L106" s="428" t="s">
        <v>256</v>
      </c>
      <c r="M106" s="319">
        <f t="shared" si="2"/>
        <v>1357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578">
        <v>10608.0</v>
      </c>
      <c r="B107" s="420" t="s">
        <v>11736</v>
      </c>
      <c r="C107" s="420">
        <v>2004.0</v>
      </c>
      <c r="D107" s="497">
        <v>38310.0</v>
      </c>
      <c r="E107" s="420" t="s">
        <v>11737</v>
      </c>
      <c r="F107" s="420" t="s">
        <v>3078</v>
      </c>
      <c r="G107" s="420" t="s">
        <v>650</v>
      </c>
      <c r="H107" s="420" t="s">
        <v>601</v>
      </c>
      <c r="I107" s="497">
        <v>39667.0</v>
      </c>
      <c r="J107" s="422">
        <v>8.0</v>
      </c>
      <c r="K107" s="638" t="s">
        <v>234</v>
      </c>
      <c r="L107" s="420" t="s">
        <v>256</v>
      </c>
      <c r="M107" s="316">
        <f t="shared" si="2"/>
        <v>1357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585">
        <v>10708.0</v>
      </c>
      <c r="B108" s="426" t="s">
        <v>11738</v>
      </c>
      <c r="C108" s="426">
        <v>2001.0</v>
      </c>
      <c r="D108" s="500">
        <v>37069.0</v>
      </c>
      <c r="E108" s="426" t="s">
        <v>11739</v>
      </c>
      <c r="F108" s="426" t="s">
        <v>44</v>
      </c>
      <c r="G108" s="426" t="s">
        <v>17</v>
      </c>
      <c r="H108" s="426" t="s">
        <v>9672</v>
      </c>
      <c r="I108" s="500">
        <v>39668.0</v>
      </c>
      <c r="J108" s="428">
        <v>8.0</v>
      </c>
      <c r="K108" s="635" t="s">
        <v>228</v>
      </c>
      <c r="L108" s="428" t="s">
        <v>258</v>
      </c>
      <c r="M108" s="319">
        <f t="shared" si="2"/>
        <v>2599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578">
        <v>10808.0</v>
      </c>
      <c r="B109" s="420" t="s">
        <v>11740</v>
      </c>
      <c r="C109" s="420">
        <v>2007.0</v>
      </c>
      <c r="D109" s="497">
        <v>39147.0</v>
      </c>
      <c r="E109" s="420" t="s">
        <v>11741</v>
      </c>
      <c r="F109" s="420" t="s">
        <v>2873</v>
      </c>
      <c r="G109" s="420" t="s">
        <v>552</v>
      </c>
      <c r="H109" s="420" t="s">
        <v>1501</v>
      </c>
      <c r="I109" s="497">
        <v>39672.0</v>
      </c>
      <c r="J109" s="422">
        <v>8.0</v>
      </c>
      <c r="K109" s="635" t="s">
        <v>228</v>
      </c>
      <c r="L109" s="420" t="s">
        <v>258</v>
      </c>
      <c r="M109" s="316">
        <f t="shared" si="2"/>
        <v>525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585">
        <v>10908.0</v>
      </c>
      <c r="B110" s="426" t="s">
        <v>11742</v>
      </c>
      <c r="C110" s="426">
        <v>2006.0</v>
      </c>
      <c r="D110" s="500">
        <v>39056.0</v>
      </c>
      <c r="E110" s="426" t="s">
        <v>11743</v>
      </c>
      <c r="F110" s="426" t="s">
        <v>11744</v>
      </c>
      <c r="G110" s="426" t="s">
        <v>17</v>
      </c>
      <c r="H110" s="426" t="s">
        <v>1501</v>
      </c>
      <c r="I110" s="500">
        <v>39672.0</v>
      </c>
      <c r="J110" s="428">
        <v>8.0</v>
      </c>
      <c r="K110" s="635" t="s">
        <v>228</v>
      </c>
      <c r="L110" s="428" t="s">
        <v>256</v>
      </c>
      <c r="M110" s="319">
        <f t="shared" si="2"/>
        <v>616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578">
        <v>11008.0</v>
      </c>
      <c r="B111" s="578" t="s">
        <v>3889</v>
      </c>
      <c r="C111" s="578" t="s">
        <v>3889</v>
      </c>
      <c r="D111" s="579" t="s">
        <v>3889</v>
      </c>
      <c r="E111" s="578" t="s">
        <v>3889</v>
      </c>
      <c r="F111" s="578" t="s">
        <v>3889</v>
      </c>
      <c r="G111" s="578" t="s">
        <v>3889</v>
      </c>
      <c r="H111" s="578" t="s">
        <v>3889</v>
      </c>
      <c r="I111" s="579" t="s">
        <v>3889</v>
      </c>
      <c r="J111" s="578" t="s">
        <v>3889</v>
      </c>
      <c r="K111" s="578" t="s">
        <v>3889</v>
      </c>
      <c r="L111" s="578" t="s">
        <v>3889</v>
      </c>
      <c r="M111" s="578" t="s">
        <v>3889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585">
        <v>11108.0</v>
      </c>
      <c r="B112" s="426" t="s">
        <v>11745</v>
      </c>
      <c r="C112" s="426">
        <v>2008.0</v>
      </c>
      <c r="D112" s="500">
        <v>39492.0</v>
      </c>
      <c r="E112" s="426" t="s">
        <v>11746</v>
      </c>
      <c r="F112" s="426" t="s">
        <v>1232</v>
      </c>
      <c r="G112" s="426" t="s">
        <v>552</v>
      </c>
      <c r="H112" s="426" t="s">
        <v>50</v>
      </c>
      <c r="I112" s="500">
        <v>39674.0</v>
      </c>
      <c r="J112" s="428">
        <v>8.0</v>
      </c>
      <c r="K112" s="635" t="s">
        <v>228</v>
      </c>
      <c r="L112" s="428" t="s">
        <v>256</v>
      </c>
      <c r="M112" s="319">
        <f t="shared" ref="M112:M194" si="3">I112-D112</f>
        <v>182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578">
        <v>11208.0</v>
      </c>
      <c r="B113" s="420" t="s">
        <v>11747</v>
      </c>
      <c r="C113" s="420">
        <v>2008.0</v>
      </c>
      <c r="D113" s="497">
        <v>39477.0</v>
      </c>
      <c r="E113" s="420" t="s">
        <v>11748</v>
      </c>
      <c r="F113" s="420" t="s">
        <v>44</v>
      </c>
      <c r="G113" s="420" t="s">
        <v>17</v>
      </c>
      <c r="H113" s="420" t="s">
        <v>8845</v>
      </c>
      <c r="I113" s="497">
        <v>39675.0</v>
      </c>
      <c r="J113" s="422">
        <v>8.0</v>
      </c>
      <c r="K113" s="635" t="s">
        <v>228</v>
      </c>
      <c r="L113" s="420" t="s">
        <v>258</v>
      </c>
      <c r="M113" s="316">
        <f t="shared" si="3"/>
        <v>198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585">
        <v>11308.0</v>
      </c>
      <c r="B114" s="426" t="s">
        <v>11749</v>
      </c>
      <c r="C114" s="426">
        <v>2007.0</v>
      </c>
      <c r="D114" s="500">
        <v>39302.0</v>
      </c>
      <c r="E114" s="426" t="s">
        <v>11750</v>
      </c>
      <c r="F114" s="426" t="s">
        <v>963</v>
      </c>
      <c r="G114" s="426" t="s">
        <v>17</v>
      </c>
      <c r="H114" s="426" t="s">
        <v>158</v>
      </c>
      <c r="I114" s="500">
        <v>39678.0</v>
      </c>
      <c r="J114" s="428">
        <v>8.0</v>
      </c>
      <c r="K114" s="638" t="s">
        <v>234</v>
      </c>
      <c r="L114" s="428" t="s">
        <v>258</v>
      </c>
      <c r="M114" s="319">
        <f t="shared" si="3"/>
        <v>376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578">
        <v>11408.0</v>
      </c>
      <c r="B115" s="420" t="s">
        <v>11751</v>
      </c>
      <c r="C115" s="420">
        <v>2007.0</v>
      </c>
      <c r="D115" s="497">
        <v>39122.0</v>
      </c>
      <c r="E115" s="420" t="s">
        <v>11752</v>
      </c>
      <c r="F115" s="420" t="s">
        <v>1232</v>
      </c>
      <c r="G115" s="420" t="s">
        <v>17</v>
      </c>
      <c r="H115" s="420" t="s">
        <v>56</v>
      </c>
      <c r="I115" s="497">
        <v>39678.0</v>
      </c>
      <c r="J115" s="422">
        <v>8.0</v>
      </c>
      <c r="K115" s="635" t="s">
        <v>228</v>
      </c>
      <c r="L115" s="420" t="s">
        <v>256</v>
      </c>
      <c r="M115" s="316">
        <f t="shared" si="3"/>
        <v>556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585">
        <v>11508.0</v>
      </c>
      <c r="B116" s="426" t="s">
        <v>11753</v>
      </c>
      <c r="C116" s="426">
        <v>2007.0</v>
      </c>
      <c r="D116" s="500">
        <v>39350.0</v>
      </c>
      <c r="E116" s="426" t="s">
        <v>11754</v>
      </c>
      <c r="F116" s="426" t="s">
        <v>11755</v>
      </c>
      <c r="G116" s="426" t="s">
        <v>17</v>
      </c>
      <c r="H116" s="426" t="s">
        <v>3519</v>
      </c>
      <c r="I116" s="500">
        <v>39679.0</v>
      </c>
      <c r="J116" s="428">
        <v>8.0</v>
      </c>
      <c r="K116" s="637" t="s">
        <v>238</v>
      </c>
      <c r="L116" s="428" t="s">
        <v>256</v>
      </c>
      <c r="M116" s="319">
        <f t="shared" si="3"/>
        <v>329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578">
        <v>11608.0</v>
      </c>
      <c r="B117" s="420" t="s">
        <v>11756</v>
      </c>
      <c r="C117" s="420">
        <v>2004.0</v>
      </c>
      <c r="D117" s="497">
        <v>38085.0</v>
      </c>
      <c r="E117" s="420" t="s">
        <v>11757</v>
      </c>
      <c r="F117" s="420" t="s">
        <v>10159</v>
      </c>
      <c r="G117" s="420" t="s">
        <v>565</v>
      </c>
      <c r="H117" s="420" t="s">
        <v>11758</v>
      </c>
      <c r="I117" s="497">
        <v>39685.0</v>
      </c>
      <c r="J117" s="422">
        <v>8.0</v>
      </c>
      <c r="K117" s="636" t="s">
        <v>244</v>
      </c>
      <c r="L117" s="420" t="s">
        <v>260</v>
      </c>
      <c r="M117" s="316">
        <f t="shared" si="3"/>
        <v>1600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585">
        <v>11708.0</v>
      </c>
      <c r="B118" s="426" t="s">
        <v>11759</v>
      </c>
      <c r="C118" s="426">
        <v>2007.0</v>
      </c>
      <c r="D118" s="500">
        <v>39440.0</v>
      </c>
      <c r="E118" s="426" t="s">
        <v>11760</v>
      </c>
      <c r="F118" s="426" t="s">
        <v>44</v>
      </c>
      <c r="G118" s="426" t="s">
        <v>552</v>
      </c>
      <c r="H118" s="426" t="s">
        <v>45</v>
      </c>
      <c r="I118" s="500">
        <v>39685.0</v>
      </c>
      <c r="J118" s="428">
        <v>8.0</v>
      </c>
      <c r="K118" s="635" t="s">
        <v>228</v>
      </c>
      <c r="L118" s="428" t="s">
        <v>258</v>
      </c>
      <c r="M118" s="319">
        <f t="shared" si="3"/>
        <v>245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578">
        <v>11808.0</v>
      </c>
      <c r="B119" s="420" t="s">
        <v>11761</v>
      </c>
      <c r="C119" s="420">
        <v>2005.0</v>
      </c>
      <c r="D119" s="497">
        <v>38716.0</v>
      </c>
      <c r="E119" s="420" t="s">
        <v>11762</v>
      </c>
      <c r="F119" s="420" t="s">
        <v>11507</v>
      </c>
      <c r="G119" s="420" t="s">
        <v>650</v>
      </c>
      <c r="H119" s="420" t="s">
        <v>601</v>
      </c>
      <c r="I119" s="497">
        <v>39686.0</v>
      </c>
      <c r="J119" s="422">
        <v>8.0</v>
      </c>
      <c r="K119" s="635" t="s">
        <v>228</v>
      </c>
      <c r="L119" s="420" t="s">
        <v>256</v>
      </c>
      <c r="M119" s="316">
        <f t="shared" si="3"/>
        <v>970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585">
        <v>11908.0</v>
      </c>
      <c r="B120" s="426" t="s">
        <v>11763</v>
      </c>
      <c r="C120" s="426">
        <v>2005.0</v>
      </c>
      <c r="D120" s="500">
        <v>38678.0</v>
      </c>
      <c r="E120" s="426" t="s">
        <v>11764</v>
      </c>
      <c r="F120" s="426" t="s">
        <v>2575</v>
      </c>
      <c r="G120" s="426" t="s">
        <v>552</v>
      </c>
      <c r="H120" s="426" t="s">
        <v>8845</v>
      </c>
      <c r="I120" s="500">
        <v>39687.0</v>
      </c>
      <c r="J120" s="428">
        <v>8.0</v>
      </c>
      <c r="K120" s="635" t="s">
        <v>228</v>
      </c>
      <c r="L120" s="428" t="s">
        <v>258</v>
      </c>
      <c r="M120" s="319">
        <f t="shared" si="3"/>
        <v>1009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578">
        <v>12008.0</v>
      </c>
      <c r="B121" s="420" t="s">
        <v>11765</v>
      </c>
      <c r="C121" s="420">
        <v>2006.0</v>
      </c>
      <c r="D121" s="497">
        <v>39079.0</v>
      </c>
      <c r="E121" s="420" t="s">
        <v>11766</v>
      </c>
      <c r="F121" s="420" t="s">
        <v>11767</v>
      </c>
      <c r="G121" s="420" t="s">
        <v>650</v>
      </c>
      <c r="H121" s="420" t="s">
        <v>10962</v>
      </c>
      <c r="I121" s="497">
        <v>39688.0</v>
      </c>
      <c r="J121" s="422">
        <v>8.0</v>
      </c>
      <c r="K121" s="637" t="s">
        <v>238</v>
      </c>
      <c r="L121" s="420" t="s">
        <v>258</v>
      </c>
      <c r="M121" s="316">
        <f t="shared" si="3"/>
        <v>609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585">
        <v>12108.0</v>
      </c>
      <c r="B122" s="426" t="s">
        <v>11768</v>
      </c>
      <c r="C122" s="426">
        <v>2004.0</v>
      </c>
      <c r="D122" s="500">
        <v>38223.0</v>
      </c>
      <c r="E122" s="426" t="s">
        <v>11769</v>
      </c>
      <c r="F122" s="426" t="s">
        <v>11770</v>
      </c>
      <c r="G122" s="426" t="s">
        <v>552</v>
      </c>
      <c r="H122" s="426" t="s">
        <v>8274</v>
      </c>
      <c r="I122" s="500">
        <v>39692.0</v>
      </c>
      <c r="J122" s="428">
        <v>9.0</v>
      </c>
      <c r="K122" s="635" t="s">
        <v>228</v>
      </c>
      <c r="L122" s="428" t="s">
        <v>256</v>
      </c>
      <c r="M122" s="319">
        <f t="shared" si="3"/>
        <v>1469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578">
        <v>12208.0</v>
      </c>
      <c r="B123" s="420" t="s">
        <v>11771</v>
      </c>
      <c r="C123" s="420">
        <v>2006.0</v>
      </c>
      <c r="D123" s="497">
        <v>38903.0</v>
      </c>
      <c r="E123" s="420" t="s">
        <v>11772</v>
      </c>
      <c r="F123" s="420" t="s">
        <v>11770</v>
      </c>
      <c r="G123" s="420" t="s">
        <v>552</v>
      </c>
      <c r="H123" s="420" t="s">
        <v>8274</v>
      </c>
      <c r="I123" s="497">
        <v>39692.0</v>
      </c>
      <c r="J123" s="422">
        <v>9.0</v>
      </c>
      <c r="K123" s="635" t="s">
        <v>228</v>
      </c>
      <c r="L123" s="420" t="s">
        <v>256</v>
      </c>
      <c r="M123" s="316">
        <f t="shared" si="3"/>
        <v>789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585">
        <v>12308.0</v>
      </c>
      <c r="B124" s="426" t="s">
        <v>11773</v>
      </c>
      <c r="C124" s="426">
        <v>2005.0</v>
      </c>
      <c r="D124" s="500">
        <v>38688.0</v>
      </c>
      <c r="E124" s="426" t="s">
        <v>11774</v>
      </c>
      <c r="F124" s="426" t="s">
        <v>134</v>
      </c>
      <c r="G124" s="426" t="s">
        <v>552</v>
      </c>
      <c r="H124" s="426" t="s">
        <v>8274</v>
      </c>
      <c r="I124" s="500">
        <v>39693.0</v>
      </c>
      <c r="J124" s="428">
        <v>9.0</v>
      </c>
      <c r="K124" s="637" t="s">
        <v>238</v>
      </c>
      <c r="L124" s="428" t="s">
        <v>258</v>
      </c>
      <c r="M124" s="319">
        <f t="shared" si="3"/>
        <v>1005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578">
        <v>12408.0</v>
      </c>
      <c r="B125" s="420" t="s">
        <v>11775</v>
      </c>
      <c r="C125" s="420">
        <v>2006.0</v>
      </c>
      <c r="D125" s="497">
        <v>38889.0</v>
      </c>
      <c r="E125" s="420" t="s">
        <v>11776</v>
      </c>
      <c r="F125" s="420" t="s">
        <v>134</v>
      </c>
      <c r="G125" s="420" t="s">
        <v>552</v>
      </c>
      <c r="H125" s="420" t="s">
        <v>8274</v>
      </c>
      <c r="I125" s="497">
        <v>39693.0</v>
      </c>
      <c r="J125" s="422">
        <v>9.0</v>
      </c>
      <c r="K125" s="637" t="s">
        <v>238</v>
      </c>
      <c r="L125" s="420" t="s">
        <v>258</v>
      </c>
      <c r="M125" s="316">
        <f t="shared" si="3"/>
        <v>804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585">
        <v>12508.0</v>
      </c>
      <c r="B126" s="426" t="s">
        <v>11777</v>
      </c>
      <c r="C126" s="426">
        <v>2005.0</v>
      </c>
      <c r="D126" s="500">
        <v>38708.0</v>
      </c>
      <c r="E126" s="426" t="s">
        <v>11778</v>
      </c>
      <c r="F126" s="426" t="s">
        <v>11779</v>
      </c>
      <c r="G126" s="426" t="s">
        <v>650</v>
      </c>
      <c r="H126" s="426" t="s">
        <v>705</v>
      </c>
      <c r="I126" s="500">
        <v>39699.0</v>
      </c>
      <c r="J126" s="428">
        <v>9.0</v>
      </c>
      <c r="K126" s="635" t="s">
        <v>228</v>
      </c>
      <c r="L126" s="428" t="s">
        <v>258</v>
      </c>
      <c r="M126" s="319">
        <f t="shared" si="3"/>
        <v>991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578">
        <v>12608.0</v>
      </c>
      <c r="B127" s="420" t="s">
        <v>11780</v>
      </c>
      <c r="C127" s="420">
        <v>2006.0</v>
      </c>
      <c r="D127" s="497">
        <v>38748.0</v>
      </c>
      <c r="E127" s="420" t="s">
        <v>11781</v>
      </c>
      <c r="F127" s="420" t="s">
        <v>947</v>
      </c>
      <c r="G127" s="420" t="s">
        <v>552</v>
      </c>
      <c r="H127" s="420" t="s">
        <v>163</v>
      </c>
      <c r="I127" s="497">
        <v>39703.0</v>
      </c>
      <c r="J127" s="422">
        <v>9.0</v>
      </c>
      <c r="K127" s="637" t="s">
        <v>238</v>
      </c>
      <c r="L127" s="420" t="s">
        <v>258</v>
      </c>
      <c r="M127" s="316">
        <f t="shared" si="3"/>
        <v>955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585">
        <v>12708.0</v>
      </c>
      <c r="B128" s="426" t="s">
        <v>11782</v>
      </c>
      <c r="C128" s="426">
        <v>2004.0</v>
      </c>
      <c r="D128" s="500">
        <v>38345.0</v>
      </c>
      <c r="E128" s="426" t="s">
        <v>11783</v>
      </c>
      <c r="F128" s="426" t="s">
        <v>11784</v>
      </c>
      <c r="G128" s="426" t="s">
        <v>650</v>
      </c>
      <c r="H128" s="426" t="s">
        <v>11785</v>
      </c>
      <c r="I128" s="500">
        <v>39714.0</v>
      </c>
      <c r="J128" s="428">
        <v>9.0</v>
      </c>
      <c r="K128" s="635" t="s">
        <v>228</v>
      </c>
      <c r="L128" s="428" t="s">
        <v>260</v>
      </c>
      <c r="M128" s="319">
        <f t="shared" si="3"/>
        <v>1369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578">
        <v>12808.0</v>
      </c>
      <c r="B129" s="420" t="s">
        <v>11786</v>
      </c>
      <c r="C129" s="420">
        <v>2006.0</v>
      </c>
      <c r="D129" s="497">
        <v>38940.0</v>
      </c>
      <c r="E129" s="420" t="s">
        <v>11787</v>
      </c>
      <c r="F129" s="420" t="s">
        <v>666</v>
      </c>
      <c r="G129" s="420" t="s">
        <v>17</v>
      </c>
      <c r="H129" s="420" t="s">
        <v>1501</v>
      </c>
      <c r="I129" s="497">
        <v>39714.0</v>
      </c>
      <c r="J129" s="422">
        <v>9.0</v>
      </c>
      <c r="K129" s="637" t="s">
        <v>238</v>
      </c>
      <c r="L129" s="420" t="s">
        <v>258</v>
      </c>
      <c r="M129" s="316">
        <f t="shared" si="3"/>
        <v>774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585">
        <v>12908.0</v>
      </c>
      <c r="B130" s="426" t="s">
        <v>11788</v>
      </c>
      <c r="C130" s="426">
        <v>2001.0</v>
      </c>
      <c r="D130" s="500">
        <v>37223.0</v>
      </c>
      <c r="E130" s="426" t="s">
        <v>11789</v>
      </c>
      <c r="F130" s="426" t="s">
        <v>963</v>
      </c>
      <c r="G130" s="426" t="s">
        <v>650</v>
      </c>
      <c r="H130" s="426" t="s">
        <v>158</v>
      </c>
      <c r="I130" s="500">
        <v>39715.0</v>
      </c>
      <c r="J130" s="428">
        <v>9.0</v>
      </c>
      <c r="K130" s="637" t="s">
        <v>238</v>
      </c>
      <c r="L130" s="428" t="s">
        <v>258</v>
      </c>
      <c r="M130" s="319">
        <f t="shared" si="3"/>
        <v>2492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578">
        <v>13008.0</v>
      </c>
      <c r="B131" s="420" t="s">
        <v>11790</v>
      </c>
      <c r="C131" s="420">
        <v>2004.0</v>
      </c>
      <c r="D131" s="497">
        <v>38210.0</v>
      </c>
      <c r="E131" s="420" t="s">
        <v>11791</v>
      </c>
      <c r="F131" s="420" t="s">
        <v>11792</v>
      </c>
      <c r="G131" s="420" t="s">
        <v>270</v>
      </c>
      <c r="H131" s="420" t="s">
        <v>1002</v>
      </c>
      <c r="I131" s="497">
        <v>39717.0</v>
      </c>
      <c r="J131" s="422">
        <v>9.0</v>
      </c>
      <c r="K131" s="637" t="s">
        <v>238</v>
      </c>
      <c r="L131" s="420" t="s">
        <v>256</v>
      </c>
      <c r="M131" s="316">
        <f t="shared" si="3"/>
        <v>1507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585">
        <v>13108.0</v>
      </c>
      <c r="B132" s="426" t="s">
        <v>11793</v>
      </c>
      <c r="C132" s="426">
        <v>2007.0</v>
      </c>
      <c r="D132" s="500">
        <v>39443.0</v>
      </c>
      <c r="E132" s="426" t="s">
        <v>11794</v>
      </c>
      <c r="F132" s="426" t="s">
        <v>7179</v>
      </c>
      <c r="G132" s="426" t="s">
        <v>552</v>
      </c>
      <c r="H132" s="426" t="s">
        <v>5989</v>
      </c>
      <c r="I132" s="500">
        <v>39717.0</v>
      </c>
      <c r="J132" s="428">
        <v>9.0</v>
      </c>
      <c r="K132" s="635" t="s">
        <v>228</v>
      </c>
      <c r="L132" s="428" t="s">
        <v>256</v>
      </c>
      <c r="M132" s="319">
        <f t="shared" si="3"/>
        <v>274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578">
        <v>13208.0</v>
      </c>
      <c r="B133" s="420" t="s">
        <v>11795</v>
      </c>
      <c r="C133" s="420">
        <v>2007.0</v>
      </c>
      <c r="D133" s="497">
        <v>39356.0</v>
      </c>
      <c r="E133" s="420" t="s">
        <v>11796</v>
      </c>
      <c r="F133" s="420" t="s">
        <v>8841</v>
      </c>
      <c r="G133" s="420" t="s">
        <v>552</v>
      </c>
      <c r="H133" s="420" t="s">
        <v>9033</v>
      </c>
      <c r="I133" s="497">
        <v>39720.0</v>
      </c>
      <c r="J133" s="422">
        <v>9.0</v>
      </c>
      <c r="K133" s="635" t="s">
        <v>228</v>
      </c>
      <c r="L133" s="420" t="s">
        <v>256</v>
      </c>
      <c r="M133" s="316">
        <f t="shared" si="3"/>
        <v>364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585">
        <v>13308.0</v>
      </c>
      <c r="B134" s="426" t="s">
        <v>11797</v>
      </c>
      <c r="C134" s="426">
        <v>2007.0</v>
      </c>
      <c r="D134" s="500">
        <v>39443.0</v>
      </c>
      <c r="E134" s="426" t="s">
        <v>11798</v>
      </c>
      <c r="F134" s="426" t="s">
        <v>7179</v>
      </c>
      <c r="G134" s="426" t="s">
        <v>552</v>
      </c>
      <c r="H134" s="426" t="s">
        <v>5989</v>
      </c>
      <c r="I134" s="500">
        <v>39720.0</v>
      </c>
      <c r="J134" s="428">
        <v>9.0</v>
      </c>
      <c r="K134" s="635" t="s">
        <v>228</v>
      </c>
      <c r="L134" s="428" t="s">
        <v>256</v>
      </c>
      <c r="M134" s="319">
        <f t="shared" si="3"/>
        <v>277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578">
        <v>13408.0</v>
      </c>
      <c r="B135" s="420" t="s">
        <v>11799</v>
      </c>
      <c r="C135" s="420">
        <v>2007.0</v>
      </c>
      <c r="D135" s="497">
        <v>39211.0</v>
      </c>
      <c r="E135" s="420" t="s">
        <v>11800</v>
      </c>
      <c r="F135" s="420" t="s">
        <v>7179</v>
      </c>
      <c r="G135" s="420" t="s">
        <v>552</v>
      </c>
      <c r="H135" s="420" t="s">
        <v>5989</v>
      </c>
      <c r="I135" s="497">
        <v>39727.0</v>
      </c>
      <c r="J135" s="422">
        <v>10.0</v>
      </c>
      <c r="K135" s="635" t="s">
        <v>228</v>
      </c>
      <c r="L135" s="420" t="s">
        <v>256</v>
      </c>
      <c r="M135" s="316">
        <f t="shared" si="3"/>
        <v>516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585">
        <v>13508.0</v>
      </c>
      <c r="B136" s="426" t="s">
        <v>11801</v>
      </c>
      <c r="C136" s="426">
        <v>2006.0</v>
      </c>
      <c r="D136" s="500">
        <v>38726.0</v>
      </c>
      <c r="E136" s="426" t="s">
        <v>11802</v>
      </c>
      <c r="F136" s="426" t="s">
        <v>963</v>
      </c>
      <c r="G136" s="426" t="s">
        <v>650</v>
      </c>
      <c r="H136" s="426" t="s">
        <v>2964</v>
      </c>
      <c r="I136" s="500">
        <v>39727.0</v>
      </c>
      <c r="J136" s="428">
        <v>10.0</v>
      </c>
      <c r="K136" s="638" t="s">
        <v>234</v>
      </c>
      <c r="L136" s="428" t="s">
        <v>258</v>
      </c>
      <c r="M136" s="319">
        <f t="shared" si="3"/>
        <v>1001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578">
        <v>13608.0</v>
      </c>
      <c r="B137" s="420" t="s">
        <v>11803</v>
      </c>
      <c r="C137" s="420">
        <v>2007.0</v>
      </c>
      <c r="D137" s="497">
        <v>39255.0</v>
      </c>
      <c r="E137" s="420" t="s">
        <v>11804</v>
      </c>
      <c r="F137" s="420" t="s">
        <v>963</v>
      </c>
      <c r="G137" s="420" t="s">
        <v>17</v>
      </c>
      <c r="H137" s="420" t="s">
        <v>158</v>
      </c>
      <c r="I137" s="497">
        <v>39727.0</v>
      </c>
      <c r="J137" s="422">
        <v>10.0</v>
      </c>
      <c r="K137" s="635" t="s">
        <v>228</v>
      </c>
      <c r="L137" s="420" t="s">
        <v>258</v>
      </c>
      <c r="M137" s="316">
        <f t="shared" si="3"/>
        <v>472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585">
        <v>13708.0</v>
      </c>
      <c r="B138" s="426" t="s">
        <v>11805</v>
      </c>
      <c r="C138" s="426">
        <v>2005.0</v>
      </c>
      <c r="D138" s="500">
        <v>38709.0</v>
      </c>
      <c r="E138" s="426" t="s">
        <v>11806</v>
      </c>
      <c r="F138" s="426" t="s">
        <v>3485</v>
      </c>
      <c r="G138" s="426" t="s">
        <v>552</v>
      </c>
      <c r="H138" s="426" t="s">
        <v>7907</v>
      </c>
      <c r="I138" s="500">
        <v>39730.0</v>
      </c>
      <c r="J138" s="428">
        <v>10.0</v>
      </c>
      <c r="K138" s="637" t="s">
        <v>238</v>
      </c>
      <c r="L138" s="428" t="s">
        <v>258</v>
      </c>
      <c r="M138" s="319">
        <f t="shared" si="3"/>
        <v>1021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578">
        <v>13808.0</v>
      </c>
      <c r="B139" s="420" t="s">
        <v>11807</v>
      </c>
      <c r="C139" s="420">
        <v>2007.0</v>
      </c>
      <c r="D139" s="497">
        <v>39239.0</v>
      </c>
      <c r="E139" s="420" t="s">
        <v>11808</v>
      </c>
      <c r="F139" s="420" t="s">
        <v>7179</v>
      </c>
      <c r="G139" s="420" t="s">
        <v>552</v>
      </c>
      <c r="H139" s="420" t="s">
        <v>5989</v>
      </c>
      <c r="I139" s="497">
        <v>39737.0</v>
      </c>
      <c r="J139" s="422">
        <v>10.0</v>
      </c>
      <c r="K139" s="635" t="s">
        <v>228</v>
      </c>
      <c r="L139" s="420" t="s">
        <v>256</v>
      </c>
      <c r="M139" s="316">
        <f t="shared" si="3"/>
        <v>498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585">
        <v>13908.0</v>
      </c>
      <c r="B140" s="426" t="s">
        <v>11809</v>
      </c>
      <c r="C140" s="426">
        <v>2004.0</v>
      </c>
      <c r="D140" s="500">
        <v>38110.0</v>
      </c>
      <c r="E140" s="426" t="s">
        <v>11810</v>
      </c>
      <c r="F140" s="426" t="s">
        <v>11811</v>
      </c>
      <c r="G140" s="426" t="s">
        <v>650</v>
      </c>
      <c r="H140" s="426" t="s">
        <v>601</v>
      </c>
      <c r="I140" s="500">
        <v>39741.0</v>
      </c>
      <c r="J140" s="428">
        <v>10.0</v>
      </c>
      <c r="K140" s="638" t="s">
        <v>234</v>
      </c>
      <c r="L140" s="428" t="s">
        <v>256</v>
      </c>
      <c r="M140" s="319">
        <f t="shared" si="3"/>
        <v>1631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578">
        <v>14008.0</v>
      </c>
      <c r="B141" s="420" t="s">
        <v>11812</v>
      </c>
      <c r="C141" s="420">
        <v>2006.0</v>
      </c>
      <c r="D141" s="497">
        <v>38841.0</v>
      </c>
      <c r="E141" s="420" t="s">
        <v>11813</v>
      </c>
      <c r="F141" s="420" t="s">
        <v>947</v>
      </c>
      <c r="G141" s="420" t="s">
        <v>552</v>
      </c>
      <c r="H141" s="420" t="s">
        <v>8845</v>
      </c>
      <c r="I141" s="497">
        <v>39742.0</v>
      </c>
      <c r="J141" s="422">
        <v>10.0</v>
      </c>
      <c r="K141" s="637" t="s">
        <v>238</v>
      </c>
      <c r="L141" s="420" t="s">
        <v>258</v>
      </c>
      <c r="M141" s="316">
        <f t="shared" si="3"/>
        <v>901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585">
        <v>14108.0</v>
      </c>
      <c r="B142" s="426" t="s">
        <v>11814</v>
      </c>
      <c r="C142" s="426">
        <v>2006.0</v>
      </c>
      <c r="D142" s="500">
        <v>38952.0</v>
      </c>
      <c r="E142" s="426" t="s">
        <v>11815</v>
      </c>
      <c r="F142" s="426" t="s">
        <v>1170</v>
      </c>
      <c r="G142" s="426" t="s">
        <v>552</v>
      </c>
      <c r="H142" s="426" t="s">
        <v>5989</v>
      </c>
      <c r="I142" s="500">
        <v>39744.0</v>
      </c>
      <c r="J142" s="428">
        <v>10.0</v>
      </c>
      <c r="K142" s="638" t="s">
        <v>234</v>
      </c>
      <c r="L142" s="428" t="s">
        <v>256</v>
      </c>
      <c r="M142" s="319">
        <f t="shared" si="3"/>
        <v>792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578">
        <v>14208.0</v>
      </c>
      <c r="B143" s="420" t="s">
        <v>11816</v>
      </c>
      <c r="C143" s="420">
        <v>2005.0</v>
      </c>
      <c r="D143" s="497">
        <v>38677.0</v>
      </c>
      <c r="E143" s="420" t="s">
        <v>11817</v>
      </c>
      <c r="F143" s="420" t="s">
        <v>1170</v>
      </c>
      <c r="G143" s="420" t="s">
        <v>552</v>
      </c>
      <c r="H143" s="420" t="s">
        <v>5989</v>
      </c>
      <c r="I143" s="497">
        <v>39744.0</v>
      </c>
      <c r="J143" s="422">
        <v>10.0</v>
      </c>
      <c r="K143" s="638" t="s">
        <v>234</v>
      </c>
      <c r="L143" s="420" t="s">
        <v>256</v>
      </c>
      <c r="M143" s="316">
        <f t="shared" si="3"/>
        <v>1067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585">
        <v>14308.0</v>
      </c>
      <c r="B144" s="426" t="s">
        <v>11818</v>
      </c>
      <c r="C144" s="426">
        <v>2006.0</v>
      </c>
      <c r="D144" s="500">
        <v>38825.0</v>
      </c>
      <c r="E144" s="426" t="s">
        <v>11819</v>
      </c>
      <c r="F144" s="426" t="s">
        <v>44</v>
      </c>
      <c r="G144" s="426" t="s">
        <v>552</v>
      </c>
      <c r="H144" s="426" t="s">
        <v>934</v>
      </c>
      <c r="I144" s="500">
        <v>39755.0</v>
      </c>
      <c r="J144" s="428">
        <v>11.0</v>
      </c>
      <c r="K144" s="638" t="s">
        <v>234</v>
      </c>
      <c r="L144" s="428" t="s">
        <v>258</v>
      </c>
      <c r="M144" s="319">
        <f t="shared" si="3"/>
        <v>930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578">
        <v>14408.0</v>
      </c>
      <c r="B145" s="420" t="s">
        <v>11820</v>
      </c>
      <c r="C145" s="420">
        <v>2007.0</v>
      </c>
      <c r="D145" s="497">
        <v>39387.0</v>
      </c>
      <c r="E145" s="420" t="s">
        <v>11821</v>
      </c>
      <c r="F145" s="420" t="s">
        <v>1401</v>
      </c>
      <c r="G145" s="420" t="s">
        <v>17</v>
      </c>
      <c r="H145" s="420" t="s">
        <v>45</v>
      </c>
      <c r="I145" s="497">
        <v>39756.0</v>
      </c>
      <c r="J145" s="422">
        <v>11.0</v>
      </c>
      <c r="K145" s="637" t="s">
        <v>238</v>
      </c>
      <c r="L145" s="420" t="s">
        <v>258</v>
      </c>
      <c r="M145" s="316">
        <f t="shared" si="3"/>
        <v>369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585">
        <v>14508.0</v>
      </c>
      <c r="B146" s="426" t="s">
        <v>11822</v>
      </c>
      <c r="C146" s="426">
        <v>2007.0</v>
      </c>
      <c r="D146" s="500">
        <v>39377.0</v>
      </c>
      <c r="E146" s="426" t="s">
        <v>11823</v>
      </c>
      <c r="F146" s="426" t="s">
        <v>1401</v>
      </c>
      <c r="G146" s="426" t="s">
        <v>17</v>
      </c>
      <c r="H146" s="426" t="s">
        <v>901</v>
      </c>
      <c r="I146" s="500">
        <v>39758.0</v>
      </c>
      <c r="J146" s="428">
        <v>11.0</v>
      </c>
      <c r="K146" s="637" t="s">
        <v>238</v>
      </c>
      <c r="L146" s="428" t="s">
        <v>258</v>
      </c>
      <c r="M146" s="319">
        <f t="shared" si="3"/>
        <v>381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578">
        <v>14608.0</v>
      </c>
      <c r="B147" s="420" t="s">
        <v>11824</v>
      </c>
      <c r="C147" s="420">
        <v>2007.0</v>
      </c>
      <c r="D147" s="497">
        <v>39351.0</v>
      </c>
      <c r="E147" s="420" t="s">
        <v>11825</v>
      </c>
      <c r="F147" s="420" t="s">
        <v>3172</v>
      </c>
      <c r="G147" s="420" t="s">
        <v>17</v>
      </c>
      <c r="H147" s="420" t="s">
        <v>9672</v>
      </c>
      <c r="I147" s="497">
        <v>39758.0</v>
      </c>
      <c r="J147" s="422">
        <v>11.0</v>
      </c>
      <c r="K147" s="637" t="s">
        <v>238</v>
      </c>
      <c r="L147" s="420" t="s">
        <v>256</v>
      </c>
      <c r="M147" s="316">
        <f t="shared" si="3"/>
        <v>407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585">
        <v>14708.0</v>
      </c>
      <c r="B148" s="426" t="s">
        <v>11826</v>
      </c>
      <c r="C148" s="426">
        <v>2007.0</v>
      </c>
      <c r="D148" s="500">
        <v>39414.0</v>
      </c>
      <c r="E148" s="426" t="s">
        <v>11827</v>
      </c>
      <c r="F148" s="426" t="s">
        <v>3172</v>
      </c>
      <c r="G148" s="426" t="s">
        <v>17</v>
      </c>
      <c r="H148" s="426" t="s">
        <v>7403</v>
      </c>
      <c r="I148" s="500">
        <v>39758.0</v>
      </c>
      <c r="J148" s="428">
        <v>11.0</v>
      </c>
      <c r="K148" s="637" t="s">
        <v>238</v>
      </c>
      <c r="L148" s="428" t="s">
        <v>256</v>
      </c>
      <c r="M148" s="319">
        <f t="shared" si="3"/>
        <v>344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578">
        <v>14808.0</v>
      </c>
      <c r="B149" s="420" t="s">
        <v>11828</v>
      </c>
      <c r="C149" s="420">
        <v>2005.0</v>
      </c>
      <c r="D149" s="497">
        <v>38434.0</v>
      </c>
      <c r="E149" s="420" t="s">
        <v>11829</v>
      </c>
      <c r="F149" s="420" t="s">
        <v>11830</v>
      </c>
      <c r="G149" s="420" t="s">
        <v>34</v>
      </c>
      <c r="H149" s="420" t="s">
        <v>705</v>
      </c>
      <c r="I149" s="497">
        <v>39758.0</v>
      </c>
      <c r="J149" s="422">
        <v>11.0</v>
      </c>
      <c r="K149" s="637" t="s">
        <v>238</v>
      </c>
      <c r="L149" s="420" t="s">
        <v>256</v>
      </c>
      <c r="M149" s="316">
        <f t="shared" si="3"/>
        <v>1324</v>
      </c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585">
        <v>14908.0</v>
      </c>
      <c r="B150" s="426" t="s">
        <v>11831</v>
      </c>
      <c r="C150" s="426">
        <v>2007.0</v>
      </c>
      <c r="D150" s="500">
        <v>39279.0</v>
      </c>
      <c r="E150" s="426" t="s">
        <v>11832</v>
      </c>
      <c r="F150" s="426" t="s">
        <v>8119</v>
      </c>
      <c r="G150" s="426" t="s">
        <v>552</v>
      </c>
      <c r="H150" s="426" t="s">
        <v>56</v>
      </c>
      <c r="I150" s="500">
        <v>39759.0</v>
      </c>
      <c r="J150" s="428">
        <v>11.0</v>
      </c>
      <c r="K150" s="635" t="s">
        <v>228</v>
      </c>
      <c r="L150" s="428" t="s">
        <v>256</v>
      </c>
      <c r="M150" s="319">
        <f t="shared" si="3"/>
        <v>480</v>
      </c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578">
        <v>15008.0</v>
      </c>
      <c r="B151" s="420" t="s">
        <v>11833</v>
      </c>
      <c r="C151" s="420">
        <v>2006.0</v>
      </c>
      <c r="D151" s="497">
        <v>39009.0</v>
      </c>
      <c r="E151" s="420" t="s">
        <v>11834</v>
      </c>
      <c r="F151" s="420" t="s">
        <v>947</v>
      </c>
      <c r="G151" s="420" t="s">
        <v>552</v>
      </c>
      <c r="H151" s="420" t="s">
        <v>1501</v>
      </c>
      <c r="I151" s="497">
        <v>39764.0</v>
      </c>
      <c r="J151" s="422">
        <v>11.0</v>
      </c>
      <c r="K151" s="637" t="s">
        <v>238</v>
      </c>
      <c r="L151" s="420" t="s">
        <v>258</v>
      </c>
      <c r="M151" s="316">
        <f t="shared" si="3"/>
        <v>755</v>
      </c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585">
        <v>15108.0</v>
      </c>
      <c r="B152" s="426" t="s">
        <v>11835</v>
      </c>
      <c r="C152" s="426">
        <v>2005.0</v>
      </c>
      <c r="D152" s="500">
        <v>38428.0</v>
      </c>
      <c r="E152" s="426" t="s">
        <v>11836</v>
      </c>
      <c r="F152" s="426" t="s">
        <v>134</v>
      </c>
      <c r="G152" s="426" t="s">
        <v>552</v>
      </c>
      <c r="H152" s="426" t="s">
        <v>929</v>
      </c>
      <c r="I152" s="500">
        <v>39766.0</v>
      </c>
      <c r="J152" s="428">
        <v>11.0</v>
      </c>
      <c r="K152" s="635" t="s">
        <v>228</v>
      </c>
      <c r="L152" s="428" t="s">
        <v>256</v>
      </c>
      <c r="M152" s="319">
        <f t="shared" si="3"/>
        <v>1338</v>
      </c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578">
        <v>15208.0</v>
      </c>
      <c r="B153" s="420" t="s">
        <v>11837</v>
      </c>
      <c r="C153" s="420">
        <v>2007.0</v>
      </c>
      <c r="D153" s="497">
        <v>39365.0</v>
      </c>
      <c r="E153" s="420" t="s">
        <v>11838</v>
      </c>
      <c r="F153" s="420" t="s">
        <v>2873</v>
      </c>
      <c r="G153" s="420" t="s">
        <v>17</v>
      </c>
      <c r="H153" s="420" t="s">
        <v>8845</v>
      </c>
      <c r="I153" s="497">
        <v>39770.0</v>
      </c>
      <c r="J153" s="422">
        <v>11.0</v>
      </c>
      <c r="K153" s="635" t="s">
        <v>228</v>
      </c>
      <c r="L153" s="420" t="s">
        <v>258</v>
      </c>
      <c r="M153" s="316">
        <f t="shared" si="3"/>
        <v>405</v>
      </c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585">
        <v>15308.0</v>
      </c>
      <c r="B154" s="426" t="s">
        <v>11839</v>
      </c>
      <c r="C154" s="426">
        <v>2007.0</v>
      </c>
      <c r="D154" s="500">
        <v>39365.0</v>
      </c>
      <c r="E154" s="426" t="s">
        <v>11840</v>
      </c>
      <c r="F154" s="426" t="s">
        <v>65</v>
      </c>
      <c r="G154" s="426" t="s">
        <v>17</v>
      </c>
      <c r="H154" s="426" t="s">
        <v>8845</v>
      </c>
      <c r="I154" s="500">
        <v>39770.0</v>
      </c>
      <c r="J154" s="428">
        <v>11.0</v>
      </c>
      <c r="K154" s="635" t="s">
        <v>228</v>
      </c>
      <c r="L154" s="428" t="s">
        <v>254</v>
      </c>
      <c r="M154" s="319">
        <f t="shared" si="3"/>
        <v>405</v>
      </c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578">
        <v>15408.0</v>
      </c>
      <c r="B155" s="420" t="s">
        <v>11841</v>
      </c>
      <c r="C155" s="420">
        <v>2005.0</v>
      </c>
      <c r="D155" s="497">
        <v>38716.0</v>
      </c>
      <c r="E155" s="420" t="s">
        <v>11842</v>
      </c>
      <c r="F155" s="420" t="s">
        <v>11843</v>
      </c>
      <c r="G155" s="420" t="s">
        <v>650</v>
      </c>
      <c r="H155" s="420" t="s">
        <v>705</v>
      </c>
      <c r="I155" s="497">
        <v>39771.0</v>
      </c>
      <c r="J155" s="422">
        <v>11.0</v>
      </c>
      <c r="K155" s="637" t="s">
        <v>238</v>
      </c>
      <c r="L155" s="420" t="s">
        <v>258</v>
      </c>
      <c r="M155" s="316">
        <f t="shared" si="3"/>
        <v>1055</v>
      </c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585">
        <v>15508.0</v>
      </c>
      <c r="B156" s="426" t="s">
        <v>11844</v>
      </c>
      <c r="C156" s="426">
        <v>2006.0</v>
      </c>
      <c r="D156" s="500">
        <v>38957.0</v>
      </c>
      <c r="E156" s="426" t="s">
        <v>11845</v>
      </c>
      <c r="F156" s="426" t="s">
        <v>1401</v>
      </c>
      <c r="G156" s="426" t="s">
        <v>552</v>
      </c>
      <c r="H156" s="426" t="s">
        <v>9033</v>
      </c>
      <c r="I156" s="500">
        <v>39771.0</v>
      </c>
      <c r="J156" s="428">
        <v>11.0</v>
      </c>
      <c r="K156" s="637" t="s">
        <v>238</v>
      </c>
      <c r="L156" s="428" t="s">
        <v>258</v>
      </c>
      <c r="M156" s="319">
        <f t="shared" si="3"/>
        <v>814</v>
      </c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578">
        <v>15608.0</v>
      </c>
      <c r="B157" s="420" t="s">
        <v>11846</v>
      </c>
      <c r="C157" s="420">
        <v>2004.0</v>
      </c>
      <c r="D157" s="497">
        <v>38275.0</v>
      </c>
      <c r="E157" s="420" t="s">
        <v>11847</v>
      </c>
      <c r="F157" s="420" t="s">
        <v>1843</v>
      </c>
      <c r="G157" s="420" t="s">
        <v>552</v>
      </c>
      <c r="H157" s="420" t="s">
        <v>2509</v>
      </c>
      <c r="I157" s="497">
        <v>39776.0</v>
      </c>
      <c r="J157" s="422">
        <v>11.0</v>
      </c>
      <c r="K157" s="637" t="s">
        <v>238</v>
      </c>
      <c r="L157" s="420" t="s">
        <v>258</v>
      </c>
      <c r="M157" s="316">
        <f t="shared" si="3"/>
        <v>1501</v>
      </c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585">
        <v>15708.0</v>
      </c>
      <c r="B158" s="426" t="s">
        <v>11848</v>
      </c>
      <c r="C158" s="426">
        <v>2004.0</v>
      </c>
      <c r="D158" s="500">
        <v>38341.0</v>
      </c>
      <c r="E158" s="426" t="s">
        <v>11849</v>
      </c>
      <c r="F158" s="426" t="s">
        <v>1843</v>
      </c>
      <c r="G158" s="426" t="s">
        <v>552</v>
      </c>
      <c r="H158" s="426" t="s">
        <v>2509</v>
      </c>
      <c r="I158" s="500">
        <v>39776.0</v>
      </c>
      <c r="J158" s="428">
        <v>11.0</v>
      </c>
      <c r="K158" s="635" t="s">
        <v>228</v>
      </c>
      <c r="L158" s="428" t="s">
        <v>256</v>
      </c>
      <c r="M158" s="319">
        <f t="shared" si="3"/>
        <v>1435</v>
      </c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578">
        <v>15808.0</v>
      </c>
      <c r="B159" s="420" t="s">
        <v>11850</v>
      </c>
      <c r="C159" s="420">
        <v>2007.0</v>
      </c>
      <c r="D159" s="497">
        <v>39323.0</v>
      </c>
      <c r="E159" s="420" t="s">
        <v>11851</v>
      </c>
      <c r="F159" s="420" t="s">
        <v>44</v>
      </c>
      <c r="G159" s="420" t="s">
        <v>552</v>
      </c>
      <c r="H159" s="420" t="s">
        <v>45</v>
      </c>
      <c r="I159" s="497">
        <v>39776.0</v>
      </c>
      <c r="J159" s="422">
        <v>11.0</v>
      </c>
      <c r="K159" s="635" t="s">
        <v>228</v>
      </c>
      <c r="L159" s="420" t="s">
        <v>256</v>
      </c>
      <c r="M159" s="316">
        <f t="shared" si="3"/>
        <v>453</v>
      </c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585">
        <v>15908.0</v>
      </c>
      <c r="B160" s="426" t="s">
        <v>11852</v>
      </c>
      <c r="C160" s="426">
        <v>2006.0</v>
      </c>
      <c r="D160" s="500">
        <v>39015.0</v>
      </c>
      <c r="E160" s="426" t="s">
        <v>11853</v>
      </c>
      <c r="F160" s="426" t="s">
        <v>885</v>
      </c>
      <c r="G160" s="426" t="s">
        <v>552</v>
      </c>
      <c r="H160" s="426" t="s">
        <v>7403</v>
      </c>
      <c r="I160" s="500">
        <v>39776.0</v>
      </c>
      <c r="J160" s="428">
        <v>11.0</v>
      </c>
      <c r="K160" s="638" t="s">
        <v>234</v>
      </c>
      <c r="L160" s="428" t="s">
        <v>256</v>
      </c>
      <c r="M160" s="319">
        <f t="shared" si="3"/>
        <v>761</v>
      </c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578">
        <v>16008.0</v>
      </c>
      <c r="B161" s="420" t="s">
        <v>11854</v>
      </c>
      <c r="C161" s="420">
        <v>2006.0</v>
      </c>
      <c r="D161" s="497">
        <v>39015.0</v>
      </c>
      <c r="E161" s="420" t="s">
        <v>11855</v>
      </c>
      <c r="F161" s="420" t="s">
        <v>885</v>
      </c>
      <c r="G161" s="420" t="s">
        <v>552</v>
      </c>
      <c r="H161" s="420" t="s">
        <v>7403</v>
      </c>
      <c r="I161" s="497">
        <v>39777.0</v>
      </c>
      <c r="J161" s="422">
        <v>11.0</v>
      </c>
      <c r="K161" s="638" t="s">
        <v>234</v>
      </c>
      <c r="L161" s="420" t="s">
        <v>256</v>
      </c>
      <c r="M161" s="316">
        <f t="shared" si="3"/>
        <v>762</v>
      </c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585">
        <v>16108.0</v>
      </c>
      <c r="B162" s="426" t="s">
        <v>11856</v>
      </c>
      <c r="C162" s="426">
        <v>2007.0</v>
      </c>
      <c r="D162" s="500">
        <v>39135.0</v>
      </c>
      <c r="E162" s="426" t="s">
        <v>11857</v>
      </c>
      <c r="F162" s="426" t="s">
        <v>1968</v>
      </c>
      <c r="G162" s="426" t="s">
        <v>552</v>
      </c>
      <c r="H162" s="426" t="s">
        <v>7403</v>
      </c>
      <c r="I162" s="500">
        <v>39777.0</v>
      </c>
      <c r="J162" s="428">
        <v>11.0</v>
      </c>
      <c r="K162" s="635" t="s">
        <v>228</v>
      </c>
      <c r="L162" s="428" t="s">
        <v>256</v>
      </c>
      <c r="M162" s="319">
        <f t="shared" si="3"/>
        <v>642</v>
      </c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578">
        <v>16208.0</v>
      </c>
      <c r="B163" s="420" t="s">
        <v>11858</v>
      </c>
      <c r="C163" s="420">
        <v>2004.0</v>
      </c>
      <c r="D163" s="497">
        <v>38219.0</v>
      </c>
      <c r="E163" s="420" t="s">
        <v>11859</v>
      </c>
      <c r="F163" s="420" t="s">
        <v>1255</v>
      </c>
      <c r="G163" s="420" t="s">
        <v>552</v>
      </c>
      <c r="H163" s="420" t="s">
        <v>9672</v>
      </c>
      <c r="I163" s="497">
        <v>39777.0</v>
      </c>
      <c r="J163" s="422">
        <v>11.0</v>
      </c>
      <c r="K163" s="637" t="s">
        <v>238</v>
      </c>
      <c r="L163" s="420" t="s">
        <v>256</v>
      </c>
      <c r="M163" s="316">
        <f t="shared" si="3"/>
        <v>1558</v>
      </c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585">
        <v>16308.0</v>
      </c>
      <c r="B164" s="426" t="s">
        <v>11860</v>
      </c>
      <c r="C164" s="426">
        <v>2004.0</v>
      </c>
      <c r="D164" s="500">
        <v>38213.0</v>
      </c>
      <c r="E164" s="426" t="s">
        <v>11861</v>
      </c>
      <c r="F164" s="426" t="s">
        <v>1255</v>
      </c>
      <c r="G164" s="426" t="s">
        <v>552</v>
      </c>
      <c r="H164" s="426" t="s">
        <v>9672</v>
      </c>
      <c r="I164" s="500">
        <v>39777.0</v>
      </c>
      <c r="J164" s="428">
        <v>11.0</v>
      </c>
      <c r="K164" s="638" t="s">
        <v>234</v>
      </c>
      <c r="L164" s="428" t="s">
        <v>256</v>
      </c>
      <c r="M164" s="319">
        <f t="shared" si="3"/>
        <v>1564</v>
      </c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578">
        <v>16408.0</v>
      </c>
      <c r="B165" s="420" t="s">
        <v>11862</v>
      </c>
      <c r="C165" s="420">
        <v>2006.0</v>
      </c>
      <c r="D165" s="497">
        <v>38959.0</v>
      </c>
      <c r="E165" s="420" t="s">
        <v>11863</v>
      </c>
      <c r="F165" s="420" t="s">
        <v>885</v>
      </c>
      <c r="G165" s="420" t="s">
        <v>552</v>
      </c>
      <c r="H165" s="420" t="s">
        <v>7403</v>
      </c>
      <c r="I165" s="497">
        <v>39778.0</v>
      </c>
      <c r="J165" s="422">
        <v>11.0</v>
      </c>
      <c r="K165" s="638" t="s">
        <v>234</v>
      </c>
      <c r="L165" s="420" t="s">
        <v>256</v>
      </c>
      <c r="M165" s="316">
        <f t="shared" si="3"/>
        <v>819</v>
      </c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585">
        <v>16508.0</v>
      </c>
      <c r="B166" s="426" t="s">
        <v>11864</v>
      </c>
      <c r="C166" s="426">
        <v>2006.0</v>
      </c>
      <c r="D166" s="500">
        <v>39017.0</v>
      </c>
      <c r="E166" s="426" t="s">
        <v>11865</v>
      </c>
      <c r="F166" s="426" t="s">
        <v>666</v>
      </c>
      <c r="G166" s="426" t="s">
        <v>650</v>
      </c>
      <c r="H166" s="426" t="s">
        <v>705</v>
      </c>
      <c r="I166" s="500">
        <v>39778.0</v>
      </c>
      <c r="J166" s="428">
        <v>11.0</v>
      </c>
      <c r="K166" s="637" t="s">
        <v>238</v>
      </c>
      <c r="L166" s="428" t="s">
        <v>256</v>
      </c>
      <c r="M166" s="319">
        <f t="shared" si="3"/>
        <v>761</v>
      </c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578">
        <v>16608.0</v>
      </c>
      <c r="B167" s="420" t="s">
        <v>11866</v>
      </c>
      <c r="C167" s="420">
        <v>2005.0</v>
      </c>
      <c r="D167" s="497">
        <v>38530.0</v>
      </c>
      <c r="E167" s="420" t="s">
        <v>11867</v>
      </c>
      <c r="F167" s="420" t="s">
        <v>11830</v>
      </c>
      <c r="G167" s="420" t="s">
        <v>547</v>
      </c>
      <c r="H167" s="420" t="s">
        <v>705</v>
      </c>
      <c r="I167" s="497">
        <v>39779.0</v>
      </c>
      <c r="J167" s="422">
        <v>11.0</v>
      </c>
      <c r="K167" s="635" t="s">
        <v>228</v>
      </c>
      <c r="L167" s="420" t="s">
        <v>256</v>
      </c>
      <c r="M167" s="316">
        <f t="shared" si="3"/>
        <v>1249</v>
      </c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585">
        <v>16708.0</v>
      </c>
      <c r="B168" s="426" t="s">
        <v>11868</v>
      </c>
      <c r="C168" s="426">
        <v>2001.0</v>
      </c>
      <c r="D168" s="500">
        <v>37070.0</v>
      </c>
      <c r="E168" s="426" t="s">
        <v>11869</v>
      </c>
      <c r="F168" s="426" t="s">
        <v>31</v>
      </c>
      <c r="G168" s="426" t="s">
        <v>552</v>
      </c>
      <c r="H168" s="426" t="s">
        <v>5016</v>
      </c>
      <c r="I168" s="500">
        <v>39793.0</v>
      </c>
      <c r="J168" s="428">
        <v>12.0</v>
      </c>
      <c r="K168" s="636" t="s">
        <v>244</v>
      </c>
      <c r="L168" s="428" t="s">
        <v>258</v>
      </c>
      <c r="M168" s="319">
        <f t="shared" si="3"/>
        <v>2723</v>
      </c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578">
        <v>16808.0</v>
      </c>
      <c r="B169" s="420" t="s">
        <v>11870</v>
      </c>
      <c r="C169" s="420">
        <v>2007.0</v>
      </c>
      <c r="D169" s="497">
        <v>39444.0</v>
      </c>
      <c r="E169" s="420" t="s">
        <v>11871</v>
      </c>
      <c r="F169" s="420" t="s">
        <v>660</v>
      </c>
      <c r="G169" s="420" t="s">
        <v>17</v>
      </c>
      <c r="H169" s="420" t="s">
        <v>8845</v>
      </c>
      <c r="I169" s="497">
        <v>39793.0</v>
      </c>
      <c r="J169" s="422">
        <v>12.0</v>
      </c>
      <c r="K169" s="635" t="s">
        <v>228</v>
      </c>
      <c r="L169" s="420" t="s">
        <v>258</v>
      </c>
      <c r="M169" s="316">
        <f t="shared" si="3"/>
        <v>349</v>
      </c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585">
        <v>16908.0</v>
      </c>
      <c r="B170" s="426" t="s">
        <v>11872</v>
      </c>
      <c r="C170" s="426">
        <v>2007.0</v>
      </c>
      <c r="D170" s="500">
        <v>39426.0</v>
      </c>
      <c r="E170" s="426" t="s">
        <v>11873</v>
      </c>
      <c r="F170" s="426" t="s">
        <v>44</v>
      </c>
      <c r="G170" s="426" t="s">
        <v>17</v>
      </c>
      <c r="H170" s="426" t="s">
        <v>56</v>
      </c>
      <c r="I170" s="500">
        <v>39793.0</v>
      </c>
      <c r="J170" s="428">
        <v>12.0</v>
      </c>
      <c r="K170" s="635" t="s">
        <v>228</v>
      </c>
      <c r="L170" s="428" t="s">
        <v>258</v>
      </c>
      <c r="M170" s="319">
        <f t="shared" si="3"/>
        <v>367</v>
      </c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578">
        <v>17008.0</v>
      </c>
      <c r="B171" s="420" t="s">
        <v>11874</v>
      </c>
      <c r="C171" s="420">
        <v>2006.0</v>
      </c>
      <c r="D171" s="497">
        <v>38937.0</v>
      </c>
      <c r="E171" s="420" t="s">
        <v>11875</v>
      </c>
      <c r="F171" s="420" t="s">
        <v>11876</v>
      </c>
      <c r="G171" s="420" t="s">
        <v>650</v>
      </c>
      <c r="H171" s="420" t="s">
        <v>651</v>
      </c>
      <c r="I171" s="497">
        <v>39794.0</v>
      </c>
      <c r="J171" s="422">
        <v>12.0</v>
      </c>
      <c r="K171" s="635" t="s">
        <v>228</v>
      </c>
      <c r="L171" s="420" t="s">
        <v>256</v>
      </c>
      <c r="M171" s="316">
        <f t="shared" si="3"/>
        <v>857</v>
      </c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585">
        <v>17108.0</v>
      </c>
      <c r="B172" s="426" t="s">
        <v>11877</v>
      </c>
      <c r="C172" s="426">
        <v>2005.0</v>
      </c>
      <c r="D172" s="500">
        <v>38716.0</v>
      </c>
      <c r="E172" s="426" t="s">
        <v>11878</v>
      </c>
      <c r="F172" s="426" t="s">
        <v>947</v>
      </c>
      <c r="G172" s="426" t="s">
        <v>650</v>
      </c>
      <c r="H172" s="426" t="s">
        <v>5180</v>
      </c>
      <c r="I172" s="500">
        <v>39794.0</v>
      </c>
      <c r="J172" s="428">
        <v>12.0</v>
      </c>
      <c r="K172" s="637" t="s">
        <v>238</v>
      </c>
      <c r="L172" s="428" t="s">
        <v>258</v>
      </c>
      <c r="M172" s="319">
        <f t="shared" si="3"/>
        <v>1078</v>
      </c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578">
        <v>17208.0</v>
      </c>
      <c r="B173" s="420" t="s">
        <v>11879</v>
      </c>
      <c r="C173" s="420">
        <v>2006.0</v>
      </c>
      <c r="D173" s="497">
        <v>38939.0</v>
      </c>
      <c r="E173" s="420" t="s">
        <v>11880</v>
      </c>
      <c r="F173" s="420" t="s">
        <v>2046</v>
      </c>
      <c r="G173" s="420" t="s">
        <v>552</v>
      </c>
      <c r="H173" s="420" t="s">
        <v>5989</v>
      </c>
      <c r="I173" s="497">
        <v>39799.0</v>
      </c>
      <c r="J173" s="422">
        <v>12.0</v>
      </c>
      <c r="K173" s="635" t="s">
        <v>228</v>
      </c>
      <c r="L173" s="420" t="s">
        <v>256</v>
      </c>
      <c r="M173" s="316">
        <f t="shared" si="3"/>
        <v>860</v>
      </c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585">
        <v>17308.0</v>
      </c>
      <c r="B174" s="426" t="s">
        <v>11881</v>
      </c>
      <c r="C174" s="426">
        <v>2007.0</v>
      </c>
      <c r="D174" s="500">
        <v>39395.0</v>
      </c>
      <c r="E174" s="426" t="s">
        <v>11882</v>
      </c>
      <c r="F174" s="426" t="s">
        <v>2873</v>
      </c>
      <c r="G174" s="426" t="s">
        <v>17</v>
      </c>
      <c r="H174" s="426" t="s">
        <v>163</v>
      </c>
      <c r="I174" s="500">
        <v>39800.0</v>
      </c>
      <c r="J174" s="428">
        <v>12.0</v>
      </c>
      <c r="K174" s="635" t="s">
        <v>228</v>
      </c>
      <c r="L174" s="428" t="s">
        <v>258</v>
      </c>
      <c r="M174" s="319">
        <f t="shared" si="3"/>
        <v>405</v>
      </c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578">
        <v>17408.0</v>
      </c>
      <c r="B175" s="420" t="s">
        <v>11883</v>
      </c>
      <c r="C175" s="420">
        <v>2007.0</v>
      </c>
      <c r="D175" s="497">
        <v>39135.0</v>
      </c>
      <c r="E175" s="420" t="s">
        <v>11884</v>
      </c>
      <c r="F175" s="420" t="s">
        <v>1232</v>
      </c>
      <c r="G175" s="420" t="s">
        <v>552</v>
      </c>
      <c r="H175" s="420" t="s">
        <v>163</v>
      </c>
      <c r="I175" s="497">
        <v>39800.0</v>
      </c>
      <c r="J175" s="422">
        <v>12.0</v>
      </c>
      <c r="K175" s="637" t="s">
        <v>238</v>
      </c>
      <c r="L175" s="420" t="s">
        <v>258</v>
      </c>
      <c r="M175" s="316">
        <f t="shared" si="3"/>
        <v>665</v>
      </c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585">
        <v>17508.0</v>
      </c>
      <c r="B176" s="426" t="s">
        <v>11885</v>
      </c>
      <c r="C176" s="426">
        <v>2006.0</v>
      </c>
      <c r="D176" s="500">
        <v>38965.0</v>
      </c>
      <c r="E176" s="426" t="s">
        <v>11886</v>
      </c>
      <c r="F176" s="426" t="s">
        <v>3505</v>
      </c>
      <c r="G176" s="426" t="s">
        <v>650</v>
      </c>
      <c r="H176" s="426" t="s">
        <v>5180</v>
      </c>
      <c r="I176" s="500">
        <v>39800.0</v>
      </c>
      <c r="J176" s="428">
        <v>12.0</v>
      </c>
      <c r="K176" s="637" t="s">
        <v>238</v>
      </c>
      <c r="L176" s="428" t="s">
        <v>256</v>
      </c>
      <c r="M176" s="319">
        <f t="shared" si="3"/>
        <v>835</v>
      </c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578">
        <v>17608.0</v>
      </c>
      <c r="B177" s="420" t="s">
        <v>11887</v>
      </c>
      <c r="C177" s="420">
        <v>2006.0</v>
      </c>
      <c r="D177" s="497">
        <v>38965.0</v>
      </c>
      <c r="E177" s="420" t="s">
        <v>11888</v>
      </c>
      <c r="F177" s="420" t="s">
        <v>3505</v>
      </c>
      <c r="G177" s="420" t="s">
        <v>650</v>
      </c>
      <c r="H177" s="420" t="s">
        <v>5180</v>
      </c>
      <c r="I177" s="497">
        <v>39800.0</v>
      </c>
      <c r="J177" s="422">
        <v>12.0</v>
      </c>
      <c r="K177" s="637" t="s">
        <v>238</v>
      </c>
      <c r="L177" s="420" t="s">
        <v>256</v>
      </c>
      <c r="M177" s="316">
        <f t="shared" si="3"/>
        <v>835</v>
      </c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585">
        <v>17708.0</v>
      </c>
      <c r="B178" s="426" t="s">
        <v>11889</v>
      </c>
      <c r="C178" s="426">
        <v>2006.0</v>
      </c>
      <c r="D178" s="500">
        <v>38965.0</v>
      </c>
      <c r="E178" s="426" t="s">
        <v>11890</v>
      </c>
      <c r="F178" s="426" t="s">
        <v>3505</v>
      </c>
      <c r="G178" s="426" t="s">
        <v>650</v>
      </c>
      <c r="H178" s="426" t="s">
        <v>5180</v>
      </c>
      <c r="I178" s="500">
        <v>39800.0</v>
      </c>
      <c r="J178" s="428">
        <v>12.0</v>
      </c>
      <c r="K178" s="637" t="s">
        <v>238</v>
      </c>
      <c r="L178" s="428" t="s">
        <v>256</v>
      </c>
      <c r="M178" s="319">
        <f t="shared" si="3"/>
        <v>835</v>
      </c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578">
        <v>17808.0</v>
      </c>
      <c r="B179" s="420" t="s">
        <v>11891</v>
      </c>
      <c r="C179" s="420">
        <v>2006.0</v>
      </c>
      <c r="D179" s="497">
        <v>39006.0</v>
      </c>
      <c r="E179" s="420" t="s">
        <v>11892</v>
      </c>
      <c r="F179" s="420" t="s">
        <v>3505</v>
      </c>
      <c r="G179" s="420" t="s">
        <v>650</v>
      </c>
      <c r="H179" s="420" t="s">
        <v>5180</v>
      </c>
      <c r="I179" s="497">
        <v>39804.0</v>
      </c>
      <c r="J179" s="422">
        <v>12.0</v>
      </c>
      <c r="K179" s="638" t="s">
        <v>234</v>
      </c>
      <c r="L179" s="420" t="s">
        <v>256</v>
      </c>
      <c r="M179" s="316">
        <f t="shared" si="3"/>
        <v>798</v>
      </c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585">
        <v>17908.0</v>
      </c>
      <c r="B180" s="426" t="s">
        <v>11893</v>
      </c>
      <c r="C180" s="426">
        <v>2008.0</v>
      </c>
      <c r="D180" s="500">
        <v>39479.0</v>
      </c>
      <c r="E180" s="426" t="s">
        <v>11894</v>
      </c>
      <c r="F180" s="426" t="s">
        <v>1232</v>
      </c>
      <c r="G180" s="426" t="s">
        <v>552</v>
      </c>
      <c r="H180" s="426" t="s">
        <v>50</v>
      </c>
      <c r="I180" s="500">
        <v>39804.0</v>
      </c>
      <c r="J180" s="428">
        <v>12.0</v>
      </c>
      <c r="K180" s="635" t="s">
        <v>228</v>
      </c>
      <c r="L180" s="428" t="s">
        <v>256</v>
      </c>
      <c r="M180" s="319">
        <f t="shared" si="3"/>
        <v>325</v>
      </c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578">
        <v>18008.0</v>
      </c>
      <c r="B181" s="420" t="s">
        <v>11895</v>
      </c>
      <c r="C181" s="420">
        <v>2007.0</v>
      </c>
      <c r="D181" s="497">
        <v>39314.0</v>
      </c>
      <c r="E181" s="420" t="s">
        <v>11896</v>
      </c>
      <c r="F181" s="420" t="s">
        <v>11897</v>
      </c>
      <c r="G181" s="420" t="s">
        <v>650</v>
      </c>
      <c r="H181" s="420" t="s">
        <v>11898</v>
      </c>
      <c r="I181" s="497">
        <v>39805.0</v>
      </c>
      <c r="J181" s="422">
        <v>12.0</v>
      </c>
      <c r="K181" s="635" t="s">
        <v>228</v>
      </c>
      <c r="L181" s="420" t="s">
        <v>260</v>
      </c>
      <c r="M181" s="316">
        <f t="shared" si="3"/>
        <v>491</v>
      </c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585">
        <v>18108.0</v>
      </c>
      <c r="B182" s="426" t="s">
        <v>11899</v>
      </c>
      <c r="C182" s="426">
        <v>2006.0</v>
      </c>
      <c r="D182" s="500">
        <v>38965.0</v>
      </c>
      <c r="E182" s="426" t="s">
        <v>11900</v>
      </c>
      <c r="F182" s="426" t="s">
        <v>3505</v>
      </c>
      <c r="G182" s="426" t="s">
        <v>650</v>
      </c>
      <c r="H182" s="426" t="s">
        <v>5180</v>
      </c>
      <c r="I182" s="500">
        <v>39805.0</v>
      </c>
      <c r="J182" s="428">
        <v>12.0</v>
      </c>
      <c r="K182" s="637" t="s">
        <v>238</v>
      </c>
      <c r="L182" s="428" t="s">
        <v>256</v>
      </c>
      <c r="M182" s="319">
        <f t="shared" si="3"/>
        <v>840</v>
      </c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578">
        <v>18208.0</v>
      </c>
      <c r="B183" s="420" t="s">
        <v>11901</v>
      </c>
      <c r="C183" s="420">
        <v>2006.0</v>
      </c>
      <c r="D183" s="497">
        <v>38905.0</v>
      </c>
      <c r="E183" s="420" t="s">
        <v>11902</v>
      </c>
      <c r="F183" s="420" t="s">
        <v>11903</v>
      </c>
      <c r="G183" s="420" t="s">
        <v>650</v>
      </c>
      <c r="H183" s="420" t="s">
        <v>601</v>
      </c>
      <c r="I183" s="497">
        <v>39805.0</v>
      </c>
      <c r="J183" s="422">
        <v>12.0</v>
      </c>
      <c r="K183" s="637" t="s">
        <v>238</v>
      </c>
      <c r="L183" s="420" t="s">
        <v>256</v>
      </c>
      <c r="M183" s="316">
        <f t="shared" si="3"/>
        <v>900</v>
      </c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585">
        <v>18308.0</v>
      </c>
      <c r="B184" s="426" t="s">
        <v>11904</v>
      </c>
      <c r="C184" s="426">
        <v>2006.0</v>
      </c>
      <c r="D184" s="500">
        <v>39020.0</v>
      </c>
      <c r="E184" s="426" t="s">
        <v>11905</v>
      </c>
      <c r="F184" s="426" t="s">
        <v>11906</v>
      </c>
      <c r="G184" s="426" t="s">
        <v>650</v>
      </c>
      <c r="H184" s="426" t="s">
        <v>705</v>
      </c>
      <c r="I184" s="500">
        <v>39805.0</v>
      </c>
      <c r="J184" s="428">
        <v>12.0</v>
      </c>
      <c r="K184" s="638" t="s">
        <v>234</v>
      </c>
      <c r="L184" s="428" t="s">
        <v>256</v>
      </c>
      <c r="M184" s="319">
        <f t="shared" si="3"/>
        <v>785</v>
      </c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578">
        <v>18408.0</v>
      </c>
      <c r="B185" s="420" t="s">
        <v>11907</v>
      </c>
      <c r="C185" s="420">
        <v>2005.0</v>
      </c>
      <c r="D185" s="497">
        <v>38659.0</v>
      </c>
      <c r="E185" s="420" t="s">
        <v>11908</v>
      </c>
      <c r="F185" s="420" t="s">
        <v>11909</v>
      </c>
      <c r="G185" s="420" t="s">
        <v>650</v>
      </c>
      <c r="H185" s="420" t="s">
        <v>158</v>
      </c>
      <c r="I185" s="497">
        <v>39805.0</v>
      </c>
      <c r="J185" s="422">
        <v>12.0</v>
      </c>
      <c r="K185" s="637" t="s">
        <v>238</v>
      </c>
      <c r="L185" s="420" t="s">
        <v>258</v>
      </c>
      <c r="M185" s="316">
        <f t="shared" si="3"/>
        <v>1146</v>
      </c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585">
        <v>18508.0</v>
      </c>
      <c r="B186" s="426" t="s">
        <v>11910</v>
      </c>
      <c r="C186" s="426">
        <v>2007.0</v>
      </c>
      <c r="D186" s="500">
        <v>39419.0</v>
      </c>
      <c r="E186" s="426" t="s">
        <v>11911</v>
      </c>
      <c r="F186" s="426" t="s">
        <v>900</v>
      </c>
      <c r="G186" s="426" t="s">
        <v>17</v>
      </c>
      <c r="H186" s="426" t="s">
        <v>56</v>
      </c>
      <c r="I186" s="500">
        <v>39805.0</v>
      </c>
      <c r="J186" s="428">
        <v>12.0</v>
      </c>
      <c r="K186" s="635" t="s">
        <v>228</v>
      </c>
      <c r="L186" s="428" t="s">
        <v>256</v>
      </c>
      <c r="M186" s="319">
        <f t="shared" si="3"/>
        <v>386</v>
      </c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578">
        <v>18608.0</v>
      </c>
      <c r="B187" s="420" t="s">
        <v>11912</v>
      </c>
      <c r="C187" s="420">
        <v>2004.0</v>
      </c>
      <c r="D187" s="497">
        <v>38352.0</v>
      </c>
      <c r="E187" s="420" t="s">
        <v>11913</v>
      </c>
      <c r="F187" s="420" t="s">
        <v>4226</v>
      </c>
      <c r="G187" s="420" t="s">
        <v>552</v>
      </c>
      <c r="H187" s="420" t="s">
        <v>8274</v>
      </c>
      <c r="I187" s="497">
        <v>39806.0</v>
      </c>
      <c r="J187" s="422">
        <v>12.0</v>
      </c>
      <c r="K187" s="635" t="s">
        <v>228</v>
      </c>
      <c r="L187" s="420" t="s">
        <v>256</v>
      </c>
      <c r="M187" s="316">
        <f t="shared" si="3"/>
        <v>1454</v>
      </c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585">
        <v>18708.0</v>
      </c>
      <c r="B188" s="426" t="s">
        <v>11914</v>
      </c>
      <c r="C188" s="426">
        <v>2006.0</v>
      </c>
      <c r="D188" s="500">
        <v>38762.0</v>
      </c>
      <c r="E188" s="426" t="s">
        <v>11915</v>
      </c>
      <c r="F188" s="426" t="s">
        <v>11916</v>
      </c>
      <c r="G188" s="426" t="s">
        <v>650</v>
      </c>
      <c r="H188" s="426" t="s">
        <v>18</v>
      </c>
      <c r="I188" s="500">
        <v>39806.0</v>
      </c>
      <c r="J188" s="428">
        <v>12.0</v>
      </c>
      <c r="K188" s="635" t="s">
        <v>228</v>
      </c>
      <c r="L188" s="428" t="s">
        <v>256</v>
      </c>
      <c r="M188" s="319">
        <f t="shared" si="3"/>
        <v>1044</v>
      </c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578">
        <v>18808.0</v>
      </c>
      <c r="B189" s="420" t="s">
        <v>11917</v>
      </c>
      <c r="C189" s="420">
        <v>2001.0</v>
      </c>
      <c r="D189" s="497">
        <v>36971.0</v>
      </c>
      <c r="E189" s="420" t="s">
        <v>11918</v>
      </c>
      <c r="F189" s="420" t="s">
        <v>2575</v>
      </c>
      <c r="G189" s="420" t="s">
        <v>17</v>
      </c>
      <c r="H189" s="420" t="s">
        <v>9672</v>
      </c>
      <c r="I189" s="497">
        <v>39808.0</v>
      </c>
      <c r="J189" s="422">
        <v>12.0</v>
      </c>
      <c r="K189" s="637" t="s">
        <v>238</v>
      </c>
      <c r="L189" s="420" t="s">
        <v>256</v>
      </c>
      <c r="M189" s="316">
        <f t="shared" si="3"/>
        <v>2837</v>
      </c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585">
        <v>18908.0</v>
      </c>
      <c r="B190" s="426" t="s">
        <v>11919</v>
      </c>
      <c r="C190" s="426">
        <v>2005.0</v>
      </c>
      <c r="D190" s="500">
        <v>38489.0</v>
      </c>
      <c r="E190" s="426" t="s">
        <v>11920</v>
      </c>
      <c r="F190" s="426" t="s">
        <v>11921</v>
      </c>
      <c r="G190" s="426" t="s">
        <v>650</v>
      </c>
      <c r="H190" s="426" t="s">
        <v>158</v>
      </c>
      <c r="I190" s="500">
        <v>39808.0</v>
      </c>
      <c r="J190" s="428">
        <v>12.0</v>
      </c>
      <c r="K190" s="635" t="s">
        <v>228</v>
      </c>
      <c r="L190" s="428" t="s">
        <v>256</v>
      </c>
      <c r="M190" s="319">
        <f t="shared" si="3"/>
        <v>1319</v>
      </c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578">
        <v>19008.0</v>
      </c>
      <c r="B191" s="420" t="s">
        <v>11922</v>
      </c>
      <c r="C191" s="420">
        <v>2001.0</v>
      </c>
      <c r="D191" s="497">
        <v>37167.0</v>
      </c>
      <c r="E191" s="420" t="s">
        <v>11923</v>
      </c>
      <c r="F191" s="420" t="s">
        <v>11924</v>
      </c>
      <c r="G191" s="420" t="s">
        <v>650</v>
      </c>
      <c r="H191" s="420" t="s">
        <v>2964</v>
      </c>
      <c r="I191" s="497">
        <v>39811.0</v>
      </c>
      <c r="J191" s="422">
        <v>12.0</v>
      </c>
      <c r="K191" s="635" t="s">
        <v>228</v>
      </c>
      <c r="L191" s="420" t="s">
        <v>256</v>
      </c>
      <c r="M191" s="316">
        <f t="shared" si="3"/>
        <v>2644</v>
      </c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585">
        <v>19108.0</v>
      </c>
      <c r="B192" s="426" t="s">
        <v>11925</v>
      </c>
      <c r="C192" s="426">
        <v>2007.0</v>
      </c>
      <c r="D192" s="500">
        <v>39338.0</v>
      </c>
      <c r="E192" s="426" t="s">
        <v>11926</v>
      </c>
      <c r="F192" s="426" t="s">
        <v>65</v>
      </c>
      <c r="G192" s="426" t="s">
        <v>552</v>
      </c>
      <c r="H192" s="426" t="s">
        <v>740</v>
      </c>
      <c r="I192" s="500">
        <v>39812.0</v>
      </c>
      <c r="J192" s="428">
        <v>12.0</v>
      </c>
      <c r="K192" s="635" t="s">
        <v>228</v>
      </c>
      <c r="L192" s="428" t="s">
        <v>254</v>
      </c>
      <c r="M192" s="319">
        <f t="shared" si="3"/>
        <v>474</v>
      </c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578">
        <v>19208.0</v>
      </c>
      <c r="B193" s="420" t="s">
        <v>11927</v>
      </c>
      <c r="C193" s="420">
        <v>2007.0</v>
      </c>
      <c r="D193" s="497">
        <v>39433.0</v>
      </c>
      <c r="E193" s="420" t="s">
        <v>11928</v>
      </c>
      <c r="F193" s="420" t="s">
        <v>1464</v>
      </c>
      <c r="G193" s="420" t="s">
        <v>552</v>
      </c>
      <c r="H193" s="420" t="s">
        <v>3519</v>
      </c>
      <c r="I193" s="497">
        <v>39813.0</v>
      </c>
      <c r="J193" s="422">
        <v>12.0</v>
      </c>
      <c r="K193" s="635" t="s">
        <v>228</v>
      </c>
      <c r="L193" s="420" t="s">
        <v>256</v>
      </c>
      <c r="M193" s="316">
        <f t="shared" si="3"/>
        <v>380</v>
      </c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585">
        <v>19308.0</v>
      </c>
      <c r="B194" s="426" t="s">
        <v>11929</v>
      </c>
      <c r="C194" s="426">
        <v>2006.0</v>
      </c>
      <c r="D194" s="500">
        <v>38979.0</v>
      </c>
      <c r="E194" s="426" t="s">
        <v>11930</v>
      </c>
      <c r="F194" s="426" t="s">
        <v>11931</v>
      </c>
      <c r="G194" s="426" t="s">
        <v>650</v>
      </c>
      <c r="H194" s="426" t="s">
        <v>5180</v>
      </c>
      <c r="I194" s="500">
        <v>39813.0</v>
      </c>
      <c r="J194" s="428">
        <v>12.0</v>
      </c>
      <c r="K194" s="635" t="s">
        <v>228</v>
      </c>
      <c r="L194" s="428" t="s">
        <v>256</v>
      </c>
      <c r="M194" s="319">
        <f t="shared" si="3"/>
        <v>834</v>
      </c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198"/>
      <c r="B195" s="198"/>
      <c r="C195" s="198"/>
      <c r="D195" s="615"/>
      <c r="E195" s="198"/>
      <c r="F195" s="198"/>
      <c r="G195" s="198"/>
      <c r="H195" s="198"/>
      <c r="I195" s="615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hidden="1" customHeight="1">
      <c r="A196" s="198"/>
      <c r="B196" s="198"/>
      <c r="C196" s="198"/>
      <c r="D196" s="615"/>
      <c r="E196" s="198"/>
      <c r="F196" s="198"/>
      <c r="G196" s="198"/>
      <c r="H196" s="198"/>
      <c r="I196" s="615"/>
      <c r="J196" s="198"/>
      <c r="K196" s="198"/>
      <c r="L196" s="198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hidden="1" customHeight="1">
      <c r="A197" s="198"/>
      <c r="B197" s="198"/>
      <c r="C197" s="198"/>
      <c r="D197" s="615"/>
      <c r="E197" s="198"/>
      <c r="F197" s="198"/>
      <c r="G197" s="198"/>
      <c r="H197" s="198"/>
      <c r="I197" s="615"/>
      <c r="J197" s="198"/>
      <c r="K197" s="198"/>
      <c r="L197" s="198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hidden="1" customHeight="1">
      <c r="A198" s="198"/>
      <c r="B198" s="198"/>
      <c r="C198" s="198"/>
      <c r="D198" s="615"/>
      <c r="E198" s="198"/>
      <c r="F198" s="198"/>
      <c r="G198" s="198"/>
      <c r="H198" s="198"/>
      <c r="I198" s="615"/>
      <c r="J198" s="198"/>
      <c r="K198" s="198"/>
      <c r="L198" s="198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hidden="1" customHeight="1">
      <c r="A199" s="198"/>
      <c r="B199" s="198"/>
      <c r="C199" s="198"/>
      <c r="D199" s="615"/>
      <c r="E199" s="198"/>
      <c r="F199" s="198"/>
      <c r="G199" s="198"/>
      <c r="H199" s="198"/>
      <c r="I199" s="615"/>
      <c r="J199" s="198"/>
      <c r="K199" s="198"/>
      <c r="L199" s="198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hidden="1" customHeight="1">
      <c r="A200" s="660"/>
      <c r="B200" s="660"/>
      <c r="C200" s="660"/>
      <c r="D200" s="661"/>
      <c r="E200" s="662"/>
      <c r="F200" s="663"/>
      <c r="G200" s="662"/>
      <c r="H200" s="662"/>
      <c r="I200" s="669"/>
      <c r="J200" s="670"/>
      <c r="K200" s="670"/>
      <c r="L200" s="670"/>
      <c r="M200" s="671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hidden="1" customHeight="1">
      <c r="A201" s="660"/>
      <c r="B201" s="660"/>
      <c r="C201" s="660"/>
      <c r="D201" s="661"/>
      <c r="E201" s="662"/>
      <c r="F201" s="663"/>
      <c r="G201" s="662"/>
      <c r="H201" s="662"/>
      <c r="I201" s="669"/>
      <c r="J201" s="670"/>
      <c r="K201" s="670"/>
      <c r="L201" s="670"/>
      <c r="M201" s="671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hidden="1" customHeight="1">
      <c r="A202" s="660"/>
      <c r="B202" s="660"/>
      <c r="C202" s="660"/>
      <c r="D202" s="661"/>
      <c r="E202" s="662"/>
      <c r="F202" s="663"/>
      <c r="G202" s="662"/>
      <c r="H202" s="662"/>
      <c r="I202" s="669"/>
      <c r="J202" s="670"/>
      <c r="K202" s="670"/>
      <c r="L202" s="670"/>
      <c r="M202" s="671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hidden="1" customHeight="1">
      <c r="A203" s="660"/>
      <c r="B203" s="660"/>
      <c r="C203" s="660"/>
      <c r="D203" s="661"/>
      <c r="E203" s="662"/>
      <c r="F203" s="663"/>
      <c r="G203" s="662"/>
      <c r="H203" s="662"/>
      <c r="I203" s="669"/>
      <c r="J203" s="670"/>
      <c r="K203" s="670"/>
      <c r="L203" s="670"/>
      <c r="M203" s="671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hidden="1" customHeight="1">
      <c r="A204" s="660"/>
      <c r="B204" s="660"/>
      <c r="C204" s="660"/>
      <c r="D204" s="661"/>
      <c r="E204" s="662"/>
      <c r="F204" s="662"/>
      <c r="G204" s="662"/>
      <c r="H204" s="662"/>
      <c r="I204" s="669"/>
      <c r="J204" s="670"/>
      <c r="K204" s="670"/>
      <c r="L204" s="670"/>
      <c r="M204" s="671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hidden="1" customHeight="1">
      <c r="A205" s="660"/>
      <c r="B205" s="660"/>
      <c r="C205" s="660"/>
      <c r="D205" s="661"/>
      <c r="E205" s="662"/>
      <c r="F205" s="662"/>
      <c r="G205" s="662"/>
      <c r="H205" s="662"/>
      <c r="I205" s="669"/>
      <c r="J205" s="670"/>
      <c r="K205" s="670"/>
      <c r="L205" s="670"/>
      <c r="M205" s="671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hidden="1" customHeight="1">
      <c r="A206" s="660"/>
      <c r="B206" s="660"/>
      <c r="C206" s="660"/>
      <c r="D206" s="661"/>
      <c r="E206" s="662"/>
      <c r="F206" s="662"/>
      <c r="G206" s="662"/>
      <c r="H206" s="662"/>
      <c r="I206" s="669"/>
      <c r="J206" s="670"/>
      <c r="K206" s="670"/>
      <c r="L206" s="670"/>
      <c r="M206" s="671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hidden="1" customHeight="1">
      <c r="A207" s="660"/>
      <c r="B207" s="660"/>
      <c r="C207" s="660"/>
      <c r="D207" s="661"/>
      <c r="E207" s="662"/>
      <c r="F207" s="662"/>
      <c r="G207" s="662"/>
      <c r="H207" s="662"/>
      <c r="I207" s="669"/>
      <c r="J207" s="670"/>
      <c r="K207" s="670"/>
      <c r="L207" s="670"/>
      <c r="M207" s="671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hidden="1" customHeight="1">
      <c r="A208" s="660"/>
      <c r="B208" s="660"/>
      <c r="C208" s="660"/>
      <c r="D208" s="661"/>
      <c r="E208" s="662"/>
      <c r="F208" s="662"/>
      <c r="G208" s="662"/>
      <c r="H208" s="662"/>
      <c r="I208" s="669"/>
      <c r="J208" s="670"/>
      <c r="K208" s="670"/>
      <c r="L208" s="670"/>
      <c r="M208" s="671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hidden="1" customHeight="1">
      <c r="A209" s="613"/>
      <c r="B209" s="613"/>
      <c r="C209" s="613"/>
      <c r="D209" s="615"/>
      <c r="E209" s="198"/>
      <c r="F209" s="198"/>
      <c r="G209" s="198"/>
      <c r="H209" s="198"/>
      <c r="I209" s="672"/>
      <c r="J209" s="673"/>
      <c r="K209" s="673"/>
      <c r="L209" s="673"/>
      <c r="M209" s="674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hidden="1" customHeight="1">
      <c r="A210" s="613"/>
      <c r="B210" s="613"/>
      <c r="C210" s="613"/>
      <c r="D210" s="615"/>
      <c r="E210" s="198"/>
      <c r="F210" s="198"/>
      <c r="G210" s="198"/>
      <c r="H210" s="198"/>
      <c r="I210" s="672"/>
      <c r="J210" s="673"/>
      <c r="K210" s="673"/>
      <c r="L210" s="673"/>
      <c r="M210" s="674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hidden="1" customHeight="1">
      <c r="A211" s="613"/>
      <c r="B211" s="613"/>
      <c r="C211" s="613"/>
      <c r="D211" s="615"/>
      <c r="E211" s="198"/>
      <c r="F211" s="198"/>
      <c r="G211" s="198"/>
      <c r="H211" s="198"/>
      <c r="I211" s="672"/>
      <c r="J211" s="673"/>
      <c r="K211" s="673"/>
      <c r="L211" s="673"/>
      <c r="M211" s="674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hidden="1" customHeight="1">
      <c r="A212" s="613"/>
      <c r="B212" s="613"/>
      <c r="C212" s="613"/>
      <c r="D212" s="615"/>
      <c r="E212" s="198"/>
      <c r="F212" s="198"/>
      <c r="G212" s="198"/>
      <c r="H212" s="198"/>
      <c r="I212" s="672"/>
      <c r="J212" s="673"/>
      <c r="K212" s="673"/>
      <c r="L212" s="673"/>
      <c r="M212" s="674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hidden="1" customHeight="1">
      <c r="A213" s="613"/>
      <c r="B213" s="613"/>
      <c r="C213" s="613"/>
      <c r="D213" s="615"/>
      <c r="E213" s="198"/>
      <c r="F213" s="198"/>
      <c r="G213" s="198"/>
      <c r="H213" s="198"/>
      <c r="I213" s="672"/>
      <c r="J213" s="673"/>
      <c r="K213" s="673"/>
      <c r="L213" s="673"/>
      <c r="M213" s="674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hidden="1" customHeight="1">
      <c r="A214" s="613"/>
      <c r="B214" s="613"/>
      <c r="C214" s="613"/>
      <c r="D214" s="615"/>
      <c r="E214" s="198"/>
      <c r="F214" s="198"/>
      <c r="G214" s="198"/>
      <c r="H214" s="198"/>
      <c r="I214" s="672"/>
      <c r="J214" s="673"/>
      <c r="K214" s="673"/>
      <c r="L214" s="673"/>
      <c r="M214" s="674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hidden="1" customHeight="1">
      <c r="A215" s="613"/>
      <c r="B215" s="613"/>
      <c r="C215" s="613"/>
      <c r="D215" s="615"/>
      <c r="E215" s="198"/>
      <c r="F215" s="198"/>
      <c r="G215" s="198"/>
      <c r="H215" s="198"/>
      <c r="I215" s="672"/>
      <c r="J215" s="673"/>
      <c r="K215" s="673"/>
      <c r="L215" s="673"/>
      <c r="M215" s="674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hidden="1" customHeight="1">
      <c r="A216" s="613"/>
      <c r="B216" s="613"/>
      <c r="C216" s="613"/>
      <c r="D216" s="615"/>
      <c r="E216" s="198"/>
      <c r="F216" s="198"/>
      <c r="G216" s="198"/>
      <c r="H216" s="198"/>
      <c r="I216" s="672"/>
      <c r="J216" s="673"/>
      <c r="K216" s="673"/>
      <c r="L216" s="673"/>
      <c r="M216" s="674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hidden="1" customHeight="1">
      <c r="A217" s="613"/>
      <c r="B217" s="613"/>
      <c r="C217" s="613"/>
      <c r="D217" s="615"/>
      <c r="E217" s="198"/>
      <c r="F217" s="198"/>
      <c r="G217" s="198"/>
      <c r="H217" s="198"/>
      <c r="I217" s="672"/>
      <c r="J217" s="673"/>
      <c r="K217" s="673"/>
      <c r="L217" s="673"/>
      <c r="M217" s="674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hidden="1" customHeight="1">
      <c r="A218" s="613"/>
      <c r="B218" s="613"/>
      <c r="C218" s="613"/>
      <c r="D218" s="615"/>
      <c r="E218" s="198"/>
      <c r="F218" s="198"/>
      <c r="G218" s="198"/>
      <c r="H218" s="198"/>
      <c r="I218" s="672"/>
      <c r="J218" s="673"/>
      <c r="K218" s="673"/>
      <c r="L218" s="673"/>
      <c r="M218" s="674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hidden="1" customHeight="1">
      <c r="A219" s="613"/>
      <c r="B219" s="613"/>
      <c r="C219" s="613"/>
      <c r="D219" s="615"/>
      <c r="E219" s="198"/>
      <c r="F219" s="198"/>
      <c r="G219" s="198"/>
      <c r="H219" s="198"/>
      <c r="I219" s="672"/>
      <c r="J219" s="673"/>
      <c r="K219" s="673"/>
      <c r="L219" s="673"/>
      <c r="M219" s="674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hidden="1" customHeight="1">
      <c r="A220" s="613"/>
      <c r="B220" s="613"/>
      <c r="C220" s="613"/>
      <c r="D220" s="615"/>
      <c r="E220" s="198"/>
      <c r="F220" s="198"/>
      <c r="G220" s="198"/>
      <c r="H220" s="198"/>
      <c r="I220" s="672"/>
      <c r="J220" s="673"/>
      <c r="K220" s="673"/>
      <c r="L220" s="673"/>
      <c r="M220" s="674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hidden="1" customHeight="1">
      <c r="A221" s="613"/>
      <c r="B221" s="613"/>
      <c r="C221" s="613"/>
      <c r="D221" s="615"/>
      <c r="E221" s="198"/>
      <c r="F221" s="198"/>
      <c r="G221" s="198"/>
      <c r="H221" s="198"/>
      <c r="I221" s="672"/>
      <c r="J221" s="673"/>
      <c r="K221" s="673"/>
      <c r="L221" s="673"/>
      <c r="M221" s="674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hidden="1" customHeight="1">
      <c r="A222" s="613"/>
      <c r="B222" s="613"/>
      <c r="C222" s="613"/>
      <c r="D222" s="615"/>
      <c r="E222" s="198"/>
      <c r="F222" s="198"/>
      <c r="G222" s="198"/>
      <c r="H222" s="198"/>
      <c r="I222" s="672"/>
      <c r="J222" s="673"/>
      <c r="K222" s="673"/>
      <c r="L222" s="673"/>
      <c r="M222" s="674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hidden="1" customHeight="1">
      <c r="A223" s="613"/>
      <c r="B223" s="613"/>
      <c r="C223" s="613"/>
      <c r="D223" s="615"/>
      <c r="E223" s="198"/>
      <c r="F223" s="198"/>
      <c r="G223" s="198"/>
      <c r="H223" s="198"/>
      <c r="I223" s="672"/>
      <c r="J223" s="673"/>
      <c r="K223" s="673"/>
      <c r="L223" s="673"/>
      <c r="M223" s="674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hidden="1" customHeight="1">
      <c r="A224" s="613"/>
      <c r="B224" s="613"/>
      <c r="C224" s="613"/>
      <c r="D224" s="615"/>
      <c r="E224" s="198"/>
      <c r="F224" s="198"/>
      <c r="G224" s="198"/>
      <c r="H224" s="198"/>
      <c r="I224" s="672"/>
      <c r="J224" s="673"/>
      <c r="K224" s="673"/>
      <c r="L224" s="673"/>
      <c r="M224" s="674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hidden="1" customHeight="1">
      <c r="A225" s="613"/>
      <c r="B225" s="613"/>
      <c r="C225" s="613"/>
      <c r="D225" s="615"/>
      <c r="E225" s="198"/>
      <c r="F225" s="198"/>
      <c r="G225" s="198"/>
      <c r="H225" s="198"/>
      <c r="I225" s="672"/>
      <c r="J225" s="673"/>
      <c r="K225" s="673"/>
      <c r="L225" s="673"/>
      <c r="M225" s="674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hidden="1" customHeight="1">
      <c r="A226" s="613"/>
      <c r="B226" s="613"/>
      <c r="C226" s="613"/>
      <c r="D226" s="615"/>
      <c r="E226" s="198"/>
      <c r="F226" s="198"/>
      <c r="G226" s="198"/>
      <c r="H226" s="198"/>
      <c r="I226" s="672"/>
      <c r="J226" s="673"/>
      <c r="K226" s="673"/>
      <c r="L226" s="673"/>
      <c r="M226" s="674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72"/>
      <c r="J227" s="673"/>
      <c r="K227" s="673"/>
      <c r="L227" s="673"/>
      <c r="M227" s="674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72"/>
      <c r="J228" s="673"/>
      <c r="K228" s="673"/>
      <c r="L228" s="673"/>
      <c r="M228" s="674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72"/>
      <c r="J229" s="673"/>
      <c r="K229" s="673"/>
      <c r="L229" s="673"/>
      <c r="M229" s="674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72"/>
      <c r="J230" s="673"/>
      <c r="K230" s="673"/>
      <c r="L230" s="673"/>
      <c r="M230" s="674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72"/>
      <c r="J231" s="673"/>
      <c r="K231" s="673"/>
      <c r="L231" s="673"/>
      <c r="M231" s="674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72"/>
      <c r="J232" s="673"/>
      <c r="K232" s="673"/>
      <c r="L232" s="673"/>
      <c r="M232" s="674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72"/>
      <c r="J233" s="673"/>
      <c r="K233" s="673"/>
      <c r="L233" s="673"/>
      <c r="M233" s="674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72"/>
      <c r="J234" s="673"/>
      <c r="K234" s="673"/>
      <c r="L234" s="673"/>
      <c r="M234" s="674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72"/>
      <c r="J235" s="673"/>
      <c r="K235" s="673"/>
      <c r="L235" s="673"/>
      <c r="M235" s="674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72"/>
      <c r="J236" s="673"/>
      <c r="K236" s="673"/>
      <c r="L236" s="673"/>
      <c r="M236" s="674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72"/>
      <c r="J237" s="673"/>
      <c r="K237" s="673"/>
      <c r="L237" s="673"/>
      <c r="M237" s="674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72"/>
      <c r="J238" s="673"/>
      <c r="K238" s="673"/>
      <c r="L238" s="673"/>
      <c r="M238" s="674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72"/>
      <c r="J239" s="673"/>
      <c r="K239" s="673"/>
      <c r="L239" s="673"/>
      <c r="M239" s="674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72"/>
      <c r="J240" s="673"/>
      <c r="K240" s="673"/>
      <c r="L240" s="673"/>
      <c r="M240" s="674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72"/>
      <c r="J241" s="673"/>
      <c r="K241" s="673"/>
      <c r="L241" s="673"/>
      <c r="M241" s="674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72"/>
      <c r="J242" s="673"/>
      <c r="K242" s="673"/>
      <c r="L242" s="673"/>
      <c r="M242" s="674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72"/>
      <c r="J243" s="673"/>
      <c r="K243" s="673"/>
      <c r="L243" s="673"/>
      <c r="M243" s="674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72"/>
      <c r="J244" s="673"/>
      <c r="K244" s="673"/>
      <c r="L244" s="673"/>
      <c r="M244" s="674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72"/>
      <c r="J245" s="673"/>
      <c r="K245" s="673"/>
      <c r="L245" s="673"/>
      <c r="M245" s="674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72"/>
      <c r="J246" s="673"/>
      <c r="K246" s="673"/>
      <c r="L246" s="673"/>
      <c r="M246" s="674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72"/>
      <c r="J247" s="673"/>
      <c r="K247" s="673"/>
      <c r="L247" s="673"/>
      <c r="M247" s="674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72"/>
      <c r="J248" s="673"/>
      <c r="K248" s="673"/>
      <c r="L248" s="673"/>
      <c r="M248" s="674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72"/>
      <c r="J249" s="673"/>
      <c r="K249" s="673"/>
      <c r="L249" s="673"/>
      <c r="M249" s="674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72"/>
      <c r="J250" s="673"/>
      <c r="K250" s="673"/>
      <c r="L250" s="673"/>
      <c r="M250" s="674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72"/>
      <c r="J251" s="673"/>
      <c r="K251" s="673"/>
      <c r="L251" s="673"/>
      <c r="M251" s="674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72"/>
      <c r="J252" s="673"/>
      <c r="K252" s="673"/>
      <c r="L252" s="673"/>
      <c r="M252" s="674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72"/>
      <c r="J253" s="673"/>
      <c r="K253" s="673"/>
      <c r="L253" s="673"/>
      <c r="M253" s="674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72"/>
      <c r="J254" s="673"/>
      <c r="K254" s="673"/>
      <c r="L254" s="673"/>
      <c r="M254" s="674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72"/>
      <c r="J255" s="673"/>
      <c r="K255" s="673"/>
      <c r="L255" s="673"/>
      <c r="M255" s="674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72"/>
      <c r="J256" s="673"/>
      <c r="K256" s="673"/>
      <c r="L256" s="673"/>
      <c r="M256" s="674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72"/>
      <c r="J257" s="673"/>
      <c r="K257" s="673"/>
      <c r="L257" s="673"/>
      <c r="M257" s="674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72"/>
      <c r="J258" s="673"/>
      <c r="K258" s="673"/>
      <c r="L258" s="673"/>
      <c r="M258" s="674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72"/>
      <c r="J259" s="673"/>
      <c r="K259" s="673"/>
      <c r="L259" s="673"/>
      <c r="M259" s="674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72"/>
      <c r="J260" s="673"/>
      <c r="K260" s="673"/>
      <c r="L260" s="673"/>
      <c r="M260" s="674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72"/>
      <c r="J261" s="673"/>
      <c r="K261" s="673"/>
      <c r="L261" s="673"/>
      <c r="M261" s="674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72"/>
      <c r="J262" s="673"/>
      <c r="K262" s="673"/>
      <c r="L262" s="673"/>
      <c r="M262" s="674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72"/>
      <c r="J263" s="673"/>
      <c r="K263" s="673"/>
      <c r="L263" s="673"/>
      <c r="M263" s="674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72"/>
      <c r="J264" s="673"/>
      <c r="K264" s="673"/>
      <c r="L264" s="673"/>
      <c r="M264" s="674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72"/>
      <c r="J265" s="673"/>
      <c r="K265" s="673"/>
      <c r="L265" s="673"/>
      <c r="M265" s="674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72"/>
      <c r="J266" s="673"/>
      <c r="K266" s="673"/>
      <c r="L266" s="673"/>
      <c r="M266" s="674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72"/>
      <c r="J267" s="673"/>
      <c r="K267" s="673"/>
      <c r="L267" s="673"/>
      <c r="M267" s="674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72"/>
      <c r="J268" s="673"/>
      <c r="K268" s="673"/>
      <c r="L268" s="673"/>
      <c r="M268" s="674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72"/>
      <c r="J269" s="673"/>
      <c r="K269" s="673"/>
      <c r="L269" s="673"/>
      <c r="M269" s="674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72"/>
      <c r="J270" s="673"/>
      <c r="K270" s="673"/>
      <c r="L270" s="673"/>
      <c r="M270" s="674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72"/>
      <c r="J271" s="673"/>
      <c r="K271" s="673"/>
      <c r="L271" s="673"/>
      <c r="M271" s="674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72"/>
      <c r="J272" s="673"/>
      <c r="K272" s="673"/>
      <c r="L272" s="673"/>
      <c r="M272" s="674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72"/>
      <c r="J273" s="673"/>
      <c r="K273" s="673"/>
      <c r="L273" s="673"/>
      <c r="M273" s="674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72"/>
      <c r="J274" s="673"/>
      <c r="K274" s="673"/>
      <c r="L274" s="673"/>
      <c r="M274" s="674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72"/>
      <c r="J275" s="673"/>
      <c r="K275" s="673"/>
      <c r="L275" s="673"/>
      <c r="M275" s="674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72"/>
      <c r="J276" s="673"/>
      <c r="K276" s="673"/>
      <c r="L276" s="673"/>
      <c r="M276" s="674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72"/>
      <c r="J277" s="673"/>
      <c r="K277" s="673"/>
      <c r="L277" s="673"/>
      <c r="M277" s="674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72"/>
      <c r="J278" s="673"/>
      <c r="K278" s="673"/>
      <c r="L278" s="673"/>
      <c r="M278" s="674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72"/>
      <c r="J279" s="673"/>
      <c r="K279" s="673"/>
      <c r="L279" s="673"/>
      <c r="M279" s="674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72"/>
      <c r="J280" s="673"/>
      <c r="K280" s="673"/>
      <c r="L280" s="673"/>
      <c r="M280" s="674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72"/>
      <c r="J281" s="673"/>
      <c r="K281" s="673"/>
      <c r="L281" s="673"/>
      <c r="M281" s="674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72"/>
      <c r="J282" s="673"/>
      <c r="K282" s="673"/>
      <c r="L282" s="673"/>
      <c r="M282" s="674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72"/>
      <c r="J283" s="673"/>
      <c r="K283" s="673"/>
      <c r="L283" s="673"/>
      <c r="M283" s="674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72"/>
      <c r="J284" s="673"/>
      <c r="K284" s="673"/>
      <c r="L284" s="673"/>
      <c r="M284" s="674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72"/>
      <c r="J285" s="673"/>
      <c r="K285" s="673"/>
      <c r="L285" s="673"/>
      <c r="M285" s="674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72"/>
      <c r="J286" s="673"/>
      <c r="K286" s="673"/>
      <c r="L286" s="673"/>
      <c r="M286" s="674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72"/>
      <c r="J287" s="673"/>
      <c r="K287" s="673"/>
      <c r="L287" s="673"/>
      <c r="M287" s="674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72"/>
      <c r="J288" s="673"/>
      <c r="K288" s="673"/>
      <c r="L288" s="673"/>
      <c r="M288" s="674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72"/>
      <c r="J289" s="673"/>
      <c r="K289" s="673"/>
      <c r="L289" s="673"/>
      <c r="M289" s="674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72"/>
      <c r="J290" s="673"/>
      <c r="K290" s="673"/>
      <c r="L290" s="673"/>
      <c r="M290" s="674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72"/>
      <c r="J291" s="673"/>
      <c r="K291" s="673"/>
      <c r="L291" s="673"/>
      <c r="M291" s="674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72"/>
      <c r="J292" s="673"/>
      <c r="K292" s="673"/>
      <c r="L292" s="673"/>
      <c r="M292" s="674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72"/>
      <c r="J293" s="673"/>
      <c r="K293" s="673"/>
      <c r="L293" s="673"/>
      <c r="M293" s="674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72"/>
      <c r="J294" s="673"/>
      <c r="K294" s="673"/>
      <c r="L294" s="673"/>
      <c r="M294" s="674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72"/>
      <c r="J295" s="673"/>
      <c r="K295" s="673"/>
      <c r="L295" s="673"/>
      <c r="M295" s="674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72"/>
      <c r="J296" s="673"/>
      <c r="K296" s="673"/>
      <c r="L296" s="673"/>
      <c r="M296" s="674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72"/>
      <c r="J297" s="673"/>
      <c r="K297" s="673"/>
      <c r="L297" s="673"/>
      <c r="M297" s="674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72"/>
      <c r="J298" s="673"/>
      <c r="K298" s="673"/>
      <c r="L298" s="673"/>
      <c r="M298" s="674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72"/>
      <c r="J299" s="673"/>
      <c r="K299" s="673"/>
      <c r="L299" s="673"/>
      <c r="M299" s="674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72"/>
      <c r="J300" s="673"/>
      <c r="K300" s="673"/>
      <c r="L300" s="673"/>
      <c r="M300" s="674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72"/>
      <c r="J301" s="673"/>
      <c r="K301" s="673"/>
      <c r="L301" s="673"/>
      <c r="M301" s="674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72"/>
      <c r="J302" s="673"/>
      <c r="K302" s="673"/>
      <c r="L302" s="673"/>
      <c r="M302" s="674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72"/>
      <c r="J303" s="673"/>
      <c r="K303" s="673"/>
      <c r="L303" s="673"/>
      <c r="M303" s="674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72"/>
      <c r="J304" s="673"/>
      <c r="K304" s="673"/>
      <c r="L304" s="673"/>
      <c r="M304" s="674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72"/>
      <c r="J305" s="673"/>
      <c r="K305" s="673"/>
      <c r="L305" s="673"/>
      <c r="M305" s="674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72"/>
      <c r="J306" s="673"/>
      <c r="K306" s="673"/>
      <c r="L306" s="673"/>
      <c r="M306" s="674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72"/>
      <c r="J307" s="673"/>
      <c r="K307" s="673"/>
      <c r="L307" s="673"/>
      <c r="M307" s="674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72"/>
      <c r="J308" s="673"/>
      <c r="K308" s="673"/>
      <c r="L308" s="673"/>
      <c r="M308" s="674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72"/>
      <c r="J309" s="673"/>
      <c r="K309" s="673"/>
      <c r="L309" s="673"/>
      <c r="M309" s="674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72"/>
      <c r="J310" s="673"/>
      <c r="K310" s="673"/>
      <c r="L310" s="673"/>
      <c r="M310" s="674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72"/>
      <c r="J311" s="673"/>
      <c r="K311" s="673"/>
      <c r="L311" s="673"/>
      <c r="M311" s="674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72"/>
      <c r="J312" s="673"/>
      <c r="K312" s="673"/>
      <c r="L312" s="673"/>
      <c r="M312" s="674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72"/>
      <c r="J313" s="673"/>
      <c r="K313" s="673"/>
      <c r="L313" s="673"/>
      <c r="M313" s="674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72"/>
      <c r="J314" s="673"/>
      <c r="K314" s="673"/>
      <c r="L314" s="673"/>
      <c r="M314" s="674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72"/>
      <c r="J315" s="673"/>
      <c r="K315" s="673"/>
      <c r="L315" s="673"/>
      <c r="M315" s="674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72"/>
      <c r="J316" s="673"/>
      <c r="K316" s="673"/>
      <c r="L316" s="673"/>
      <c r="M316" s="674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72"/>
      <c r="J317" s="673"/>
      <c r="K317" s="673"/>
      <c r="L317" s="673"/>
      <c r="M317" s="674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72"/>
      <c r="J318" s="673"/>
      <c r="K318" s="673"/>
      <c r="L318" s="673"/>
      <c r="M318" s="674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72"/>
      <c r="J319" s="673"/>
      <c r="K319" s="673"/>
      <c r="L319" s="673"/>
      <c r="M319" s="674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72"/>
      <c r="J320" s="673"/>
      <c r="K320" s="673"/>
      <c r="L320" s="673"/>
      <c r="M320" s="674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72"/>
      <c r="J321" s="673"/>
      <c r="K321" s="673"/>
      <c r="L321" s="673"/>
      <c r="M321" s="674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72"/>
      <c r="J322" s="673"/>
      <c r="K322" s="673"/>
      <c r="L322" s="673"/>
      <c r="M322" s="674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72"/>
      <c r="J323" s="673"/>
      <c r="K323" s="673"/>
      <c r="L323" s="673"/>
      <c r="M323" s="674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72"/>
      <c r="J324" s="673"/>
      <c r="K324" s="673"/>
      <c r="L324" s="673"/>
      <c r="M324" s="674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72"/>
      <c r="J325" s="673"/>
      <c r="K325" s="673"/>
      <c r="L325" s="673"/>
      <c r="M325" s="674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72"/>
      <c r="J326" s="673"/>
      <c r="K326" s="673"/>
      <c r="L326" s="673"/>
      <c r="M326" s="674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72"/>
      <c r="J327" s="673"/>
      <c r="K327" s="673"/>
      <c r="L327" s="673"/>
      <c r="M327" s="674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72"/>
      <c r="J328" s="673"/>
      <c r="K328" s="673"/>
      <c r="L328" s="673"/>
      <c r="M328" s="674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72"/>
      <c r="J329" s="673"/>
      <c r="K329" s="673"/>
      <c r="L329" s="673"/>
      <c r="M329" s="674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72"/>
      <c r="J330" s="673"/>
      <c r="K330" s="673"/>
      <c r="L330" s="673"/>
      <c r="M330" s="674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72"/>
      <c r="J331" s="673"/>
      <c r="K331" s="673"/>
      <c r="L331" s="673"/>
      <c r="M331" s="674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72"/>
      <c r="J332" s="673"/>
      <c r="K332" s="673"/>
      <c r="L332" s="673"/>
      <c r="M332" s="674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72"/>
      <c r="J333" s="673"/>
      <c r="K333" s="673"/>
      <c r="L333" s="673"/>
      <c r="M333" s="674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72"/>
      <c r="J334" s="673"/>
      <c r="K334" s="673"/>
      <c r="L334" s="673"/>
      <c r="M334" s="674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72"/>
      <c r="J335" s="673"/>
      <c r="K335" s="673"/>
      <c r="L335" s="673"/>
      <c r="M335" s="674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72"/>
      <c r="J336" s="673"/>
      <c r="K336" s="673"/>
      <c r="L336" s="673"/>
      <c r="M336" s="674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72"/>
      <c r="J337" s="673"/>
      <c r="K337" s="673"/>
      <c r="L337" s="673"/>
      <c r="M337" s="674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72"/>
      <c r="J338" s="673"/>
      <c r="K338" s="673"/>
      <c r="L338" s="673"/>
      <c r="M338" s="674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72"/>
      <c r="J339" s="673"/>
      <c r="K339" s="673"/>
      <c r="L339" s="673"/>
      <c r="M339" s="674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72"/>
      <c r="J340" s="673"/>
      <c r="K340" s="673"/>
      <c r="L340" s="673"/>
      <c r="M340" s="674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72"/>
      <c r="J341" s="673"/>
      <c r="K341" s="673"/>
      <c r="L341" s="673"/>
      <c r="M341" s="674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72"/>
      <c r="J342" s="673"/>
      <c r="K342" s="673"/>
      <c r="L342" s="673"/>
      <c r="M342" s="674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72"/>
      <c r="J343" s="673"/>
      <c r="K343" s="673"/>
      <c r="L343" s="673"/>
      <c r="M343" s="674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72"/>
      <c r="J344" s="673"/>
      <c r="K344" s="673"/>
      <c r="L344" s="673"/>
      <c r="M344" s="674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72"/>
      <c r="J345" s="673"/>
      <c r="K345" s="673"/>
      <c r="L345" s="673"/>
      <c r="M345" s="674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72"/>
      <c r="J346" s="673"/>
      <c r="K346" s="673"/>
      <c r="L346" s="673"/>
      <c r="M346" s="674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72"/>
      <c r="J347" s="673"/>
      <c r="K347" s="673"/>
      <c r="L347" s="673"/>
      <c r="M347" s="674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72"/>
      <c r="J348" s="673"/>
      <c r="K348" s="673"/>
      <c r="L348" s="673"/>
      <c r="M348" s="674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72"/>
      <c r="J349" s="673"/>
      <c r="K349" s="673"/>
      <c r="L349" s="673"/>
      <c r="M349" s="674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72"/>
      <c r="J350" s="673"/>
      <c r="K350" s="673"/>
      <c r="L350" s="673"/>
      <c r="M350" s="674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72"/>
      <c r="J351" s="673"/>
      <c r="K351" s="673"/>
      <c r="L351" s="673"/>
      <c r="M351" s="674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72"/>
      <c r="J352" s="673"/>
      <c r="K352" s="673"/>
      <c r="L352" s="673"/>
      <c r="M352" s="674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72"/>
      <c r="J353" s="673"/>
      <c r="K353" s="673"/>
      <c r="L353" s="673"/>
      <c r="M353" s="674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72"/>
      <c r="J354" s="673"/>
      <c r="K354" s="673"/>
      <c r="L354" s="673"/>
      <c r="M354" s="674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72"/>
      <c r="J355" s="673"/>
      <c r="K355" s="673"/>
      <c r="L355" s="673"/>
      <c r="M355" s="674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72"/>
      <c r="J356" s="673"/>
      <c r="K356" s="673"/>
      <c r="L356" s="673"/>
      <c r="M356" s="674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72"/>
      <c r="J357" s="673"/>
      <c r="K357" s="673"/>
      <c r="L357" s="673"/>
      <c r="M357" s="674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72"/>
      <c r="J358" s="673"/>
      <c r="K358" s="673"/>
      <c r="L358" s="673"/>
      <c r="M358" s="674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72"/>
      <c r="J359" s="673"/>
      <c r="K359" s="673"/>
      <c r="L359" s="673"/>
      <c r="M359" s="674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72"/>
      <c r="J360" s="673"/>
      <c r="K360" s="673"/>
      <c r="L360" s="673"/>
      <c r="M360" s="674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72"/>
      <c r="J361" s="673"/>
      <c r="K361" s="673"/>
      <c r="L361" s="673"/>
      <c r="M361" s="674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72"/>
      <c r="J362" s="673"/>
      <c r="K362" s="673"/>
      <c r="L362" s="673"/>
      <c r="M362" s="674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72"/>
      <c r="J363" s="673"/>
      <c r="K363" s="673"/>
      <c r="L363" s="673"/>
      <c r="M363" s="674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72"/>
      <c r="J364" s="673"/>
      <c r="K364" s="673"/>
      <c r="L364" s="673"/>
      <c r="M364" s="674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72"/>
      <c r="J365" s="673"/>
      <c r="K365" s="673"/>
      <c r="L365" s="673"/>
      <c r="M365" s="674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72"/>
      <c r="J366" s="673"/>
      <c r="K366" s="673"/>
      <c r="L366" s="673"/>
      <c r="M366" s="674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72"/>
      <c r="J367" s="673"/>
      <c r="K367" s="673"/>
      <c r="L367" s="673"/>
      <c r="M367" s="674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72"/>
      <c r="J368" s="673"/>
      <c r="K368" s="673"/>
      <c r="L368" s="673"/>
      <c r="M368" s="674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72"/>
      <c r="J369" s="673"/>
      <c r="K369" s="673"/>
      <c r="L369" s="673"/>
      <c r="M369" s="674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72"/>
      <c r="J370" s="673"/>
      <c r="K370" s="673"/>
      <c r="L370" s="673"/>
      <c r="M370" s="674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72"/>
      <c r="J371" s="673"/>
      <c r="K371" s="673"/>
      <c r="L371" s="673"/>
      <c r="M371" s="674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72"/>
      <c r="J372" s="673"/>
      <c r="K372" s="673"/>
      <c r="L372" s="673"/>
      <c r="M372" s="674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72"/>
      <c r="J373" s="673"/>
      <c r="K373" s="673"/>
      <c r="L373" s="673"/>
      <c r="M373" s="674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72"/>
      <c r="J374" s="673"/>
      <c r="K374" s="673"/>
      <c r="L374" s="673"/>
      <c r="M374" s="674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72"/>
      <c r="J375" s="673"/>
      <c r="K375" s="673"/>
      <c r="L375" s="673"/>
      <c r="M375" s="674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72"/>
      <c r="J376" s="673"/>
      <c r="K376" s="673"/>
      <c r="L376" s="673"/>
      <c r="M376" s="674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72"/>
      <c r="J377" s="673"/>
      <c r="K377" s="673"/>
      <c r="L377" s="673"/>
      <c r="M377" s="674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72"/>
      <c r="J378" s="673"/>
      <c r="K378" s="673"/>
      <c r="L378" s="673"/>
      <c r="M378" s="674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72"/>
      <c r="J379" s="673"/>
      <c r="K379" s="673"/>
      <c r="L379" s="673"/>
      <c r="M379" s="674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72"/>
      <c r="J380" s="673"/>
      <c r="K380" s="673"/>
      <c r="L380" s="673"/>
      <c r="M380" s="674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72"/>
      <c r="J381" s="673"/>
      <c r="K381" s="673"/>
      <c r="L381" s="673"/>
      <c r="M381" s="674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72"/>
      <c r="J382" s="673"/>
      <c r="K382" s="673"/>
      <c r="L382" s="673"/>
      <c r="M382" s="674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72"/>
      <c r="J383" s="673"/>
      <c r="K383" s="673"/>
      <c r="L383" s="673"/>
      <c r="M383" s="674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72"/>
      <c r="J384" s="673"/>
      <c r="K384" s="673"/>
      <c r="L384" s="673"/>
      <c r="M384" s="674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72"/>
      <c r="J385" s="673"/>
      <c r="K385" s="673"/>
      <c r="L385" s="673"/>
      <c r="M385" s="674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72"/>
      <c r="J386" s="673"/>
      <c r="K386" s="673"/>
      <c r="L386" s="673"/>
      <c r="M386" s="674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72"/>
      <c r="J387" s="673"/>
      <c r="K387" s="673"/>
      <c r="L387" s="673"/>
      <c r="M387" s="674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72"/>
      <c r="J388" s="673"/>
      <c r="K388" s="673"/>
      <c r="L388" s="673"/>
      <c r="M388" s="674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72"/>
      <c r="J389" s="673"/>
      <c r="K389" s="673"/>
      <c r="L389" s="673"/>
      <c r="M389" s="674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72"/>
      <c r="J390" s="673"/>
      <c r="K390" s="673"/>
      <c r="L390" s="673"/>
      <c r="M390" s="674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72"/>
      <c r="J391" s="673"/>
      <c r="K391" s="673"/>
      <c r="L391" s="673"/>
      <c r="M391" s="674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72"/>
      <c r="J392" s="673"/>
      <c r="K392" s="673"/>
      <c r="L392" s="673"/>
      <c r="M392" s="674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72"/>
      <c r="J393" s="673"/>
      <c r="K393" s="673"/>
      <c r="L393" s="673"/>
      <c r="M393" s="674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72"/>
      <c r="J394" s="673"/>
      <c r="K394" s="673"/>
      <c r="L394" s="673"/>
      <c r="M394" s="674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72"/>
      <c r="J395" s="673"/>
      <c r="K395" s="673"/>
      <c r="L395" s="673"/>
      <c r="M395" s="674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72"/>
      <c r="J396" s="673"/>
      <c r="K396" s="673"/>
      <c r="L396" s="673"/>
      <c r="M396" s="674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72"/>
      <c r="J397" s="673"/>
      <c r="K397" s="673"/>
      <c r="L397" s="673"/>
      <c r="M397" s="674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72"/>
      <c r="J398" s="673"/>
      <c r="K398" s="673"/>
      <c r="L398" s="673"/>
      <c r="M398" s="674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72"/>
      <c r="J399" s="673"/>
      <c r="K399" s="673"/>
      <c r="L399" s="673"/>
      <c r="M399" s="674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72"/>
      <c r="J400" s="673"/>
      <c r="K400" s="673"/>
      <c r="L400" s="673"/>
      <c r="M400" s="674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72"/>
      <c r="J401" s="673"/>
      <c r="K401" s="673"/>
      <c r="L401" s="673"/>
      <c r="M401" s="674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72"/>
      <c r="J402" s="673"/>
      <c r="K402" s="673"/>
      <c r="L402" s="673"/>
      <c r="M402" s="674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72"/>
      <c r="J403" s="673"/>
      <c r="K403" s="673"/>
      <c r="L403" s="673"/>
      <c r="M403" s="674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72"/>
      <c r="J404" s="673"/>
      <c r="K404" s="673"/>
      <c r="L404" s="673"/>
      <c r="M404" s="674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72"/>
      <c r="J405" s="673"/>
      <c r="K405" s="673"/>
      <c r="L405" s="673"/>
      <c r="M405" s="674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72"/>
      <c r="J406" s="673"/>
      <c r="K406" s="673"/>
      <c r="L406" s="673"/>
      <c r="M406" s="674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72"/>
      <c r="J407" s="673"/>
      <c r="K407" s="673"/>
      <c r="L407" s="673"/>
      <c r="M407" s="674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72"/>
      <c r="J408" s="673"/>
      <c r="K408" s="673"/>
      <c r="L408" s="673"/>
      <c r="M408" s="674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72"/>
      <c r="J409" s="673"/>
      <c r="K409" s="673"/>
      <c r="L409" s="673"/>
      <c r="M409" s="674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72"/>
      <c r="J410" s="673"/>
      <c r="K410" s="673"/>
      <c r="L410" s="673"/>
      <c r="M410" s="674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72"/>
      <c r="J411" s="673"/>
      <c r="K411" s="673"/>
      <c r="L411" s="673"/>
      <c r="M411" s="674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72"/>
      <c r="J412" s="673"/>
      <c r="K412" s="673"/>
      <c r="L412" s="673"/>
      <c r="M412" s="674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72"/>
      <c r="J413" s="673"/>
      <c r="K413" s="673"/>
      <c r="L413" s="673"/>
      <c r="M413" s="674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72"/>
      <c r="J414" s="673"/>
      <c r="K414" s="673"/>
      <c r="L414" s="673"/>
      <c r="M414" s="674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72"/>
      <c r="J415" s="673"/>
      <c r="K415" s="673"/>
      <c r="L415" s="673"/>
      <c r="M415" s="674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72"/>
      <c r="J416" s="673"/>
      <c r="K416" s="673"/>
      <c r="L416" s="673"/>
      <c r="M416" s="674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72"/>
      <c r="J417" s="673"/>
      <c r="K417" s="673"/>
      <c r="L417" s="673"/>
      <c r="M417" s="674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72"/>
      <c r="J418" s="673"/>
      <c r="K418" s="673"/>
      <c r="L418" s="673"/>
      <c r="M418" s="674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72"/>
      <c r="J419" s="673"/>
      <c r="K419" s="673"/>
      <c r="L419" s="673"/>
      <c r="M419" s="674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72"/>
      <c r="J420" s="673"/>
      <c r="K420" s="673"/>
      <c r="L420" s="673"/>
      <c r="M420" s="674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72"/>
      <c r="J421" s="673"/>
      <c r="K421" s="673"/>
      <c r="L421" s="673"/>
      <c r="M421" s="674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72"/>
      <c r="J422" s="673"/>
      <c r="K422" s="673"/>
      <c r="L422" s="673"/>
      <c r="M422" s="674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72"/>
      <c r="J423" s="673"/>
      <c r="K423" s="673"/>
      <c r="L423" s="673"/>
      <c r="M423" s="674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72"/>
      <c r="J424" s="673"/>
      <c r="K424" s="673"/>
      <c r="L424" s="673"/>
      <c r="M424" s="674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72"/>
      <c r="J425" s="673"/>
      <c r="K425" s="673"/>
      <c r="L425" s="673"/>
      <c r="M425" s="674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72"/>
      <c r="J426" s="673"/>
      <c r="K426" s="673"/>
      <c r="L426" s="673"/>
      <c r="M426" s="674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72"/>
      <c r="J427" s="673"/>
      <c r="K427" s="673"/>
      <c r="L427" s="673"/>
      <c r="M427" s="674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72"/>
      <c r="J428" s="673"/>
      <c r="K428" s="673"/>
      <c r="L428" s="673"/>
      <c r="M428" s="674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72"/>
      <c r="J429" s="673"/>
      <c r="K429" s="673"/>
      <c r="L429" s="673"/>
      <c r="M429" s="674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72"/>
      <c r="J430" s="673"/>
      <c r="K430" s="673"/>
      <c r="L430" s="673"/>
      <c r="M430" s="674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72"/>
      <c r="J431" s="673"/>
      <c r="K431" s="673"/>
      <c r="L431" s="673"/>
      <c r="M431" s="674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72"/>
      <c r="J432" s="673"/>
      <c r="K432" s="673"/>
      <c r="L432" s="673"/>
      <c r="M432" s="674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72"/>
      <c r="J433" s="673"/>
      <c r="K433" s="673"/>
      <c r="L433" s="673"/>
      <c r="M433" s="674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72"/>
      <c r="J434" s="673"/>
      <c r="K434" s="673"/>
      <c r="L434" s="673"/>
      <c r="M434" s="674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72"/>
      <c r="J435" s="673"/>
      <c r="K435" s="673"/>
      <c r="L435" s="673"/>
      <c r="M435" s="674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72"/>
      <c r="J436" s="673"/>
      <c r="K436" s="673"/>
      <c r="L436" s="673"/>
      <c r="M436" s="674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72"/>
      <c r="J437" s="673"/>
      <c r="K437" s="673"/>
      <c r="L437" s="673"/>
      <c r="M437" s="674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72"/>
      <c r="J438" s="673"/>
      <c r="K438" s="673"/>
      <c r="L438" s="673"/>
      <c r="M438" s="674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72"/>
      <c r="J439" s="673"/>
      <c r="K439" s="673"/>
      <c r="L439" s="673"/>
      <c r="M439" s="674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72"/>
      <c r="J440" s="673"/>
      <c r="K440" s="673"/>
      <c r="L440" s="673"/>
      <c r="M440" s="674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72"/>
      <c r="J441" s="673"/>
      <c r="K441" s="673"/>
      <c r="L441" s="673"/>
      <c r="M441" s="674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72"/>
      <c r="J442" s="673"/>
      <c r="K442" s="673"/>
      <c r="L442" s="673"/>
      <c r="M442" s="674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72"/>
      <c r="J443" s="673"/>
      <c r="K443" s="673"/>
      <c r="L443" s="673"/>
      <c r="M443" s="674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72"/>
      <c r="J444" s="673"/>
      <c r="K444" s="673"/>
      <c r="L444" s="673"/>
      <c r="M444" s="674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72"/>
      <c r="J445" s="673"/>
      <c r="K445" s="673"/>
      <c r="L445" s="673"/>
      <c r="M445" s="674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72"/>
      <c r="J446" s="673"/>
      <c r="K446" s="673"/>
      <c r="L446" s="673"/>
      <c r="M446" s="674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72"/>
      <c r="J447" s="673"/>
      <c r="K447" s="673"/>
      <c r="L447" s="673"/>
      <c r="M447" s="674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72"/>
      <c r="J448" s="673"/>
      <c r="K448" s="673"/>
      <c r="L448" s="673"/>
      <c r="M448" s="674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72"/>
      <c r="J449" s="673"/>
      <c r="K449" s="673"/>
      <c r="L449" s="673"/>
      <c r="M449" s="674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72"/>
      <c r="J450" s="673"/>
      <c r="K450" s="673"/>
      <c r="L450" s="673"/>
      <c r="M450" s="674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72"/>
      <c r="J451" s="673"/>
      <c r="K451" s="673"/>
      <c r="L451" s="673"/>
      <c r="M451" s="674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72"/>
      <c r="J452" s="673"/>
      <c r="K452" s="673"/>
      <c r="L452" s="673"/>
      <c r="M452" s="674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72"/>
      <c r="J453" s="673"/>
      <c r="K453" s="673"/>
      <c r="L453" s="673"/>
      <c r="M453" s="674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72"/>
      <c r="J454" s="673"/>
      <c r="K454" s="673"/>
      <c r="L454" s="673"/>
      <c r="M454" s="674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72"/>
      <c r="J455" s="673"/>
      <c r="K455" s="673"/>
      <c r="L455" s="673"/>
      <c r="M455" s="674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72"/>
      <c r="J456" s="673"/>
      <c r="K456" s="673"/>
      <c r="L456" s="673"/>
      <c r="M456" s="674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72"/>
      <c r="J457" s="673"/>
      <c r="K457" s="673"/>
      <c r="L457" s="673"/>
      <c r="M457" s="674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72"/>
      <c r="J458" s="673"/>
      <c r="K458" s="673"/>
      <c r="L458" s="673"/>
      <c r="M458" s="674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72"/>
      <c r="J459" s="673"/>
      <c r="K459" s="673"/>
      <c r="L459" s="673"/>
      <c r="M459" s="674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72"/>
      <c r="J460" s="673"/>
      <c r="K460" s="673"/>
      <c r="L460" s="673"/>
      <c r="M460" s="674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72"/>
      <c r="J461" s="673"/>
      <c r="K461" s="673"/>
      <c r="L461" s="673"/>
      <c r="M461" s="674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72"/>
      <c r="J462" s="673"/>
      <c r="K462" s="673"/>
      <c r="L462" s="673"/>
      <c r="M462" s="674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72"/>
      <c r="J463" s="673"/>
      <c r="K463" s="673"/>
      <c r="L463" s="673"/>
      <c r="M463" s="674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72"/>
      <c r="J464" s="673"/>
      <c r="K464" s="673"/>
      <c r="L464" s="673"/>
      <c r="M464" s="674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72"/>
      <c r="J465" s="673"/>
      <c r="K465" s="673"/>
      <c r="L465" s="673"/>
      <c r="M465" s="674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72"/>
      <c r="J466" s="673"/>
      <c r="K466" s="673"/>
      <c r="L466" s="673"/>
      <c r="M466" s="674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72"/>
      <c r="J467" s="673"/>
      <c r="K467" s="673"/>
      <c r="L467" s="673"/>
      <c r="M467" s="674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72"/>
      <c r="J468" s="673"/>
      <c r="K468" s="673"/>
      <c r="L468" s="673"/>
      <c r="M468" s="674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72"/>
      <c r="J469" s="673"/>
      <c r="K469" s="673"/>
      <c r="L469" s="673"/>
      <c r="M469" s="674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72"/>
      <c r="J470" s="673"/>
      <c r="K470" s="673"/>
      <c r="L470" s="673"/>
      <c r="M470" s="674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72"/>
      <c r="J471" s="673"/>
      <c r="K471" s="673"/>
      <c r="L471" s="673"/>
      <c r="M471" s="674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72"/>
      <c r="J472" s="673"/>
      <c r="K472" s="673"/>
      <c r="L472" s="673"/>
      <c r="M472" s="674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72"/>
      <c r="J473" s="673"/>
      <c r="K473" s="673"/>
      <c r="L473" s="673"/>
      <c r="M473" s="674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72"/>
      <c r="J474" s="673"/>
      <c r="K474" s="673"/>
      <c r="L474" s="673"/>
      <c r="M474" s="674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72"/>
      <c r="J475" s="673"/>
      <c r="K475" s="673"/>
      <c r="L475" s="673"/>
      <c r="M475" s="674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72"/>
      <c r="J476" s="673"/>
      <c r="K476" s="673"/>
      <c r="L476" s="673"/>
      <c r="M476" s="674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72"/>
      <c r="J477" s="673"/>
      <c r="K477" s="673"/>
      <c r="L477" s="673"/>
      <c r="M477" s="674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72"/>
      <c r="J478" s="673"/>
      <c r="K478" s="673"/>
      <c r="L478" s="673"/>
      <c r="M478" s="674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72"/>
      <c r="J479" s="673"/>
      <c r="K479" s="673"/>
      <c r="L479" s="673"/>
      <c r="M479" s="674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72"/>
      <c r="J480" s="673"/>
      <c r="K480" s="673"/>
      <c r="L480" s="673"/>
      <c r="M480" s="674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72"/>
      <c r="J481" s="673"/>
      <c r="K481" s="673"/>
      <c r="L481" s="673"/>
      <c r="M481" s="674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72"/>
      <c r="J482" s="673"/>
      <c r="K482" s="673"/>
      <c r="L482" s="673"/>
      <c r="M482" s="674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72"/>
      <c r="J483" s="673"/>
      <c r="K483" s="673"/>
      <c r="L483" s="673"/>
      <c r="M483" s="674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72"/>
      <c r="J484" s="673"/>
      <c r="K484" s="673"/>
      <c r="L484" s="673"/>
      <c r="M484" s="674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72"/>
      <c r="J485" s="673"/>
      <c r="K485" s="673"/>
      <c r="L485" s="673"/>
      <c r="M485" s="674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72"/>
      <c r="J486" s="673"/>
      <c r="K486" s="673"/>
      <c r="L486" s="673"/>
      <c r="M486" s="674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72"/>
      <c r="J487" s="673"/>
      <c r="K487" s="673"/>
      <c r="L487" s="673"/>
      <c r="M487" s="674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72"/>
      <c r="J488" s="673"/>
      <c r="K488" s="673"/>
      <c r="L488" s="673"/>
      <c r="M488" s="674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72"/>
      <c r="J489" s="673"/>
      <c r="K489" s="673"/>
      <c r="L489" s="673"/>
      <c r="M489" s="674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72"/>
      <c r="J490" s="673"/>
      <c r="K490" s="673"/>
      <c r="L490" s="673"/>
      <c r="M490" s="674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72"/>
      <c r="J491" s="673"/>
      <c r="K491" s="673"/>
      <c r="L491" s="673"/>
      <c r="M491" s="674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72"/>
      <c r="J492" s="673"/>
      <c r="K492" s="673"/>
      <c r="L492" s="673"/>
      <c r="M492" s="674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72"/>
      <c r="J493" s="673"/>
      <c r="K493" s="673"/>
      <c r="L493" s="673"/>
      <c r="M493" s="674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72"/>
      <c r="J494" s="673"/>
      <c r="K494" s="673"/>
      <c r="L494" s="673"/>
      <c r="M494" s="674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72"/>
      <c r="J495" s="673"/>
      <c r="K495" s="673"/>
      <c r="L495" s="673"/>
      <c r="M495" s="674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72"/>
      <c r="J496" s="673"/>
      <c r="K496" s="673"/>
      <c r="L496" s="673"/>
      <c r="M496" s="674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72"/>
      <c r="J497" s="673"/>
      <c r="K497" s="673"/>
      <c r="L497" s="673"/>
      <c r="M497" s="674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72"/>
      <c r="J498" s="673"/>
      <c r="K498" s="673"/>
      <c r="L498" s="673"/>
      <c r="M498" s="674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72"/>
      <c r="J499" s="673"/>
      <c r="K499" s="673"/>
      <c r="L499" s="673"/>
      <c r="M499" s="674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72"/>
      <c r="J500" s="673"/>
      <c r="K500" s="673"/>
      <c r="L500" s="673"/>
      <c r="M500" s="674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72"/>
      <c r="J501" s="673"/>
      <c r="K501" s="673"/>
      <c r="L501" s="673"/>
      <c r="M501" s="674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72"/>
      <c r="J502" s="673"/>
      <c r="K502" s="673"/>
      <c r="L502" s="673"/>
      <c r="M502" s="674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72"/>
      <c r="J503" s="673"/>
      <c r="K503" s="673"/>
      <c r="L503" s="673"/>
      <c r="M503" s="674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72"/>
      <c r="J504" s="673"/>
      <c r="K504" s="673"/>
      <c r="L504" s="673"/>
      <c r="M504" s="674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72"/>
      <c r="J505" s="673"/>
      <c r="K505" s="673"/>
      <c r="L505" s="673"/>
      <c r="M505" s="674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72"/>
      <c r="J506" s="673"/>
      <c r="K506" s="673"/>
      <c r="L506" s="673"/>
      <c r="M506" s="674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72"/>
      <c r="J507" s="673"/>
      <c r="K507" s="673"/>
      <c r="L507" s="673"/>
      <c r="M507" s="674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72"/>
      <c r="J508" s="673"/>
      <c r="K508" s="673"/>
      <c r="L508" s="673"/>
      <c r="M508" s="674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72"/>
      <c r="J509" s="673"/>
      <c r="K509" s="673"/>
      <c r="L509" s="673"/>
      <c r="M509" s="674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72"/>
      <c r="J510" s="673"/>
      <c r="K510" s="673"/>
      <c r="L510" s="673"/>
      <c r="M510" s="674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72"/>
      <c r="J511" s="673"/>
      <c r="K511" s="673"/>
      <c r="L511" s="673"/>
      <c r="M511" s="674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72"/>
      <c r="J512" s="673"/>
      <c r="K512" s="673"/>
      <c r="L512" s="673"/>
      <c r="M512" s="674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72"/>
      <c r="J513" s="673"/>
      <c r="K513" s="673"/>
      <c r="L513" s="673"/>
      <c r="M513" s="674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72"/>
      <c r="J514" s="673"/>
      <c r="K514" s="673"/>
      <c r="L514" s="673"/>
      <c r="M514" s="674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72"/>
      <c r="J515" s="673"/>
      <c r="K515" s="673"/>
      <c r="L515" s="673"/>
      <c r="M515" s="674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72"/>
      <c r="J516" s="673"/>
      <c r="K516" s="673"/>
      <c r="L516" s="673"/>
      <c r="M516" s="674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72"/>
      <c r="J517" s="673"/>
      <c r="K517" s="673"/>
      <c r="L517" s="673"/>
      <c r="M517" s="674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72"/>
      <c r="J518" s="673"/>
      <c r="K518" s="673"/>
      <c r="L518" s="673"/>
      <c r="M518" s="674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72"/>
      <c r="J519" s="673"/>
      <c r="K519" s="673"/>
      <c r="L519" s="673"/>
      <c r="M519" s="674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72"/>
      <c r="J520" s="673"/>
      <c r="K520" s="673"/>
      <c r="L520" s="673"/>
      <c r="M520" s="674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72"/>
      <c r="J521" s="673"/>
      <c r="K521" s="673"/>
      <c r="L521" s="673"/>
      <c r="M521" s="674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72"/>
      <c r="J522" s="673"/>
      <c r="K522" s="673"/>
      <c r="L522" s="673"/>
      <c r="M522" s="674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72"/>
      <c r="J523" s="673"/>
      <c r="K523" s="673"/>
      <c r="L523" s="673"/>
      <c r="M523" s="674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72"/>
      <c r="J524" s="673"/>
      <c r="K524" s="673"/>
      <c r="L524" s="673"/>
      <c r="M524" s="674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72"/>
      <c r="J525" s="673"/>
      <c r="K525" s="673"/>
      <c r="L525" s="673"/>
      <c r="M525" s="674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72"/>
      <c r="J526" s="673"/>
      <c r="K526" s="673"/>
      <c r="L526" s="673"/>
      <c r="M526" s="674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72"/>
      <c r="J527" s="673"/>
      <c r="K527" s="673"/>
      <c r="L527" s="673"/>
      <c r="M527" s="674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72"/>
      <c r="J528" s="673"/>
      <c r="K528" s="673"/>
      <c r="L528" s="673"/>
      <c r="M528" s="674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72"/>
      <c r="J529" s="673"/>
      <c r="K529" s="673"/>
      <c r="L529" s="673"/>
      <c r="M529" s="674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72"/>
      <c r="J530" s="673"/>
      <c r="K530" s="673"/>
      <c r="L530" s="673"/>
      <c r="M530" s="674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72"/>
      <c r="J531" s="673"/>
      <c r="K531" s="673"/>
      <c r="L531" s="673"/>
      <c r="M531" s="674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72"/>
      <c r="J532" s="673"/>
      <c r="K532" s="673"/>
      <c r="L532" s="673"/>
      <c r="M532" s="674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72"/>
      <c r="J533" s="673"/>
      <c r="K533" s="673"/>
      <c r="L533" s="673"/>
      <c r="M533" s="674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72"/>
      <c r="J534" s="673"/>
      <c r="K534" s="673"/>
      <c r="L534" s="673"/>
      <c r="M534" s="674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72"/>
      <c r="J535" s="673"/>
      <c r="K535" s="673"/>
      <c r="L535" s="673"/>
      <c r="M535" s="674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72"/>
      <c r="J536" s="673"/>
      <c r="K536" s="673"/>
      <c r="L536" s="673"/>
      <c r="M536" s="674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72"/>
      <c r="J537" s="673"/>
      <c r="K537" s="673"/>
      <c r="L537" s="673"/>
      <c r="M537" s="674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72"/>
      <c r="J538" s="673"/>
      <c r="K538" s="673"/>
      <c r="L538" s="673"/>
      <c r="M538" s="674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72"/>
      <c r="J539" s="673"/>
      <c r="K539" s="673"/>
      <c r="L539" s="673"/>
      <c r="M539" s="674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72"/>
      <c r="J540" s="673"/>
      <c r="K540" s="673"/>
      <c r="L540" s="673"/>
      <c r="M540" s="674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72"/>
      <c r="J541" s="673"/>
      <c r="K541" s="673"/>
      <c r="L541" s="673"/>
      <c r="M541" s="674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72"/>
      <c r="J542" s="673"/>
      <c r="K542" s="673"/>
      <c r="L542" s="673"/>
      <c r="M542" s="674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72"/>
      <c r="J543" s="673"/>
      <c r="K543" s="673"/>
      <c r="L543" s="673"/>
      <c r="M543" s="674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72"/>
      <c r="J544" s="673"/>
      <c r="K544" s="673"/>
      <c r="L544" s="673"/>
      <c r="M544" s="674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72"/>
      <c r="J545" s="673"/>
      <c r="K545" s="673"/>
      <c r="L545" s="673"/>
      <c r="M545" s="674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72"/>
      <c r="J546" s="673"/>
      <c r="K546" s="673"/>
      <c r="L546" s="673"/>
      <c r="M546" s="674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72"/>
      <c r="J547" s="673"/>
      <c r="K547" s="673"/>
      <c r="L547" s="673"/>
      <c r="M547" s="674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72"/>
      <c r="J548" s="673"/>
      <c r="K548" s="673"/>
      <c r="L548" s="673"/>
      <c r="M548" s="674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72"/>
      <c r="J549" s="673"/>
      <c r="K549" s="673"/>
      <c r="L549" s="673"/>
      <c r="M549" s="674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72"/>
      <c r="J550" s="673"/>
      <c r="K550" s="673"/>
      <c r="L550" s="673"/>
      <c r="M550" s="674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72"/>
      <c r="J551" s="673"/>
      <c r="K551" s="673"/>
      <c r="L551" s="673"/>
      <c r="M551" s="674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72"/>
      <c r="J552" s="673"/>
      <c r="K552" s="673"/>
      <c r="L552" s="673"/>
      <c r="M552" s="674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72"/>
      <c r="J553" s="673"/>
      <c r="K553" s="673"/>
      <c r="L553" s="673"/>
      <c r="M553" s="674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72"/>
      <c r="J554" s="673"/>
      <c r="K554" s="673"/>
      <c r="L554" s="673"/>
      <c r="M554" s="674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72"/>
      <c r="J555" s="673"/>
      <c r="K555" s="673"/>
      <c r="L555" s="673"/>
      <c r="M555" s="674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72"/>
      <c r="J556" s="673"/>
      <c r="K556" s="673"/>
      <c r="L556" s="673"/>
      <c r="M556" s="674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72"/>
      <c r="J557" s="673"/>
      <c r="K557" s="673"/>
      <c r="L557" s="673"/>
      <c r="M557" s="674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72"/>
      <c r="J558" s="673"/>
      <c r="K558" s="673"/>
      <c r="L558" s="673"/>
      <c r="M558" s="674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72"/>
      <c r="J559" s="673"/>
      <c r="K559" s="673"/>
      <c r="L559" s="673"/>
      <c r="M559" s="674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72"/>
      <c r="J560" s="673"/>
      <c r="K560" s="673"/>
      <c r="L560" s="673"/>
      <c r="M560" s="674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72"/>
      <c r="J561" s="673"/>
      <c r="K561" s="673"/>
      <c r="L561" s="673"/>
      <c r="M561" s="674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72"/>
      <c r="J562" s="673"/>
      <c r="K562" s="673"/>
      <c r="L562" s="673"/>
      <c r="M562" s="674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72"/>
      <c r="J563" s="673"/>
      <c r="K563" s="673"/>
      <c r="L563" s="673"/>
      <c r="M563" s="674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72"/>
      <c r="J564" s="673"/>
      <c r="K564" s="673"/>
      <c r="L564" s="673"/>
      <c r="M564" s="674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72"/>
      <c r="J565" s="673"/>
      <c r="K565" s="673"/>
      <c r="L565" s="673"/>
      <c r="M565" s="674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72"/>
      <c r="J566" s="673"/>
      <c r="K566" s="673"/>
      <c r="L566" s="673"/>
      <c r="M566" s="674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72"/>
      <c r="J567" s="673"/>
      <c r="K567" s="673"/>
      <c r="L567" s="673"/>
      <c r="M567" s="674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72"/>
      <c r="J568" s="673"/>
      <c r="K568" s="673"/>
      <c r="L568" s="673"/>
      <c r="M568" s="674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72"/>
      <c r="J569" s="673"/>
      <c r="K569" s="673"/>
      <c r="L569" s="673"/>
      <c r="M569" s="674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72"/>
      <c r="J570" s="673"/>
      <c r="K570" s="673"/>
      <c r="L570" s="673"/>
      <c r="M570" s="674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72"/>
      <c r="J571" s="673"/>
      <c r="K571" s="673"/>
      <c r="L571" s="673"/>
      <c r="M571" s="674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72"/>
      <c r="J572" s="673"/>
      <c r="K572" s="673"/>
      <c r="L572" s="673"/>
      <c r="M572" s="674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72"/>
      <c r="J573" s="673"/>
      <c r="K573" s="673"/>
      <c r="L573" s="673"/>
      <c r="M573" s="674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72"/>
      <c r="J574" s="673"/>
      <c r="K574" s="673"/>
      <c r="L574" s="673"/>
      <c r="M574" s="674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72"/>
      <c r="J575" s="673"/>
      <c r="K575" s="673"/>
      <c r="L575" s="673"/>
      <c r="M575" s="674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72"/>
      <c r="J576" s="673"/>
      <c r="K576" s="673"/>
      <c r="L576" s="673"/>
      <c r="M576" s="674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72"/>
      <c r="J577" s="673"/>
      <c r="K577" s="673"/>
      <c r="L577" s="673"/>
      <c r="M577" s="674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72"/>
      <c r="J578" s="673"/>
      <c r="K578" s="673"/>
      <c r="L578" s="673"/>
      <c r="M578" s="674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72"/>
      <c r="J579" s="673"/>
      <c r="K579" s="673"/>
      <c r="L579" s="673"/>
      <c r="M579" s="674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72"/>
      <c r="J580" s="673"/>
      <c r="K580" s="673"/>
      <c r="L580" s="673"/>
      <c r="M580" s="674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72"/>
      <c r="J581" s="673"/>
      <c r="K581" s="673"/>
      <c r="L581" s="673"/>
      <c r="M581" s="674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72"/>
      <c r="J582" s="673"/>
      <c r="K582" s="673"/>
      <c r="L582" s="673"/>
      <c r="M582" s="674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72"/>
      <c r="J583" s="673"/>
      <c r="K583" s="673"/>
      <c r="L583" s="673"/>
      <c r="M583" s="674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72"/>
      <c r="J584" s="673"/>
      <c r="K584" s="673"/>
      <c r="L584" s="673"/>
      <c r="M584" s="674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72"/>
      <c r="J585" s="673"/>
      <c r="K585" s="673"/>
      <c r="L585" s="673"/>
      <c r="M585" s="674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72"/>
      <c r="J586" s="673"/>
      <c r="K586" s="673"/>
      <c r="L586" s="673"/>
      <c r="M586" s="674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72"/>
      <c r="J587" s="673"/>
      <c r="K587" s="673"/>
      <c r="L587" s="673"/>
      <c r="M587" s="674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72"/>
      <c r="J588" s="673"/>
      <c r="K588" s="673"/>
      <c r="L588" s="673"/>
      <c r="M588" s="674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72"/>
      <c r="J589" s="673"/>
      <c r="K589" s="673"/>
      <c r="L589" s="673"/>
      <c r="M589" s="674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72"/>
      <c r="J590" s="673"/>
      <c r="K590" s="673"/>
      <c r="L590" s="673"/>
      <c r="M590" s="674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72"/>
      <c r="J591" s="673"/>
      <c r="K591" s="673"/>
      <c r="L591" s="673"/>
      <c r="M591" s="674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72"/>
      <c r="J592" s="673"/>
      <c r="K592" s="673"/>
      <c r="L592" s="673"/>
      <c r="M592" s="674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72"/>
      <c r="J593" s="673"/>
      <c r="K593" s="673"/>
      <c r="L593" s="673"/>
      <c r="M593" s="674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72"/>
      <c r="J594" s="673"/>
      <c r="K594" s="673"/>
      <c r="L594" s="673"/>
      <c r="M594" s="674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72"/>
      <c r="J595" s="673"/>
      <c r="K595" s="673"/>
      <c r="L595" s="673"/>
      <c r="M595" s="674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72"/>
      <c r="J596" s="673"/>
      <c r="K596" s="673"/>
      <c r="L596" s="673"/>
      <c r="M596" s="674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72"/>
      <c r="J597" s="673"/>
      <c r="K597" s="673"/>
      <c r="L597" s="673"/>
      <c r="M597" s="674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72"/>
      <c r="J598" s="673"/>
      <c r="K598" s="673"/>
      <c r="L598" s="673"/>
      <c r="M598" s="674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72"/>
      <c r="J599" s="673"/>
      <c r="K599" s="673"/>
      <c r="L599" s="673"/>
      <c r="M599" s="674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72"/>
      <c r="J600" s="673"/>
      <c r="K600" s="673"/>
      <c r="L600" s="673"/>
      <c r="M600" s="674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72"/>
      <c r="J601" s="673"/>
      <c r="K601" s="673"/>
      <c r="L601" s="673"/>
      <c r="M601" s="674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72"/>
      <c r="J602" s="673"/>
      <c r="K602" s="673"/>
      <c r="L602" s="673"/>
      <c r="M602" s="674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72"/>
      <c r="J603" s="673"/>
      <c r="K603" s="673"/>
      <c r="L603" s="673"/>
      <c r="M603" s="674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72"/>
      <c r="J604" s="673"/>
      <c r="K604" s="673"/>
      <c r="L604" s="673"/>
      <c r="M604" s="674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72"/>
      <c r="J605" s="673"/>
      <c r="K605" s="673"/>
      <c r="L605" s="673"/>
      <c r="M605" s="674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72"/>
      <c r="J606" s="673"/>
      <c r="K606" s="673"/>
      <c r="L606" s="673"/>
      <c r="M606" s="674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72"/>
      <c r="J607" s="673"/>
      <c r="K607" s="673"/>
      <c r="L607" s="673"/>
      <c r="M607" s="674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72"/>
      <c r="J608" s="673"/>
      <c r="K608" s="673"/>
      <c r="L608" s="673"/>
      <c r="M608" s="674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72"/>
      <c r="J609" s="673"/>
      <c r="K609" s="673"/>
      <c r="L609" s="673"/>
      <c r="M609" s="674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72"/>
      <c r="J610" s="673"/>
      <c r="K610" s="673"/>
      <c r="L610" s="673"/>
      <c r="M610" s="674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72"/>
      <c r="J611" s="673"/>
      <c r="K611" s="673"/>
      <c r="L611" s="673"/>
      <c r="M611" s="674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72"/>
      <c r="J612" s="673"/>
      <c r="K612" s="673"/>
      <c r="L612" s="673"/>
      <c r="M612" s="674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72"/>
      <c r="J613" s="673"/>
      <c r="K613" s="673"/>
      <c r="L613" s="673"/>
      <c r="M613" s="674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72"/>
      <c r="J614" s="673"/>
      <c r="K614" s="673"/>
      <c r="L614" s="673"/>
      <c r="M614" s="674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72"/>
      <c r="J615" s="673"/>
      <c r="K615" s="673"/>
      <c r="L615" s="673"/>
      <c r="M615" s="674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72"/>
      <c r="J616" s="673"/>
      <c r="K616" s="673"/>
      <c r="L616" s="673"/>
      <c r="M616" s="674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72"/>
      <c r="J617" s="673"/>
      <c r="K617" s="673"/>
      <c r="L617" s="673"/>
      <c r="M617" s="674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72"/>
      <c r="J618" s="673"/>
      <c r="K618" s="673"/>
      <c r="L618" s="673"/>
      <c r="M618" s="674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72"/>
      <c r="J619" s="673"/>
      <c r="K619" s="673"/>
      <c r="L619" s="673"/>
      <c r="M619" s="674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72"/>
      <c r="J620" s="673"/>
      <c r="K620" s="673"/>
      <c r="L620" s="673"/>
      <c r="M620" s="674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72"/>
      <c r="J621" s="673"/>
      <c r="K621" s="673"/>
      <c r="L621" s="673"/>
      <c r="M621" s="674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72"/>
      <c r="J622" s="673"/>
      <c r="K622" s="673"/>
      <c r="L622" s="673"/>
      <c r="M622" s="674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72"/>
      <c r="J623" s="673"/>
      <c r="K623" s="673"/>
      <c r="L623" s="673"/>
      <c r="M623" s="674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72"/>
      <c r="J624" s="673"/>
      <c r="K624" s="673"/>
      <c r="L624" s="673"/>
      <c r="M624" s="674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72"/>
      <c r="J625" s="673"/>
      <c r="K625" s="673"/>
      <c r="L625" s="673"/>
      <c r="M625" s="674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72"/>
      <c r="J626" s="673"/>
      <c r="K626" s="673"/>
      <c r="L626" s="673"/>
      <c r="M626" s="674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72"/>
      <c r="J627" s="673"/>
      <c r="K627" s="673"/>
      <c r="L627" s="673"/>
      <c r="M627" s="674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72"/>
      <c r="J628" s="673"/>
      <c r="K628" s="673"/>
      <c r="L628" s="673"/>
      <c r="M628" s="674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72"/>
      <c r="J629" s="673"/>
      <c r="K629" s="673"/>
      <c r="L629" s="673"/>
      <c r="M629" s="674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72"/>
      <c r="J630" s="673"/>
      <c r="K630" s="673"/>
      <c r="L630" s="673"/>
      <c r="M630" s="674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72"/>
      <c r="J631" s="673"/>
      <c r="K631" s="673"/>
      <c r="L631" s="673"/>
      <c r="M631" s="674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72"/>
      <c r="J632" s="673"/>
      <c r="K632" s="673"/>
      <c r="L632" s="673"/>
      <c r="M632" s="674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72"/>
      <c r="J633" s="673"/>
      <c r="K633" s="673"/>
      <c r="L633" s="673"/>
      <c r="M633" s="674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72"/>
      <c r="J634" s="673"/>
      <c r="K634" s="673"/>
      <c r="L634" s="673"/>
      <c r="M634" s="674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72"/>
      <c r="J635" s="673"/>
      <c r="K635" s="673"/>
      <c r="L635" s="673"/>
      <c r="M635" s="674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72"/>
      <c r="J636" s="673"/>
      <c r="K636" s="673"/>
      <c r="L636" s="673"/>
      <c r="M636" s="674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72"/>
      <c r="J637" s="673"/>
      <c r="K637" s="673"/>
      <c r="L637" s="673"/>
      <c r="M637" s="674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72"/>
      <c r="J638" s="673"/>
      <c r="K638" s="673"/>
      <c r="L638" s="673"/>
      <c r="M638" s="674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72"/>
      <c r="J639" s="673"/>
      <c r="K639" s="673"/>
      <c r="L639" s="673"/>
      <c r="M639" s="674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72"/>
      <c r="J640" s="673"/>
      <c r="K640" s="673"/>
      <c r="L640" s="673"/>
      <c r="M640" s="674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72"/>
      <c r="J641" s="673"/>
      <c r="K641" s="673"/>
      <c r="L641" s="673"/>
      <c r="M641" s="674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72"/>
      <c r="J642" s="673"/>
      <c r="K642" s="673"/>
      <c r="L642" s="673"/>
      <c r="M642" s="674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72"/>
      <c r="J643" s="673"/>
      <c r="K643" s="673"/>
      <c r="L643" s="673"/>
      <c r="M643" s="674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72"/>
      <c r="J644" s="673"/>
      <c r="K644" s="673"/>
      <c r="L644" s="673"/>
      <c r="M644" s="674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72"/>
      <c r="J645" s="673"/>
      <c r="K645" s="673"/>
      <c r="L645" s="673"/>
      <c r="M645" s="674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72"/>
      <c r="J646" s="673"/>
      <c r="K646" s="673"/>
      <c r="L646" s="673"/>
      <c r="M646" s="674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72"/>
      <c r="J647" s="673"/>
      <c r="K647" s="673"/>
      <c r="L647" s="673"/>
      <c r="M647" s="674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72"/>
      <c r="J648" s="673"/>
      <c r="K648" s="673"/>
      <c r="L648" s="673"/>
      <c r="M648" s="674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72"/>
      <c r="J649" s="673"/>
      <c r="K649" s="673"/>
      <c r="L649" s="673"/>
      <c r="M649" s="674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72"/>
      <c r="J650" s="673"/>
      <c r="K650" s="673"/>
      <c r="L650" s="673"/>
      <c r="M650" s="674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72"/>
      <c r="J651" s="673"/>
      <c r="K651" s="673"/>
      <c r="L651" s="673"/>
      <c r="M651" s="674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72"/>
      <c r="J652" s="673"/>
      <c r="K652" s="673"/>
      <c r="L652" s="673"/>
      <c r="M652" s="674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72"/>
      <c r="J653" s="673"/>
      <c r="K653" s="673"/>
      <c r="L653" s="673"/>
      <c r="M653" s="674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72"/>
      <c r="J654" s="673"/>
      <c r="K654" s="673"/>
      <c r="L654" s="673"/>
      <c r="M654" s="674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72"/>
      <c r="J655" s="673"/>
      <c r="K655" s="673"/>
      <c r="L655" s="673"/>
      <c r="M655" s="674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72"/>
      <c r="J656" s="673"/>
      <c r="K656" s="673"/>
      <c r="L656" s="673"/>
      <c r="M656" s="674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72"/>
      <c r="J657" s="673"/>
      <c r="K657" s="673"/>
      <c r="L657" s="673"/>
      <c r="M657" s="674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72"/>
      <c r="J658" s="673"/>
      <c r="K658" s="673"/>
      <c r="L658" s="673"/>
      <c r="M658" s="674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72"/>
      <c r="J659" s="673"/>
      <c r="K659" s="673"/>
      <c r="L659" s="673"/>
      <c r="M659" s="674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72"/>
      <c r="J660" s="673"/>
      <c r="K660" s="673"/>
      <c r="L660" s="673"/>
      <c r="M660" s="674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72"/>
      <c r="J661" s="673"/>
      <c r="K661" s="673"/>
      <c r="L661" s="673"/>
      <c r="M661" s="674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72"/>
      <c r="J662" s="673"/>
      <c r="K662" s="673"/>
      <c r="L662" s="673"/>
      <c r="M662" s="674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72"/>
      <c r="J663" s="673"/>
      <c r="K663" s="673"/>
      <c r="L663" s="673"/>
      <c r="M663" s="674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72"/>
      <c r="J664" s="673"/>
      <c r="K664" s="673"/>
      <c r="L664" s="673"/>
      <c r="M664" s="674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72"/>
      <c r="J665" s="673"/>
      <c r="K665" s="673"/>
      <c r="L665" s="673"/>
      <c r="M665" s="674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72"/>
      <c r="J666" s="673"/>
      <c r="K666" s="673"/>
      <c r="L666" s="673"/>
      <c r="M666" s="674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72"/>
      <c r="J667" s="673"/>
      <c r="K667" s="673"/>
      <c r="L667" s="673"/>
      <c r="M667" s="674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72"/>
      <c r="J668" s="673"/>
      <c r="K668" s="673"/>
      <c r="L668" s="673"/>
      <c r="M668" s="674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72"/>
      <c r="J669" s="673"/>
      <c r="K669" s="673"/>
      <c r="L669" s="673"/>
      <c r="M669" s="674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72"/>
      <c r="J670" s="673"/>
      <c r="K670" s="673"/>
      <c r="L670" s="673"/>
      <c r="M670" s="674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72"/>
      <c r="J671" s="673"/>
      <c r="K671" s="673"/>
      <c r="L671" s="673"/>
      <c r="M671" s="674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72"/>
      <c r="J672" s="673"/>
      <c r="K672" s="673"/>
      <c r="L672" s="673"/>
      <c r="M672" s="674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72"/>
      <c r="J673" s="673"/>
      <c r="K673" s="673"/>
      <c r="L673" s="673"/>
      <c r="M673" s="674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72"/>
      <c r="J674" s="673"/>
      <c r="K674" s="673"/>
      <c r="L674" s="673"/>
      <c r="M674" s="674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72"/>
      <c r="J675" s="673"/>
      <c r="K675" s="673"/>
      <c r="L675" s="673"/>
      <c r="M675" s="674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72"/>
      <c r="J676" s="673"/>
      <c r="K676" s="673"/>
      <c r="L676" s="673"/>
      <c r="M676" s="674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72"/>
      <c r="J677" s="673"/>
      <c r="K677" s="673"/>
      <c r="L677" s="673"/>
      <c r="M677" s="674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72"/>
      <c r="J678" s="673"/>
      <c r="K678" s="673"/>
      <c r="L678" s="673"/>
      <c r="M678" s="674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72"/>
      <c r="J679" s="673"/>
      <c r="K679" s="673"/>
      <c r="L679" s="673"/>
      <c r="M679" s="674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72"/>
      <c r="J680" s="673"/>
      <c r="K680" s="673"/>
      <c r="L680" s="673"/>
      <c r="M680" s="674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72"/>
      <c r="J681" s="673"/>
      <c r="K681" s="673"/>
      <c r="L681" s="673"/>
      <c r="M681" s="674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72"/>
      <c r="J682" s="673"/>
      <c r="K682" s="673"/>
      <c r="L682" s="673"/>
      <c r="M682" s="674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72"/>
      <c r="J683" s="673"/>
      <c r="K683" s="673"/>
      <c r="L683" s="673"/>
      <c r="M683" s="674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72"/>
      <c r="J684" s="673"/>
      <c r="K684" s="673"/>
      <c r="L684" s="673"/>
      <c r="M684" s="674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72"/>
      <c r="J685" s="673"/>
      <c r="K685" s="673"/>
      <c r="L685" s="673"/>
      <c r="M685" s="674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72"/>
      <c r="J686" s="673"/>
      <c r="K686" s="673"/>
      <c r="L686" s="673"/>
      <c r="M686" s="674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72"/>
      <c r="J687" s="673"/>
      <c r="K687" s="673"/>
      <c r="L687" s="673"/>
      <c r="M687" s="674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72"/>
      <c r="J688" s="673"/>
      <c r="K688" s="673"/>
      <c r="L688" s="673"/>
      <c r="M688" s="674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72"/>
      <c r="J689" s="673"/>
      <c r="K689" s="673"/>
      <c r="L689" s="673"/>
      <c r="M689" s="674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72"/>
      <c r="J690" s="673"/>
      <c r="K690" s="673"/>
      <c r="L690" s="673"/>
      <c r="M690" s="674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72"/>
      <c r="J691" s="673"/>
      <c r="K691" s="673"/>
      <c r="L691" s="673"/>
      <c r="M691" s="674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72"/>
      <c r="J692" s="673"/>
      <c r="K692" s="673"/>
      <c r="L692" s="673"/>
      <c r="M692" s="674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72"/>
      <c r="J693" s="673"/>
      <c r="K693" s="673"/>
      <c r="L693" s="673"/>
      <c r="M693" s="674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72"/>
      <c r="J694" s="673"/>
      <c r="K694" s="673"/>
      <c r="L694" s="673"/>
      <c r="M694" s="674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72"/>
      <c r="J695" s="673"/>
      <c r="K695" s="673"/>
      <c r="L695" s="673"/>
      <c r="M695" s="674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72"/>
      <c r="J696" s="673"/>
      <c r="K696" s="673"/>
      <c r="L696" s="673"/>
      <c r="M696" s="674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72"/>
      <c r="J697" s="673"/>
      <c r="K697" s="673"/>
      <c r="L697" s="673"/>
      <c r="M697" s="674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72"/>
      <c r="J698" s="673"/>
      <c r="K698" s="673"/>
      <c r="L698" s="673"/>
      <c r="M698" s="674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72"/>
      <c r="J699" s="673"/>
      <c r="K699" s="673"/>
      <c r="L699" s="673"/>
      <c r="M699" s="674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72"/>
      <c r="J700" s="673"/>
      <c r="K700" s="673"/>
      <c r="L700" s="673"/>
      <c r="M700" s="674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72"/>
      <c r="J701" s="673"/>
      <c r="K701" s="673"/>
      <c r="L701" s="673"/>
      <c r="M701" s="674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72"/>
      <c r="J702" s="673"/>
      <c r="K702" s="673"/>
      <c r="L702" s="673"/>
      <c r="M702" s="674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72"/>
      <c r="J703" s="673"/>
      <c r="K703" s="673"/>
      <c r="L703" s="673"/>
      <c r="M703" s="674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72"/>
      <c r="J704" s="673"/>
      <c r="K704" s="673"/>
      <c r="L704" s="673"/>
      <c r="M704" s="674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72"/>
      <c r="J705" s="673"/>
      <c r="K705" s="673"/>
      <c r="L705" s="673"/>
      <c r="M705" s="674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72"/>
      <c r="J706" s="673"/>
      <c r="K706" s="673"/>
      <c r="L706" s="673"/>
      <c r="M706" s="674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72"/>
      <c r="J707" s="673"/>
      <c r="K707" s="673"/>
      <c r="L707" s="673"/>
      <c r="M707" s="674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72"/>
      <c r="J708" s="673"/>
      <c r="K708" s="673"/>
      <c r="L708" s="673"/>
      <c r="M708" s="674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72"/>
      <c r="J709" s="673"/>
      <c r="K709" s="673"/>
      <c r="L709" s="673"/>
      <c r="M709" s="674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72"/>
      <c r="J710" s="673"/>
      <c r="K710" s="673"/>
      <c r="L710" s="673"/>
      <c r="M710" s="674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72"/>
      <c r="J711" s="673"/>
      <c r="K711" s="673"/>
      <c r="L711" s="673"/>
      <c r="M711" s="674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72"/>
      <c r="J712" s="673"/>
      <c r="K712" s="673"/>
      <c r="L712" s="673"/>
      <c r="M712" s="674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72"/>
      <c r="J713" s="673"/>
      <c r="K713" s="673"/>
      <c r="L713" s="673"/>
      <c r="M713" s="674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72"/>
      <c r="J714" s="673"/>
      <c r="K714" s="673"/>
      <c r="L714" s="673"/>
      <c r="M714" s="674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72"/>
      <c r="J715" s="673"/>
      <c r="K715" s="673"/>
      <c r="L715" s="673"/>
      <c r="M715" s="674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72"/>
      <c r="J716" s="673"/>
      <c r="K716" s="673"/>
      <c r="L716" s="673"/>
      <c r="M716" s="674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72"/>
      <c r="J717" s="673"/>
      <c r="K717" s="673"/>
      <c r="L717" s="673"/>
      <c r="M717" s="674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72"/>
      <c r="J718" s="673"/>
      <c r="K718" s="673"/>
      <c r="L718" s="673"/>
      <c r="M718" s="674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72"/>
      <c r="J719" s="673"/>
      <c r="K719" s="673"/>
      <c r="L719" s="673"/>
      <c r="M719" s="674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72"/>
      <c r="J720" s="673"/>
      <c r="K720" s="673"/>
      <c r="L720" s="673"/>
      <c r="M720" s="674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72"/>
      <c r="J721" s="673"/>
      <c r="K721" s="673"/>
      <c r="L721" s="673"/>
      <c r="M721" s="674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72"/>
      <c r="J722" s="673"/>
      <c r="K722" s="673"/>
      <c r="L722" s="673"/>
      <c r="M722" s="674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72"/>
      <c r="J723" s="673"/>
      <c r="K723" s="673"/>
      <c r="L723" s="673"/>
      <c r="M723" s="674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72"/>
      <c r="J724" s="673"/>
      <c r="K724" s="673"/>
      <c r="L724" s="673"/>
      <c r="M724" s="674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72"/>
      <c r="J725" s="673"/>
      <c r="K725" s="673"/>
      <c r="L725" s="673"/>
      <c r="M725" s="674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72"/>
      <c r="J726" s="673"/>
      <c r="K726" s="673"/>
      <c r="L726" s="673"/>
      <c r="M726" s="674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72"/>
      <c r="J727" s="673"/>
      <c r="K727" s="673"/>
      <c r="L727" s="673"/>
      <c r="M727" s="674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72"/>
      <c r="J728" s="673"/>
      <c r="K728" s="673"/>
      <c r="L728" s="673"/>
      <c r="M728" s="674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72"/>
      <c r="J729" s="673"/>
      <c r="K729" s="673"/>
      <c r="L729" s="673"/>
      <c r="M729" s="674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72"/>
      <c r="J730" s="673"/>
      <c r="K730" s="673"/>
      <c r="L730" s="673"/>
      <c r="M730" s="674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72"/>
      <c r="J731" s="673"/>
      <c r="K731" s="673"/>
      <c r="L731" s="673"/>
      <c r="M731" s="674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72"/>
      <c r="J732" s="673"/>
      <c r="K732" s="673"/>
      <c r="L732" s="673"/>
      <c r="M732" s="674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72"/>
      <c r="J733" s="673"/>
      <c r="K733" s="673"/>
      <c r="L733" s="673"/>
      <c r="M733" s="674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72"/>
      <c r="J734" s="673"/>
      <c r="K734" s="673"/>
      <c r="L734" s="673"/>
      <c r="M734" s="674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72"/>
      <c r="J735" s="673"/>
      <c r="K735" s="673"/>
      <c r="L735" s="673"/>
      <c r="M735" s="674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72"/>
      <c r="J736" s="673"/>
      <c r="K736" s="673"/>
      <c r="L736" s="673"/>
      <c r="M736" s="674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72"/>
      <c r="J737" s="673"/>
      <c r="K737" s="673"/>
      <c r="L737" s="673"/>
      <c r="M737" s="674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72"/>
      <c r="J738" s="673"/>
      <c r="K738" s="673"/>
      <c r="L738" s="673"/>
      <c r="M738" s="674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72"/>
      <c r="J739" s="673"/>
      <c r="K739" s="673"/>
      <c r="L739" s="673"/>
      <c r="M739" s="674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72"/>
      <c r="J740" s="673"/>
      <c r="K740" s="673"/>
      <c r="L740" s="673"/>
      <c r="M740" s="674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72"/>
      <c r="J741" s="673"/>
      <c r="K741" s="673"/>
      <c r="L741" s="673"/>
      <c r="M741" s="674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72"/>
      <c r="J742" s="673"/>
      <c r="K742" s="673"/>
      <c r="L742" s="673"/>
      <c r="M742" s="674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72"/>
      <c r="J743" s="673"/>
      <c r="K743" s="673"/>
      <c r="L743" s="673"/>
      <c r="M743" s="674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72"/>
      <c r="J744" s="673"/>
      <c r="K744" s="673"/>
      <c r="L744" s="673"/>
      <c r="M744" s="674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72"/>
      <c r="J745" s="673"/>
      <c r="K745" s="673"/>
      <c r="L745" s="673"/>
      <c r="M745" s="674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72"/>
      <c r="J746" s="673"/>
      <c r="K746" s="673"/>
      <c r="L746" s="673"/>
      <c r="M746" s="674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72"/>
      <c r="J747" s="673"/>
      <c r="K747" s="673"/>
      <c r="L747" s="673"/>
      <c r="M747" s="674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72"/>
      <c r="J748" s="673"/>
      <c r="K748" s="673"/>
      <c r="L748" s="673"/>
      <c r="M748" s="674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72"/>
      <c r="J749" s="673"/>
      <c r="K749" s="673"/>
      <c r="L749" s="673"/>
      <c r="M749" s="674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72"/>
      <c r="J750" s="673"/>
      <c r="K750" s="673"/>
      <c r="L750" s="673"/>
      <c r="M750" s="674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72"/>
      <c r="J751" s="673"/>
      <c r="K751" s="673"/>
      <c r="L751" s="673"/>
      <c r="M751" s="674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72"/>
      <c r="J752" s="673"/>
      <c r="K752" s="673"/>
      <c r="L752" s="673"/>
      <c r="M752" s="674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72"/>
      <c r="J753" s="673"/>
      <c r="K753" s="673"/>
      <c r="L753" s="673"/>
      <c r="M753" s="674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72"/>
      <c r="J754" s="673"/>
      <c r="K754" s="673"/>
      <c r="L754" s="673"/>
      <c r="M754" s="674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72"/>
      <c r="J755" s="673"/>
      <c r="K755" s="673"/>
      <c r="L755" s="673"/>
      <c r="M755" s="674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72"/>
      <c r="J756" s="673"/>
      <c r="K756" s="673"/>
      <c r="L756" s="673"/>
      <c r="M756" s="674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72"/>
      <c r="J757" s="673"/>
      <c r="K757" s="673"/>
      <c r="L757" s="673"/>
      <c r="M757" s="674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72"/>
      <c r="J758" s="673"/>
      <c r="K758" s="673"/>
      <c r="L758" s="673"/>
      <c r="M758" s="674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72"/>
      <c r="J759" s="673"/>
      <c r="K759" s="673"/>
      <c r="L759" s="673"/>
      <c r="M759" s="674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72"/>
      <c r="J760" s="673"/>
      <c r="K760" s="673"/>
      <c r="L760" s="673"/>
      <c r="M760" s="674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72"/>
      <c r="J761" s="673"/>
      <c r="K761" s="673"/>
      <c r="L761" s="673"/>
      <c r="M761" s="674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72"/>
      <c r="J762" s="673"/>
      <c r="K762" s="673"/>
      <c r="L762" s="673"/>
      <c r="M762" s="674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72"/>
      <c r="J763" s="673"/>
      <c r="K763" s="673"/>
      <c r="L763" s="673"/>
      <c r="M763" s="674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72"/>
      <c r="J764" s="673"/>
      <c r="K764" s="673"/>
      <c r="L764" s="673"/>
      <c r="M764" s="674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72"/>
      <c r="J765" s="673"/>
      <c r="K765" s="673"/>
      <c r="L765" s="673"/>
      <c r="M765" s="674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72"/>
      <c r="J766" s="673"/>
      <c r="K766" s="673"/>
      <c r="L766" s="673"/>
      <c r="M766" s="674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72"/>
      <c r="J767" s="673"/>
      <c r="K767" s="673"/>
      <c r="L767" s="673"/>
      <c r="M767" s="674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72"/>
      <c r="J768" s="673"/>
      <c r="K768" s="673"/>
      <c r="L768" s="673"/>
      <c r="M768" s="674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72"/>
      <c r="J769" s="673"/>
      <c r="K769" s="673"/>
      <c r="L769" s="673"/>
      <c r="M769" s="674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72"/>
      <c r="J770" s="673"/>
      <c r="K770" s="673"/>
      <c r="L770" s="673"/>
      <c r="M770" s="674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72"/>
      <c r="J771" s="673"/>
      <c r="K771" s="673"/>
      <c r="L771" s="673"/>
      <c r="M771" s="674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72"/>
      <c r="J772" s="673"/>
      <c r="K772" s="673"/>
      <c r="L772" s="673"/>
      <c r="M772" s="674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72"/>
      <c r="J773" s="673"/>
      <c r="K773" s="673"/>
      <c r="L773" s="673"/>
      <c r="M773" s="674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72"/>
      <c r="J774" s="673"/>
      <c r="K774" s="673"/>
      <c r="L774" s="673"/>
      <c r="M774" s="674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72"/>
      <c r="J775" s="673"/>
      <c r="K775" s="673"/>
      <c r="L775" s="673"/>
      <c r="M775" s="674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72"/>
      <c r="J776" s="673"/>
      <c r="K776" s="673"/>
      <c r="L776" s="673"/>
      <c r="M776" s="674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72"/>
      <c r="J777" s="673"/>
      <c r="K777" s="673"/>
      <c r="L777" s="673"/>
      <c r="M777" s="674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72"/>
      <c r="J778" s="673"/>
      <c r="K778" s="673"/>
      <c r="L778" s="673"/>
      <c r="M778" s="674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72"/>
      <c r="J779" s="673"/>
      <c r="K779" s="673"/>
      <c r="L779" s="673"/>
      <c r="M779" s="674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72"/>
      <c r="J780" s="673"/>
      <c r="K780" s="673"/>
      <c r="L780" s="673"/>
      <c r="M780" s="674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72"/>
      <c r="J781" s="673"/>
      <c r="K781" s="673"/>
      <c r="L781" s="673"/>
      <c r="M781" s="674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72"/>
      <c r="J782" s="673"/>
      <c r="K782" s="673"/>
      <c r="L782" s="673"/>
      <c r="M782" s="674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72"/>
      <c r="J783" s="673"/>
      <c r="K783" s="673"/>
      <c r="L783" s="673"/>
      <c r="M783" s="674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72"/>
      <c r="J784" s="673"/>
      <c r="K784" s="673"/>
      <c r="L784" s="673"/>
      <c r="M784" s="674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72"/>
      <c r="J785" s="673"/>
      <c r="K785" s="673"/>
      <c r="L785" s="673"/>
      <c r="M785" s="674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72"/>
      <c r="J786" s="673"/>
      <c r="K786" s="673"/>
      <c r="L786" s="673"/>
      <c r="M786" s="674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72"/>
      <c r="J787" s="673"/>
      <c r="K787" s="673"/>
      <c r="L787" s="673"/>
      <c r="M787" s="674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72"/>
      <c r="J788" s="673"/>
      <c r="K788" s="673"/>
      <c r="L788" s="673"/>
      <c r="M788" s="674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72"/>
      <c r="J789" s="673"/>
      <c r="K789" s="673"/>
      <c r="L789" s="673"/>
      <c r="M789" s="674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72"/>
      <c r="J790" s="673"/>
      <c r="K790" s="673"/>
      <c r="L790" s="673"/>
      <c r="M790" s="674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72"/>
      <c r="J791" s="673"/>
      <c r="K791" s="673"/>
      <c r="L791" s="673"/>
      <c r="M791" s="674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72"/>
      <c r="J792" s="673"/>
      <c r="K792" s="673"/>
      <c r="L792" s="673"/>
      <c r="M792" s="674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72"/>
      <c r="J793" s="673"/>
      <c r="K793" s="673"/>
      <c r="L793" s="673"/>
      <c r="M793" s="674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72"/>
      <c r="J794" s="673"/>
      <c r="K794" s="673"/>
      <c r="L794" s="673"/>
      <c r="M794" s="674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72"/>
      <c r="J795" s="673"/>
      <c r="K795" s="673"/>
      <c r="L795" s="673"/>
      <c r="M795" s="674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72"/>
      <c r="J796" s="673"/>
      <c r="K796" s="673"/>
      <c r="L796" s="673"/>
      <c r="M796" s="674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72"/>
      <c r="J797" s="673"/>
      <c r="K797" s="673"/>
      <c r="L797" s="673"/>
      <c r="M797" s="674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72"/>
      <c r="J798" s="673"/>
      <c r="K798" s="673"/>
      <c r="L798" s="673"/>
      <c r="M798" s="674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72"/>
      <c r="J799" s="673"/>
      <c r="K799" s="673"/>
      <c r="L799" s="673"/>
      <c r="M799" s="674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72"/>
      <c r="J800" s="673"/>
      <c r="K800" s="673"/>
      <c r="L800" s="673"/>
      <c r="M800" s="674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72"/>
      <c r="J801" s="673"/>
      <c r="K801" s="673"/>
      <c r="L801" s="673"/>
      <c r="M801" s="674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72"/>
      <c r="J802" s="673"/>
      <c r="K802" s="673"/>
      <c r="L802" s="673"/>
      <c r="M802" s="674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72"/>
      <c r="J803" s="673"/>
      <c r="K803" s="673"/>
      <c r="L803" s="673"/>
      <c r="M803" s="674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72"/>
      <c r="J804" s="673"/>
      <c r="K804" s="673"/>
      <c r="L804" s="673"/>
      <c r="M804" s="674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72"/>
      <c r="J805" s="673"/>
      <c r="K805" s="673"/>
      <c r="L805" s="673"/>
      <c r="M805" s="674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72"/>
      <c r="J806" s="673"/>
      <c r="K806" s="673"/>
      <c r="L806" s="673"/>
      <c r="M806" s="674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72"/>
      <c r="J807" s="673"/>
      <c r="K807" s="673"/>
      <c r="L807" s="673"/>
      <c r="M807" s="674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72"/>
      <c r="J808" s="673"/>
      <c r="K808" s="673"/>
      <c r="L808" s="673"/>
      <c r="M808" s="674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72"/>
      <c r="J809" s="673"/>
      <c r="K809" s="673"/>
      <c r="L809" s="673"/>
      <c r="M809" s="674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72"/>
      <c r="J810" s="673"/>
      <c r="K810" s="673"/>
      <c r="L810" s="673"/>
      <c r="M810" s="674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72"/>
      <c r="J811" s="673"/>
      <c r="K811" s="673"/>
      <c r="L811" s="673"/>
      <c r="M811" s="674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72"/>
      <c r="J812" s="673"/>
      <c r="K812" s="673"/>
      <c r="L812" s="673"/>
      <c r="M812" s="674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72"/>
      <c r="J813" s="673"/>
      <c r="K813" s="673"/>
      <c r="L813" s="673"/>
      <c r="M813" s="674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72"/>
      <c r="J814" s="673"/>
      <c r="K814" s="673"/>
      <c r="L814" s="673"/>
      <c r="M814" s="674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72"/>
      <c r="J815" s="673"/>
      <c r="K815" s="673"/>
      <c r="L815" s="673"/>
      <c r="M815" s="674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72"/>
      <c r="J816" s="673"/>
      <c r="K816" s="673"/>
      <c r="L816" s="673"/>
      <c r="M816" s="674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72"/>
      <c r="J817" s="673"/>
      <c r="K817" s="673"/>
      <c r="L817" s="673"/>
      <c r="M817" s="674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72"/>
      <c r="J818" s="673"/>
      <c r="K818" s="673"/>
      <c r="L818" s="673"/>
      <c r="M818" s="674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72"/>
      <c r="J819" s="673"/>
      <c r="K819" s="673"/>
      <c r="L819" s="673"/>
      <c r="M819" s="674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72"/>
      <c r="J820" s="673"/>
      <c r="K820" s="673"/>
      <c r="L820" s="673"/>
      <c r="M820" s="674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72"/>
      <c r="J821" s="673"/>
      <c r="K821" s="673"/>
      <c r="L821" s="673"/>
      <c r="M821" s="674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72"/>
      <c r="J822" s="673"/>
      <c r="K822" s="673"/>
      <c r="L822" s="673"/>
      <c r="M822" s="674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72"/>
      <c r="J823" s="673"/>
      <c r="K823" s="673"/>
      <c r="L823" s="673"/>
      <c r="M823" s="674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72"/>
      <c r="J824" s="673"/>
      <c r="K824" s="673"/>
      <c r="L824" s="673"/>
      <c r="M824" s="674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72"/>
      <c r="J825" s="673"/>
      <c r="K825" s="673"/>
      <c r="L825" s="673"/>
      <c r="M825" s="674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72"/>
      <c r="J826" s="673"/>
      <c r="K826" s="673"/>
      <c r="L826" s="673"/>
      <c r="M826" s="674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72"/>
      <c r="J827" s="673"/>
      <c r="K827" s="673"/>
      <c r="L827" s="673"/>
      <c r="M827" s="674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72"/>
      <c r="J828" s="673"/>
      <c r="K828" s="673"/>
      <c r="L828" s="673"/>
      <c r="M828" s="674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72"/>
      <c r="J829" s="673"/>
      <c r="K829" s="673"/>
      <c r="L829" s="673"/>
      <c r="M829" s="674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72"/>
      <c r="J830" s="673"/>
      <c r="K830" s="673"/>
      <c r="L830" s="673"/>
      <c r="M830" s="674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72"/>
      <c r="J831" s="673"/>
      <c r="K831" s="673"/>
      <c r="L831" s="673"/>
      <c r="M831" s="674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72"/>
      <c r="J832" s="673"/>
      <c r="K832" s="673"/>
      <c r="L832" s="673"/>
      <c r="M832" s="674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72"/>
      <c r="J833" s="673"/>
      <c r="K833" s="673"/>
      <c r="L833" s="673"/>
      <c r="M833" s="674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72"/>
      <c r="J834" s="673"/>
      <c r="K834" s="673"/>
      <c r="L834" s="673"/>
      <c r="M834" s="674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72"/>
      <c r="J835" s="673"/>
      <c r="K835" s="673"/>
      <c r="L835" s="673"/>
      <c r="M835" s="674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72"/>
      <c r="J836" s="673"/>
      <c r="K836" s="673"/>
      <c r="L836" s="673"/>
      <c r="M836" s="674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72"/>
      <c r="J837" s="673"/>
      <c r="K837" s="673"/>
      <c r="L837" s="673"/>
      <c r="M837" s="674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72"/>
      <c r="J838" s="673"/>
      <c r="K838" s="673"/>
      <c r="L838" s="673"/>
      <c r="M838" s="674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72"/>
      <c r="J839" s="673"/>
      <c r="K839" s="673"/>
      <c r="L839" s="673"/>
      <c r="M839" s="674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72"/>
      <c r="J840" s="673"/>
      <c r="K840" s="673"/>
      <c r="L840" s="673"/>
      <c r="M840" s="674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72"/>
      <c r="J841" s="673"/>
      <c r="K841" s="673"/>
      <c r="L841" s="673"/>
      <c r="M841" s="674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72"/>
      <c r="J842" s="673"/>
      <c r="K842" s="673"/>
      <c r="L842" s="673"/>
      <c r="M842" s="674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72"/>
      <c r="J843" s="673"/>
      <c r="K843" s="673"/>
      <c r="L843" s="673"/>
      <c r="M843" s="674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72"/>
      <c r="J844" s="673"/>
      <c r="K844" s="673"/>
      <c r="L844" s="673"/>
      <c r="M844" s="674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72"/>
      <c r="J845" s="673"/>
      <c r="K845" s="673"/>
      <c r="L845" s="673"/>
      <c r="M845" s="674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72"/>
      <c r="J846" s="673"/>
      <c r="K846" s="673"/>
      <c r="L846" s="673"/>
      <c r="M846" s="674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72"/>
      <c r="J847" s="673"/>
      <c r="K847" s="673"/>
      <c r="L847" s="673"/>
      <c r="M847" s="674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72"/>
      <c r="J848" s="673"/>
      <c r="K848" s="673"/>
      <c r="L848" s="673"/>
      <c r="M848" s="674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72"/>
      <c r="J849" s="673"/>
      <c r="K849" s="673"/>
      <c r="L849" s="673"/>
      <c r="M849" s="674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72"/>
      <c r="J850" s="673"/>
      <c r="K850" s="673"/>
      <c r="L850" s="673"/>
      <c r="M850" s="674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72"/>
      <c r="J851" s="673"/>
      <c r="K851" s="673"/>
      <c r="L851" s="673"/>
      <c r="M851" s="674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72"/>
      <c r="J852" s="673"/>
      <c r="K852" s="673"/>
      <c r="L852" s="673"/>
      <c r="M852" s="674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72"/>
      <c r="J853" s="673"/>
      <c r="K853" s="673"/>
      <c r="L853" s="673"/>
      <c r="M853" s="674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72"/>
      <c r="J854" s="673"/>
      <c r="K854" s="673"/>
      <c r="L854" s="673"/>
      <c r="M854" s="674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72"/>
      <c r="J855" s="673"/>
      <c r="K855" s="673"/>
      <c r="L855" s="673"/>
      <c r="M855" s="674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72"/>
      <c r="J856" s="673"/>
      <c r="K856" s="673"/>
      <c r="L856" s="673"/>
      <c r="M856" s="674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72"/>
      <c r="J857" s="673"/>
      <c r="K857" s="673"/>
      <c r="L857" s="673"/>
      <c r="M857" s="674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72"/>
      <c r="J858" s="673"/>
      <c r="K858" s="673"/>
      <c r="L858" s="673"/>
      <c r="M858" s="674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72"/>
      <c r="J859" s="673"/>
      <c r="K859" s="673"/>
      <c r="L859" s="673"/>
      <c r="M859" s="674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72"/>
      <c r="J860" s="673"/>
      <c r="K860" s="673"/>
      <c r="L860" s="673"/>
      <c r="M860" s="674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72"/>
      <c r="J861" s="673"/>
      <c r="K861" s="673"/>
      <c r="L861" s="673"/>
      <c r="M861" s="674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72"/>
      <c r="J862" s="673"/>
      <c r="K862" s="673"/>
      <c r="L862" s="673"/>
      <c r="M862" s="674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72"/>
      <c r="J863" s="673"/>
      <c r="K863" s="673"/>
      <c r="L863" s="673"/>
      <c r="M863" s="674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72"/>
      <c r="J864" s="673"/>
      <c r="K864" s="673"/>
      <c r="L864" s="673"/>
      <c r="M864" s="674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72"/>
      <c r="J865" s="673"/>
      <c r="K865" s="673"/>
      <c r="L865" s="673"/>
      <c r="M865" s="674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72"/>
      <c r="J866" s="673"/>
      <c r="K866" s="673"/>
      <c r="L866" s="673"/>
      <c r="M866" s="674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72"/>
      <c r="J867" s="673"/>
      <c r="K867" s="673"/>
      <c r="L867" s="673"/>
      <c r="M867" s="674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72"/>
      <c r="J868" s="673"/>
      <c r="K868" s="673"/>
      <c r="L868" s="673"/>
      <c r="M868" s="674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72"/>
      <c r="J869" s="673"/>
      <c r="K869" s="673"/>
      <c r="L869" s="673"/>
      <c r="M869" s="674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72"/>
      <c r="J870" s="673"/>
      <c r="K870" s="673"/>
      <c r="L870" s="673"/>
      <c r="M870" s="674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72"/>
      <c r="J871" s="673"/>
      <c r="K871" s="673"/>
      <c r="L871" s="673"/>
      <c r="M871" s="674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72"/>
      <c r="J872" s="673"/>
      <c r="K872" s="673"/>
      <c r="L872" s="673"/>
      <c r="M872" s="674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72"/>
      <c r="J873" s="673"/>
      <c r="K873" s="673"/>
      <c r="L873" s="673"/>
      <c r="M873" s="674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72"/>
      <c r="J874" s="673"/>
      <c r="K874" s="673"/>
      <c r="L874" s="673"/>
      <c r="M874" s="674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72"/>
      <c r="J875" s="673"/>
      <c r="K875" s="673"/>
      <c r="L875" s="673"/>
      <c r="M875" s="674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72"/>
      <c r="J876" s="673"/>
      <c r="K876" s="673"/>
      <c r="L876" s="673"/>
      <c r="M876" s="674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72"/>
      <c r="J877" s="673"/>
      <c r="K877" s="673"/>
      <c r="L877" s="673"/>
      <c r="M877" s="674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72"/>
      <c r="J878" s="673"/>
      <c r="K878" s="673"/>
      <c r="L878" s="673"/>
      <c r="M878" s="674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72"/>
      <c r="J879" s="673"/>
      <c r="K879" s="673"/>
      <c r="L879" s="673"/>
      <c r="M879" s="674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72"/>
      <c r="J880" s="673"/>
      <c r="K880" s="673"/>
      <c r="L880" s="673"/>
      <c r="M880" s="674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72"/>
      <c r="J881" s="673"/>
      <c r="K881" s="673"/>
      <c r="L881" s="673"/>
      <c r="M881" s="674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72"/>
      <c r="J882" s="673"/>
      <c r="K882" s="673"/>
      <c r="L882" s="673"/>
      <c r="M882" s="674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72"/>
      <c r="J883" s="673"/>
      <c r="K883" s="673"/>
      <c r="L883" s="673"/>
      <c r="M883" s="674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72"/>
      <c r="J884" s="673"/>
      <c r="K884" s="673"/>
      <c r="L884" s="673"/>
      <c r="M884" s="674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72"/>
      <c r="J885" s="673"/>
      <c r="K885" s="673"/>
      <c r="L885" s="673"/>
      <c r="M885" s="674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72"/>
      <c r="J886" s="673"/>
      <c r="K886" s="673"/>
      <c r="L886" s="673"/>
      <c r="M886" s="674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72"/>
      <c r="J887" s="673"/>
      <c r="K887" s="673"/>
      <c r="L887" s="673"/>
      <c r="M887" s="674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72"/>
      <c r="J888" s="673"/>
      <c r="K888" s="673"/>
      <c r="L888" s="673"/>
      <c r="M888" s="674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72"/>
      <c r="J889" s="673"/>
      <c r="K889" s="673"/>
      <c r="L889" s="673"/>
      <c r="M889" s="674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72"/>
      <c r="J890" s="673"/>
      <c r="K890" s="673"/>
      <c r="L890" s="673"/>
      <c r="M890" s="674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72"/>
      <c r="J891" s="673"/>
      <c r="K891" s="673"/>
      <c r="L891" s="673"/>
      <c r="M891" s="674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72"/>
      <c r="J892" s="673"/>
      <c r="K892" s="673"/>
      <c r="L892" s="673"/>
      <c r="M892" s="674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72"/>
      <c r="J893" s="673"/>
      <c r="K893" s="673"/>
      <c r="L893" s="673"/>
      <c r="M893" s="674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72"/>
      <c r="J894" s="673"/>
      <c r="K894" s="673"/>
      <c r="L894" s="673"/>
      <c r="M894" s="674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72"/>
      <c r="J895" s="673"/>
      <c r="K895" s="673"/>
      <c r="L895" s="673"/>
      <c r="M895" s="674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72"/>
      <c r="J896" s="673"/>
      <c r="K896" s="673"/>
      <c r="L896" s="673"/>
      <c r="M896" s="674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72"/>
      <c r="J897" s="673"/>
      <c r="K897" s="673"/>
      <c r="L897" s="673"/>
      <c r="M897" s="674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72"/>
      <c r="J898" s="673"/>
      <c r="K898" s="673"/>
      <c r="L898" s="673"/>
      <c r="M898" s="674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72"/>
      <c r="J899" s="673"/>
      <c r="K899" s="673"/>
      <c r="L899" s="673"/>
      <c r="M899" s="674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72"/>
      <c r="J900" s="673"/>
      <c r="K900" s="673"/>
      <c r="L900" s="673"/>
      <c r="M900" s="674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72"/>
      <c r="J901" s="673"/>
      <c r="K901" s="673"/>
      <c r="L901" s="673"/>
      <c r="M901" s="674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72"/>
      <c r="J902" s="673"/>
      <c r="K902" s="673"/>
      <c r="L902" s="673"/>
      <c r="M902" s="674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72"/>
      <c r="J903" s="673"/>
      <c r="K903" s="673"/>
      <c r="L903" s="673"/>
      <c r="M903" s="674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72"/>
      <c r="J904" s="673"/>
      <c r="K904" s="673"/>
      <c r="L904" s="673"/>
      <c r="M904" s="674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72"/>
      <c r="J905" s="673"/>
      <c r="K905" s="673"/>
      <c r="L905" s="673"/>
      <c r="M905" s="674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72"/>
      <c r="J906" s="673"/>
      <c r="K906" s="673"/>
      <c r="L906" s="673"/>
      <c r="M906" s="674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72"/>
      <c r="J907" s="673"/>
      <c r="K907" s="673"/>
      <c r="L907" s="673"/>
      <c r="M907" s="674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72"/>
      <c r="J908" s="673"/>
      <c r="K908" s="673"/>
      <c r="L908" s="673"/>
      <c r="M908" s="674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72"/>
      <c r="J909" s="673"/>
      <c r="K909" s="673"/>
      <c r="L909" s="673"/>
      <c r="M909" s="674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72"/>
      <c r="J910" s="673"/>
      <c r="K910" s="673"/>
      <c r="L910" s="673"/>
      <c r="M910" s="674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72"/>
      <c r="J911" s="673"/>
      <c r="K911" s="673"/>
      <c r="L911" s="673"/>
      <c r="M911" s="674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72"/>
      <c r="J912" s="673"/>
      <c r="K912" s="673"/>
      <c r="L912" s="673"/>
      <c r="M912" s="674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72"/>
      <c r="J913" s="673"/>
      <c r="K913" s="673"/>
      <c r="L913" s="673"/>
      <c r="M913" s="674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72"/>
      <c r="J914" s="673"/>
      <c r="K914" s="673"/>
      <c r="L914" s="673"/>
      <c r="M914" s="674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72"/>
      <c r="J915" s="673"/>
      <c r="K915" s="673"/>
      <c r="L915" s="673"/>
      <c r="M915" s="674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72"/>
      <c r="J916" s="673"/>
      <c r="K916" s="673"/>
      <c r="L916" s="673"/>
      <c r="M916" s="674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72"/>
      <c r="J917" s="673"/>
      <c r="K917" s="673"/>
      <c r="L917" s="673"/>
      <c r="M917" s="674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72"/>
      <c r="J918" s="673"/>
      <c r="K918" s="673"/>
      <c r="L918" s="673"/>
      <c r="M918" s="674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72"/>
      <c r="J919" s="673"/>
      <c r="K919" s="673"/>
      <c r="L919" s="673"/>
      <c r="M919" s="674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72"/>
      <c r="J920" s="673"/>
      <c r="K920" s="673"/>
      <c r="L920" s="673"/>
      <c r="M920" s="674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72"/>
      <c r="J921" s="673"/>
      <c r="K921" s="673"/>
      <c r="L921" s="673"/>
      <c r="M921" s="674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72"/>
      <c r="J922" s="673"/>
      <c r="K922" s="673"/>
      <c r="L922" s="673"/>
      <c r="M922" s="674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72"/>
      <c r="J923" s="673"/>
      <c r="K923" s="673"/>
      <c r="L923" s="673"/>
      <c r="M923" s="674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72"/>
      <c r="J924" s="673"/>
      <c r="K924" s="673"/>
      <c r="L924" s="673"/>
      <c r="M924" s="674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72"/>
      <c r="J925" s="673"/>
      <c r="K925" s="673"/>
      <c r="L925" s="673"/>
      <c r="M925" s="674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72"/>
      <c r="J926" s="673"/>
      <c r="K926" s="673"/>
      <c r="L926" s="673"/>
      <c r="M926" s="674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72"/>
      <c r="J927" s="673"/>
      <c r="K927" s="673"/>
      <c r="L927" s="673"/>
      <c r="M927" s="674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72"/>
      <c r="J928" s="673"/>
      <c r="K928" s="673"/>
      <c r="L928" s="673"/>
      <c r="M928" s="674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72"/>
      <c r="J929" s="673"/>
      <c r="K929" s="673"/>
      <c r="L929" s="673"/>
      <c r="M929" s="674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72"/>
      <c r="J930" s="673"/>
      <c r="K930" s="673"/>
      <c r="L930" s="673"/>
      <c r="M930" s="674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72"/>
      <c r="J931" s="673"/>
      <c r="K931" s="673"/>
      <c r="L931" s="673"/>
      <c r="M931" s="674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72"/>
      <c r="J932" s="673"/>
      <c r="K932" s="673"/>
      <c r="L932" s="673"/>
      <c r="M932" s="674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72"/>
      <c r="J933" s="673"/>
      <c r="K933" s="673"/>
      <c r="L933" s="673"/>
      <c r="M933" s="674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72"/>
      <c r="J934" s="673"/>
      <c r="K934" s="673"/>
      <c r="L934" s="673"/>
      <c r="M934" s="674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72"/>
      <c r="J935" s="673"/>
      <c r="K935" s="673"/>
      <c r="L935" s="673"/>
      <c r="M935" s="674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72"/>
      <c r="J936" s="673"/>
      <c r="K936" s="673"/>
      <c r="L936" s="673"/>
      <c r="M936" s="674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72"/>
      <c r="J937" s="673"/>
      <c r="K937" s="673"/>
      <c r="L937" s="673"/>
      <c r="M937" s="674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72"/>
      <c r="J938" s="673"/>
      <c r="K938" s="673"/>
      <c r="L938" s="673"/>
      <c r="M938" s="674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72"/>
      <c r="J939" s="673"/>
      <c r="K939" s="673"/>
      <c r="L939" s="673"/>
      <c r="M939" s="674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72"/>
      <c r="J940" s="673"/>
      <c r="K940" s="673"/>
      <c r="L940" s="673"/>
      <c r="M940" s="674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72"/>
      <c r="J941" s="673"/>
      <c r="K941" s="673"/>
      <c r="L941" s="673"/>
      <c r="M941" s="674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72"/>
      <c r="J942" s="673"/>
      <c r="K942" s="673"/>
      <c r="L942" s="673"/>
      <c r="M942" s="674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72"/>
      <c r="J943" s="673"/>
      <c r="K943" s="673"/>
      <c r="L943" s="673"/>
      <c r="M943" s="674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72"/>
      <c r="J944" s="673"/>
      <c r="K944" s="673"/>
      <c r="L944" s="673"/>
      <c r="M944" s="674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72"/>
      <c r="J945" s="673"/>
      <c r="K945" s="673"/>
      <c r="L945" s="673"/>
      <c r="M945" s="674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72"/>
      <c r="J946" s="673"/>
      <c r="K946" s="673"/>
      <c r="L946" s="673"/>
      <c r="M946" s="674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72"/>
      <c r="J947" s="673"/>
      <c r="K947" s="673"/>
      <c r="L947" s="673"/>
      <c r="M947" s="674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72"/>
      <c r="J948" s="673"/>
      <c r="K948" s="673"/>
      <c r="L948" s="673"/>
      <c r="M948" s="674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72"/>
      <c r="J949" s="673"/>
      <c r="K949" s="673"/>
      <c r="L949" s="673"/>
      <c r="M949" s="674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72"/>
      <c r="J950" s="673"/>
      <c r="K950" s="673"/>
      <c r="L950" s="673"/>
      <c r="M950" s="674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72"/>
      <c r="J951" s="673"/>
      <c r="K951" s="673"/>
      <c r="L951" s="673"/>
      <c r="M951" s="674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72"/>
      <c r="J952" s="673"/>
      <c r="K952" s="673"/>
      <c r="L952" s="673"/>
      <c r="M952" s="674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72"/>
      <c r="J953" s="673"/>
      <c r="K953" s="673"/>
      <c r="L953" s="673"/>
      <c r="M953" s="674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72"/>
      <c r="J954" s="673"/>
      <c r="K954" s="673"/>
      <c r="L954" s="673"/>
      <c r="M954" s="674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72"/>
      <c r="J955" s="673"/>
      <c r="K955" s="673"/>
      <c r="L955" s="673"/>
      <c r="M955" s="674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72"/>
      <c r="J956" s="673"/>
      <c r="K956" s="673"/>
      <c r="L956" s="673"/>
      <c r="M956" s="674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72"/>
      <c r="J957" s="673"/>
      <c r="K957" s="673"/>
      <c r="L957" s="673"/>
      <c r="M957" s="674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72"/>
      <c r="J958" s="673"/>
      <c r="K958" s="673"/>
      <c r="L958" s="673"/>
      <c r="M958" s="674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72"/>
      <c r="J959" s="673"/>
      <c r="K959" s="673"/>
      <c r="L959" s="673"/>
      <c r="M959" s="674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72"/>
      <c r="J960" s="673"/>
      <c r="K960" s="673"/>
      <c r="L960" s="673"/>
      <c r="M960" s="674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72"/>
      <c r="J961" s="673"/>
      <c r="K961" s="673"/>
      <c r="L961" s="673"/>
      <c r="M961" s="674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72"/>
      <c r="J962" s="673"/>
      <c r="K962" s="673"/>
      <c r="L962" s="673"/>
      <c r="M962" s="674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72"/>
      <c r="J963" s="673"/>
      <c r="K963" s="673"/>
      <c r="L963" s="673"/>
      <c r="M963" s="674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72"/>
      <c r="J964" s="673"/>
      <c r="K964" s="673"/>
      <c r="L964" s="673"/>
      <c r="M964" s="674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72"/>
      <c r="J965" s="673"/>
      <c r="K965" s="673"/>
      <c r="L965" s="673"/>
      <c r="M965" s="674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72"/>
      <c r="J966" s="673"/>
      <c r="K966" s="673"/>
      <c r="L966" s="673"/>
      <c r="M966" s="674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72"/>
      <c r="J967" s="673"/>
      <c r="K967" s="673"/>
      <c r="L967" s="673"/>
      <c r="M967" s="674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72"/>
      <c r="J968" s="673"/>
      <c r="K968" s="673"/>
      <c r="L968" s="673"/>
      <c r="M968" s="674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72"/>
      <c r="J969" s="673"/>
      <c r="K969" s="673"/>
      <c r="L969" s="673"/>
      <c r="M969" s="674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72"/>
      <c r="J970" s="673"/>
      <c r="K970" s="673"/>
      <c r="L970" s="673"/>
      <c r="M970" s="674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72"/>
      <c r="J971" s="673"/>
      <c r="K971" s="673"/>
      <c r="L971" s="673"/>
      <c r="M971" s="674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72"/>
      <c r="J972" s="673"/>
      <c r="K972" s="673"/>
      <c r="L972" s="673"/>
      <c r="M972" s="674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72"/>
      <c r="J973" s="673"/>
      <c r="K973" s="673"/>
      <c r="L973" s="673"/>
      <c r="M973" s="674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72"/>
      <c r="J974" s="673"/>
      <c r="K974" s="673"/>
      <c r="L974" s="673"/>
      <c r="M974" s="674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72"/>
      <c r="J975" s="673"/>
      <c r="K975" s="673"/>
      <c r="L975" s="673"/>
      <c r="M975" s="674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72"/>
      <c r="J976" s="673"/>
      <c r="K976" s="673"/>
      <c r="L976" s="673"/>
      <c r="M976" s="674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72"/>
      <c r="J977" s="673"/>
      <c r="K977" s="673"/>
      <c r="L977" s="673"/>
      <c r="M977" s="674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72"/>
      <c r="J978" s="673"/>
      <c r="K978" s="673"/>
      <c r="L978" s="673"/>
      <c r="M978" s="674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72"/>
      <c r="J979" s="673"/>
      <c r="K979" s="673"/>
      <c r="L979" s="673"/>
      <c r="M979" s="674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72"/>
      <c r="J980" s="673"/>
      <c r="K980" s="673"/>
      <c r="L980" s="673"/>
      <c r="M980" s="674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72"/>
      <c r="J981" s="673"/>
      <c r="K981" s="673"/>
      <c r="L981" s="673"/>
      <c r="M981" s="674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72"/>
      <c r="J982" s="673"/>
      <c r="K982" s="673"/>
      <c r="L982" s="673"/>
      <c r="M982" s="674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72"/>
      <c r="J983" s="673"/>
      <c r="K983" s="673"/>
      <c r="L983" s="673"/>
      <c r="M983" s="674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72"/>
      <c r="J984" s="673"/>
      <c r="K984" s="673"/>
      <c r="L984" s="673"/>
      <c r="M984" s="674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72"/>
      <c r="J985" s="673"/>
      <c r="K985" s="673"/>
      <c r="L985" s="673"/>
      <c r="M985" s="674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72"/>
      <c r="J986" s="673"/>
      <c r="K986" s="673"/>
      <c r="L986" s="673"/>
      <c r="M986" s="674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72"/>
      <c r="J987" s="673"/>
      <c r="K987" s="673"/>
      <c r="L987" s="673"/>
      <c r="M987" s="674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72"/>
      <c r="J988" s="673"/>
      <c r="K988" s="673"/>
      <c r="L988" s="673"/>
      <c r="M988" s="674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72"/>
      <c r="J989" s="673"/>
      <c r="K989" s="673"/>
      <c r="L989" s="673"/>
      <c r="M989" s="674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72"/>
      <c r="J990" s="673"/>
      <c r="K990" s="673"/>
      <c r="L990" s="673"/>
      <c r="M990" s="674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72"/>
      <c r="J991" s="673"/>
      <c r="K991" s="673"/>
      <c r="L991" s="673"/>
      <c r="M991" s="674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72"/>
      <c r="J992" s="673"/>
      <c r="K992" s="673"/>
      <c r="L992" s="673"/>
      <c r="M992" s="674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72"/>
      <c r="J993" s="673"/>
      <c r="K993" s="673"/>
      <c r="L993" s="673"/>
      <c r="M993" s="674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72"/>
      <c r="J994" s="673"/>
      <c r="K994" s="673"/>
      <c r="L994" s="673"/>
      <c r="M994" s="674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72"/>
      <c r="J995" s="673"/>
      <c r="K995" s="673"/>
      <c r="L995" s="673"/>
      <c r="M995" s="674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72"/>
      <c r="J996" s="673"/>
      <c r="K996" s="673"/>
      <c r="L996" s="673"/>
      <c r="M996" s="674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72"/>
      <c r="J997" s="673"/>
      <c r="K997" s="673"/>
      <c r="L997" s="673"/>
      <c r="M997" s="674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72"/>
      <c r="J998" s="673"/>
      <c r="K998" s="673"/>
      <c r="L998" s="673"/>
      <c r="M998" s="674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72"/>
      <c r="J999" s="673"/>
      <c r="K999" s="673"/>
      <c r="L999" s="673"/>
      <c r="M999" s="674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72"/>
      <c r="J1000" s="673"/>
      <c r="K1000" s="673"/>
      <c r="L1000" s="673"/>
      <c r="M1000" s="674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9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4.71"/>
    <col customWidth="1" min="3" max="3" width="23.86"/>
    <col customWidth="1" min="4" max="4" width="26.71"/>
    <col customWidth="1" min="5" max="5" width="38.57"/>
    <col customWidth="1" min="6" max="6" width="53.43"/>
    <col customWidth="1" min="7" max="7" width="10.71"/>
    <col customWidth="1" min="8" max="8" width="15.43"/>
    <col customWidth="1" min="9" max="9" width="24.0"/>
    <col customWidth="1" min="10" max="10" width="26.71"/>
    <col customWidth="1" min="11" max="11" width="44.14"/>
    <col customWidth="1" min="12" max="12" width="59.86"/>
    <col customWidth="1" min="13" max="13" width="41.71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5.0" customHeight="1">
      <c r="A2" s="585">
        <v>107.0</v>
      </c>
      <c r="B2" s="426" t="s">
        <v>11932</v>
      </c>
      <c r="C2" s="426">
        <v>2001.0</v>
      </c>
      <c r="D2" s="500">
        <v>37232.0</v>
      </c>
      <c r="E2" s="426" t="s">
        <v>11933</v>
      </c>
      <c r="F2" s="426" t="s">
        <v>7240</v>
      </c>
      <c r="G2" s="426" t="s">
        <v>650</v>
      </c>
      <c r="H2" s="426" t="s">
        <v>5180</v>
      </c>
      <c r="I2" s="500">
        <v>39104.0</v>
      </c>
      <c r="J2" s="428">
        <v>1.0</v>
      </c>
      <c r="K2" s="638" t="s">
        <v>234</v>
      </c>
      <c r="L2" s="428" t="s">
        <v>256</v>
      </c>
      <c r="M2" s="319">
        <f t="shared" ref="M2:M144" si="1">I2-D2</f>
        <v>1872</v>
      </c>
      <c r="N2" s="198"/>
      <c r="O2" s="545" t="s">
        <v>11934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207.0</v>
      </c>
      <c r="B3" s="420" t="s">
        <v>11935</v>
      </c>
      <c r="C3" s="420">
        <v>2004.0</v>
      </c>
      <c r="D3" s="497">
        <v>38159.0</v>
      </c>
      <c r="E3" s="420" t="s">
        <v>11936</v>
      </c>
      <c r="F3" s="420" t="s">
        <v>2311</v>
      </c>
      <c r="G3" s="420" t="s">
        <v>17</v>
      </c>
      <c r="H3" s="420" t="s">
        <v>601</v>
      </c>
      <c r="I3" s="497">
        <v>39104.0</v>
      </c>
      <c r="J3" s="422">
        <v>1.0</v>
      </c>
      <c r="K3" s="637" t="s">
        <v>238</v>
      </c>
      <c r="L3" s="420" t="s">
        <v>256</v>
      </c>
      <c r="M3" s="316">
        <f t="shared" si="1"/>
        <v>945</v>
      </c>
      <c r="N3" s="198"/>
      <c r="O3" s="320" t="s">
        <v>27</v>
      </c>
      <c r="P3" s="320">
        <f>COUNTIF($G$2:$G$477,"PT")</f>
        <v>2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307.0</v>
      </c>
      <c r="B4" s="426" t="s">
        <v>11937</v>
      </c>
      <c r="C4" s="426">
        <v>2005.0</v>
      </c>
      <c r="D4" s="500">
        <v>38427.0</v>
      </c>
      <c r="E4" s="426" t="s">
        <v>11938</v>
      </c>
      <c r="F4" s="426" t="s">
        <v>11939</v>
      </c>
      <c r="G4" s="426" t="s">
        <v>17</v>
      </c>
      <c r="H4" s="426" t="s">
        <v>705</v>
      </c>
      <c r="I4" s="500">
        <v>39111.0</v>
      </c>
      <c r="J4" s="428">
        <v>1.0</v>
      </c>
      <c r="K4" s="638" t="s">
        <v>234</v>
      </c>
      <c r="L4" s="428" t="s">
        <v>256</v>
      </c>
      <c r="M4" s="319">
        <f t="shared" si="1"/>
        <v>684</v>
      </c>
      <c r="N4" s="198"/>
      <c r="O4" s="321" t="s">
        <v>34</v>
      </c>
      <c r="P4" s="321">
        <f>COUNTIF($G$2:$G$477,"PTN")</f>
        <v>2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407.0</v>
      </c>
      <c r="B5" s="420" t="s">
        <v>11940</v>
      </c>
      <c r="C5" s="420">
        <v>2002.0</v>
      </c>
      <c r="D5" s="497">
        <v>37475.0</v>
      </c>
      <c r="E5" s="420" t="s">
        <v>11941</v>
      </c>
      <c r="F5" s="420" t="s">
        <v>11942</v>
      </c>
      <c r="G5" s="420" t="s">
        <v>270</v>
      </c>
      <c r="H5" s="420" t="s">
        <v>651</v>
      </c>
      <c r="I5" s="497">
        <v>39111.0</v>
      </c>
      <c r="J5" s="422">
        <v>1.0</v>
      </c>
      <c r="K5" s="637" t="s">
        <v>238</v>
      </c>
      <c r="L5" s="420" t="s">
        <v>256</v>
      </c>
      <c r="M5" s="316">
        <f t="shared" si="1"/>
        <v>1636</v>
      </c>
      <c r="N5" s="198"/>
      <c r="O5" s="322" t="s">
        <v>40</v>
      </c>
      <c r="P5" s="322">
        <f>COUNTIF($G$2:$G$477,"PTE")</f>
        <v>50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507.0</v>
      </c>
      <c r="B6" s="426" t="s">
        <v>11943</v>
      </c>
      <c r="C6" s="426">
        <v>2004.0</v>
      </c>
      <c r="D6" s="500">
        <v>38106.0</v>
      </c>
      <c r="E6" s="426" t="s">
        <v>11944</v>
      </c>
      <c r="F6" s="426" t="s">
        <v>11945</v>
      </c>
      <c r="G6" s="426" t="s">
        <v>17</v>
      </c>
      <c r="H6" s="426" t="s">
        <v>651</v>
      </c>
      <c r="I6" s="500">
        <v>39111.0</v>
      </c>
      <c r="J6" s="428">
        <v>1.0</v>
      </c>
      <c r="K6" s="637" t="s">
        <v>238</v>
      </c>
      <c r="L6" s="428" t="s">
        <v>258</v>
      </c>
      <c r="M6" s="319">
        <f t="shared" si="1"/>
        <v>1005</v>
      </c>
      <c r="N6" s="198"/>
      <c r="O6" s="321" t="s">
        <v>46</v>
      </c>
      <c r="P6" s="321">
        <f>COUNTIF($G$2:$G$477,"Pré-Mistura")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607.0</v>
      </c>
      <c r="B7" s="420" t="s">
        <v>11946</v>
      </c>
      <c r="C7" s="420">
        <v>2005.0</v>
      </c>
      <c r="D7" s="497">
        <v>38604.0</v>
      </c>
      <c r="E7" s="420" t="s">
        <v>11947</v>
      </c>
      <c r="F7" s="420" t="s">
        <v>162</v>
      </c>
      <c r="G7" s="420" t="s">
        <v>17</v>
      </c>
      <c r="H7" s="420" t="s">
        <v>158</v>
      </c>
      <c r="I7" s="497">
        <v>39111.0</v>
      </c>
      <c r="J7" s="422">
        <v>1.0</v>
      </c>
      <c r="K7" s="635" t="s">
        <v>228</v>
      </c>
      <c r="L7" s="420" t="s">
        <v>256</v>
      </c>
      <c r="M7" s="316">
        <f t="shared" si="1"/>
        <v>507</v>
      </c>
      <c r="N7" s="198"/>
      <c r="O7" s="322" t="s">
        <v>553</v>
      </c>
      <c r="P7" s="322">
        <f>COUNTIF($G$2:$G$477,"PF")</f>
        <v>57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707.0</v>
      </c>
      <c r="B8" s="426" t="s">
        <v>11948</v>
      </c>
      <c r="C8" s="426">
        <v>2001.0</v>
      </c>
      <c r="D8" s="500">
        <v>37039.0</v>
      </c>
      <c r="E8" s="426" t="s">
        <v>11949</v>
      </c>
      <c r="F8" s="426" t="s">
        <v>963</v>
      </c>
      <c r="G8" s="426" t="s">
        <v>17</v>
      </c>
      <c r="H8" s="426" t="s">
        <v>601</v>
      </c>
      <c r="I8" s="500">
        <v>39111.0</v>
      </c>
      <c r="J8" s="428">
        <v>1.0</v>
      </c>
      <c r="K8" s="637" t="s">
        <v>238</v>
      </c>
      <c r="L8" s="428" t="s">
        <v>258</v>
      </c>
      <c r="M8" s="319">
        <f t="shared" si="1"/>
        <v>2072</v>
      </c>
      <c r="N8" s="198"/>
      <c r="O8" s="321" t="s">
        <v>547</v>
      </c>
      <c r="P8" s="321">
        <f>COUNTIF($G$2:$G$477,"PFN")</f>
        <v>5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807.0</v>
      </c>
      <c r="B9" s="420" t="s">
        <v>11950</v>
      </c>
      <c r="C9" s="420">
        <v>2004.0</v>
      </c>
      <c r="D9" s="497">
        <v>38135.0</v>
      </c>
      <c r="E9" s="420" t="s">
        <v>11951</v>
      </c>
      <c r="F9" s="420" t="s">
        <v>11952</v>
      </c>
      <c r="G9" s="420" t="s">
        <v>17</v>
      </c>
      <c r="H9" s="420" t="s">
        <v>651</v>
      </c>
      <c r="I9" s="497">
        <v>39111.0</v>
      </c>
      <c r="J9" s="422">
        <v>1.0</v>
      </c>
      <c r="K9" s="635" t="s">
        <v>228</v>
      </c>
      <c r="L9" s="420" t="s">
        <v>256</v>
      </c>
      <c r="M9" s="316">
        <f t="shared" si="1"/>
        <v>976</v>
      </c>
      <c r="N9" s="198"/>
      <c r="O9" s="322" t="s">
        <v>560</v>
      </c>
      <c r="P9" s="322">
        <f>COUNTIF($G$2:$G$477,"PF/PTE")</f>
        <v>79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907.0</v>
      </c>
      <c r="B10" s="426" t="s">
        <v>11953</v>
      </c>
      <c r="C10" s="426">
        <v>2001.0</v>
      </c>
      <c r="D10" s="500">
        <v>37039.0</v>
      </c>
      <c r="E10" s="426" t="s">
        <v>11954</v>
      </c>
      <c r="F10" s="426" t="s">
        <v>963</v>
      </c>
      <c r="G10" s="426" t="s">
        <v>552</v>
      </c>
      <c r="H10" s="426" t="s">
        <v>601</v>
      </c>
      <c r="I10" s="500">
        <v>39113.0</v>
      </c>
      <c r="J10" s="428">
        <v>1.0</v>
      </c>
      <c r="K10" s="637" t="s">
        <v>238</v>
      </c>
      <c r="L10" s="428" t="s">
        <v>258</v>
      </c>
      <c r="M10" s="319">
        <f t="shared" si="1"/>
        <v>2074</v>
      </c>
      <c r="N10" s="198"/>
      <c r="O10" s="321" t="s">
        <v>565</v>
      </c>
      <c r="P10" s="321">
        <f>COUNTIF($G$2:$G$477,"Bio")</f>
        <v>7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1007.0</v>
      </c>
      <c r="B11" s="420" t="s">
        <v>11955</v>
      </c>
      <c r="C11" s="420">
        <v>2001.0</v>
      </c>
      <c r="D11" s="497">
        <v>37060.0</v>
      </c>
      <c r="E11" s="420" t="s">
        <v>11956</v>
      </c>
      <c r="F11" s="420" t="s">
        <v>1533</v>
      </c>
      <c r="G11" s="420" t="s">
        <v>650</v>
      </c>
      <c r="H11" s="420" t="s">
        <v>601</v>
      </c>
      <c r="I11" s="497">
        <v>39113.0</v>
      </c>
      <c r="J11" s="422">
        <v>1.0</v>
      </c>
      <c r="K11" s="638" t="s">
        <v>234</v>
      </c>
      <c r="L11" s="420" t="s">
        <v>256</v>
      </c>
      <c r="M11" s="316">
        <f t="shared" si="1"/>
        <v>2053</v>
      </c>
      <c r="N11" s="198"/>
      <c r="O11" s="323" t="s">
        <v>569</v>
      </c>
      <c r="P11" s="323">
        <f>COUNTIF($G$2:$G$477,"Bio/Org")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1107.0</v>
      </c>
      <c r="B12" s="426" t="s">
        <v>11957</v>
      </c>
      <c r="C12" s="426">
        <v>2004.0</v>
      </c>
      <c r="D12" s="500">
        <v>38141.0</v>
      </c>
      <c r="E12" s="426" t="s">
        <v>11958</v>
      </c>
      <c r="F12" s="426" t="s">
        <v>11959</v>
      </c>
      <c r="G12" s="426" t="s">
        <v>17</v>
      </c>
      <c r="H12" s="426" t="s">
        <v>651</v>
      </c>
      <c r="I12" s="500">
        <v>39122.0</v>
      </c>
      <c r="J12" s="428">
        <v>2.0</v>
      </c>
      <c r="K12" s="638" t="s">
        <v>234</v>
      </c>
      <c r="L12" s="428" t="s">
        <v>256</v>
      </c>
      <c r="M12" s="319">
        <f t="shared" si="1"/>
        <v>981</v>
      </c>
      <c r="N12" s="198"/>
      <c r="O12" s="324" t="s">
        <v>51</v>
      </c>
      <c r="P12" s="325">
        <f>SUM(P3:P11)</f>
        <v>202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1207.0</v>
      </c>
      <c r="B13" s="420" t="s">
        <v>11960</v>
      </c>
      <c r="C13" s="420">
        <v>2003.0</v>
      </c>
      <c r="D13" s="497">
        <v>37819.0</v>
      </c>
      <c r="E13" s="420" t="s">
        <v>11961</v>
      </c>
      <c r="F13" s="420" t="s">
        <v>11507</v>
      </c>
      <c r="G13" s="420" t="s">
        <v>17</v>
      </c>
      <c r="H13" s="420" t="s">
        <v>601</v>
      </c>
      <c r="I13" s="497">
        <v>39122.0</v>
      </c>
      <c r="J13" s="422">
        <v>2.0</v>
      </c>
      <c r="K13" s="638" t="s">
        <v>234</v>
      </c>
      <c r="L13" s="420" t="s">
        <v>256</v>
      </c>
      <c r="M13" s="316">
        <f t="shared" si="1"/>
        <v>1303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1307.0</v>
      </c>
      <c r="B14" s="426" t="s">
        <v>11962</v>
      </c>
      <c r="C14" s="426">
        <v>2003.0</v>
      </c>
      <c r="D14" s="500">
        <v>37895.0</v>
      </c>
      <c r="E14" s="426" t="s">
        <v>11963</v>
      </c>
      <c r="F14" s="426" t="s">
        <v>11964</v>
      </c>
      <c r="G14" s="426" t="s">
        <v>34</v>
      </c>
      <c r="H14" s="426" t="s">
        <v>18</v>
      </c>
      <c r="I14" s="500">
        <v>39126.0</v>
      </c>
      <c r="J14" s="428">
        <v>2.0</v>
      </c>
      <c r="K14" s="638" t="s">
        <v>234</v>
      </c>
      <c r="L14" s="428" t="s">
        <v>256</v>
      </c>
      <c r="M14" s="319">
        <f t="shared" si="1"/>
        <v>1231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1407.0</v>
      </c>
      <c r="B15" s="420" t="s">
        <v>11965</v>
      </c>
      <c r="C15" s="420">
        <v>2005.0</v>
      </c>
      <c r="D15" s="497">
        <v>38560.0</v>
      </c>
      <c r="E15" s="420" t="s">
        <v>11966</v>
      </c>
      <c r="F15" s="420" t="s">
        <v>5666</v>
      </c>
      <c r="G15" s="420" t="s">
        <v>17</v>
      </c>
      <c r="H15" s="420" t="s">
        <v>158</v>
      </c>
      <c r="I15" s="497">
        <v>39139.0</v>
      </c>
      <c r="J15" s="422">
        <v>2.0</v>
      </c>
      <c r="K15" s="637" t="s">
        <v>238</v>
      </c>
      <c r="L15" s="420" t="s">
        <v>256</v>
      </c>
      <c r="M15" s="316">
        <f t="shared" si="1"/>
        <v>579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1507.0</v>
      </c>
      <c r="B16" s="426" t="s">
        <v>11967</v>
      </c>
      <c r="C16" s="426">
        <v>2005.0</v>
      </c>
      <c r="D16" s="500">
        <v>38677.0</v>
      </c>
      <c r="E16" s="426" t="s">
        <v>11968</v>
      </c>
      <c r="F16" s="426" t="s">
        <v>11969</v>
      </c>
      <c r="G16" s="426" t="s">
        <v>650</v>
      </c>
      <c r="H16" s="426" t="s">
        <v>705</v>
      </c>
      <c r="I16" s="500">
        <v>39141.0</v>
      </c>
      <c r="J16" s="428">
        <v>2.0</v>
      </c>
      <c r="K16" s="636" t="s">
        <v>244</v>
      </c>
      <c r="L16" s="428" t="s">
        <v>260</v>
      </c>
      <c r="M16" s="319">
        <f t="shared" si="1"/>
        <v>464</v>
      </c>
      <c r="N16" s="198"/>
      <c r="O16" s="331" t="s">
        <v>11970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1607.0</v>
      </c>
      <c r="B17" s="420" t="s">
        <v>11971</v>
      </c>
      <c r="C17" s="420">
        <v>2005.0</v>
      </c>
      <c r="D17" s="497">
        <v>38555.0</v>
      </c>
      <c r="E17" s="420" t="s">
        <v>11972</v>
      </c>
      <c r="F17" s="420" t="s">
        <v>900</v>
      </c>
      <c r="G17" s="420" t="s">
        <v>17</v>
      </c>
      <c r="H17" s="420" t="s">
        <v>56</v>
      </c>
      <c r="I17" s="497">
        <v>39141.0</v>
      </c>
      <c r="J17" s="422">
        <v>2.0</v>
      </c>
      <c r="K17" s="637" t="s">
        <v>238</v>
      </c>
      <c r="L17" s="420" t="s">
        <v>260</v>
      </c>
      <c r="M17" s="316">
        <f t="shared" si="1"/>
        <v>586</v>
      </c>
      <c r="N17" s="198"/>
      <c r="O17" s="334" t="s">
        <v>11973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1707.0</v>
      </c>
      <c r="B18" s="426" t="s">
        <v>11974</v>
      </c>
      <c r="C18" s="426">
        <v>2005.0</v>
      </c>
      <c r="D18" s="500">
        <v>38651.0</v>
      </c>
      <c r="E18" s="426" t="s">
        <v>11975</v>
      </c>
      <c r="F18" s="426" t="s">
        <v>900</v>
      </c>
      <c r="G18" s="426" t="s">
        <v>17</v>
      </c>
      <c r="H18" s="426" t="s">
        <v>11527</v>
      </c>
      <c r="I18" s="500">
        <v>39153.0</v>
      </c>
      <c r="J18" s="428">
        <v>3.0</v>
      </c>
      <c r="K18" s="635" t="s">
        <v>228</v>
      </c>
      <c r="L18" s="428" t="s">
        <v>256</v>
      </c>
      <c r="M18" s="319">
        <f t="shared" si="1"/>
        <v>502</v>
      </c>
      <c r="N18" s="198"/>
      <c r="O18" s="335" t="s">
        <v>11976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1807.0</v>
      </c>
      <c r="B19" s="420" t="s">
        <v>11977</v>
      </c>
      <c r="C19" s="420">
        <v>2005.0</v>
      </c>
      <c r="D19" s="497">
        <v>38659.0</v>
      </c>
      <c r="E19" s="420" t="s">
        <v>11978</v>
      </c>
      <c r="F19" s="420" t="s">
        <v>874</v>
      </c>
      <c r="G19" s="420" t="s">
        <v>17</v>
      </c>
      <c r="H19" s="420" t="s">
        <v>9672</v>
      </c>
      <c r="I19" s="497">
        <v>39153.0</v>
      </c>
      <c r="J19" s="422">
        <v>3.0</v>
      </c>
      <c r="K19" s="637" t="s">
        <v>238</v>
      </c>
      <c r="L19" s="420" t="s">
        <v>256</v>
      </c>
      <c r="M19" s="316">
        <f t="shared" si="1"/>
        <v>494</v>
      </c>
      <c r="N19" s="198"/>
      <c r="O19" s="334" t="s">
        <v>11979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1907.0</v>
      </c>
      <c r="B20" s="426" t="s">
        <v>11980</v>
      </c>
      <c r="C20" s="426">
        <v>2004.0</v>
      </c>
      <c r="D20" s="500">
        <v>38077.0</v>
      </c>
      <c r="E20" s="426" t="s">
        <v>11981</v>
      </c>
      <c r="F20" s="426" t="s">
        <v>3078</v>
      </c>
      <c r="G20" s="426" t="s">
        <v>17</v>
      </c>
      <c r="H20" s="426" t="s">
        <v>601</v>
      </c>
      <c r="I20" s="500">
        <v>39155.0</v>
      </c>
      <c r="J20" s="428">
        <v>3.0</v>
      </c>
      <c r="K20" s="637" t="s">
        <v>238</v>
      </c>
      <c r="L20" s="428" t="s">
        <v>256</v>
      </c>
      <c r="M20" s="319">
        <f t="shared" si="1"/>
        <v>1078</v>
      </c>
      <c r="N20" s="198"/>
      <c r="O20" s="335" t="s">
        <v>11982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2007.0</v>
      </c>
      <c r="B21" s="420" t="s">
        <v>11983</v>
      </c>
      <c r="C21" s="420">
        <v>2005.0</v>
      </c>
      <c r="D21" s="497">
        <v>38665.0</v>
      </c>
      <c r="E21" s="420" t="s">
        <v>11984</v>
      </c>
      <c r="F21" s="623" t="s">
        <v>11985</v>
      </c>
      <c r="G21" s="420" t="s">
        <v>565</v>
      </c>
      <c r="H21" s="420" t="s">
        <v>11986</v>
      </c>
      <c r="I21" s="497">
        <v>39155.0</v>
      </c>
      <c r="J21" s="422">
        <v>3.0</v>
      </c>
      <c r="K21" s="637" t="s">
        <v>238</v>
      </c>
      <c r="L21" s="420" t="s">
        <v>260</v>
      </c>
      <c r="M21" s="316">
        <f t="shared" si="1"/>
        <v>490</v>
      </c>
      <c r="N21" s="198"/>
      <c r="O21" s="334" t="s">
        <v>11987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2107.0</v>
      </c>
      <c r="B22" s="426" t="s">
        <v>11988</v>
      </c>
      <c r="C22" s="426">
        <v>2004.0</v>
      </c>
      <c r="D22" s="500">
        <v>38173.0</v>
      </c>
      <c r="E22" s="426" t="s">
        <v>11989</v>
      </c>
      <c r="F22" s="426" t="s">
        <v>11964</v>
      </c>
      <c r="G22" s="426" t="s">
        <v>547</v>
      </c>
      <c r="H22" s="426" t="s">
        <v>18</v>
      </c>
      <c r="I22" s="500">
        <v>39155.0</v>
      </c>
      <c r="J22" s="428">
        <v>3.0</v>
      </c>
      <c r="K22" s="638" t="s">
        <v>234</v>
      </c>
      <c r="L22" s="428" t="s">
        <v>258</v>
      </c>
      <c r="M22" s="319">
        <f t="shared" si="1"/>
        <v>982</v>
      </c>
      <c r="N22" s="198"/>
      <c r="O22" s="335" t="s">
        <v>11990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2207.0</v>
      </c>
      <c r="B23" s="420" t="s">
        <v>11991</v>
      </c>
      <c r="C23" s="420">
        <v>2003.0</v>
      </c>
      <c r="D23" s="497">
        <v>37973.0</v>
      </c>
      <c r="E23" s="420" t="s">
        <v>11992</v>
      </c>
      <c r="F23" s="420" t="s">
        <v>6747</v>
      </c>
      <c r="G23" s="420" t="s">
        <v>17</v>
      </c>
      <c r="H23" s="420" t="s">
        <v>50</v>
      </c>
      <c r="I23" s="497">
        <v>39157.0</v>
      </c>
      <c r="J23" s="422">
        <v>3.0</v>
      </c>
      <c r="K23" s="637" t="s">
        <v>238</v>
      </c>
      <c r="L23" s="420" t="s">
        <v>258</v>
      </c>
      <c r="M23" s="316">
        <f t="shared" si="1"/>
        <v>1184</v>
      </c>
      <c r="N23" s="198"/>
      <c r="O23" s="334" t="s">
        <v>11993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2307.0</v>
      </c>
      <c r="B24" s="426" t="s">
        <v>11994</v>
      </c>
      <c r="C24" s="426">
        <v>2003.0</v>
      </c>
      <c r="D24" s="500">
        <v>37971.0</v>
      </c>
      <c r="E24" s="426" t="s">
        <v>11995</v>
      </c>
      <c r="F24" s="426" t="s">
        <v>31</v>
      </c>
      <c r="G24" s="426" t="s">
        <v>552</v>
      </c>
      <c r="H24" s="426" t="s">
        <v>8845</v>
      </c>
      <c r="I24" s="500">
        <v>39157.0</v>
      </c>
      <c r="J24" s="428">
        <v>3.0</v>
      </c>
      <c r="K24" s="635" t="s">
        <v>228</v>
      </c>
      <c r="L24" s="428" t="s">
        <v>256</v>
      </c>
      <c r="M24" s="319">
        <f t="shared" si="1"/>
        <v>1186</v>
      </c>
      <c r="N24" s="198"/>
      <c r="O24" s="336" t="s">
        <v>11996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2407.0</v>
      </c>
      <c r="B25" s="420" t="s">
        <v>11997</v>
      </c>
      <c r="C25" s="420">
        <v>2001.0</v>
      </c>
      <c r="D25" s="497">
        <v>37124.0</v>
      </c>
      <c r="E25" s="420" t="s">
        <v>11998</v>
      </c>
      <c r="F25" s="420" t="s">
        <v>11999</v>
      </c>
      <c r="G25" s="420" t="s">
        <v>650</v>
      </c>
      <c r="H25" s="420" t="s">
        <v>705</v>
      </c>
      <c r="I25" s="497">
        <v>39157.0</v>
      </c>
      <c r="J25" s="422">
        <v>3.0</v>
      </c>
      <c r="K25" s="637" t="s">
        <v>238</v>
      </c>
      <c r="L25" s="420" t="s">
        <v>256</v>
      </c>
      <c r="M25" s="316">
        <f t="shared" si="1"/>
        <v>2033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2507.0</v>
      </c>
      <c r="B26" s="426" t="s">
        <v>12000</v>
      </c>
      <c r="C26" s="426">
        <v>2006.0</v>
      </c>
      <c r="D26" s="500">
        <v>38814.0</v>
      </c>
      <c r="E26" s="426" t="s">
        <v>12001</v>
      </c>
      <c r="F26" s="426" t="s">
        <v>1232</v>
      </c>
      <c r="G26" s="426" t="s">
        <v>552</v>
      </c>
      <c r="H26" s="426" t="s">
        <v>163</v>
      </c>
      <c r="I26" s="500">
        <v>39161.0</v>
      </c>
      <c r="J26" s="428">
        <v>3.0</v>
      </c>
      <c r="K26" s="635" t="s">
        <v>228</v>
      </c>
      <c r="L26" s="428" t="s">
        <v>256</v>
      </c>
      <c r="M26" s="319">
        <f t="shared" si="1"/>
        <v>347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2607.0</v>
      </c>
      <c r="B27" s="420" t="s">
        <v>12002</v>
      </c>
      <c r="C27" s="420">
        <v>2004.0</v>
      </c>
      <c r="D27" s="497">
        <v>38084.0</v>
      </c>
      <c r="E27" s="420" t="s">
        <v>12003</v>
      </c>
      <c r="F27" s="420" t="s">
        <v>134</v>
      </c>
      <c r="G27" s="420" t="s">
        <v>552</v>
      </c>
      <c r="H27" s="420" t="s">
        <v>8274</v>
      </c>
      <c r="I27" s="497">
        <v>39163.0</v>
      </c>
      <c r="J27" s="422">
        <v>3.0</v>
      </c>
      <c r="K27" s="637" t="s">
        <v>238</v>
      </c>
      <c r="L27" s="420" t="s">
        <v>258</v>
      </c>
      <c r="M27" s="316">
        <f t="shared" si="1"/>
        <v>1079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2707.0</v>
      </c>
      <c r="B28" s="426" t="s">
        <v>12004</v>
      </c>
      <c r="C28" s="426">
        <v>2005.0</v>
      </c>
      <c r="D28" s="500">
        <v>38551.0</v>
      </c>
      <c r="E28" s="426" t="s">
        <v>12005</v>
      </c>
      <c r="F28" s="426" t="s">
        <v>1401</v>
      </c>
      <c r="G28" s="426" t="s">
        <v>17</v>
      </c>
      <c r="H28" s="426" t="s">
        <v>929</v>
      </c>
      <c r="I28" s="500">
        <v>39163.0</v>
      </c>
      <c r="J28" s="428">
        <v>3.0</v>
      </c>
      <c r="K28" s="637" t="s">
        <v>238</v>
      </c>
      <c r="L28" s="428" t="s">
        <v>258</v>
      </c>
      <c r="M28" s="319">
        <f t="shared" si="1"/>
        <v>612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2807.0</v>
      </c>
      <c r="B29" s="420" t="s">
        <v>12006</v>
      </c>
      <c r="C29" s="420">
        <v>2003.0</v>
      </c>
      <c r="D29" s="497">
        <v>37979.0</v>
      </c>
      <c r="E29" s="420" t="s">
        <v>12007</v>
      </c>
      <c r="F29" s="420" t="s">
        <v>12008</v>
      </c>
      <c r="G29" s="420" t="s">
        <v>650</v>
      </c>
      <c r="H29" s="420" t="s">
        <v>158</v>
      </c>
      <c r="I29" s="497">
        <v>39163.0</v>
      </c>
      <c r="J29" s="422">
        <v>3.0</v>
      </c>
      <c r="K29" s="637" t="s">
        <v>238</v>
      </c>
      <c r="L29" s="420" t="s">
        <v>256</v>
      </c>
      <c r="M29" s="316">
        <f t="shared" si="1"/>
        <v>1184</v>
      </c>
      <c r="N29" s="198"/>
      <c r="O29" s="322">
        <v>1995.0</v>
      </c>
      <c r="P29" s="346">
        <f>COUNTIF($C$2:$C$504,"1995")</f>
        <v>1</v>
      </c>
      <c r="Q29" s="113"/>
      <c r="R29" s="114"/>
      <c r="S29" s="343">
        <f>P29/P42</f>
        <v>0.00495049505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2907.0</v>
      </c>
      <c r="B30" s="426" t="s">
        <v>12009</v>
      </c>
      <c r="C30" s="426">
        <v>2002.0</v>
      </c>
      <c r="D30" s="500">
        <v>37613.0</v>
      </c>
      <c r="E30" s="426" t="s">
        <v>12010</v>
      </c>
      <c r="F30" s="426" t="s">
        <v>2873</v>
      </c>
      <c r="G30" s="426" t="s">
        <v>17</v>
      </c>
      <c r="H30" s="426" t="s">
        <v>5180</v>
      </c>
      <c r="I30" s="500">
        <v>39167.0</v>
      </c>
      <c r="J30" s="428">
        <v>3.0</v>
      </c>
      <c r="K30" s="635" t="s">
        <v>228</v>
      </c>
      <c r="L30" s="428" t="s">
        <v>258</v>
      </c>
      <c r="M30" s="319">
        <f t="shared" si="1"/>
        <v>1554</v>
      </c>
      <c r="N30" s="198"/>
      <c r="O30" s="321">
        <v>1996.0</v>
      </c>
      <c r="P30" s="344">
        <f>COUNTIF($C$2:$C$504,"1996")</f>
        <v>1</v>
      </c>
      <c r="Q30" s="113"/>
      <c r="R30" s="114"/>
      <c r="S30" s="345">
        <f>P30/P42</f>
        <v>0.00495049505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3007.0</v>
      </c>
      <c r="B31" s="420" t="s">
        <v>12011</v>
      </c>
      <c r="C31" s="420">
        <v>2005.0</v>
      </c>
      <c r="D31" s="497">
        <v>38502.0</v>
      </c>
      <c r="E31" s="420" t="s">
        <v>12012</v>
      </c>
      <c r="F31" s="420" t="s">
        <v>12013</v>
      </c>
      <c r="G31" s="420" t="s">
        <v>650</v>
      </c>
      <c r="H31" s="420" t="s">
        <v>12014</v>
      </c>
      <c r="I31" s="497">
        <v>39170.0</v>
      </c>
      <c r="J31" s="422">
        <v>3.0</v>
      </c>
      <c r="K31" s="638" t="s">
        <v>234</v>
      </c>
      <c r="L31" s="420" t="s">
        <v>260</v>
      </c>
      <c r="M31" s="316">
        <f t="shared" si="1"/>
        <v>668</v>
      </c>
      <c r="N31" s="198"/>
      <c r="O31" s="322">
        <v>1997.0</v>
      </c>
      <c r="P31" s="346">
        <f>COUNTIF($C$2:$C$504,"1997")</f>
        <v>2</v>
      </c>
      <c r="Q31" s="113"/>
      <c r="R31" s="114"/>
      <c r="S31" s="343">
        <f>P31/P42</f>
        <v>0.009900990099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3107.0</v>
      </c>
      <c r="B32" s="426" t="s">
        <v>12015</v>
      </c>
      <c r="C32" s="426">
        <v>2004.0</v>
      </c>
      <c r="D32" s="500">
        <v>38166.0</v>
      </c>
      <c r="E32" s="426" t="s">
        <v>12016</v>
      </c>
      <c r="F32" s="426" t="s">
        <v>12017</v>
      </c>
      <c r="G32" s="426" t="s">
        <v>565</v>
      </c>
      <c r="H32" s="426" t="s">
        <v>8438</v>
      </c>
      <c r="I32" s="500">
        <v>39170.0</v>
      </c>
      <c r="J32" s="428">
        <v>3.0</v>
      </c>
      <c r="K32" s="637" t="s">
        <v>238</v>
      </c>
      <c r="L32" s="428" t="s">
        <v>260</v>
      </c>
      <c r="M32" s="319">
        <f t="shared" si="1"/>
        <v>1004</v>
      </c>
      <c r="N32" s="198"/>
      <c r="O32" s="321">
        <v>1998.0</v>
      </c>
      <c r="P32" s="344">
        <f>COUNTIF($C$2:$C$504,"1998")</f>
        <v>1</v>
      </c>
      <c r="Q32" s="113"/>
      <c r="R32" s="114"/>
      <c r="S32" s="345">
        <f>P32/P42</f>
        <v>0.00495049505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3207.0</v>
      </c>
      <c r="B33" s="420" t="s">
        <v>12018</v>
      </c>
      <c r="C33" s="420">
        <v>2004.0</v>
      </c>
      <c r="D33" s="497">
        <v>38077.0</v>
      </c>
      <c r="E33" s="420" t="s">
        <v>12019</v>
      </c>
      <c r="F33" s="420" t="s">
        <v>874</v>
      </c>
      <c r="G33" s="420" t="s">
        <v>650</v>
      </c>
      <c r="H33" s="420" t="s">
        <v>601</v>
      </c>
      <c r="I33" s="497">
        <v>39175.0</v>
      </c>
      <c r="J33" s="422">
        <v>4.0</v>
      </c>
      <c r="K33" s="638" t="s">
        <v>234</v>
      </c>
      <c r="L33" s="420" t="s">
        <v>256</v>
      </c>
      <c r="M33" s="316">
        <f t="shared" si="1"/>
        <v>1098</v>
      </c>
      <c r="N33" s="198"/>
      <c r="O33" s="322">
        <v>1999.0</v>
      </c>
      <c r="P33" s="346">
        <f>COUNTIF($C$2:$C$504,"1999")</f>
        <v>4</v>
      </c>
      <c r="Q33" s="113"/>
      <c r="R33" s="114"/>
      <c r="S33" s="343">
        <f>P33/P42</f>
        <v>0.0198019802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3307.0</v>
      </c>
      <c r="B34" s="426" t="s">
        <v>12020</v>
      </c>
      <c r="C34" s="426">
        <v>2004.0</v>
      </c>
      <c r="D34" s="500">
        <v>38338.0</v>
      </c>
      <c r="E34" s="426" t="s">
        <v>12021</v>
      </c>
      <c r="F34" s="426" t="s">
        <v>10939</v>
      </c>
      <c r="G34" s="426" t="s">
        <v>650</v>
      </c>
      <c r="H34" s="426" t="s">
        <v>601</v>
      </c>
      <c r="I34" s="500">
        <v>39175.0</v>
      </c>
      <c r="J34" s="428">
        <v>4.0</v>
      </c>
      <c r="K34" s="638" t="s">
        <v>234</v>
      </c>
      <c r="L34" s="428" t="s">
        <v>256</v>
      </c>
      <c r="M34" s="319">
        <f t="shared" si="1"/>
        <v>837</v>
      </c>
      <c r="N34" s="198"/>
      <c r="O34" s="321">
        <v>2000.0</v>
      </c>
      <c r="P34" s="344">
        <f>COUNTIF($C$2:$C$504,"2000")</f>
        <v>6</v>
      </c>
      <c r="Q34" s="113"/>
      <c r="R34" s="114"/>
      <c r="S34" s="345">
        <f>P34/P42</f>
        <v>0.0297029703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3407.0</v>
      </c>
      <c r="B35" s="420" t="s">
        <v>12022</v>
      </c>
      <c r="C35" s="420">
        <v>2004.0</v>
      </c>
      <c r="D35" s="497">
        <v>38197.0</v>
      </c>
      <c r="E35" s="420" t="s">
        <v>12023</v>
      </c>
      <c r="F35" s="420" t="s">
        <v>963</v>
      </c>
      <c r="G35" s="420" t="s">
        <v>552</v>
      </c>
      <c r="H35" s="420" t="s">
        <v>7403</v>
      </c>
      <c r="I35" s="497">
        <v>39182.0</v>
      </c>
      <c r="J35" s="422">
        <v>4.0</v>
      </c>
      <c r="K35" s="637" t="s">
        <v>238</v>
      </c>
      <c r="L35" s="420" t="s">
        <v>258</v>
      </c>
      <c r="M35" s="316">
        <f t="shared" si="1"/>
        <v>985</v>
      </c>
      <c r="N35" s="198"/>
      <c r="O35" s="322">
        <v>2001.0</v>
      </c>
      <c r="P35" s="346">
        <f>COUNTIF($C$2:$C$504,"2001")</f>
        <v>15</v>
      </c>
      <c r="Q35" s="113"/>
      <c r="R35" s="114"/>
      <c r="S35" s="343">
        <f>P35/P42</f>
        <v>0.07425742574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3507.0</v>
      </c>
      <c r="B36" s="426" t="s">
        <v>12024</v>
      </c>
      <c r="C36" s="426">
        <v>2005.0</v>
      </c>
      <c r="D36" s="500">
        <v>38503.0</v>
      </c>
      <c r="E36" s="426" t="s">
        <v>12025</v>
      </c>
      <c r="F36" s="426" t="s">
        <v>134</v>
      </c>
      <c r="G36" s="426" t="s">
        <v>17</v>
      </c>
      <c r="H36" s="426" t="s">
        <v>56</v>
      </c>
      <c r="I36" s="500">
        <v>39182.0</v>
      </c>
      <c r="J36" s="428">
        <v>4.0</v>
      </c>
      <c r="K36" s="638" t="s">
        <v>234</v>
      </c>
      <c r="L36" s="428" t="s">
        <v>258</v>
      </c>
      <c r="M36" s="319">
        <f t="shared" si="1"/>
        <v>679</v>
      </c>
      <c r="N36" s="198"/>
      <c r="O36" s="321">
        <v>2002.0</v>
      </c>
      <c r="P36" s="344">
        <f>COUNTIF($C$2:$C$504,"2002")</f>
        <v>5</v>
      </c>
      <c r="Q36" s="113"/>
      <c r="R36" s="114"/>
      <c r="S36" s="345">
        <f>P36/P42</f>
        <v>0.02475247525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578">
        <v>3607.0</v>
      </c>
      <c r="B37" s="420" t="s">
        <v>12026</v>
      </c>
      <c r="C37" s="420">
        <v>2006.0</v>
      </c>
      <c r="D37" s="497">
        <v>38761.0</v>
      </c>
      <c r="E37" s="420" t="s">
        <v>12027</v>
      </c>
      <c r="F37" s="420" t="s">
        <v>963</v>
      </c>
      <c r="G37" s="420" t="s">
        <v>552</v>
      </c>
      <c r="H37" s="420" t="s">
        <v>7907</v>
      </c>
      <c r="I37" s="497">
        <v>39191.0</v>
      </c>
      <c r="J37" s="422">
        <v>4.0</v>
      </c>
      <c r="K37" s="637" t="s">
        <v>238</v>
      </c>
      <c r="L37" s="420" t="s">
        <v>258</v>
      </c>
      <c r="M37" s="316">
        <f t="shared" si="1"/>
        <v>430</v>
      </c>
      <c r="N37" s="198"/>
      <c r="O37" s="322">
        <v>2003.0</v>
      </c>
      <c r="P37" s="346">
        <f>COUNTIF($C$2:$C$504,"2003")</f>
        <v>24</v>
      </c>
      <c r="Q37" s="113"/>
      <c r="R37" s="114"/>
      <c r="S37" s="343">
        <f>P37/P42</f>
        <v>0.1188118812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3707.0</v>
      </c>
      <c r="B38" s="426" t="s">
        <v>12028</v>
      </c>
      <c r="C38" s="426">
        <v>2006.0</v>
      </c>
      <c r="D38" s="500">
        <v>38761.0</v>
      </c>
      <c r="E38" s="426" t="s">
        <v>12029</v>
      </c>
      <c r="F38" s="426" t="s">
        <v>963</v>
      </c>
      <c r="G38" s="426" t="s">
        <v>552</v>
      </c>
      <c r="H38" s="426" t="s">
        <v>7907</v>
      </c>
      <c r="I38" s="500">
        <v>39191.0</v>
      </c>
      <c r="J38" s="428">
        <v>4.0</v>
      </c>
      <c r="K38" s="637" t="s">
        <v>238</v>
      </c>
      <c r="L38" s="428" t="s">
        <v>258</v>
      </c>
      <c r="M38" s="319">
        <f t="shared" si="1"/>
        <v>430</v>
      </c>
      <c r="N38" s="198"/>
      <c r="O38" s="321">
        <v>2004.0</v>
      </c>
      <c r="P38" s="344">
        <f>COUNTIF($C$2:$C$504,"2004")</f>
        <v>46</v>
      </c>
      <c r="Q38" s="113"/>
      <c r="R38" s="114"/>
      <c r="S38" s="345">
        <f>P38/P42</f>
        <v>0.2277227723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3807.0</v>
      </c>
      <c r="B39" s="420" t="s">
        <v>12030</v>
      </c>
      <c r="C39" s="420">
        <v>2006.0</v>
      </c>
      <c r="D39" s="497">
        <v>38819.0</v>
      </c>
      <c r="E39" s="420" t="s">
        <v>12031</v>
      </c>
      <c r="F39" s="420" t="s">
        <v>963</v>
      </c>
      <c r="G39" s="420" t="s">
        <v>552</v>
      </c>
      <c r="H39" s="420" t="s">
        <v>7907</v>
      </c>
      <c r="I39" s="497">
        <v>39191.0</v>
      </c>
      <c r="J39" s="422">
        <v>4.0</v>
      </c>
      <c r="K39" s="637" t="s">
        <v>238</v>
      </c>
      <c r="L39" s="420" t="s">
        <v>258</v>
      </c>
      <c r="M39" s="316">
        <f t="shared" si="1"/>
        <v>372</v>
      </c>
      <c r="N39" s="198"/>
      <c r="O39" s="322">
        <v>2005.0</v>
      </c>
      <c r="P39" s="346">
        <f>COUNTIF($C$2:$C$504,"2005")</f>
        <v>64</v>
      </c>
      <c r="Q39" s="113"/>
      <c r="R39" s="114"/>
      <c r="S39" s="343">
        <f>P39/P42</f>
        <v>0.3168316832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3907.0</v>
      </c>
      <c r="B40" s="426" t="s">
        <v>12032</v>
      </c>
      <c r="C40" s="426">
        <v>2005.0</v>
      </c>
      <c r="D40" s="500">
        <v>38716.0</v>
      </c>
      <c r="E40" s="426" t="s">
        <v>12033</v>
      </c>
      <c r="F40" s="426" t="s">
        <v>1895</v>
      </c>
      <c r="G40" s="426" t="s">
        <v>552</v>
      </c>
      <c r="H40" s="426" t="s">
        <v>56</v>
      </c>
      <c r="I40" s="500">
        <v>39198.0</v>
      </c>
      <c r="J40" s="428">
        <v>4.0</v>
      </c>
      <c r="K40" s="635" t="s">
        <v>228</v>
      </c>
      <c r="L40" s="428" t="s">
        <v>256</v>
      </c>
      <c r="M40" s="319">
        <f t="shared" si="1"/>
        <v>482</v>
      </c>
      <c r="N40" s="198"/>
      <c r="O40" s="321">
        <v>2006.0</v>
      </c>
      <c r="P40" s="344">
        <f>COUNTIF($C$2:$C$504,"2006")</f>
        <v>28</v>
      </c>
      <c r="Q40" s="113"/>
      <c r="R40" s="114"/>
      <c r="S40" s="345">
        <f>P40/P42</f>
        <v>0.1386138614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4007.0</v>
      </c>
      <c r="B41" s="420" t="s">
        <v>12034</v>
      </c>
      <c r="C41" s="420">
        <v>2003.0</v>
      </c>
      <c r="D41" s="497">
        <v>37979.0</v>
      </c>
      <c r="E41" s="420" t="s">
        <v>12035</v>
      </c>
      <c r="F41" s="420" t="s">
        <v>12008</v>
      </c>
      <c r="G41" s="420" t="s">
        <v>650</v>
      </c>
      <c r="H41" s="420" t="s">
        <v>158</v>
      </c>
      <c r="I41" s="497">
        <v>39199.0</v>
      </c>
      <c r="J41" s="422">
        <v>4.0</v>
      </c>
      <c r="K41" s="637" t="s">
        <v>238</v>
      </c>
      <c r="L41" s="420" t="s">
        <v>256</v>
      </c>
      <c r="M41" s="316">
        <f t="shared" si="1"/>
        <v>1220</v>
      </c>
      <c r="N41" s="198"/>
      <c r="O41" s="322">
        <v>2007.0</v>
      </c>
      <c r="P41" s="346">
        <f>COUNTIF($C$2:$C$504,"2007")</f>
        <v>5</v>
      </c>
      <c r="Q41" s="113"/>
      <c r="R41" s="114"/>
      <c r="S41" s="343">
        <f>P41/P42</f>
        <v>0.02475247525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4107.0</v>
      </c>
      <c r="B42" s="426" t="s">
        <v>12036</v>
      </c>
      <c r="C42" s="426">
        <v>2005.0</v>
      </c>
      <c r="D42" s="500">
        <v>38609.0</v>
      </c>
      <c r="E42" s="426" t="s">
        <v>12037</v>
      </c>
      <c r="F42" s="426" t="s">
        <v>1203</v>
      </c>
      <c r="G42" s="426" t="s">
        <v>17</v>
      </c>
      <c r="H42" s="426" t="s">
        <v>5989</v>
      </c>
      <c r="I42" s="500">
        <v>39206.0</v>
      </c>
      <c r="J42" s="428">
        <v>5.0</v>
      </c>
      <c r="K42" s="638" t="s">
        <v>234</v>
      </c>
      <c r="L42" s="428" t="s">
        <v>256</v>
      </c>
      <c r="M42" s="319">
        <f t="shared" si="1"/>
        <v>597</v>
      </c>
      <c r="N42" s="198"/>
      <c r="O42" s="348" t="s">
        <v>179</v>
      </c>
      <c r="P42" s="349">
        <f>SUM(P29:R41)</f>
        <v>202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578">
        <v>4207.0</v>
      </c>
      <c r="B43" s="420" t="s">
        <v>12038</v>
      </c>
      <c r="C43" s="420">
        <v>1997.0</v>
      </c>
      <c r="D43" s="497">
        <v>35675.0</v>
      </c>
      <c r="E43" s="420" t="s">
        <v>12039</v>
      </c>
      <c r="F43" s="420" t="s">
        <v>12040</v>
      </c>
      <c r="G43" s="420" t="s">
        <v>650</v>
      </c>
      <c r="H43" s="420" t="s">
        <v>10911</v>
      </c>
      <c r="I43" s="497">
        <v>39210.0</v>
      </c>
      <c r="J43" s="422">
        <v>5.0</v>
      </c>
      <c r="K43" s="635" t="s">
        <v>228</v>
      </c>
      <c r="L43" s="420" t="s">
        <v>258</v>
      </c>
      <c r="M43" s="316">
        <f t="shared" si="1"/>
        <v>3535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585">
        <v>4307.0</v>
      </c>
      <c r="B44" s="426" t="s">
        <v>12041</v>
      </c>
      <c r="C44" s="426">
        <v>1997.0</v>
      </c>
      <c r="D44" s="500">
        <v>35675.0</v>
      </c>
      <c r="E44" s="426" t="s">
        <v>12042</v>
      </c>
      <c r="F44" s="426" t="s">
        <v>12040</v>
      </c>
      <c r="G44" s="426" t="s">
        <v>650</v>
      </c>
      <c r="H44" s="426" t="s">
        <v>10911</v>
      </c>
      <c r="I44" s="500">
        <v>39210.0</v>
      </c>
      <c r="J44" s="428">
        <v>5.0</v>
      </c>
      <c r="K44" s="635" t="s">
        <v>228</v>
      </c>
      <c r="L44" s="428" t="s">
        <v>258</v>
      </c>
      <c r="M44" s="319">
        <f t="shared" si="1"/>
        <v>3535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4407.0</v>
      </c>
      <c r="B45" s="420" t="s">
        <v>12043</v>
      </c>
      <c r="C45" s="420">
        <v>2005.0</v>
      </c>
      <c r="D45" s="497">
        <v>38521.0</v>
      </c>
      <c r="E45" s="420" t="s">
        <v>12044</v>
      </c>
      <c r="F45" s="420" t="s">
        <v>3078</v>
      </c>
      <c r="G45" s="420" t="s">
        <v>17</v>
      </c>
      <c r="H45" s="420" t="s">
        <v>9672</v>
      </c>
      <c r="I45" s="497">
        <v>39212.0</v>
      </c>
      <c r="J45" s="422">
        <v>5.0</v>
      </c>
      <c r="K45" s="637" t="s">
        <v>238</v>
      </c>
      <c r="L45" s="420" t="s">
        <v>258</v>
      </c>
      <c r="M45" s="316">
        <f t="shared" si="1"/>
        <v>691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4507.0</v>
      </c>
      <c r="B46" s="426" t="s">
        <v>12045</v>
      </c>
      <c r="C46" s="426">
        <v>2004.0</v>
      </c>
      <c r="D46" s="500">
        <v>38296.0</v>
      </c>
      <c r="E46" s="426" t="s">
        <v>12046</v>
      </c>
      <c r="F46" s="426" t="s">
        <v>11522</v>
      </c>
      <c r="G46" s="426" t="s">
        <v>650</v>
      </c>
      <c r="H46" s="426" t="s">
        <v>12047</v>
      </c>
      <c r="I46" s="500">
        <v>39212.0</v>
      </c>
      <c r="J46" s="428">
        <v>5.0</v>
      </c>
      <c r="K46" s="636" t="s">
        <v>244</v>
      </c>
      <c r="L46" s="428" t="s">
        <v>260</v>
      </c>
      <c r="M46" s="319">
        <f t="shared" si="1"/>
        <v>916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4607.0</v>
      </c>
      <c r="B47" s="420" t="s">
        <v>12048</v>
      </c>
      <c r="C47" s="420">
        <v>2003.0</v>
      </c>
      <c r="D47" s="497">
        <v>37971.0</v>
      </c>
      <c r="E47" s="420" t="s">
        <v>12049</v>
      </c>
      <c r="F47" s="420" t="s">
        <v>11617</v>
      </c>
      <c r="G47" s="420" t="s">
        <v>552</v>
      </c>
      <c r="H47" s="420" t="s">
        <v>8845</v>
      </c>
      <c r="I47" s="497">
        <v>39213.0</v>
      </c>
      <c r="J47" s="422">
        <v>5.0</v>
      </c>
      <c r="K47" s="636" t="s">
        <v>244</v>
      </c>
      <c r="L47" s="420" t="s">
        <v>258</v>
      </c>
      <c r="M47" s="316">
        <f t="shared" si="1"/>
        <v>1242</v>
      </c>
      <c r="N47" s="198"/>
      <c r="O47" s="353" t="s">
        <v>195</v>
      </c>
      <c r="P47" s="342">
        <f>COUNTIF($J$2:$J$477,"1")</f>
        <v>10</v>
      </c>
      <c r="Q47" s="332"/>
      <c r="R47" s="333"/>
      <c r="S47" s="354">
        <f>(P47/P59)</f>
        <v>0.0495049505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4707.0</v>
      </c>
      <c r="B48" s="426" t="s">
        <v>12050</v>
      </c>
      <c r="C48" s="426">
        <v>2006.0</v>
      </c>
      <c r="D48" s="500">
        <v>38861.0</v>
      </c>
      <c r="E48" s="426" t="s">
        <v>12051</v>
      </c>
      <c r="F48" s="426" t="s">
        <v>12052</v>
      </c>
      <c r="G48" s="426" t="s">
        <v>565</v>
      </c>
      <c r="H48" s="426" t="s">
        <v>18</v>
      </c>
      <c r="I48" s="500">
        <v>39216.0</v>
      </c>
      <c r="J48" s="428">
        <v>5.0</v>
      </c>
      <c r="K48" s="638" t="s">
        <v>234</v>
      </c>
      <c r="L48" s="428" t="s">
        <v>260</v>
      </c>
      <c r="M48" s="319">
        <f t="shared" si="1"/>
        <v>355</v>
      </c>
      <c r="N48" s="198"/>
      <c r="O48" s="321" t="s">
        <v>197</v>
      </c>
      <c r="P48" s="344">
        <f>COUNTIF($J$2:$J$477,"2")</f>
        <v>6</v>
      </c>
      <c r="Q48" s="113"/>
      <c r="R48" s="114"/>
      <c r="S48" s="345">
        <f>(P48/P59)</f>
        <v>0.0297029703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4807.0</v>
      </c>
      <c r="B49" s="420" t="s">
        <v>12053</v>
      </c>
      <c r="C49" s="420">
        <v>2004.0</v>
      </c>
      <c r="D49" s="497">
        <v>38324.0</v>
      </c>
      <c r="E49" s="420" t="s">
        <v>12054</v>
      </c>
      <c r="F49" s="420" t="s">
        <v>719</v>
      </c>
      <c r="G49" s="420" t="s">
        <v>17</v>
      </c>
      <c r="H49" s="420" t="s">
        <v>50</v>
      </c>
      <c r="I49" s="497">
        <v>39218.0</v>
      </c>
      <c r="J49" s="422">
        <v>5.0</v>
      </c>
      <c r="K49" s="637" t="s">
        <v>238</v>
      </c>
      <c r="L49" s="420" t="s">
        <v>256</v>
      </c>
      <c r="M49" s="316">
        <f t="shared" si="1"/>
        <v>894</v>
      </c>
      <c r="N49" s="198"/>
      <c r="O49" s="322" t="s">
        <v>199</v>
      </c>
      <c r="P49" s="346">
        <f>COUNTIF($J$2:$J$477,"3")</f>
        <v>15</v>
      </c>
      <c r="Q49" s="113"/>
      <c r="R49" s="114"/>
      <c r="S49" s="343">
        <f>(P49/P59)</f>
        <v>0.07425742574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4907.0</v>
      </c>
      <c r="B50" s="426" t="s">
        <v>12055</v>
      </c>
      <c r="C50" s="426">
        <v>2003.0</v>
      </c>
      <c r="D50" s="500">
        <v>37923.0</v>
      </c>
      <c r="E50" s="426" t="s">
        <v>12056</v>
      </c>
      <c r="F50" s="426" t="s">
        <v>3078</v>
      </c>
      <c r="G50" s="426" t="s">
        <v>650</v>
      </c>
      <c r="H50" s="426" t="s">
        <v>1002</v>
      </c>
      <c r="I50" s="500">
        <v>39219.0</v>
      </c>
      <c r="J50" s="428">
        <v>5.0</v>
      </c>
      <c r="K50" s="638" t="s">
        <v>234</v>
      </c>
      <c r="L50" s="428" t="s">
        <v>256</v>
      </c>
      <c r="M50" s="319">
        <f t="shared" si="1"/>
        <v>1296</v>
      </c>
      <c r="N50" s="198"/>
      <c r="O50" s="321" t="s">
        <v>201</v>
      </c>
      <c r="P50" s="344">
        <f>COUNTIF($J$2:$J$477,"4")</f>
        <v>9</v>
      </c>
      <c r="Q50" s="113"/>
      <c r="R50" s="114"/>
      <c r="S50" s="345">
        <f>(P50/P59)</f>
        <v>0.04455445545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5007.0</v>
      </c>
      <c r="B51" s="420" t="s">
        <v>12057</v>
      </c>
      <c r="C51" s="420">
        <v>2004.0</v>
      </c>
      <c r="D51" s="497">
        <v>38254.0</v>
      </c>
      <c r="E51" s="420" t="s">
        <v>12058</v>
      </c>
      <c r="F51" s="420" t="s">
        <v>2575</v>
      </c>
      <c r="G51" s="420" t="s">
        <v>552</v>
      </c>
      <c r="H51" s="420" t="s">
        <v>11527</v>
      </c>
      <c r="I51" s="497">
        <v>39219.0</v>
      </c>
      <c r="J51" s="422">
        <v>5.0</v>
      </c>
      <c r="K51" s="635" t="s">
        <v>228</v>
      </c>
      <c r="L51" s="420" t="s">
        <v>258</v>
      </c>
      <c r="M51" s="316">
        <f t="shared" si="1"/>
        <v>965</v>
      </c>
      <c r="N51" s="198"/>
      <c r="O51" s="322" t="s">
        <v>203</v>
      </c>
      <c r="P51" s="346">
        <f>COUNTIF($J$2:$J$477,"5")</f>
        <v>19</v>
      </c>
      <c r="Q51" s="113"/>
      <c r="R51" s="114"/>
      <c r="S51" s="343">
        <f>(P51/P59)</f>
        <v>0.09405940594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5107.0</v>
      </c>
      <c r="B52" s="426" t="s">
        <v>12059</v>
      </c>
      <c r="C52" s="426">
        <v>2005.0</v>
      </c>
      <c r="D52" s="500">
        <v>38636.0</v>
      </c>
      <c r="E52" s="426" t="s">
        <v>12060</v>
      </c>
      <c r="F52" s="426" t="s">
        <v>1846</v>
      </c>
      <c r="G52" s="426" t="s">
        <v>17</v>
      </c>
      <c r="H52" s="426" t="s">
        <v>11527</v>
      </c>
      <c r="I52" s="500">
        <v>39223.0</v>
      </c>
      <c r="J52" s="428">
        <v>5.0</v>
      </c>
      <c r="K52" s="637" t="s">
        <v>238</v>
      </c>
      <c r="L52" s="428" t="s">
        <v>256</v>
      </c>
      <c r="M52" s="319">
        <f t="shared" si="1"/>
        <v>587</v>
      </c>
      <c r="N52" s="198"/>
      <c r="O52" s="321" t="s">
        <v>205</v>
      </c>
      <c r="P52" s="344">
        <f>COUNTIF($J$2:$J$477,"6")</f>
        <v>13</v>
      </c>
      <c r="Q52" s="113"/>
      <c r="R52" s="114"/>
      <c r="S52" s="345">
        <f>(P52/P59)</f>
        <v>0.06435643564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5207.0</v>
      </c>
      <c r="B53" s="420" t="s">
        <v>12061</v>
      </c>
      <c r="C53" s="420">
        <v>2004.0</v>
      </c>
      <c r="D53" s="497">
        <v>38275.0</v>
      </c>
      <c r="E53" s="420" t="s">
        <v>12062</v>
      </c>
      <c r="F53" s="420" t="s">
        <v>10939</v>
      </c>
      <c r="G53" s="420" t="s">
        <v>650</v>
      </c>
      <c r="H53" s="420" t="s">
        <v>601</v>
      </c>
      <c r="I53" s="497">
        <v>39227.0</v>
      </c>
      <c r="J53" s="422">
        <v>5.0</v>
      </c>
      <c r="K53" s="637" t="s">
        <v>238</v>
      </c>
      <c r="L53" s="420" t="s">
        <v>258</v>
      </c>
      <c r="M53" s="316">
        <f t="shared" si="1"/>
        <v>952</v>
      </c>
      <c r="N53" s="198"/>
      <c r="O53" s="322" t="s">
        <v>207</v>
      </c>
      <c r="P53" s="346">
        <f>COUNTIF($J$2:$J$477,"7")</f>
        <v>7</v>
      </c>
      <c r="Q53" s="113"/>
      <c r="R53" s="114"/>
      <c r="S53" s="343">
        <f>(P53/P59)</f>
        <v>0.03465346535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5307.0</v>
      </c>
      <c r="B54" s="426" t="s">
        <v>12063</v>
      </c>
      <c r="C54" s="426">
        <v>2006.0</v>
      </c>
      <c r="D54" s="500">
        <v>38736.0</v>
      </c>
      <c r="E54" s="426" t="s">
        <v>12064</v>
      </c>
      <c r="F54" s="426" t="s">
        <v>900</v>
      </c>
      <c r="G54" s="426" t="s">
        <v>17</v>
      </c>
      <c r="H54" s="426" t="s">
        <v>5989</v>
      </c>
      <c r="I54" s="500">
        <v>39232.0</v>
      </c>
      <c r="J54" s="428">
        <v>5.0</v>
      </c>
      <c r="K54" s="635" t="s">
        <v>228</v>
      </c>
      <c r="L54" s="428" t="s">
        <v>256</v>
      </c>
      <c r="M54" s="319">
        <f t="shared" si="1"/>
        <v>496</v>
      </c>
      <c r="N54" s="198"/>
      <c r="O54" s="321" t="s">
        <v>209</v>
      </c>
      <c r="P54" s="344">
        <f>COUNTIF($J$2:$J$477,"8")</f>
        <v>44</v>
      </c>
      <c r="Q54" s="113"/>
      <c r="R54" s="114"/>
      <c r="S54" s="345">
        <f>(P54/P59)</f>
        <v>0.2178217822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5407.0</v>
      </c>
      <c r="B55" s="420" t="s">
        <v>12065</v>
      </c>
      <c r="C55" s="420">
        <v>2004.0</v>
      </c>
      <c r="D55" s="497">
        <v>38310.0</v>
      </c>
      <c r="E55" s="420" t="s">
        <v>12066</v>
      </c>
      <c r="F55" s="420" t="s">
        <v>1762</v>
      </c>
      <c r="G55" s="420" t="s">
        <v>650</v>
      </c>
      <c r="H55" s="420" t="s">
        <v>601</v>
      </c>
      <c r="I55" s="497">
        <v>39232.0</v>
      </c>
      <c r="J55" s="422">
        <v>5.0</v>
      </c>
      <c r="K55" s="636" t="s">
        <v>244</v>
      </c>
      <c r="L55" s="420" t="s">
        <v>258</v>
      </c>
      <c r="M55" s="316">
        <f t="shared" si="1"/>
        <v>922</v>
      </c>
      <c r="N55" s="198"/>
      <c r="O55" s="322" t="s">
        <v>211</v>
      </c>
      <c r="P55" s="346">
        <f>COUNTIF($J$2:$J$477,"9")</f>
        <v>19</v>
      </c>
      <c r="Q55" s="113"/>
      <c r="R55" s="114"/>
      <c r="S55" s="343">
        <f>(P55/P59)</f>
        <v>0.09405940594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5507.0</v>
      </c>
      <c r="B56" s="426" t="s">
        <v>12067</v>
      </c>
      <c r="C56" s="426">
        <v>2004.0</v>
      </c>
      <c r="D56" s="500">
        <v>38275.0</v>
      </c>
      <c r="E56" s="426" t="s">
        <v>12068</v>
      </c>
      <c r="F56" s="426" t="s">
        <v>10939</v>
      </c>
      <c r="G56" s="426" t="s">
        <v>650</v>
      </c>
      <c r="H56" s="426" t="s">
        <v>601</v>
      </c>
      <c r="I56" s="500">
        <v>39232.0</v>
      </c>
      <c r="J56" s="428">
        <v>5.0</v>
      </c>
      <c r="K56" s="637" t="s">
        <v>238</v>
      </c>
      <c r="L56" s="428" t="s">
        <v>258</v>
      </c>
      <c r="M56" s="319">
        <f t="shared" si="1"/>
        <v>957</v>
      </c>
      <c r="N56" s="198"/>
      <c r="O56" s="321" t="s">
        <v>213</v>
      </c>
      <c r="P56" s="344">
        <f>COUNTIF($J$2:$J$477,"10")</f>
        <v>15</v>
      </c>
      <c r="Q56" s="113"/>
      <c r="R56" s="114"/>
      <c r="S56" s="345">
        <f>(P56/P59)</f>
        <v>0.07425742574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5607.0</v>
      </c>
      <c r="B57" s="420" t="s">
        <v>12069</v>
      </c>
      <c r="C57" s="420">
        <v>2004.0</v>
      </c>
      <c r="D57" s="497">
        <v>38351.0</v>
      </c>
      <c r="E57" s="420" t="s">
        <v>12070</v>
      </c>
      <c r="F57" s="420" t="s">
        <v>134</v>
      </c>
      <c r="G57" s="420" t="s">
        <v>17</v>
      </c>
      <c r="H57" s="420" t="s">
        <v>929</v>
      </c>
      <c r="I57" s="497">
        <v>39232.0</v>
      </c>
      <c r="J57" s="422">
        <v>5.0</v>
      </c>
      <c r="K57" s="637" t="s">
        <v>238</v>
      </c>
      <c r="L57" s="420" t="s">
        <v>258</v>
      </c>
      <c r="M57" s="316">
        <f t="shared" si="1"/>
        <v>881</v>
      </c>
      <c r="N57" s="198"/>
      <c r="O57" s="322" t="s">
        <v>215</v>
      </c>
      <c r="P57" s="346">
        <f>COUNTIF($J$2:$J$477,"11")</f>
        <v>16</v>
      </c>
      <c r="Q57" s="113"/>
      <c r="R57" s="114"/>
      <c r="S57" s="343">
        <f>(P57/P59)</f>
        <v>0.07920792079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5707.0</v>
      </c>
      <c r="B58" s="426" t="s">
        <v>12071</v>
      </c>
      <c r="C58" s="426">
        <v>2005.0</v>
      </c>
      <c r="D58" s="500">
        <v>38607.0</v>
      </c>
      <c r="E58" s="426" t="s">
        <v>12072</v>
      </c>
      <c r="F58" s="426" t="s">
        <v>11916</v>
      </c>
      <c r="G58" s="426" t="s">
        <v>17</v>
      </c>
      <c r="H58" s="426" t="s">
        <v>18</v>
      </c>
      <c r="I58" s="500">
        <v>39232.0</v>
      </c>
      <c r="J58" s="428">
        <v>5.0</v>
      </c>
      <c r="K58" s="636" t="s">
        <v>244</v>
      </c>
      <c r="L58" s="428" t="s">
        <v>256</v>
      </c>
      <c r="M58" s="319">
        <f t="shared" si="1"/>
        <v>625</v>
      </c>
      <c r="N58" s="198"/>
      <c r="O58" s="355" t="s">
        <v>217</v>
      </c>
      <c r="P58" s="344">
        <f>COUNTIF($J$2:$J$477,"12")</f>
        <v>29</v>
      </c>
      <c r="Q58" s="113"/>
      <c r="R58" s="114"/>
      <c r="S58" s="356">
        <f>(P58/P59)</f>
        <v>0.1435643564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5807.0</v>
      </c>
      <c r="B59" s="420" t="s">
        <v>12073</v>
      </c>
      <c r="C59" s="420">
        <v>2005.0</v>
      </c>
      <c r="D59" s="497">
        <v>38630.0</v>
      </c>
      <c r="E59" s="420" t="s">
        <v>12074</v>
      </c>
      <c r="F59" s="420" t="s">
        <v>8301</v>
      </c>
      <c r="G59" s="420" t="s">
        <v>552</v>
      </c>
      <c r="H59" s="420" t="s">
        <v>7403</v>
      </c>
      <c r="I59" s="497">
        <v>39232.0</v>
      </c>
      <c r="J59" s="422">
        <v>5.0</v>
      </c>
      <c r="K59" s="637" t="s">
        <v>238</v>
      </c>
      <c r="L59" s="420" t="s">
        <v>258</v>
      </c>
      <c r="M59" s="316">
        <f t="shared" si="1"/>
        <v>602</v>
      </c>
      <c r="N59" s="198"/>
      <c r="O59" s="348" t="s">
        <v>219</v>
      </c>
      <c r="P59" s="349">
        <f>SUM(P47:R58)</f>
        <v>202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5907.0</v>
      </c>
      <c r="B60" s="426" t="s">
        <v>12075</v>
      </c>
      <c r="C60" s="426">
        <v>2005.0</v>
      </c>
      <c r="D60" s="500">
        <v>38687.0</v>
      </c>
      <c r="E60" s="426" t="s">
        <v>12076</v>
      </c>
      <c r="F60" s="426" t="s">
        <v>8301</v>
      </c>
      <c r="G60" s="426" t="s">
        <v>552</v>
      </c>
      <c r="H60" s="426" t="s">
        <v>7403</v>
      </c>
      <c r="I60" s="500">
        <v>39232.0</v>
      </c>
      <c r="J60" s="428">
        <v>5.0</v>
      </c>
      <c r="K60" s="637" t="s">
        <v>238</v>
      </c>
      <c r="L60" s="428" t="s">
        <v>258</v>
      </c>
      <c r="M60" s="319">
        <f t="shared" si="1"/>
        <v>545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6007.0</v>
      </c>
      <c r="B61" s="420" t="s">
        <v>12077</v>
      </c>
      <c r="C61" s="420">
        <v>2003.0</v>
      </c>
      <c r="D61" s="497">
        <v>37736.0</v>
      </c>
      <c r="E61" s="420" t="s">
        <v>12078</v>
      </c>
      <c r="F61" s="420" t="s">
        <v>12079</v>
      </c>
      <c r="G61" s="420" t="s">
        <v>650</v>
      </c>
      <c r="H61" s="420" t="s">
        <v>2964</v>
      </c>
      <c r="I61" s="497">
        <v>39237.0</v>
      </c>
      <c r="J61" s="422">
        <v>6.0</v>
      </c>
      <c r="K61" s="635" t="s">
        <v>228</v>
      </c>
      <c r="L61" s="420" t="s">
        <v>256</v>
      </c>
      <c r="M61" s="316">
        <f t="shared" si="1"/>
        <v>1501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6107.0</v>
      </c>
      <c r="B62" s="426" t="s">
        <v>12080</v>
      </c>
      <c r="C62" s="426">
        <v>2004.0</v>
      </c>
      <c r="D62" s="500">
        <v>38348.0</v>
      </c>
      <c r="E62" s="426" t="s">
        <v>12081</v>
      </c>
      <c r="F62" s="426" t="s">
        <v>11811</v>
      </c>
      <c r="G62" s="426" t="s">
        <v>650</v>
      </c>
      <c r="H62" s="426" t="s">
        <v>601</v>
      </c>
      <c r="I62" s="500">
        <v>39239.0</v>
      </c>
      <c r="J62" s="428">
        <v>6.0</v>
      </c>
      <c r="K62" s="638" t="s">
        <v>234</v>
      </c>
      <c r="L62" s="428" t="s">
        <v>256</v>
      </c>
      <c r="M62" s="319">
        <f t="shared" si="1"/>
        <v>891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6207.0</v>
      </c>
      <c r="B63" s="420" t="s">
        <v>12082</v>
      </c>
      <c r="C63" s="420">
        <v>2004.0</v>
      </c>
      <c r="D63" s="497">
        <v>38341.0</v>
      </c>
      <c r="E63" s="420" t="s">
        <v>12083</v>
      </c>
      <c r="F63" s="420" t="s">
        <v>3536</v>
      </c>
      <c r="G63" s="420" t="s">
        <v>552</v>
      </c>
      <c r="H63" s="420" t="s">
        <v>7403</v>
      </c>
      <c r="I63" s="497">
        <v>39239.0</v>
      </c>
      <c r="J63" s="422">
        <v>6.0</v>
      </c>
      <c r="K63" s="637" t="s">
        <v>238</v>
      </c>
      <c r="L63" s="420" t="s">
        <v>256</v>
      </c>
      <c r="M63" s="316">
        <f t="shared" si="1"/>
        <v>898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6307.0</v>
      </c>
      <c r="B64" s="426" t="s">
        <v>12084</v>
      </c>
      <c r="C64" s="426">
        <v>2006.0</v>
      </c>
      <c r="D64" s="500">
        <v>38743.0</v>
      </c>
      <c r="E64" s="426" t="s">
        <v>12085</v>
      </c>
      <c r="F64" s="426" t="s">
        <v>11969</v>
      </c>
      <c r="G64" s="426" t="s">
        <v>650</v>
      </c>
      <c r="H64" s="426" t="s">
        <v>705</v>
      </c>
      <c r="I64" s="500">
        <v>39248.0</v>
      </c>
      <c r="J64" s="428">
        <v>6.0</v>
      </c>
      <c r="K64" s="636" t="s">
        <v>244</v>
      </c>
      <c r="L64" s="428" t="s">
        <v>260</v>
      </c>
      <c r="M64" s="319">
        <f t="shared" si="1"/>
        <v>505</v>
      </c>
      <c r="N64" s="198"/>
      <c r="O64" s="522" t="s">
        <v>228</v>
      </c>
      <c r="P64" s="523"/>
      <c r="Q64" s="523"/>
      <c r="R64" s="524"/>
      <c r="S64" s="365">
        <f>COUNTIF($K$1:$K$495,"I - Extremamente tóxico")</f>
        <v>62</v>
      </c>
      <c r="T64" s="366">
        <f>(S64/S76)</f>
        <v>0.3069306931</v>
      </c>
      <c r="U64" s="198"/>
      <c r="V64" s="198"/>
      <c r="W64" s="198"/>
      <c r="X64" s="198"/>
      <c r="Y64" s="198"/>
      <c r="Z64" s="198"/>
    </row>
    <row r="65" ht="12.75" customHeight="1">
      <c r="A65" s="578">
        <v>6407.0</v>
      </c>
      <c r="B65" s="420" t="s">
        <v>12086</v>
      </c>
      <c r="C65" s="420">
        <v>1999.0</v>
      </c>
      <c r="D65" s="497">
        <v>36525.0</v>
      </c>
      <c r="E65" s="420" t="s">
        <v>12087</v>
      </c>
      <c r="F65" s="420" t="s">
        <v>11589</v>
      </c>
      <c r="G65" s="420" t="s">
        <v>650</v>
      </c>
      <c r="H65" s="420" t="s">
        <v>5180</v>
      </c>
      <c r="I65" s="497">
        <v>39248.0</v>
      </c>
      <c r="J65" s="422">
        <v>6.0</v>
      </c>
      <c r="K65" s="637" t="s">
        <v>238</v>
      </c>
      <c r="L65" s="420" t="s">
        <v>258</v>
      </c>
      <c r="M65" s="316">
        <f t="shared" si="1"/>
        <v>2723</v>
      </c>
      <c r="N65" s="198"/>
      <c r="O65" s="367" t="s">
        <v>230</v>
      </c>
      <c r="P65" s="368"/>
      <c r="Q65" s="368"/>
      <c r="R65" s="369"/>
      <c r="S65" s="370">
        <f>COUNTIF($K$2:$K$477,"Categoria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6507.0</v>
      </c>
      <c r="B66" s="426" t="s">
        <v>12088</v>
      </c>
      <c r="C66" s="426">
        <v>1999.0</v>
      </c>
      <c r="D66" s="500">
        <v>36525.0</v>
      </c>
      <c r="E66" s="426" t="s">
        <v>12089</v>
      </c>
      <c r="F66" s="426" t="s">
        <v>11589</v>
      </c>
      <c r="G66" s="426" t="s">
        <v>650</v>
      </c>
      <c r="H66" s="426" t="s">
        <v>5180</v>
      </c>
      <c r="I66" s="500">
        <v>39248.0</v>
      </c>
      <c r="J66" s="428">
        <v>6.0</v>
      </c>
      <c r="K66" s="637" t="s">
        <v>238</v>
      </c>
      <c r="L66" s="428" t="s">
        <v>258</v>
      </c>
      <c r="M66" s="319">
        <f t="shared" si="1"/>
        <v>2723</v>
      </c>
      <c r="N66" s="198"/>
      <c r="O66" s="367" t="s">
        <v>232</v>
      </c>
      <c r="P66" s="368"/>
      <c r="Q66" s="368"/>
      <c r="R66" s="369"/>
      <c r="S66" s="370">
        <f>COUNTIF($K$2:$K$477,"Categoria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6607.0</v>
      </c>
      <c r="B67" s="420" t="s">
        <v>12090</v>
      </c>
      <c r="C67" s="420">
        <v>2004.0</v>
      </c>
      <c r="D67" s="497">
        <v>38222.0</v>
      </c>
      <c r="E67" s="420" t="s">
        <v>12091</v>
      </c>
      <c r="F67" s="420" t="s">
        <v>1533</v>
      </c>
      <c r="G67" s="420" t="s">
        <v>650</v>
      </c>
      <c r="H67" s="420" t="s">
        <v>601</v>
      </c>
      <c r="I67" s="497">
        <v>39255.0</v>
      </c>
      <c r="J67" s="422">
        <v>6.0</v>
      </c>
      <c r="K67" s="637" t="s">
        <v>238</v>
      </c>
      <c r="L67" s="420" t="s">
        <v>256</v>
      </c>
      <c r="M67" s="316">
        <f t="shared" si="1"/>
        <v>1033</v>
      </c>
      <c r="N67" s="198"/>
      <c r="O67" s="372" t="s">
        <v>234</v>
      </c>
      <c r="P67" s="368"/>
      <c r="Q67" s="368"/>
      <c r="R67" s="369"/>
      <c r="S67" s="373">
        <f>COUNTIF($K$2:$K$477,"II - Altamente tóxico")</f>
        <v>36</v>
      </c>
      <c r="T67" s="374">
        <f>(S67/S76)</f>
        <v>0.1782178218</v>
      </c>
      <c r="U67" s="198"/>
      <c r="V67" s="198"/>
      <c r="W67" s="198"/>
      <c r="X67" s="198"/>
      <c r="Y67" s="198"/>
      <c r="Z67" s="198"/>
    </row>
    <row r="68" ht="12.75" customHeight="1">
      <c r="A68" s="585">
        <v>6707.0</v>
      </c>
      <c r="B68" s="426" t="s">
        <v>12092</v>
      </c>
      <c r="C68" s="426">
        <v>2006.0</v>
      </c>
      <c r="D68" s="500">
        <v>38761.0</v>
      </c>
      <c r="E68" s="426" t="s">
        <v>12093</v>
      </c>
      <c r="F68" s="426" t="s">
        <v>963</v>
      </c>
      <c r="G68" s="426" t="s">
        <v>552</v>
      </c>
      <c r="H68" s="426" t="s">
        <v>12094</v>
      </c>
      <c r="I68" s="500">
        <v>39255.0</v>
      </c>
      <c r="J68" s="428">
        <v>6.0</v>
      </c>
      <c r="K68" s="637" t="s">
        <v>238</v>
      </c>
      <c r="L68" s="428" t="s">
        <v>258</v>
      </c>
      <c r="M68" s="319">
        <f t="shared" si="1"/>
        <v>494</v>
      </c>
      <c r="N68" s="198"/>
      <c r="O68" s="372" t="s">
        <v>236</v>
      </c>
      <c r="P68" s="368"/>
      <c r="Q68" s="368"/>
      <c r="R68" s="369"/>
      <c r="S68" s="373">
        <f>COUNTIF($K$2:$K$477,"Categoria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6807.0</v>
      </c>
      <c r="B69" s="420" t="s">
        <v>12095</v>
      </c>
      <c r="C69" s="420">
        <v>2004.0</v>
      </c>
      <c r="D69" s="497">
        <v>38275.0</v>
      </c>
      <c r="E69" s="420" t="s">
        <v>12096</v>
      </c>
      <c r="F69" s="420" t="s">
        <v>1108</v>
      </c>
      <c r="G69" s="420" t="s">
        <v>552</v>
      </c>
      <c r="H69" s="420" t="s">
        <v>2509</v>
      </c>
      <c r="I69" s="497">
        <v>39255.0</v>
      </c>
      <c r="J69" s="422">
        <v>6.0</v>
      </c>
      <c r="K69" s="637" t="s">
        <v>238</v>
      </c>
      <c r="L69" s="420" t="s">
        <v>258</v>
      </c>
      <c r="M69" s="316">
        <f t="shared" si="1"/>
        <v>980</v>
      </c>
      <c r="N69" s="198"/>
      <c r="O69" s="375" t="s">
        <v>238</v>
      </c>
      <c r="P69" s="368"/>
      <c r="Q69" s="368"/>
      <c r="R69" s="369"/>
      <c r="S69" s="376">
        <f>COUNTIF($K$2:$K$477,"III - Medianamente tóxico")</f>
        <v>87</v>
      </c>
      <c r="T69" s="377">
        <f>(S69/S76)</f>
        <v>0.4306930693</v>
      </c>
      <c r="U69" s="198"/>
      <c r="V69" s="198"/>
      <c r="W69" s="198"/>
      <c r="X69" s="198"/>
      <c r="Y69" s="198"/>
      <c r="Z69" s="198"/>
    </row>
    <row r="70" ht="12.75" customHeight="1">
      <c r="A70" s="585">
        <v>6907.0</v>
      </c>
      <c r="B70" s="426" t="s">
        <v>12097</v>
      </c>
      <c r="C70" s="426">
        <v>2005.0</v>
      </c>
      <c r="D70" s="500">
        <v>38499.0</v>
      </c>
      <c r="E70" s="426" t="s">
        <v>12098</v>
      </c>
      <c r="F70" s="426" t="s">
        <v>2831</v>
      </c>
      <c r="G70" s="426" t="s">
        <v>565</v>
      </c>
      <c r="H70" s="426" t="s">
        <v>12099</v>
      </c>
      <c r="I70" s="500">
        <v>39255.0</v>
      </c>
      <c r="J70" s="428">
        <v>6.0</v>
      </c>
      <c r="K70" s="637" t="s">
        <v>238</v>
      </c>
      <c r="L70" s="428" t="s">
        <v>260</v>
      </c>
      <c r="M70" s="319">
        <f t="shared" si="1"/>
        <v>756</v>
      </c>
      <c r="N70" s="198"/>
      <c r="O70" s="375" t="s">
        <v>240</v>
      </c>
      <c r="P70" s="368"/>
      <c r="Q70" s="368"/>
      <c r="R70" s="369"/>
      <c r="S70" s="376">
        <f>COUNTIF($K$2:$K$477,"Categoria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7007.0</v>
      </c>
      <c r="B71" s="420" t="s">
        <v>12100</v>
      </c>
      <c r="C71" s="420">
        <v>2004.0</v>
      </c>
      <c r="D71" s="497">
        <v>38275.0</v>
      </c>
      <c r="E71" s="420" t="s">
        <v>12101</v>
      </c>
      <c r="F71" s="420" t="s">
        <v>3485</v>
      </c>
      <c r="G71" s="420" t="s">
        <v>552</v>
      </c>
      <c r="H71" s="420" t="s">
        <v>2509</v>
      </c>
      <c r="I71" s="497">
        <v>39258.0</v>
      </c>
      <c r="J71" s="422">
        <v>6.0</v>
      </c>
      <c r="K71" s="637" t="s">
        <v>238</v>
      </c>
      <c r="L71" s="420" t="s">
        <v>258</v>
      </c>
      <c r="M71" s="316">
        <f t="shared" si="1"/>
        <v>983</v>
      </c>
      <c r="N71" s="198"/>
      <c r="O71" s="375" t="s">
        <v>242</v>
      </c>
      <c r="P71" s="368"/>
      <c r="Q71" s="368"/>
      <c r="R71" s="369"/>
      <c r="S71" s="376">
        <f>COUNTIF($K$2:$K$477,"Categoria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7107.0</v>
      </c>
      <c r="B72" s="426" t="s">
        <v>12102</v>
      </c>
      <c r="C72" s="426">
        <v>2004.0</v>
      </c>
      <c r="D72" s="500">
        <v>38266.0</v>
      </c>
      <c r="E72" s="426" t="s">
        <v>12103</v>
      </c>
      <c r="F72" s="426" t="s">
        <v>12104</v>
      </c>
      <c r="G72" s="426" t="s">
        <v>650</v>
      </c>
      <c r="H72" s="426" t="s">
        <v>651</v>
      </c>
      <c r="I72" s="500">
        <v>39258.0</v>
      </c>
      <c r="J72" s="428">
        <v>6.0</v>
      </c>
      <c r="K72" s="635" t="s">
        <v>228</v>
      </c>
      <c r="L72" s="428" t="s">
        <v>256</v>
      </c>
      <c r="M72" s="319">
        <f t="shared" si="1"/>
        <v>992</v>
      </c>
      <c r="N72" s="198"/>
      <c r="O72" s="378" t="s">
        <v>244</v>
      </c>
      <c r="P72" s="368"/>
      <c r="Q72" s="368"/>
      <c r="R72" s="369"/>
      <c r="S72" s="379">
        <f>COUNTIF($K$2:$K$477,"IV - Pouco tóxico")</f>
        <v>17</v>
      </c>
      <c r="T72" s="380">
        <f>(S72/S76)</f>
        <v>0.08415841584</v>
      </c>
      <c r="U72" s="198"/>
      <c r="V72" s="198"/>
      <c r="W72" s="198"/>
      <c r="X72" s="198"/>
      <c r="Y72" s="198"/>
      <c r="Z72" s="198"/>
    </row>
    <row r="73" ht="12.75" customHeight="1">
      <c r="A73" s="578">
        <v>7207.0</v>
      </c>
      <c r="B73" s="420" t="s">
        <v>12105</v>
      </c>
      <c r="C73" s="420">
        <v>2001.0</v>
      </c>
      <c r="D73" s="497">
        <v>37139.0</v>
      </c>
      <c r="E73" s="420" t="s">
        <v>12106</v>
      </c>
      <c r="F73" s="420" t="s">
        <v>11617</v>
      </c>
      <c r="G73" s="420" t="s">
        <v>650</v>
      </c>
      <c r="H73" s="420" t="s">
        <v>5180</v>
      </c>
      <c r="I73" s="497">
        <v>39261.0</v>
      </c>
      <c r="J73" s="422">
        <v>6.0</v>
      </c>
      <c r="K73" s="635" t="s">
        <v>228</v>
      </c>
      <c r="L73" s="420" t="s">
        <v>258</v>
      </c>
      <c r="M73" s="316">
        <f t="shared" si="1"/>
        <v>2122</v>
      </c>
      <c r="N73" s="198"/>
      <c r="O73" s="378" t="s">
        <v>822</v>
      </c>
      <c r="P73" s="368"/>
      <c r="Q73" s="368"/>
      <c r="R73" s="369"/>
      <c r="S73" s="379">
        <f>COUNTIF($K$2:$K$477,"Não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7307.0</v>
      </c>
      <c r="B74" s="426" t="s">
        <v>12107</v>
      </c>
      <c r="C74" s="426">
        <v>2003.0</v>
      </c>
      <c r="D74" s="500">
        <v>37890.0</v>
      </c>
      <c r="E74" s="426" t="s">
        <v>12108</v>
      </c>
      <c r="F74" s="426" t="s">
        <v>1203</v>
      </c>
      <c r="G74" s="426" t="s">
        <v>552</v>
      </c>
      <c r="H74" s="426" t="s">
        <v>9672</v>
      </c>
      <c r="I74" s="500">
        <v>39273.0</v>
      </c>
      <c r="J74" s="428">
        <v>7.0</v>
      </c>
      <c r="K74" s="637" t="s">
        <v>238</v>
      </c>
      <c r="L74" s="428" t="s">
        <v>258</v>
      </c>
      <c r="M74" s="319">
        <f t="shared" si="1"/>
        <v>1383</v>
      </c>
      <c r="N74" s="198"/>
      <c r="O74" s="378" t="s">
        <v>850</v>
      </c>
      <c r="P74" s="368"/>
      <c r="Q74" s="368"/>
      <c r="R74" s="369"/>
      <c r="S74" s="379">
        <f>COUNTIF($K$2:$K$477,"Não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7407.0</v>
      </c>
      <c r="B75" s="420" t="s">
        <v>12109</v>
      </c>
      <c r="C75" s="420">
        <v>2005.0</v>
      </c>
      <c r="D75" s="497">
        <v>38709.0</v>
      </c>
      <c r="E75" s="420" t="s">
        <v>12110</v>
      </c>
      <c r="F75" s="420" t="s">
        <v>12111</v>
      </c>
      <c r="G75" s="420" t="s">
        <v>17</v>
      </c>
      <c r="H75" s="420" t="s">
        <v>7907</v>
      </c>
      <c r="I75" s="497">
        <v>39275.0</v>
      </c>
      <c r="J75" s="422">
        <v>7.0</v>
      </c>
      <c r="K75" s="637" t="s">
        <v>238</v>
      </c>
      <c r="L75" s="420" t="s">
        <v>258</v>
      </c>
      <c r="M75" s="316">
        <f t="shared" si="1"/>
        <v>566</v>
      </c>
      <c r="N75" s="198"/>
      <c r="O75" s="381" t="s">
        <v>19</v>
      </c>
      <c r="P75" s="382"/>
      <c r="Q75" s="382"/>
      <c r="R75" s="383"/>
      <c r="S75" s="384">
        <f>COUNTIF($K$2:$K$477,"O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585">
        <v>7507.0</v>
      </c>
      <c r="B76" s="426" t="s">
        <v>12112</v>
      </c>
      <c r="C76" s="426">
        <v>2005.0</v>
      </c>
      <c r="D76" s="500">
        <v>38464.0</v>
      </c>
      <c r="E76" s="426" t="s">
        <v>12113</v>
      </c>
      <c r="F76" s="426" t="s">
        <v>134</v>
      </c>
      <c r="G76" s="426" t="s">
        <v>552</v>
      </c>
      <c r="H76" s="426" t="s">
        <v>11527</v>
      </c>
      <c r="I76" s="500">
        <v>39290.0</v>
      </c>
      <c r="J76" s="428">
        <v>7.0</v>
      </c>
      <c r="K76" s="636" t="s">
        <v>244</v>
      </c>
      <c r="L76" s="428" t="s">
        <v>260</v>
      </c>
      <c r="M76" s="319">
        <f t="shared" si="1"/>
        <v>826</v>
      </c>
      <c r="N76" s="198"/>
      <c r="O76" s="386" t="s">
        <v>219</v>
      </c>
      <c r="P76" s="332"/>
      <c r="Q76" s="332"/>
      <c r="R76" s="387"/>
      <c r="S76" s="388">
        <f>SUM(S64:S75)</f>
        <v>202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7607.0</v>
      </c>
      <c r="B77" s="420" t="s">
        <v>12114</v>
      </c>
      <c r="C77" s="420">
        <v>2005.0</v>
      </c>
      <c r="D77" s="497">
        <v>38541.0</v>
      </c>
      <c r="E77" s="420" t="s">
        <v>12115</v>
      </c>
      <c r="F77" s="420" t="s">
        <v>44</v>
      </c>
      <c r="G77" s="420" t="s">
        <v>17</v>
      </c>
      <c r="H77" s="420" t="s">
        <v>9033</v>
      </c>
      <c r="I77" s="497">
        <v>39290.0</v>
      </c>
      <c r="J77" s="422">
        <v>7.0</v>
      </c>
      <c r="K77" s="635" t="s">
        <v>228</v>
      </c>
      <c r="L77" s="420" t="s">
        <v>258</v>
      </c>
      <c r="M77" s="316">
        <f t="shared" si="1"/>
        <v>749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7707.0</v>
      </c>
      <c r="B78" s="426" t="s">
        <v>12116</v>
      </c>
      <c r="C78" s="426">
        <v>2005.0</v>
      </c>
      <c r="D78" s="500">
        <v>38677.0</v>
      </c>
      <c r="E78" s="426" t="s">
        <v>12117</v>
      </c>
      <c r="F78" s="426" t="s">
        <v>1846</v>
      </c>
      <c r="G78" s="426" t="s">
        <v>17</v>
      </c>
      <c r="H78" s="426" t="s">
        <v>740</v>
      </c>
      <c r="I78" s="500">
        <v>39290.0</v>
      </c>
      <c r="J78" s="428">
        <v>7.0</v>
      </c>
      <c r="K78" s="637" t="s">
        <v>238</v>
      </c>
      <c r="L78" s="428" t="s">
        <v>256</v>
      </c>
      <c r="M78" s="319">
        <f t="shared" si="1"/>
        <v>613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7807.0</v>
      </c>
      <c r="B79" s="420" t="s">
        <v>12118</v>
      </c>
      <c r="C79" s="420">
        <v>2005.0</v>
      </c>
      <c r="D79" s="497">
        <v>38677.0</v>
      </c>
      <c r="E79" s="420" t="s">
        <v>12119</v>
      </c>
      <c r="F79" s="420" t="s">
        <v>65</v>
      </c>
      <c r="G79" s="420" t="s">
        <v>17</v>
      </c>
      <c r="H79" s="420" t="s">
        <v>740</v>
      </c>
      <c r="I79" s="497">
        <v>39293.0</v>
      </c>
      <c r="J79" s="422">
        <v>7.0</v>
      </c>
      <c r="K79" s="635" t="s">
        <v>228</v>
      </c>
      <c r="L79" s="420" t="s">
        <v>254</v>
      </c>
      <c r="M79" s="316">
        <f t="shared" si="1"/>
        <v>616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7907.0</v>
      </c>
      <c r="B80" s="426" t="s">
        <v>12120</v>
      </c>
      <c r="C80" s="426">
        <v>2004.0</v>
      </c>
      <c r="D80" s="500">
        <v>38138.0</v>
      </c>
      <c r="E80" s="426" t="s">
        <v>12121</v>
      </c>
      <c r="F80" s="426" t="s">
        <v>12122</v>
      </c>
      <c r="G80" s="426" t="s">
        <v>650</v>
      </c>
      <c r="H80" s="426" t="s">
        <v>651</v>
      </c>
      <c r="I80" s="500">
        <v>39293.0</v>
      </c>
      <c r="J80" s="428">
        <v>7.0</v>
      </c>
      <c r="K80" s="638" t="s">
        <v>234</v>
      </c>
      <c r="L80" s="428" t="s">
        <v>258</v>
      </c>
      <c r="M80" s="319">
        <f t="shared" si="1"/>
        <v>1155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8007.0</v>
      </c>
      <c r="B81" s="420" t="s">
        <v>12123</v>
      </c>
      <c r="C81" s="420">
        <v>2004.0</v>
      </c>
      <c r="D81" s="497">
        <v>38341.0</v>
      </c>
      <c r="E81" s="420" t="s">
        <v>12124</v>
      </c>
      <c r="F81" s="420" t="s">
        <v>8487</v>
      </c>
      <c r="G81" s="420" t="s">
        <v>552</v>
      </c>
      <c r="H81" s="420" t="s">
        <v>2509</v>
      </c>
      <c r="I81" s="497">
        <v>39295.0</v>
      </c>
      <c r="J81" s="422">
        <v>8.0</v>
      </c>
      <c r="K81" s="635" t="s">
        <v>228</v>
      </c>
      <c r="L81" s="420" t="s">
        <v>256</v>
      </c>
      <c r="M81" s="316">
        <f t="shared" si="1"/>
        <v>954</v>
      </c>
      <c r="N81" s="198"/>
      <c r="O81" s="527" t="s">
        <v>254</v>
      </c>
      <c r="P81" s="332"/>
      <c r="Q81" s="332"/>
      <c r="R81" s="333"/>
      <c r="S81" s="394">
        <f>COUNTIF($L$2:$L$477,"I - Produto altamente perigoso ao meio ambiente")</f>
        <v>3</v>
      </c>
      <c r="T81" s="395">
        <f>(S81/S85)</f>
        <v>0.01485148515</v>
      </c>
      <c r="U81" s="198"/>
      <c r="V81" s="198"/>
      <c r="W81" s="198"/>
      <c r="X81" s="198"/>
      <c r="Y81" s="198"/>
      <c r="Z81" s="198"/>
    </row>
    <row r="82" ht="13.5" customHeight="1">
      <c r="A82" s="585">
        <v>8107.0</v>
      </c>
      <c r="B82" s="426" t="s">
        <v>12125</v>
      </c>
      <c r="C82" s="426">
        <v>1995.0</v>
      </c>
      <c r="D82" s="500">
        <v>34821.0</v>
      </c>
      <c r="E82" s="426" t="s">
        <v>12126</v>
      </c>
      <c r="F82" s="426" t="s">
        <v>3095</v>
      </c>
      <c r="G82" s="426" t="s">
        <v>552</v>
      </c>
      <c r="H82" s="426" t="s">
        <v>12127</v>
      </c>
      <c r="I82" s="500">
        <v>39296.0</v>
      </c>
      <c r="J82" s="428">
        <v>8.0</v>
      </c>
      <c r="K82" s="635" t="s">
        <v>228</v>
      </c>
      <c r="L82" s="428" t="s">
        <v>256</v>
      </c>
      <c r="M82" s="319">
        <f t="shared" si="1"/>
        <v>4475</v>
      </c>
      <c r="N82" s="198"/>
      <c r="O82" s="396" t="s">
        <v>256</v>
      </c>
      <c r="P82" s="113"/>
      <c r="Q82" s="113"/>
      <c r="R82" s="114"/>
      <c r="S82" s="397">
        <f>COUNTIF($L$2:$L$477,"II - Produto muito perigoso ao meio ambiente")</f>
        <v>83</v>
      </c>
      <c r="T82" s="398">
        <f>(S82/S85)</f>
        <v>0.4108910891</v>
      </c>
      <c r="U82" s="198"/>
      <c r="V82" s="198"/>
      <c r="W82" s="198"/>
      <c r="X82" s="198"/>
      <c r="Y82" s="198"/>
      <c r="Z82" s="198"/>
    </row>
    <row r="83" ht="13.5" customHeight="1">
      <c r="A83" s="578">
        <v>8207.0</v>
      </c>
      <c r="B83" s="420" t="s">
        <v>12128</v>
      </c>
      <c r="C83" s="420">
        <v>2005.0</v>
      </c>
      <c r="D83" s="497">
        <v>38386.0</v>
      </c>
      <c r="E83" s="420" t="s">
        <v>12129</v>
      </c>
      <c r="F83" s="420" t="s">
        <v>11582</v>
      </c>
      <c r="G83" s="420" t="s">
        <v>552</v>
      </c>
      <c r="H83" s="420" t="s">
        <v>2509</v>
      </c>
      <c r="I83" s="497">
        <v>39297.0</v>
      </c>
      <c r="J83" s="422">
        <v>8.0</v>
      </c>
      <c r="K83" s="635" t="s">
        <v>228</v>
      </c>
      <c r="L83" s="420" t="s">
        <v>258</v>
      </c>
      <c r="M83" s="316">
        <f t="shared" si="1"/>
        <v>911</v>
      </c>
      <c r="N83" s="198"/>
      <c r="O83" s="399" t="s">
        <v>258</v>
      </c>
      <c r="P83" s="113"/>
      <c r="Q83" s="113"/>
      <c r="R83" s="114"/>
      <c r="S83" s="394">
        <f>COUNTIF($L$2:$L$477,"III - Produto perigoso ao meio ambiente")</f>
        <v>100</v>
      </c>
      <c r="T83" s="395">
        <f>(S83/S85)</f>
        <v>0.495049505</v>
      </c>
      <c r="U83" s="198"/>
      <c r="V83" s="198"/>
      <c r="W83" s="198"/>
      <c r="X83" s="198"/>
      <c r="Y83" s="198"/>
      <c r="Z83" s="198"/>
    </row>
    <row r="84" ht="14.25" customHeight="1">
      <c r="A84" s="585">
        <v>8307.0</v>
      </c>
      <c r="B84" s="426" t="s">
        <v>12130</v>
      </c>
      <c r="C84" s="426">
        <v>2002.0</v>
      </c>
      <c r="D84" s="500">
        <v>37342.0</v>
      </c>
      <c r="E84" s="426" t="s">
        <v>12131</v>
      </c>
      <c r="F84" s="426" t="s">
        <v>31</v>
      </c>
      <c r="G84" s="426" t="s">
        <v>650</v>
      </c>
      <c r="H84" s="426" t="s">
        <v>651</v>
      </c>
      <c r="I84" s="500">
        <v>39302.0</v>
      </c>
      <c r="J84" s="428">
        <v>8.0</v>
      </c>
      <c r="K84" s="637" t="s">
        <v>238</v>
      </c>
      <c r="L84" s="428" t="s">
        <v>258</v>
      </c>
      <c r="M84" s="319">
        <f t="shared" si="1"/>
        <v>1960</v>
      </c>
      <c r="N84" s="198"/>
      <c r="O84" s="396" t="s">
        <v>260</v>
      </c>
      <c r="P84" s="113"/>
      <c r="Q84" s="113"/>
      <c r="R84" s="114"/>
      <c r="S84" s="397">
        <f>COUNTIF($L$2:$L$477,"IV - Produto pouco perigoso ao meio ambiente")</f>
        <v>16</v>
      </c>
      <c r="T84" s="398">
        <f>(S84/S85)</f>
        <v>0.07920792079</v>
      </c>
      <c r="U84" s="198"/>
      <c r="V84" s="198"/>
      <c r="W84" s="198"/>
      <c r="X84" s="198"/>
      <c r="Y84" s="198"/>
      <c r="Z84" s="198"/>
    </row>
    <row r="85" ht="12.75" customHeight="1">
      <c r="A85" s="578">
        <v>8407.0</v>
      </c>
      <c r="B85" s="420" t="s">
        <v>12132</v>
      </c>
      <c r="C85" s="420">
        <v>2001.0</v>
      </c>
      <c r="D85" s="497">
        <v>36915.0</v>
      </c>
      <c r="E85" s="420" t="s">
        <v>12133</v>
      </c>
      <c r="F85" s="420" t="s">
        <v>31</v>
      </c>
      <c r="G85" s="420" t="s">
        <v>650</v>
      </c>
      <c r="H85" s="420" t="s">
        <v>651</v>
      </c>
      <c r="I85" s="497">
        <v>39302.0</v>
      </c>
      <c r="J85" s="422">
        <v>8.0</v>
      </c>
      <c r="K85" s="637" t="s">
        <v>238</v>
      </c>
      <c r="L85" s="420" t="s">
        <v>258</v>
      </c>
      <c r="M85" s="316">
        <f t="shared" si="1"/>
        <v>2387</v>
      </c>
      <c r="N85" s="198"/>
      <c r="O85" s="358" t="s">
        <v>219</v>
      </c>
      <c r="P85" s="359"/>
      <c r="Q85" s="359"/>
      <c r="R85" s="360"/>
      <c r="S85" s="388">
        <f>SUM(S81:S84)</f>
        <v>202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8507.0</v>
      </c>
      <c r="B86" s="426" t="s">
        <v>12134</v>
      </c>
      <c r="C86" s="426">
        <v>2002.0</v>
      </c>
      <c r="D86" s="500">
        <v>37342.0</v>
      </c>
      <c r="E86" s="426" t="s">
        <v>12135</v>
      </c>
      <c r="F86" s="426" t="s">
        <v>31</v>
      </c>
      <c r="G86" s="426" t="s">
        <v>650</v>
      </c>
      <c r="H86" s="426" t="s">
        <v>651</v>
      </c>
      <c r="I86" s="500">
        <v>39302.0</v>
      </c>
      <c r="J86" s="428">
        <v>8.0</v>
      </c>
      <c r="K86" s="637" t="s">
        <v>238</v>
      </c>
      <c r="L86" s="428" t="s">
        <v>258</v>
      </c>
      <c r="M86" s="319">
        <f t="shared" si="1"/>
        <v>1960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578">
        <v>8607.0</v>
      </c>
      <c r="B87" s="420" t="s">
        <v>12136</v>
      </c>
      <c r="C87" s="420">
        <v>2005.0</v>
      </c>
      <c r="D87" s="497">
        <v>38618.0</v>
      </c>
      <c r="E87" s="420" t="s">
        <v>12137</v>
      </c>
      <c r="F87" s="420" t="s">
        <v>3505</v>
      </c>
      <c r="G87" s="420" t="s">
        <v>650</v>
      </c>
      <c r="H87" s="420" t="s">
        <v>5180</v>
      </c>
      <c r="I87" s="497">
        <v>39302.0</v>
      </c>
      <c r="J87" s="422">
        <v>8.0</v>
      </c>
      <c r="K87" s="637" t="s">
        <v>238</v>
      </c>
      <c r="L87" s="420" t="s">
        <v>256</v>
      </c>
      <c r="M87" s="316">
        <f t="shared" si="1"/>
        <v>684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585">
        <v>8707.0</v>
      </c>
      <c r="B88" s="426" t="s">
        <v>12138</v>
      </c>
      <c r="C88" s="426">
        <v>2005.0</v>
      </c>
      <c r="D88" s="500">
        <v>38695.0</v>
      </c>
      <c r="E88" s="426" t="s">
        <v>12139</v>
      </c>
      <c r="F88" s="426" t="s">
        <v>3505</v>
      </c>
      <c r="G88" s="426" t="s">
        <v>650</v>
      </c>
      <c r="H88" s="426" t="s">
        <v>5180</v>
      </c>
      <c r="I88" s="500">
        <v>39302.0</v>
      </c>
      <c r="J88" s="428">
        <v>8.0</v>
      </c>
      <c r="K88" s="637" t="s">
        <v>238</v>
      </c>
      <c r="L88" s="428" t="s">
        <v>256</v>
      </c>
      <c r="M88" s="319">
        <f t="shared" si="1"/>
        <v>607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578">
        <v>8807.0</v>
      </c>
      <c r="B89" s="420" t="s">
        <v>12140</v>
      </c>
      <c r="C89" s="420">
        <v>2005.0</v>
      </c>
      <c r="D89" s="497">
        <v>38695.0</v>
      </c>
      <c r="E89" s="420" t="s">
        <v>12141</v>
      </c>
      <c r="F89" s="420" t="s">
        <v>3505</v>
      </c>
      <c r="G89" s="420" t="s">
        <v>650</v>
      </c>
      <c r="H89" s="420" t="s">
        <v>5180</v>
      </c>
      <c r="I89" s="497">
        <v>39302.0</v>
      </c>
      <c r="J89" s="422">
        <v>8.0</v>
      </c>
      <c r="K89" s="637" t="s">
        <v>238</v>
      </c>
      <c r="L89" s="420" t="s">
        <v>256</v>
      </c>
      <c r="M89" s="316">
        <f t="shared" si="1"/>
        <v>607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585">
        <v>8907.0</v>
      </c>
      <c r="B90" s="426" t="s">
        <v>12142</v>
      </c>
      <c r="C90" s="426">
        <v>2003.0</v>
      </c>
      <c r="D90" s="500">
        <v>37894.0</v>
      </c>
      <c r="E90" s="426" t="s">
        <v>12143</v>
      </c>
      <c r="F90" s="426" t="s">
        <v>1203</v>
      </c>
      <c r="G90" s="426" t="s">
        <v>552</v>
      </c>
      <c r="H90" s="426" t="s">
        <v>9672</v>
      </c>
      <c r="I90" s="500">
        <v>39302.0</v>
      </c>
      <c r="J90" s="428">
        <v>8.0</v>
      </c>
      <c r="K90" s="637" t="s">
        <v>238</v>
      </c>
      <c r="L90" s="428" t="s">
        <v>258</v>
      </c>
      <c r="M90" s="319">
        <f t="shared" si="1"/>
        <v>1408</v>
      </c>
      <c r="N90" s="198"/>
      <c r="O90" s="412" t="s">
        <v>270</v>
      </c>
      <c r="P90" s="413">
        <f>AVERAGEIF(G2:G477,"PT",M2:M477)</f>
        <v>2152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578">
        <v>9007.0</v>
      </c>
      <c r="B91" s="420" t="s">
        <v>12144</v>
      </c>
      <c r="C91" s="420">
        <v>2003.0</v>
      </c>
      <c r="D91" s="497">
        <v>37894.0</v>
      </c>
      <c r="E91" s="420" t="s">
        <v>12145</v>
      </c>
      <c r="F91" s="420" t="s">
        <v>1203</v>
      </c>
      <c r="G91" s="420" t="s">
        <v>552</v>
      </c>
      <c r="H91" s="420" t="s">
        <v>9672</v>
      </c>
      <c r="I91" s="497">
        <v>39302.0</v>
      </c>
      <c r="J91" s="422">
        <v>8.0</v>
      </c>
      <c r="K91" s="637" t="s">
        <v>238</v>
      </c>
      <c r="L91" s="420" t="s">
        <v>258</v>
      </c>
      <c r="M91" s="316">
        <f t="shared" si="1"/>
        <v>1408</v>
      </c>
      <c r="N91" s="198"/>
      <c r="O91" s="414" t="s">
        <v>34</v>
      </c>
      <c r="P91" s="415">
        <f>AVERAGEIF(G2:G478,"PTN",M2:M478)</f>
        <v>917.5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585">
        <v>9107.0</v>
      </c>
      <c r="B92" s="426" t="s">
        <v>12146</v>
      </c>
      <c r="C92" s="426">
        <v>2006.0</v>
      </c>
      <c r="D92" s="500">
        <v>38796.0</v>
      </c>
      <c r="E92" s="426" t="s">
        <v>12147</v>
      </c>
      <c r="F92" s="426" t="s">
        <v>5299</v>
      </c>
      <c r="G92" s="426" t="s">
        <v>650</v>
      </c>
      <c r="H92" s="426" t="s">
        <v>5180</v>
      </c>
      <c r="I92" s="500">
        <v>39303.0</v>
      </c>
      <c r="J92" s="428">
        <v>8.0</v>
      </c>
      <c r="K92" s="637" t="s">
        <v>238</v>
      </c>
      <c r="L92" s="428" t="s">
        <v>256</v>
      </c>
      <c r="M92" s="319">
        <f t="shared" si="1"/>
        <v>507</v>
      </c>
      <c r="N92" s="198"/>
      <c r="O92" s="412" t="s">
        <v>17</v>
      </c>
      <c r="P92" s="413">
        <f>AVERAGEIF(G2:G477,"PTE",M2:M477)</f>
        <v>936.4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578">
        <v>9207.0</v>
      </c>
      <c r="B93" s="420" t="s">
        <v>12148</v>
      </c>
      <c r="C93" s="420">
        <v>2003.0</v>
      </c>
      <c r="D93" s="497">
        <v>37846.0</v>
      </c>
      <c r="E93" s="420" t="s">
        <v>12149</v>
      </c>
      <c r="F93" s="420" t="s">
        <v>1108</v>
      </c>
      <c r="G93" s="420" t="s">
        <v>552</v>
      </c>
      <c r="H93" s="420" t="s">
        <v>9672</v>
      </c>
      <c r="I93" s="497">
        <v>39303.0</v>
      </c>
      <c r="J93" s="422">
        <v>8.0</v>
      </c>
      <c r="K93" s="635" t="s">
        <v>228</v>
      </c>
      <c r="L93" s="420" t="s">
        <v>258</v>
      </c>
      <c r="M93" s="316">
        <f t="shared" si="1"/>
        <v>1457</v>
      </c>
      <c r="N93" s="198"/>
      <c r="O93" s="414" t="s">
        <v>46</v>
      </c>
      <c r="P93" s="415" t="str">
        <f>AVERAGEIF(G2:G477,"Pré-Mistura",M2:M477)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585">
        <v>9307.0</v>
      </c>
      <c r="B94" s="426" t="s">
        <v>12150</v>
      </c>
      <c r="C94" s="426">
        <v>2004.0</v>
      </c>
      <c r="D94" s="500">
        <v>38286.0</v>
      </c>
      <c r="E94" s="426" t="s">
        <v>12151</v>
      </c>
      <c r="F94" s="426" t="s">
        <v>10939</v>
      </c>
      <c r="G94" s="426" t="s">
        <v>650</v>
      </c>
      <c r="H94" s="426" t="s">
        <v>601</v>
      </c>
      <c r="I94" s="500">
        <v>39304.0</v>
      </c>
      <c r="J94" s="428">
        <v>8.0</v>
      </c>
      <c r="K94" s="638" t="s">
        <v>234</v>
      </c>
      <c r="L94" s="428" t="s">
        <v>256</v>
      </c>
      <c r="M94" s="319">
        <f t="shared" si="1"/>
        <v>1018</v>
      </c>
      <c r="N94" s="198"/>
      <c r="O94" s="412" t="s">
        <v>650</v>
      </c>
      <c r="P94" s="413">
        <f>AVERAGEIF(G2:G477,"PF",M2:M477)</f>
        <v>1313.789474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578">
        <v>9407.0</v>
      </c>
      <c r="B95" s="420" t="s">
        <v>12152</v>
      </c>
      <c r="C95" s="420">
        <v>2004.0</v>
      </c>
      <c r="D95" s="497">
        <v>38286.0</v>
      </c>
      <c r="E95" s="420" t="s">
        <v>12153</v>
      </c>
      <c r="F95" s="420" t="s">
        <v>10939</v>
      </c>
      <c r="G95" s="420" t="s">
        <v>650</v>
      </c>
      <c r="H95" s="420" t="s">
        <v>601</v>
      </c>
      <c r="I95" s="497">
        <v>39304.0</v>
      </c>
      <c r="J95" s="422">
        <v>8.0</v>
      </c>
      <c r="K95" s="637" t="s">
        <v>238</v>
      </c>
      <c r="L95" s="420" t="s">
        <v>258</v>
      </c>
      <c r="M95" s="316">
        <f t="shared" si="1"/>
        <v>1018</v>
      </c>
      <c r="N95" s="198"/>
      <c r="O95" s="414" t="s">
        <v>547</v>
      </c>
      <c r="P95" s="415">
        <f>AVERAGEIF(G2:G477,"PFN",M2:M477)</f>
        <v>845.6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585">
        <v>9507.0</v>
      </c>
      <c r="B96" s="426" t="s">
        <v>12154</v>
      </c>
      <c r="C96" s="426">
        <v>2002.0</v>
      </c>
      <c r="D96" s="500">
        <v>37530.0</v>
      </c>
      <c r="E96" s="426" t="s">
        <v>12155</v>
      </c>
      <c r="F96" s="426" t="s">
        <v>12156</v>
      </c>
      <c r="G96" s="426" t="s">
        <v>650</v>
      </c>
      <c r="H96" s="426" t="s">
        <v>158</v>
      </c>
      <c r="I96" s="500">
        <v>39308.0</v>
      </c>
      <c r="J96" s="428">
        <v>8.0</v>
      </c>
      <c r="K96" s="638" t="s">
        <v>238</v>
      </c>
      <c r="L96" s="428" t="s">
        <v>254</v>
      </c>
      <c r="M96" s="319">
        <f t="shared" si="1"/>
        <v>1778</v>
      </c>
      <c r="N96" s="198"/>
      <c r="O96" s="412" t="s">
        <v>552</v>
      </c>
      <c r="P96" s="413">
        <f>AVERAGEIF(G2:G477,"PF/PTE",M2:M477)</f>
        <v>1158.797468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578">
        <v>9607.0</v>
      </c>
      <c r="B97" s="420" t="s">
        <v>12157</v>
      </c>
      <c r="C97" s="420">
        <v>2003.0</v>
      </c>
      <c r="D97" s="497">
        <v>37798.0</v>
      </c>
      <c r="E97" s="420" t="s">
        <v>12158</v>
      </c>
      <c r="F97" s="420" t="s">
        <v>3485</v>
      </c>
      <c r="G97" s="420" t="s">
        <v>552</v>
      </c>
      <c r="H97" s="420" t="s">
        <v>9672</v>
      </c>
      <c r="I97" s="497">
        <v>39311.0</v>
      </c>
      <c r="J97" s="422">
        <v>8.0</v>
      </c>
      <c r="K97" s="636" t="s">
        <v>244</v>
      </c>
      <c r="L97" s="420" t="s">
        <v>258</v>
      </c>
      <c r="M97" s="316">
        <f t="shared" si="1"/>
        <v>1513</v>
      </c>
      <c r="N97" s="198"/>
      <c r="O97" s="414" t="s">
        <v>565</v>
      </c>
      <c r="P97" s="415">
        <f>AVERAGEIF(G2:G477,"Bio",M2:M477)</f>
        <v>556.8571429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585">
        <v>9707.0</v>
      </c>
      <c r="B98" s="426" t="s">
        <v>12159</v>
      </c>
      <c r="C98" s="426">
        <v>2000.0</v>
      </c>
      <c r="D98" s="500">
        <v>36882.0</v>
      </c>
      <c r="E98" s="426" t="s">
        <v>12160</v>
      </c>
      <c r="F98" s="426" t="s">
        <v>7179</v>
      </c>
      <c r="G98" s="426" t="s">
        <v>650</v>
      </c>
      <c r="H98" s="426" t="s">
        <v>2964</v>
      </c>
      <c r="I98" s="500">
        <v>39309.0</v>
      </c>
      <c r="J98" s="428">
        <v>8.0</v>
      </c>
      <c r="K98" s="635" t="s">
        <v>228</v>
      </c>
      <c r="L98" s="428" t="s">
        <v>258</v>
      </c>
      <c r="M98" s="319">
        <f t="shared" si="1"/>
        <v>2427</v>
      </c>
      <c r="N98" s="198"/>
      <c r="O98" s="412" t="s">
        <v>569</v>
      </c>
      <c r="P98" s="413" t="str">
        <f>AVERAGEIF(G2:G477,"Bio/Org",M2:M477)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578">
        <v>9807.0</v>
      </c>
      <c r="B99" s="420" t="s">
        <v>12161</v>
      </c>
      <c r="C99" s="420">
        <v>2005.0</v>
      </c>
      <c r="D99" s="497">
        <v>38630.0</v>
      </c>
      <c r="E99" s="420" t="s">
        <v>12162</v>
      </c>
      <c r="F99" s="420" t="s">
        <v>11582</v>
      </c>
      <c r="G99" s="420" t="s">
        <v>552</v>
      </c>
      <c r="H99" s="420" t="s">
        <v>2509</v>
      </c>
      <c r="I99" s="497">
        <v>39317.0</v>
      </c>
      <c r="J99" s="422">
        <v>8.0</v>
      </c>
      <c r="K99" s="635" t="s">
        <v>228</v>
      </c>
      <c r="L99" s="420" t="s">
        <v>258</v>
      </c>
      <c r="M99" s="316">
        <f t="shared" si="1"/>
        <v>687</v>
      </c>
      <c r="N99" s="198"/>
      <c r="O99" s="416" t="s">
        <v>275</v>
      </c>
      <c r="P99" s="417">
        <f>AVERAGE(M2:M495)</f>
        <v>1126.316832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585">
        <v>9907.0</v>
      </c>
      <c r="B100" s="426" t="s">
        <v>12163</v>
      </c>
      <c r="C100" s="426">
        <v>2005.0</v>
      </c>
      <c r="D100" s="500">
        <v>38630.0</v>
      </c>
      <c r="E100" s="426" t="s">
        <v>12164</v>
      </c>
      <c r="F100" s="426" t="s">
        <v>11582</v>
      </c>
      <c r="G100" s="426" t="s">
        <v>552</v>
      </c>
      <c r="H100" s="426" t="s">
        <v>2509</v>
      </c>
      <c r="I100" s="500">
        <v>39317.0</v>
      </c>
      <c r="J100" s="428">
        <v>8.0</v>
      </c>
      <c r="K100" s="635" t="s">
        <v>228</v>
      </c>
      <c r="L100" s="428" t="s">
        <v>258</v>
      </c>
      <c r="M100" s="319">
        <f t="shared" si="1"/>
        <v>687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578">
        <v>10007.0</v>
      </c>
      <c r="B101" s="420" t="s">
        <v>12165</v>
      </c>
      <c r="C101" s="420">
        <v>2005.0</v>
      </c>
      <c r="D101" s="497">
        <v>38630.0</v>
      </c>
      <c r="E101" s="420" t="s">
        <v>12166</v>
      </c>
      <c r="F101" s="420" t="s">
        <v>11582</v>
      </c>
      <c r="G101" s="420" t="s">
        <v>552</v>
      </c>
      <c r="H101" s="420" t="s">
        <v>2509</v>
      </c>
      <c r="I101" s="497">
        <v>39317.0</v>
      </c>
      <c r="J101" s="422">
        <v>8.0</v>
      </c>
      <c r="K101" s="638" t="s">
        <v>234</v>
      </c>
      <c r="L101" s="420" t="s">
        <v>260</v>
      </c>
      <c r="M101" s="316">
        <f t="shared" si="1"/>
        <v>687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585">
        <v>10107.0</v>
      </c>
      <c r="B102" s="426" t="s">
        <v>12167</v>
      </c>
      <c r="C102" s="426">
        <v>2005.0</v>
      </c>
      <c r="D102" s="500">
        <v>38713.0</v>
      </c>
      <c r="E102" s="426" t="s">
        <v>12168</v>
      </c>
      <c r="F102" s="426" t="s">
        <v>12169</v>
      </c>
      <c r="G102" s="426" t="s">
        <v>34</v>
      </c>
      <c r="H102" s="426" t="s">
        <v>11527</v>
      </c>
      <c r="I102" s="500">
        <v>39317.0</v>
      </c>
      <c r="J102" s="428">
        <v>8.0</v>
      </c>
      <c r="K102" s="638" t="s">
        <v>234</v>
      </c>
      <c r="L102" s="428" t="s">
        <v>256</v>
      </c>
      <c r="M102" s="319">
        <f t="shared" si="1"/>
        <v>604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578">
        <v>10207.0</v>
      </c>
      <c r="B103" s="420" t="s">
        <v>12170</v>
      </c>
      <c r="C103" s="420">
        <v>2004.0</v>
      </c>
      <c r="D103" s="497">
        <v>38286.0</v>
      </c>
      <c r="E103" s="420" t="s">
        <v>12171</v>
      </c>
      <c r="F103" s="420" t="s">
        <v>10939</v>
      </c>
      <c r="G103" s="420" t="s">
        <v>552</v>
      </c>
      <c r="H103" s="420" t="s">
        <v>601</v>
      </c>
      <c r="I103" s="497">
        <v>39318.0</v>
      </c>
      <c r="J103" s="422">
        <v>8.0</v>
      </c>
      <c r="K103" s="637" t="s">
        <v>238</v>
      </c>
      <c r="L103" s="420" t="s">
        <v>258</v>
      </c>
      <c r="M103" s="316">
        <f t="shared" si="1"/>
        <v>1032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585">
        <v>10307.0</v>
      </c>
      <c r="B104" s="426" t="s">
        <v>12172</v>
      </c>
      <c r="C104" s="426">
        <v>2005.0</v>
      </c>
      <c r="D104" s="500">
        <v>38600.0</v>
      </c>
      <c r="E104" s="426" t="s">
        <v>12173</v>
      </c>
      <c r="F104" s="426" t="s">
        <v>1108</v>
      </c>
      <c r="G104" s="426" t="s">
        <v>552</v>
      </c>
      <c r="H104" s="426" t="s">
        <v>2509</v>
      </c>
      <c r="I104" s="500">
        <v>39318.0</v>
      </c>
      <c r="J104" s="428">
        <v>8.0</v>
      </c>
      <c r="K104" s="637" t="s">
        <v>238</v>
      </c>
      <c r="L104" s="428" t="s">
        <v>258</v>
      </c>
      <c r="M104" s="319">
        <f t="shared" si="1"/>
        <v>718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578">
        <v>10407.0</v>
      </c>
      <c r="B105" s="420" t="s">
        <v>12174</v>
      </c>
      <c r="C105" s="420">
        <v>2006.0</v>
      </c>
      <c r="D105" s="497">
        <v>38930.0</v>
      </c>
      <c r="E105" s="420" t="s">
        <v>12175</v>
      </c>
      <c r="F105" s="420" t="s">
        <v>781</v>
      </c>
      <c r="G105" s="420" t="s">
        <v>650</v>
      </c>
      <c r="H105" s="420" t="s">
        <v>12094</v>
      </c>
      <c r="I105" s="497">
        <v>39318.0</v>
      </c>
      <c r="J105" s="422">
        <v>8.0</v>
      </c>
      <c r="K105" s="636" t="s">
        <v>244</v>
      </c>
      <c r="L105" s="420" t="s">
        <v>258</v>
      </c>
      <c r="M105" s="316">
        <f t="shared" si="1"/>
        <v>388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585">
        <v>10507.0</v>
      </c>
      <c r="B106" s="426" t="s">
        <v>12176</v>
      </c>
      <c r="C106" s="426">
        <v>2003.0</v>
      </c>
      <c r="D106" s="500">
        <v>37868.0</v>
      </c>
      <c r="E106" s="426" t="s">
        <v>12177</v>
      </c>
      <c r="F106" s="426" t="s">
        <v>1108</v>
      </c>
      <c r="G106" s="426" t="s">
        <v>552</v>
      </c>
      <c r="H106" s="426" t="s">
        <v>9672</v>
      </c>
      <c r="I106" s="500">
        <v>39318.0</v>
      </c>
      <c r="J106" s="428">
        <v>8.0</v>
      </c>
      <c r="K106" s="635" t="s">
        <v>228</v>
      </c>
      <c r="L106" s="428" t="s">
        <v>258</v>
      </c>
      <c r="M106" s="319">
        <f t="shared" si="1"/>
        <v>1450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578">
        <v>10607.0</v>
      </c>
      <c r="B107" s="420" t="s">
        <v>12178</v>
      </c>
      <c r="C107" s="420">
        <v>2003.0</v>
      </c>
      <c r="D107" s="497">
        <v>37805.0</v>
      </c>
      <c r="E107" s="420" t="s">
        <v>12179</v>
      </c>
      <c r="F107" s="420" t="s">
        <v>3485</v>
      </c>
      <c r="G107" s="420" t="s">
        <v>552</v>
      </c>
      <c r="H107" s="420" t="s">
        <v>9672</v>
      </c>
      <c r="I107" s="497">
        <v>39318.0</v>
      </c>
      <c r="J107" s="422">
        <v>8.0</v>
      </c>
      <c r="K107" s="636" t="s">
        <v>244</v>
      </c>
      <c r="L107" s="420" t="s">
        <v>258</v>
      </c>
      <c r="M107" s="316">
        <f t="shared" si="1"/>
        <v>1513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585">
        <v>10707.0</v>
      </c>
      <c r="B108" s="426" t="s">
        <v>12180</v>
      </c>
      <c r="C108" s="426">
        <v>2001.0</v>
      </c>
      <c r="D108" s="500">
        <v>37183.0</v>
      </c>
      <c r="E108" s="426" t="s">
        <v>12181</v>
      </c>
      <c r="F108" s="426" t="s">
        <v>1843</v>
      </c>
      <c r="G108" s="426" t="s">
        <v>17</v>
      </c>
      <c r="H108" s="426" t="s">
        <v>5180</v>
      </c>
      <c r="I108" s="500">
        <v>39318.0</v>
      </c>
      <c r="J108" s="428">
        <v>8.0</v>
      </c>
      <c r="K108" s="637" t="s">
        <v>238</v>
      </c>
      <c r="L108" s="428" t="s">
        <v>260</v>
      </c>
      <c r="M108" s="319">
        <f t="shared" si="1"/>
        <v>2135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578">
        <v>10807.0</v>
      </c>
      <c r="B109" s="420" t="s">
        <v>12182</v>
      </c>
      <c r="C109" s="420">
        <v>2005.0</v>
      </c>
      <c r="D109" s="497">
        <v>38506.0</v>
      </c>
      <c r="E109" s="420" t="s">
        <v>12183</v>
      </c>
      <c r="F109" s="420" t="s">
        <v>11636</v>
      </c>
      <c r="G109" s="420" t="s">
        <v>17</v>
      </c>
      <c r="H109" s="420" t="s">
        <v>5989</v>
      </c>
      <c r="I109" s="497">
        <v>39321.0</v>
      </c>
      <c r="J109" s="422">
        <v>8.0</v>
      </c>
      <c r="K109" s="638" t="s">
        <v>234</v>
      </c>
      <c r="L109" s="420" t="s">
        <v>256</v>
      </c>
      <c r="M109" s="316">
        <f t="shared" si="1"/>
        <v>815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585">
        <v>10907.0</v>
      </c>
      <c r="B110" s="426" t="s">
        <v>12184</v>
      </c>
      <c r="C110" s="426">
        <v>2005.0</v>
      </c>
      <c r="D110" s="500">
        <v>38716.0</v>
      </c>
      <c r="E110" s="426" t="s">
        <v>12185</v>
      </c>
      <c r="F110" s="426" t="s">
        <v>2575</v>
      </c>
      <c r="G110" s="426" t="s">
        <v>552</v>
      </c>
      <c r="H110" s="426" t="s">
        <v>11527</v>
      </c>
      <c r="I110" s="500">
        <v>39321.0</v>
      </c>
      <c r="J110" s="428">
        <v>8.0</v>
      </c>
      <c r="K110" s="635" t="s">
        <v>228</v>
      </c>
      <c r="L110" s="428" t="s">
        <v>258</v>
      </c>
      <c r="M110" s="319">
        <f t="shared" si="1"/>
        <v>605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578">
        <v>11007.0</v>
      </c>
      <c r="B111" s="420" t="s">
        <v>12186</v>
      </c>
      <c r="C111" s="420">
        <v>1996.0</v>
      </c>
      <c r="D111" s="497">
        <v>35166.0</v>
      </c>
      <c r="E111" s="420" t="s">
        <v>12187</v>
      </c>
      <c r="F111" s="420" t="s">
        <v>12188</v>
      </c>
      <c r="G111" s="420" t="s">
        <v>552</v>
      </c>
      <c r="H111" s="420" t="s">
        <v>12127</v>
      </c>
      <c r="I111" s="497">
        <v>39321.0</v>
      </c>
      <c r="J111" s="422">
        <v>8.0</v>
      </c>
      <c r="K111" s="637" t="s">
        <v>238</v>
      </c>
      <c r="L111" s="420" t="s">
        <v>256</v>
      </c>
      <c r="M111" s="316">
        <f t="shared" si="1"/>
        <v>4155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585">
        <v>11107.0</v>
      </c>
      <c r="B112" s="426" t="s">
        <v>12189</v>
      </c>
      <c r="C112" s="426">
        <v>2001.0</v>
      </c>
      <c r="D112" s="500">
        <v>37194.0</v>
      </c>
      <c r="E112" s="426" t="s">
        <v>12190</v>
      </c>
      <c r="F112" s="426" t="s">
        <v>12191</v>
      </c>
      <c r="G112" s="426" t="s">
        <v>17</v>
      </c>
      <c r="H112" s="426" t="s">
        <v>12127</v>
      </c>
      <c r="I112" s="500">
        <v>39325.0</v>
      </c>
      <c r="J112" s="428">
        <v>8.0</v>
      </c>
      <c r="K112" s="635" t="s">
        <v>228</v>
      </c>
      <c r="L112" s="428" t="s">
        <v>256</v>
      </c>
      <c r="M112" s="319">
        <f t="shared" si="1"/>
        <v>2131</v>
      </c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578">
        <v>11207.0</v>
      </c>
      <c r="B113" s="420" t="s">
        <v>12192</v>
      </c>
      <c r="C113" s="420">
        <v>1999.0</v>
      </c>
      <c r="D113" s="497">
        <v>36313.0</v>
      </c>
      <c r="E113" s="420" t="s">
        <v>12193</v>
      </c>
      <c r="F113" s="420" t="s">
        <v>10517</v>
      </c>
      <c r="G113" s="420" t="s">
        <v>17</v>
      </c>
      <c r="H113" s="420" t="s">
        <v>12194</v>
      </c>
      <c r="I113" s="497">
        <v>39325.0</v>
      </c>
      <c r="J113" s="422">
        <v>8.0</v>
      </c>
      <c r="K113" s="635" t="s">
        <v>228</v>
      </c>
      <c r="L113" s="420" t="s">
        <v>256</v>
      </c>
      <c r="M113" s="316">
        <f t="shared" si="1"/>
        <v>3012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585">
        <v>11307.0</v>
      </c>
      <c r="B114" s="426" t="s">
        <v>12195</v>
      </c>
      <c r="C114" s="426">
        <v>2001.0</v>
      </c>
      <c r="D114" s="500">
        <v>37160.0</v>
      </c>
      <c r="E114" s="426" t="s">
        <v>12196</v>
      </c>
      <c r="F114" s="426" t="s">
        <v>963</v>
      </c>
      <c r="G114" s="426" t="s">
        <v>17</v>
      </c>
      <c r="H114" s="426" t="s">
        <v>583</v>
      </c>
      <c r="I114" s="500">
        <v>39325.0</v>
      </c>
      <c r="J114" s="428">
        <v>8.0</v>
      </c>
      <c r="K114" s="635" t="s">
        <v>228</v>
      </c>
      <c r="L114" s="428" t="s">
        <v>258</v>
      </c>
      <c r="M114" s="319">
        <f t="shared" si="1"/>
        <v>2165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578">
        <v>11407.0</v>
      </c>
      <c r="B115" s="420" t="s">
        <v>12197</v>
      </c>
      <c r="C115" s="420">
        <v>2003.0</v>
      </c>
      <c r="D115" s="497">
        <v>37837.0</v>
      </c>
      <c r="E115" s="420" t="s">
        <v>12198</v>
      </c>
      <c r="F115" s="420" t="s">
        <v>947</v>
      </c>
      <c r="G115" s="420" t="s">
        <v>17</v>
      </c>
      <c r="H115" s="420" t="s">
        <v>705</v>
      </c>
      <c r="I115" s="497">
        <v>39325.0</v>
      </c>
      <c r="J115" s="422">
        <v>8.0</v>
      </c>
      <c r="K115" s="637" t="s">
        <v>238</v>
      </c>
      <c r="L115" s="420" t="s">
        <v>258</v>
      </c>
      <c r="M115" s="316">
        <f t="shared" si="1"/>
        <v>1488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585">
        <v>11507.0</v>
      </c>
      <c r="B116" s="426" t="s">
        <v>12199</v>
      </c>
      <c r="C116" s="426">
        <v>2001.0</v>
      </c>
      <c r="D116" s="500">
        <v>37070.0</v>
      </c>
      <c r="E116" s="426" t="s">
        <v>12200</v>
      </c>
      <c r="F116" s="426" t="s">
        <v>1232</v>
      </c>
      <c r="G116" s="426" t="s">
        <v>552</v>
      </c>
      <c r="H116" s="426" t="s">
        <v>11527</v>
      </c>
      <c r="I116" s="500">
        <v>39325.0</v>
      </c>
      <c r="J116" s="428">
        <v>8.0</v>
      </c>
      <c r="K116" s="635" t="s">
        <v>228</v>
      </c>
      <c r="L116" s="428" t="s">
        <v>256</v>
      </c>
      <c r="M116" s="319">
        <f t="shared" si="1"/>
        <v>2255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578">
        <v>11607.0</v>
      </c>
      <c r="B117" s="420" t="s">
        <v>12201</v>
      </c>
      <c r="C117" s="420">
        <v>2000.0</v>
      </c>
      <c r="D117" s="497">
        <v>36587.0</v>
      </c>
      <c r="E117" s="420" t="s">
        <v>12202</v>
      </c>
      <c r="F117" s="420" t="s">
        <v>12203</v>
      </c>
      <c r="G117" s="420" t="s">
        <v>552</v>
      </c>
      <c r="H117" s="420" t="s">
        <v>50</v>
      </c>
      <c r="I117" s="497">
        <v>39325.0</v>
      </c>
      <c r="J117" s="422">
        <v>8.0</v>
      </c>
      <c r="K117" s="635" t="s">
        <v>228</v>
      </c>
      <c r="L117" s="420" t="s">
        <v>256</v>
      </c>
      <c r="M117" s="316">
        <f t="shared" si="1"/>
        <v>2738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585">
        <v>11707.0</v>
      </c>
      <c r="B118" s="426" t="s">
        <v>12204</v>
      </c>
      <c r="C118" s="426">
        <v>2000.0</v>
      </c>
      <c r="D118" s="500">
        <v>36587.0</v>
      </c>
      <c r="E118" s="426" t="s">
        <v>12205</v>
      </c>
      <c r="F118" s="426" t="s">
        <v>12203</v>
      </c>
      <c r="G118" s="426" t="s">
        <v>552</v>
      </c>
      <c r="H118" s="426" t="s">
        <v>50</v>
      </c>
      <c r="I118" s="500">
        <v>39325.0</v>
      </c>
      <c r="J118" s="428">
        <v>8.0</v>
      </c>
      <c r="K118" s="635" t="s">
        <v>228</v>
      </c>
      <c r="L118" s="428" t="s">
        <v>256</v>
      </c>
      <c r="M118" s="319">
        <f t="shared" si="1"/>
        <v>2738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578">
        <v>11807.0</v>
      </c>
      <c r="B119" s="420" t="s">
        <v>12206</v>
      </c>
      <c r="C119" s="420">
        <v>1999.0</v>
      </c>
      <c r="D119" s="497">
        <v>36507.0</v>
      </c>
      <c r="E119" s="420" t="s">
        <v>12207</v>
      </c>
      <c r="F119" s="420" t="s">
        <v>719</v>
      </c>
      <c r="G119" s="420" t="s">
        <v>552</v>
      </c>
      <c r="H119" s="420" t="s">
        <v>50</v>
      </c>
      <c r="I119" s="497">
        <v>39325.0</v>
      </c>
      <c r="J119" s="422">
        <v>8.0</v>
      </c>
      <c r="K119" s="637" t="s">
        <v>238</v>
      </c>
      <c r="L119" s="420" t="s">
        <v>258</v>
      </c>
      <c r="M119" s="316">
        <f t="shared" si="1"/>
        <v>2818</v>
      </c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585">
        <v>11907.0</v>
      </c>
      <c r="B120" s="426" t="s">
        <v>12208</v>
      </c>
      <c r="C120" s="426">
        <v>2005.0</v>
      </c>
      <c r="D120" s="500">
        <v>38629.0</v>
      </c>
      <c r="E120" s="426" t="s">
        <v>12209</v>
      </c>
      <c r="F120" s="426" t="s">
        <v>10517</v>
      </c>
      <c r="G120" s="426" t="s">
        <v>552</v>
      </c>
      <c r="H120" s="426" t="s">
        <v>2509</v>
      </c>
      <c r="I120" s="500">
        <v>39325.0</v>
      </c>
      <c r="J120" s="428">
        <v>8.0</v>
      </c>
      <c r="K120" s="635" t="s">
        <v>228</v>
      </c>
      <c r="L120" s="428" t="s">
        <v>256</v>
      </c>
      <c r="M120" s="319">
        <f t="shared" si="1"/>
        <v>696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578">
        <v>12007.0</v>
      </c>
      <c r="B121" s="420" t="s">
        <v>12210</v>
      </c>
      <c r="C121" s="420">
        <v>2005.0</v>
      </c>
      <c r="D121" s="497">
        <v>38667.0</v>
      </c>
      <c r="E121" s="420" t="s">
        <v>12211</v>
      </c>
      <c r="F121" s="420" t="s">
        <v>781</v>
      </c>
      <c r="G121" s="420" t="s">
        <v>650</v>
      </c>
      <c r="H121" s="420" t="s">
        <v>12212</v>
      </c>
      <c r="I121" s="497">
        <v>39325.0</v>
      </c>
      <c r="J121" s="422">
        <v>8.0</v>
      </c>
      <c r="K121" s="636" t="s">
        <v>244</v>
      </c>
      <c r="L121" s="420" t="s">
        <v>258</v>
      </c>
      <c r="M121" s="316">
        <f t="shared" si="1"/>
        <v>658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585">
        <v>12107.0</v>
      </c>
      <c r="B122" s="426" t="s">
        <v>12213</v>
      </c>
      <c r="C122" s="426">
        <v>2005.0</v>
      </c>
      <c r="D122" s="500">
        <v>38629.0</v>
      </c>
      <c r="E122" s="426" t="s">
        <v>12214</v>
      </c>
      <c r="F122" s="426" t="s">
        <v>11582</v>
      </c>
      <c r="G122" s="426" t="s">
        <v>552</v>
      </c>
      <c r="H122" s="426" t="s">
        <v>2509</v>
      </c>
      <c r="I122" s="500">
        <v>39325.0</v>
      </c>
      <c r="J122" s="428">
        <v>8.0</v>
      </c>
      <c r="K122" s="635" t="s">
        <v>228</v>
      </c>
      <c r="L122" s="428" t="s">
        <v>256</v>
      </c>
      <c r="M122" s="319">
        <f t="shared" si="1"/>
        <v>696</v>
      </c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578">
        <v>12207.0</v>
      </c>
      <c r="B123" s="420" t="s">
        <v>12215</v>
      </c>
      <c r="C123" s="420">
        <v>2000.0</v>
      </c>
      <c r="D123" s="497">
        <v>36804.0</v>
      </c>
      <c r="E123" s="420" t="s">
        <v>12216</v>
      </c>
      <c r="F123" s="420" t="s">
        <v>963</v>
      </c>
      <c r="G123" s="420" t="s">
        <v>552</v>
      </c>
      <c r="H123" s="420" t="s">
        <v>5180</v>
      </c>
      <c r="I123" s="497">
        <v>39325.0</v>
      </c>
      <c r="J123" s="422">
        <v>8.0</v>
      </c>
      <c r="K123" s="637" t="s">
        <v>238</v>
      </c>
      <c r="L123" s="420" t="s">
        <v>258</v>
      </c>
      <c r="M123" s="316">
        <f t="shared" si="1"/>
        <v>2521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585">
        <v>12307.0</v>
      </c>
      <c r="B124" s="426" t="s">
        <v>12217</v>
      </c>
      <c r="C124" s="426">
        <v>2001.0</v>
      </c>
      <c r="D124" s="500">
        <v>37021.0</v>
      </c>
      <c r="E124" s="426" t="s">
        <v>12218</v>
      </c>
      <c r="F124" s="426" t="s">
        <v>666</v>
      </c>
      <c r="G124" s="426" t="s">
        <v>650</v>
      </c>
      <c r="H124" s="426" t="s">
        <v>705</v>
      </c>
      <c r="I124" s="500">
        <v>39325.0</v>
      </c>
      <c r="J124" s="428">
        <v>8.0</v>
      </c>
      <c r="K124" s="635" t="s">
        <v>228</v>
      </c>
      <c r="L124" s="428" t="s">
        <v>258</v>
      </c>
      <c r="M124" s="319">
        <f t="shared" si="1"/>
        <v>2304</v>
      </c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578">
        <v>12407.0</v>
      </c>
      <c r="B125" s="420" t="s">
        <v>12219</v>
      </c>
      <c r="C125" s="420">
        <v>2006.0</v>
      </c>
      <c r="D125" s="497">
        <v>38778.0</v>
      </c>
      <c r="E125" s="420" t="s">
        <v>12220</v>
      </c>
      <c r="F125" s="420" t="s">
        <v>10517</v>
      </c>
      <c r="G125" s="420" t="s">
        <v>552</v>
      </c>
      <c r="H125" s="420" t="s">
        <v>2509</v>
      </c>
      <c r="I125" s="497">
        <v>39328.0</v>
      </c>
      <c r="J125" s="422">
        <v>9.0</v>
      </c>
      <c r="K125" s="635" t="s">
        <v>228</v>
      </c>
      <c r="L125" s="420" t="s">
        <v>256</v>
      </c>
      <c r="M125" s="316">
        <f t="shared" si="1"/>
        <v>550</v>
      </c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585">
        <v>12507.0</v>
      </c>
      <c r="B126" s="426" t="s">
        <v>12221</v>
      </c>
      <c r="C126" s="426">
        <v>2001.0</v>
      </c>
      <c r="D126" s="500">
        <v>37097.0</v>
      </c>
      <c r="E126" s="426" t="s">
        <v>12222</v>
      </c>
      <c r="F126" s="426" t="s">
        <v>666</v>
      </c>
      <c r="G126" s="426" t="s">
        <v>650</v>
      </c>
      <c r="H126" s="426" t="s">
        <v>705</v>
      </c>
      <c r="I126" s="500">
        <v>39328.0</v>
      </c>
      <c r="J126" s="428">
        <v>9.0</v>
      </c>
      <c r="K126" s="637" t="s">
        <v>238</v>
      </c>
      <c r="L126" s="428" t="s">
        <v>258</v>
      </c>
      <c r="M126" s="319">
        <f t="shared" si="1"/>
        <v>2231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578">
        <v>12607.0</v>
      </c>
      <c r="B127" s="420" t="s">
        <v>12223</v>
      </c>
      <c r="C127" s="420">
        <v>2004.0</v>
      </c>
      <c r="D127" s="497">
        <v>38224.0</v>
      </c>
      <c r="E127" s="420" t="s">
        <v>12224</v>
      </c>
      <c r="F127" s="420" t="s">
        <v>963</v>
      </c>
      <c r="G127" s="420" t="s">
        <v>552</v>
      </c>
      <c r="H127" s="420" t="s">
        <v>7403</v>
      </c>
      <c r="I127" s="497">
        <v>39328.0</v>
      </c>
      <c r="J127" s="422">
        <v>9.0</v>
      </c>
      <c r="K127" s="637" t="s">
        <v>238</v>
      </c>
      <c r="L127" s="420" t="s">
        <v>258</v>
      </c>
      <c r="M127" s="316">
        <f t="shared" si="1"/>
        <v>1104</v>
      </c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585">
        <v>12707.0</v>
      </c>
      <c r="B128" s="426" t="s">
        <v>12225</v>
      </c>
      <c r="C128" s="426">
        <v>2006.0</v>
      </c>
      <c r="D128" s="500">
        <v>38953.0</v>
      </c>
      <c r="E128" s="426" t="s">
        <v>12226</v>
      </c>
      <c r="F128" s="426" t="s">
        <v>1170</v>
      </c>
      <c r="G128" s="426" t="s">
        <v>552</v>
      </c>
      <c r="H128" s="426" t="s">
        <v>5989</v>
      </c>
      <c r="I128" s="500">
        <v>39328.0</v>
      </c>
      <c r="J128" s="428">
        <v>9.0</v>
      </c>
      <c r="K128" s="637" t="s">
        <v>238</v>
      </c>
      <c r="L128" s="428" t="s">
        <v>256</v>
      </c>
      <c r="M128" s="319">
        <f t="shared" si="1"/>
        <v>375</v>
      </c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578">
        <v>12807.0</v>
      </c>
      <c r="B129" s="420" t="s">
        <v>12227</v>
      </c>
      <c r="C129" s="420">
        <v>2005.0</v>
      </c>
      <c r="D129" s="497">
        <v>38688.0</v>
      </c>
      <c r="E129" s="420" t="s">
        <v>12228</v>
      </c>
      <c r="F129" s="420" t="s">
        <v>1170</v>
      </c>
      <c r="G129" s="420" t="s">
        <v>552</v>
      </c>
      <c r="H129" s="420" t="s">
        <v>5989</v>
      </c>
      <c r="I129" s="497">
        <v>39328.0</v>
      </c>
      <c r="J129" s="422">
        <v>9.0</v>
      </c>
      <c r="K129" s="637" t="s">
        <v>238</v>
      </c>
      <c r="L129" s="420" t="s">
        <v>256</v>
      </c>
      <c r="M129" s="316">
        <f t="shared" si="1"/>
        <v>640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585">
        <v>12907.0</v>
      </c>
      <c r="B130" s="426" t="s">
        <v>12229</v>
      </c>
      <c r="C130" s="426">
        <v>2005.0</v>
      </c>
      <c r="D130" s="500">
        <v>38677.0</v>
      </c>
      <c r="E130" s="426" t="s">
        <v>12230</v>
      </c>
      <c r="F130" s="426" t="s">
        <v>11605</v>
      </c>
      <c r="G130" s="426" t="s">
        <v>650</v>
      </c>
      <c r="H130" s="426" t="s">
        <v>601</v>
      </c>
      <c r="I130" s="500">
        <v>39329.0</v>
      </c>
      <c r="J130" s="428">
        <v>9.0</v>
      </c>
      <c r="K130" s="638" t="s">
        <v>234</v>
      </c>
      <c r="L130" s="428" t="s">
        <v>258</v>
      </c>
      <c r="M130" s="319">
        <f t="shared" si="1"/>
        <v>652</v>
      </c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578">
        <v>13007.0</v>
      </c>
      <c r="B131" s="420" t="s">
        <v>12231</v>
      </c>
      <c r="C131" s="420">
        <v>2004.0</v>
      </c>
      <c r="D131" s="497">
        <v>38286.0</v>
      </c>
      <c r="E131" s="420" t="s">
        <v>12232</v>
      </c>
      <c r="F131" s="420" t="s">
        <v>11507</v>
      </c>
      <c r="G131" s="420" t="s">
        <v>552</v>
      </c>
      <c r="H131" s="420" t="s">
        <v>601</v>
      </c>
      <c r="I131" s="497">
        <v>39329.0</v>
      </c>
      <c r="J131" s="422">
        <v>9.0</v>
      </c>
      <c r="K131" s="638" t="s">
        <v>234</v>
      </c>
      <c r="L131" s="420" t="s">
        <v>256</v>
      </c>
      <c r="M131" s="316">
        <f t="shared" si="1"/>
        <v>1043</v>
      </c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585">
        <v>13107.0</v>
      </c>
      <c r="B132" s="426" t="s">
        <v>12233</v>
      </c>
      <c r="C132" s="426">
        <v>2004.0</v>
      </c>
      <c r="D132" s="500">
        <v>38286.0</v>
      </c>
      <c r="E132" s="426" t="s">
        <v>12234</v>
      </c>
      <c r="F132" s="426" t="s">
        <v>11507</v>
      </c>
      <c r="G132" s="426" t="s">
        <v>552</v>
      </c>
      <c r="H132" s="426" t="s">
        <v>601</v>
      </c>
      <c r="I132" s="500">
        <v>39329.0</v>
      </c>
      <c r="J132" s="428">
        <v>9.0</v>
      </c>
      <c r="K132" s="638" t="s">
        <v>234</v>
      </c>
      <c r="L132" s="428" t="s">
        <v>256</v>
      </c>
      <c r="M132" s="319">
        <f t="shared" si="1"/>
        <v>1043</v>
      </c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578">
        <v>13207.0</v>
      </c>
      <c r="B133" s="420" t="s">
        <v>12235</v>
      </c>
      <c r="C133" s="420">
        <v>2004.0</v>
      </c>
      <c r="D133" s="497">
        <v>38275.0</v>
      </c>
      <c r="E133" s="420" t="s">
        <v>12236</v>
      </c>
      <c r="F133" s="420" t="s">
        <v>10939</v>
      </c>
      <c r="G133" s="420" t="s">
        <v>650</v>
      </c>
      <c r="H133" s="420" t="s">
        <v>601</v>
      </c>
      <c r="I133" s="497">
        <v>39329.0</v>
      </c>
      <c r="J133" s="422">
        <v>9.0</v>
      </c>
      <c r="K133" s="637" t="s">
        <v>238</v>
      </c>
      <c r="L133" s="420" t="s">
        <v>258</v>
      </c>
      <c r="M133" s="316">
        <f t="shared" si="1"/>
        <v>1054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585">
        <v>13307.0</v>
      </c>
      <c r="B134" s="426" t="s">
        <v>12237</v>
      </c>
      <c r="C134" s="426">
        <v>2004.0</v>
      </c>
      <c r="D134" s="500">
        <v>38139.0</v>
      </c>
      <c r="E134" s="426" t="s">
        <v>12238</v>
      </c>
      <c r="F134" s="426" t="s">
        <v>3694</v>
      </c>
      <c r="G134" s="426" t="s">
        <v>547</v>
      </c>
      <c r="H134" s="426" t="s">
        <v>2964</v>
      </c>
      <c r="I134" s="500">
        <v>39331.0</v>
      </c>
      <c r="J134" s="428">
        <v>9.0</v>
      </c>
      <c r="K134" s="635" t="s">
        <v>228</v>
      </c>
      <c r="L134" s="428" t="s">
        <v>258</v>
      </c>
      <c r="M134" s="319">
        <f t="shared" si="1"/>
        <v>1192</v>
      </c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578">
        <v>13407.0</v>
      </c>
      <c r="B135" s="420" t="s">
        <v>12239</v>
      </c>
      <c r="C135" s="420">
        <v>2003.0</v>
      </c>
      <c r="D135" s="497">
        <v>37971.0</v>
      </c>
      <c r="E135" s="420" t="s">
        <v>12240</v>
      </c>
      <c r="F135" s="420" t="s">
        <v>1537</v>
      </c>
      <c r="G135" s="420" t="s">
        <v>650</v>
      </c>
      <c r="H135" s="420" t="s">
        <v>2964</v>
      </c>
      <c r="I135" s="497">
        <v>39331.0</v>
      </c>
      <c r="J135" s="422">
        <v>9.0</v>
      </c>
      <c r="K135" s="638" t="s">
        <v>234</v>
      </c>
      <c r="L135" s="420" t="s">
        <v>256</v>
      </c>
      <c r="M135" s="316">
        <f t="shared" si="1"/>
        <v>1360</v>
      </c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585">
        <v>13507.0</v>
      </c>
      <c r="B136" s="426" t="s">
        <v>12241</v>
      </c>
      <c r="C136" s="426">
        <v>2003.0</v>
      </c>
      <c r="D136" s="500">
        <v>37904.0</v>
      </c>
      <c r="E136" s="426" t="s">
        <v>12242</v>
      </c>
      <c r="F136" s="426" t="s">
        <v>963</v>
      </c>
      <c r="G136" s="426" t="s">
        <v>552</v>
      </c>
      <c r="H136" s="426" t="s">
        <v>583</v>
      </c>
      <c r="I136" s="500">
        <v>39337.0</v>
      </c>
      <c r="J136" s="428">
        <v>9.0</v>
      </c>
      <c r="K136" s="637" t="s">
        <v>238</v>
      </c>
      <c r="L136" s="428" t="s">
        <v>258</v>
      </c>
      <c r="M136" s="319">
        <f t="shared" si="1"/>
        <v>1433</v>
      </c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578">
        <v>13607.0</v>
      </c>
      <c r="B137" s="420" t="s">
        <v>12243</v>
      </c>
      <c r="C137" s="420">
        <v>2006.0</v>
      </c>
      <c r="D137" s="497">
        <v>38915.0</v>
      </c>
      <c r="E137" s="420" t="s">
        <v>12244</v>
      </c>
      <c r="F137" s="420" t="s">
        <v>12245</v>
      </c>
      <c r="G137" s="420" t="s">
        <v>565</v>
      </c>
      <c r="H137" s="420" t="s">
        <v>12246</v>
      </c>
      <c r="I137" s="497">
        <v>39342.0</v>
      </c>
      <c r="J137" s="422">
        <v>9.0</v>
      </c>
      <c r="K137" s="636" t="s">
        <v>244</v>
      </c>
      <c r="L137" s="420" t="s">
        <v>260</v>
      </c>
      <c r="M137" s="316">
        <f t="shared" si="1"/>
        <v>427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585">
        <v>13707.0</v>
      </c>
      <c r="B138" s="426" t="s">
        <v>12247</v>
      </c>
      <c r="C138" s="426">
        <v>2006.0</v>
      </c>
      <c r="D138" s="500">
        <v>38915.0</v>
      </c>
      <c r="E138" s="426" t="s">
        <v>12248</v>
      </c>
      <c r="F138" s="426" t="s">
        <v>12245</v>
      </c>
      <c r="G138" s="426" t="s">
        <v>565</v>
      </c>
      <c r="H138" s="426" t="s">
        <v>12246</v>
      </c>
      <c r="I138" s="500">
        <v>39342.0</v>
      </c>
      <c r="J138" s="428">
        <v>9.0</v>
      </c>
      <c r="K138" s="636" t="s">
        <v>244</v>
      </c>
      <c r="L138" s="428" t="s">
        <v>260</v>
      </c>
      <c r="M138" s="319">
        <f t="shared" si="1"/>
        <v>427</v>
      </c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578">
        <v>13807.0</v>
      </c>
      <c r="B139" s="420" t="s">
        <v>12249</v>
      </c>
      <c r="C139" s="420">
        <v>2006.0</v>
      </c>
      <c r="D139" s="497">
        <v>38903.0</v>
      </c>
      <c r="E139" s="420" t="s">
        <v>12250</v>
      </c>
      <c r="F139" s="420" t="s">
        <v>12245</v>
      </c>
      <c r="G139" s="420" t="s">
        <v>565</v>
      </c>
      <c r="H139" s="420" t="s">
        <v>12246</v>
      </c>
      <c r="I139" s="497">
        <v>39342.0</v>
      </c>
      <c r="J139" s="422">
        <v>9.0</v>
      </c>
      <c r="K139" s="636" t="s">
        <v>244</v>
      </c>
      <c r="L139" s="420" t="s">
        <v>260</v>
      </c>
      <c r="M139" s="316">
        <f t="shared" si="1"/>
        <v>439</v>
      </c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585">
        <v>13907.0</v>
      </c>
      <c r="B140" s="426" t="s">
        <v>12251</v>
      </c>
      <c r="C140" s="426">
        <v>2006.0</v>
      </c>
      <c r="D140" s="500">
        <v>38930.0</v>
      </c>
      <c r="E140" s="426" t="s">
        <v>12252</v>
      </c>
      <c r="F140" s="426" t="s">
        <v>781</v>
      </c>
      <c r="G140" s="426" t="s">
        <v>650</v>
      </c>
      <c r="H140" s="426" t="s">
        <v>143</v>
      </c>
      <c r="I140" s="500">
        <v>39342.0</v>
      </c>
      <c r="J140" s="428">
        <v>9.0</v>
      </c>
      <c r="K140" s="635" t="s">
        <v>228</v>
      </c>
      <c r="L140" s="428" t="s">
        <v>256</v>
      </c>
      <c r="M140" s="319">
        <f t="shared" si="1"/>
        <v>412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578">
        <v>14007.0</v>
      </c>
      <c r="B141" s="420" t="s">
        <v>12253</v>
      </c>
      <c r="C141" s="420">
        <v>2004.0</v>
      </c>
      <c r="D141" s="497">
        <v>38348.0</v>
      </c>
      <c r="E141" s="420" t="s">
        <v>12254</v>
      </c>
      <c r="F141" s="420" t="s">
        <v>963</v>
      </c>
      <c r="G141" s="420" t="s">
        <v>552</v>
      </c>
      <c r="H141" s="420" t="s">
        <v>583</v>
      </c>
      <c r="I141" s="497">
        <v>39345.0</v>
      </c>
      <c r="J141" s="422">
        <v>9.0</v>
      </c>
      <c r="K141" s="637" t="s">
        <v>238</v>
      </c>
      <c r="L141" s="420" t="s">
        <v>258</v>
      </c>
      <c r="M141" s="316">
        <f t="shared" si="1"/>
        <v>997</v>
      </c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585">
        <v>14107.0</v>
      </c>
      <c r="B142" s="426" t="s">
        <v>12255</v>
      </c>
      <c r="C142" s="426">
        <v>2001.0</v>
      </c>
      <c r="D142" s="500">
        <v>37246.0</v>
      </c>
      <c r="E142" s="426" t="s">
        <v>12256</v>
      </c>
      <c r="F142" s="426" t="s">
        <v>12257</v>
      </c>
      <c r="G142" s="426" t="s">
        <v>650</v>
      </c>
      <c r="H142" s="426" t="s">
        <v>18</v>
      </c>
      <c r="I142" s="500">
        <v>39351.0</v>
      </c>
      <c r="J142" s="428">
        <v>9.0</v>
      </c>
      <c r="K142" s="635" t="s">
        <v>228</v>
      </c>
      <c r="L142" s="428" t="s">
        <v>256</v>
      </c>
      <c r="M142" s="319">
        <f t="shared" si="1"/>
        <v>2105</v>
      </c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578">
        <v>14207.0</v>
      </c>
      <c r="B143" s="420" t="s">
        <v>12258</v>
      </c>
      <c r="C143" s="420">
        <v>2005.0</v>
      </c>
      <c r="D143" s="497">
        <v>38611.0</v>
      </c>
      <c r="E143" s="420" t="s">
        <v>12259</v>
      </c>
      <c r="F143" s="420" t="s">
        <v>7179</v>
      </c>
      <c r="G143" s="420" t="s">
        <v>552</v>
      </c>
      <c r="H143" s="420" t="s">
        <v>9033</v>
      </c>
      <c r="I143" s="497">
        <v>39351.0</v>
      </c>
      <c r="J143" s="422">
        <v>9.0</v>
      </c>
      <c r="K143" s="635" t="s">
        <v>228</v>
      </c>
      <c r="L143" s="420" t="s">
        <v>258</v>
      </c>
      <c r="M143" s="316">
        <f t="shared" si="1"/>
        <v>740</v>
      </c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585">
        <v>14307.0</v>
      </c>
      <c r="B144" s="426" t="s">
        <v>12260</v>
      </c>
      <c r="C144" s="426">
        <v>2004.0</v>
      </c>
      <c r="D144" s="500">
        <v>38183.0</v>
      </c>
      <c r="E144" s="426" t="s">
        <v>12261</v>
      </c>
      <c r="F144" s="426" t="s">
        <v>3536</v>
      </c>
      <c r="G144" s="426" t="s">
        <v>552</v>
      </c>
      <c r="H144" s="426" t="s">
        <v>7403</v>
      </c>
      <c r="I144" s="500">
        <v>39356.0</v>
      </c>
      <c r="J144" s="428">
        <v>10.0</v>
      </c>
      <c r="K144" s="637" t="s">
        <v>238</v>
      </c>
      <c r="L144" s="428" t="s">
        <v>256</v>
      </c>
      <c r="M144" s="319">
        <f t="shared" si="1"/>
        <v>1173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578">
        <v>14407.0</v>
      </c>
      <c r="B145" s="578" t="s">
        <v>3889</v>
      </c>
      <c r="C145" s="578" t="s">
        <v>3889</v>
      </c>
      <c r="D145" s="579" t="s">
        <v>3889</v>
      </c>
      <c r="E145" s="578" t="s">
        <v>3889</v>
      </c>
      <c r="F145" s="578" t="s">
        <v>3889</v>
      </c>
      <c r="G145" s="578" t="s">
        <v>3889</v>
      </c>
      <c r="H145" s="578" t="s">
        <v>3889</v>
      </c>
      <c r="I145" s="579" t="s">
        <v>3889</v>
      </c>
      <c r="J145" s="322" t="s">
        <v>3889</v>
      </c>
      <c r="K145" s="322" t="s">
        <v>3889</v>
      </c>
      <c r="L145" s="578" t="s">
        <v>3889</v>
      </c>
      <c r="M145" s="668" t="s">
        <v>3889</v>
      </c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585">
        <v>14507.0</v>
      </c>
      <c r="B146" s="426" t="s">
        <v>12262</v>
      </c>
      <c r="C146" s="426">
        <v>2005.0</v>
      </c>
      <c r="D146" s="500">
        <v>38625.0</v>
      </c>
      <c r="E146" s="426" t="s">
        <v>12263</v>
      </c>
      <c r="F146" s="426" t="s">
        <v>8841</v>
      </c>
      <c r="G146" s="426" t="s">
        <v>17</v>
      </c>
      <c r="H146" s="426" t="s">
        <v>158</v>
      </c>
      <c r="I146" s="500">
        <v>39356.0</v>
      </c>
      <c r="J146" s="428">
        <v>10.0</v>
      </c>
      <c r="K146" s="635" t="s">
        <v>228</v>
      </c>
      <c r="L146" s="428" t="s">
        <v>256</v>
      </c>
      <c r="M146" s="319">
        <f t="shared" ref="M146:M204" si="2">I146-D146</f>
        <v>731</v>
      </c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578">
        <v>14607.0</v>
      </c>
      <c r="B147" s="420" t="s">
        <v>12264</v>
      </c>
      <c r="C147" s="420">
        <v>2000.0</v>
      </c>
      <c r="D147" s="497">
        <v>36847.0</v>
      </c>
      <c r="E147" s="420" t="s">
        <v>12265</v>
      </c>
      <c r="F147" s="420" t="s">
        <v>963</v>
      </c>
      <c r="G147" s="420" t="s">
        <v>17</v>
      </c>
      <c r="H147" s="420" t="s">
        <v>12127</v>
      </c>
      <c r="I147" s="497">
        <v>39363.0</v>
      </c>
      <c r="J147" s="422">
        <v>10.0</v>
      </c>
      <c r="K147" s="635" t="s">
        <v>228</v>
      </c>
      <c r="L147" s="420" t="s">
        <v>258</v>
      </c>
      <c r="M147" s="316">
        <f t="shared" si="2"/>
        <v>2516</v>
      </c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585">
        <v>14707.0</v>
      </c>
      <c r="B148" s="426" t="s">
        <v>12266</v>
      </c>
      <c r="C148" s="426">
        <v>2003.0</v>
      </c>
      <c r="D148" s="500">
        <v>37861.0</v>
      </c>
      <c r="E148" s="426" t="s">
        <v>12267</v>
      </c>
      <c r="F148" s="426" t="s">
        <v>12268</v>
      </c>
      <c r="G148" s="426" t="s">
        <v>17</v>
      </c>
      <c r="H148" s="426" t="s">
        <v>12269</v>
      </c>
      <c r="I148" s="500">
        <v>39365.0</v>
      </c>
      <c r="J148" s="428">
        <v>10.0</v>
      </c>
      <c r="K148" s="637" t="s">
        <v>238</v>
      </c>
      <c r="L148" s="428" t="s">
        <v>258</v>
      </c>
      <c r="M148" s="319">
        <f t="shared" si="2"/>
        <v>1504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578">
        <v>14807.0</v>
      </c>
      <c r="B149" s="420" t="s">
        <v>12270</v>
      </c>
      <c r="C149" s="420">
        <v>2006.0</v>
      </c>
      <c r="D149" s="497">
        <v>38741.0</v>
      </c>
      <c r="E149" s="420" t="s">
        <v>12271</v>
      </c>
      <c r="F149" s="420" t="s">
        <v>12169</v>
      </c>
      <c r="G149" s="420" t="s">
        <v>547</v>
      </c>
      <c r="H149" s="420" t="s">
        <v>11527</v>
      </c>
      <c r="I149" s="497">
        <v>39370.0</v>
      </c>
      <c r="J149" s="422">
        <v>10.0</v>
      </c>
      <c r="K149" s="637" t="s">
        <v>238</v>
      </c>
      <c r="L149" s="420" t="s">
        <v>260</v>
      </c>
      <c r="M149" s="316">
        <f t="shared" si="2"/>
        <v>629</v>
      </c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585">
        <v>14907.0</v>
      </c>
      <c r="B150" s="426" t="s">
        <v>12272</v>
      </c>
      <c r="C150" s="426">
        <v>2005.0</v>
      </c>
      <c r="D150" s="500">
        <v>38615.0</v>
      </c>
      <c r="E150" s="426" t="s">
        <v>12273</v>
      </c>
      <c r="F150" s="426" t="s">
        <v>1401</v>
      </c>
      <c r="G150" s="426" t="s">
        <v>552</v>
      </c>
      <c r="H150" s="426" t="s">
        <v>929</v>
      </c>
      <c r="I150" s="500">
        <v>39373.0</v>
      </c>
      <c r="J150" s="428">
        <v>10.0</v>
      </c>
      <c r="K150" s="637" t="s">
        <v>238</v>
      </c>
      <c r="L150" s="428" t="s">
        <v>258</v>
      </c>
      <c r="M150" s="319">
        <f t="shared" si="2"/>
        <v>758</v>
      </c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578">
        <v>15007.0</v>
      </c>
      <c r="B151" s="420" t="s">
        <v>12274</v>
      </c>
      <c r="C151" s="420">
        <v>2000.0</v>
      </c>
      <c r="D151" s="497">
        <v>36706.0</v>
      </c>
      <c r="E151" s="420" t="s">
        <v>12275</v>
      </c>
      <c r="F151" s="420" t="s">
        <v>781</v>
      </c>
      <c r="G151" s="420" t="s">
        <v>270</v>
      </c>
      <c r="H151" s="420" t="s">
        <v>12276</v>
      </c>
      <c r="I151" s="497">
        <v>39374.0</v>
      </c>
      <c r="J151" s="422">
        <v>10.0</v>
      </c>
      <c r="K151" s="635" t="s">
        <v>228</v>
      </c>
      <c r="L151" s="420" t="s">
        <v>256</v>
      </c>
      <c r="M151" s="316">
        <f t="shared" si="2"/>
        <v>2668</v>
      </c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585">
        <v>15107.0</v>
      </c>
      <c r="B152" s="426" t="s">
        <v>12277</v>
      </c>
      <c r="C152" s="426">
        <v>2003.0</v>
      </c>
      <c r="D152" s="500">
        <v>37935.0</v>
      </c>
      <c r="E152" s="426" t="s">
        <v>12278</v>
      </c>
      <c r="F152" s="426" t="s">
        <v>11617</v>
      </c>
      <c r="G152" s="426" t="s">
        <v>552</v>
      </c>
      <c r="H152" s="426" t="s">
        <v>11527</v>
      </c>
      <c r="I152" s="500">
        <v>39378.0</v>
      </c>
      <c r="J152" s="428">
        <v>10.0</v>
      </c>
      <c r="K152" s="637" t="s">
        <v>238</v>
      </c>
      <c r="L152" s="428" t="s">
        <v>258</v>
      </c>
      <c r="M152" s="319">
        <f t="shared" si="2"/>
        <v>1443</v>
      </c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578">
        <v>15207.0</v>
      </c>
      <c r="B153" s="420" t="s">
        <v>12279</v>
      </c>
      <c r="C153" s="420">
        <v>1998.0</v>
      </c>
      <c r="D153" s="497">
        <v>36124.0</v>
      </c>
      <c r="E153" s="420" t="s">
        <v>12280</v>
      </c>
      <c r="F153" s="420" t="s">
        <v>12281</v>
      </c>
      <c r="G153" s="420" t="s">
        <v>552</v>
      </c>
      <c r="H153" s="420" t="s">
        <v>651</v>
      </c>
      <c r="I153" s="497">
        <v>39380.0</v>
      </c>
      <c r="J153" s="422">
        <v>10.0</v>
      </c>
      <c r="K153" s="635" t="s">
        <v>228</v>
      </c>
      <c r="L153" s="420" t="s">
        <v>258</v>
      </c>
      <c r="M153" s="316">
        <f t="shared" si="2"/>
        <v>3256</v>
      </c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585">
        <v>15307.0</v>
      </c>
      <c r="B154" s="426" t="s">
        <v>12282</v>
      </c>
      <c r="C154" s="426">
        <v>2005.0</v>
      </c>
      <c r="D154" s="500">
        <v>38713.0</v>
      </c>
      <c r="E154" s="426" t="s">
        <v>12283</v>
      </c>
      <c r="F154" s="426" t="s">
        <v>1401</v>
      </c>
      <c r="G154" s="426" t="s">
        <v>552</v>
      </c>
      <c r="H154" s="426" t="s">
        <v>7403</v>
      </c>
      <c r="I154" s="500">
        <v>39380.0</v>
      </c>
      <c r="J154" s="428">
        <v>10.0</v>
      </c>
      <c r="K154" s="637" t="s">
        <v>238</v>
      </c>
      <c r="L154" s="428" t="s">
        <v>258</v>
      </c>
      <c r="M154" s="319">
        <f t="shared" si="2"/>
        <v>667</v>
      </c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578">
        <v>15407.0</v>
      </c>
      <c r="B155" s="420" t="s">
        <v>12284</v>
      </c>
      <c r="C155" s="420">
        <v>2005.0</v>
      </c>
      <c r="D155" s="497">
        <v>38677.0</v>
      </c>
      <c r="E155" s="420" t="s">
        <v>12285</v>
      </c>
      <c r="F155" s="420" t="s">
        <v>11964</v>
      </c>
      <c r="G155" s="420" t="s">
        <v>547</v>
      </c>
      <c r="H155" s="420" t="s">
        <v>18</v>
      </c>
      <c r="I155" s="497">
        <v>39381.0</v>
      </c>
      <c r="J155" s="422">
        <v>10.0</v>
      </c>
      <c r="K155" s="638" t="s">
        <v>234</v>
      </c>
      <c r="L155" s="420" t="s">
        <v>258</v>
      </c>
      <c r="M155" s="316">
        <f t="shared" si="2"/>
        <v>704</v>
      </c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585">
        <v>15507.0</v>
      </c>
      <c r="B156" s="426" t="s">
        <v>12286</v>
      </c>
      <c r="C156" s="426">
        <v>2005.0</v>
      </c>
      <c r="D156" s="500">
        <v>38632.0</v>
      </c>
      <c r="E156" s="426" t="s">
        <v>12287</v>
      </c>
      <c r="F156" s="426" t="s">
        <v>781</v>
      </c>
      <c r="G156" s="426" t="s">
        <v>650</v>
      </c>
      <c r="H156" s="426" t="s">
        <v>12212</v>
      </c>
      <c r="I156" s="500">
        <v>39386.0</v>
      </c>
      <c r="J156" s="428">
        <v>10.0</v>
      </c>
      <c r="K156" s="635" t="s">
        <v>228</v>
      </c>
      <c r="L156" s="428" t="s">
        <v>258</v>
      </c>
      <c r="M156" s="319">
        <f t="shared" si="2"/>
        <v>754</v>
      </c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578">
        <v>15607.0</v>
      </c>
      <c r="B157" s="420" t="s">
        <v>12288</v>
      </c>
      <c r="C157" s="420">
        <v>2004.0</v>
      </c>
      <c r="D157" s="497">
        <v>38089.0</v>
      </c>
      <c r="E157" s="420" t="s">
        <v>12289</v>
      </c>
      <c r="F157" s="420" t="s">
        <v>1401</v>
      </c>
      <c r="G157" s="420" t="s">
        <v>552</v>
      </c>
      <c r="H157" s="420" t="s">
        <v>7403</v>
      </c>
      <c r="I157" s="497">
        <v>39386.0</v>
      </c>
      <c r="J157" s="422">
        <v>10.0</v>
      </c>
      <c r="K157" s="638" t="s">
        <v>234</v>
      </c>
      <c r="L157" s="420" t="s">
        <v>256</v>
      </c>
      <c r="M157" s="316">
        <f t="shared" si="2"/>
        <v>1297</v>
      </c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585">
        <v>15707.0</v>
      </c>
      <c r="B158" s="426" t="s">
        <v>12290</v>
      </c>
      <c r="C158" s="426">
        <v>2004.0</v>
      </c>
      <c r="D158" s="500">
        <v>38089.0</v>
      </c>
      <c r="E158" s="426" t="s">
        <v>12291</v>
      </c>
      <c r="F158" s="426" t="s">
        <v>1401</v>
      </c>
      <c r="G158" s="426" t="s">
        <v>552</v>
      </c>
      <c r="H158" s="426" t="s">
        <v>7403</v>
      </c>
      <c r="I158" s="500">
        <v>39386.0</v>
      </c>
      <c r="J158" s="428">
        <v>10.0</v>
      </c>
      <c r="K158" s="638" t="s">
        <v>234</v>
      </c>
      <c r="L158" s="428" t="s">
        <v>256</v>
      </c>
      <c r="M158" s="319">
        <f t="shared" si="2"/>
        <v>1297</v>
      </c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578">
        <v>15807.0</v>
      </c>
      <c r="B159" s="420" t="s">
        <v>12292</v>
      </c>
      <c r="C159" s="420">
        <v>2006.0</v>
      </c>
      <c r="D159" s="497">
        <v>38862.0</v>
      </c>
      <c r="E159" s="420" t="s">
        <v>12293</v>
      </c>
      <c r="F159" s="420" t="s">
        <v>947</v>
      </c>
      <c r="G159" s="420" t="s">
        <v>650</v>
      </c>
      <c r="H159" s="420" t="s">
        <v>601</v>
      </c>
      <c r="I159" s="497">
        <v>39386.0</v>
      </c>
      <c r="J159" s="422">
        <v>10.0</v>
      </c>
      <c r="K159" s="637" t="s">
        <v>238</v>
      </c>
      <c r="L159" s="420" t="s">
        <v>258</v>
      </c>
      <c r="M159" s="316">
        <f t="shared" si="2"/>
        <v>524</v>
      </c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585">
        <v>15907.0</v>
      </c>
      <c r="B160" s="426" t="s">
        <v>12294</v>
      </c>
      <c r="C160" s="426">
        <v>2005.0</v>
      </c>
      <c r="D160" s="500">
        <v>38632.0</v>
      </c>
      <c r="E160" s="426" t="s">
        <v>12295</v>
      </c>
      <c r="F160" s="426" t="s">
        <v>11564</v>
      </c>
      <c r="G160" s="426" t="s">
        <v>650</v>
      </c>
      <c r="H160" s="426" t="s">
        <v>651</v>
      </c>
      <c r="I160" s="500">
        <v>39387.0</v>
      </c>
      <c r="J160" s="428">
        <v>11.0</v>
      </c>
      <c r="K160" s="637" t="s">
        <v>238</v>
      </c>
      <c r="L160" s="428" t="s">
        <v>256</v>
      </c>
      <c r="M160" s="319">
        <f t="shared" si="2"/>
        <v>755</v>
      </c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578">
        <v>16007.0</v>
      </c>
      <c r="B161" s="420" t="s">
        <v>12296</v>
      </c>
      <c r="C161" s="420">
        <v>2005.0</v>
      </c>
      <c r="D161" s="497">
        <v>38713.0</v>
      </c>
      <c r="E161" s="420" t="s">
        <v>12297</v>
      </c>
      <c r="F161" s="420" t="s">
        <v>1232</v>
      </c>
      <c r="G161" s="420" t="s">
        <v>17</v>
      </c>
      <c r="H161" s="420" t="s">
        <v>7403</v>
      </c>
      <c r="I161" s="497">
        <v>39392.0</v>
      </c>
      <c r="J161" s="422">
        <v>11.0</v>
      </c>
      <c r="K161" s="638" t="s">
        <v>234</v>
      </c>
      <c r="L161" s="420" t="s">
        <v>256</v>
      </c>
      <c r="M161" s="316">
        <f t="shared" si="2"/>
        <v>679</v>
      </c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585">
        <v>16107.0</v>
      </c>
      <c r="B162" s="426" t="s">
        <v>12298</v>
      </c>
      <c r="C162" s="426">
        <v>2005.0</v>
      </c>
      <c r="D162" s="500">
        <v>38580.0</v>
      </c>
      <c r="E162" s="426" t="s">
        <v>12299</v>
      </c>
      <c r="F162" s="426" t="s">
        <v>134</v>
      </c>
      <c r="G162" s="426" t="s">
        <v>552</v>
      </c>
      <c r="H162" s="426" t="s">
        <v>56</v>
      </c>
      <c r="I162" s="500">
        <v>39394.0</v>
      </c>
      <c r="J162" s="428">
        <v>11.0</v>
      </c>
      <c r="K162" s="637" t="s">
        <v>238</v>
      </c>
      <c r="L162" s="428" t="s">
        <v>256</v>
      </c>
      <c r="M162" s="319">
        <f t="shared" si="2"/>
        <v>814</v>
      </c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578">
        <v>16207.0</v>
      </c>
      <c r="B163" s="420" t="s">
        <v>12300</v>
      </c>
      <c r="C163" s="420">
        <v>2005.0</v>
      </c>
      <c r="D163" s="497">
        <v>38593.0</v>
      </c>
      <c r="E163" s="420" t="s">
        <v>12301</v>
      </c>
      <c r="F163" s="420" t="s">
        <v>134</v>
      </c>
      <c r="G163" s="420" t="s">
        <v>552</v>
      </c>
      <c r="H163" s="420" t="s">
        <v>56</v>
      </c>
      <c r="I163" s="497">
        <v>39394.0</v>
      </c>
      <c r="J163" s="422">
        <v>11.0</v>
      </c>
      <c r="K163" s="637" t="s">
        <v>238</v>
      </c>
      <c r="L163" s="420" t="s">
        <v>256</v>
      </c>
      <c r="M163" s="316">
        <f t="shared" si="2"/>
        <v>801</v>
      </c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585">
        <v>16307.0</v>
      </c>
      <c r="B164" s="426" t="s">
        <v>12302</v>
      </c>
      <c r="C164" s="426">
        <v>2005.0</v>
      </c>
      <c r="D164" s="500">
        <v>38443.0</v>
      </c>
      <c r="E164" s="426" t="s">
        <v>12303</v>
      </c>
      <c r="F164" s="426" t="s">
        <v>660</v>
      </c>
      <c r="G164" s="426" t="s">
        <v>552</v>
      </c>
      <c r="H164" s="426" t="s">
        <v>163</v>
      </c>
      <c r="I164" s="500">
        <v>39398.0</v>
      </c>
      <c r="J164" s="428">
        <v>11.0</v>
      </c>
      <c r="K164" s="635" t="s">
        <v>228</v>
      </c>
      <c r="L164" s="428" t="s">
        <v>258</v>
      </c>
      <c r="M164" s="319">
        <f t="shared" si="2"/>
        <v>955</v>
      </c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578">
        <v>16407.0</v>
      </c>
      <c r="B165" s="420" t="s">
        <v>12304</v>
      </c>
      <c r="C165" s="420">
        <v>2006.0</v>
      </c>
      <c r="D165" s="497">
        <v>38782.0</v>
      </c>
      <c r="E165" s="420" t="s">
        <v>12305</v>
      </c>
      <c r="F165" s="420" t="s">
        <v>7179</v>
      </c>
      <c r="G165" s="420" t="s">
        <v>552</v>
      </c>
      <c r="H165" s="420" t="s">
        <v>9033</v>
      </c>
      <c r="I165" s="497">
        <v>39398.0</v>
      </c>
      <c r="J165" s="422">
        <v>11.0</v>
      </c>
      <c r="K165" s="635" t="s">
        <v>228</v>
      </c>
      <c r="L165" s="420" t="s">
        <v>258</v>
      </c>
      <c r="M165" s="316">
        <f t="shared" si="2"/>
        <v>616</v>
      </c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585">
        <v>16507.0</v>
      </c>
      <c r="B166" s="426" t="s">
        <v>12306</v>
      </c>
      <c r="C166" s="426">
        <v>2004.0</v>
      </c>
      <c r="D166" s="500">
        <v>38348.0</v>
      </c>
      <c r="E166" s="426" t="s">
        <v>12307</v>
      </c>
      <c r="F166" s="426" t="s">
        <v>947</v>
      </c>
      <c r="G166" s="426" t="s">
        <v>552</v>
      </c>
      <c r="H166" s="426" t="s">
        <v>583</v>
      </c>
      <c r="I166" s="500">
        <v>39399.0</v>
      </c>
      <c r="J166" s="428">
        <v>11.0</v>
      </c>
      <c r="K166" s="637" t="s">
        <v>238</v>
      </c>
      <c r="L166" s="428" t="s">
        <v>258</v>
      </c>
      <c r="M166" s="319">
        <f t="shared" si="2"/>
        <v>1051</v>
      </c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578">
        <v>16607.0</v>
      </c>
      <c r="B167" s="420" t="s">
        <v>12308</v>
      </c>
      <c r="C167" s="420">
        <v>2005.0</v>
      </c>
      <c r="D167" s="497">
        <v>38623.0</v>
      </c>
      <c r="E167" s="420" t="s">
        <v>12309</v>
      </c>
      <c r="F167" s="420" t="s">
        <v>44</v>
      </c>
      <c r="G167" s="420" t="s">
        <v>552</v>
      </c>
      <c r="H167" s="420" t="s">
        <v>9033</v>
      </c>
      <c r="I167" s="497">
        <v>39399.0</v>
      </c>
      <c r="J167" s="422">
        <v>11.0</v>
      </c>
      <c r="K167" s="635" t="s">
        <v>228</v>
      </c>
      <c r="L167" s="420" t="s">
        <v>258</v>
      </c>
      <c r="M167" s="316">
        <f t="shared" si="2"/>
        <v>776</v>
      </c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585">
        <v>16707.0</v>
      </c>
      <c r="B168" s="426" t="s">
        <v>12310</v>
      </c>
      <c r="C168" s="426">
        <v>2007.0</v>
      </c>
      <c r="D168" s="500">
        <v>39266.0</v>
      </c>
      <c r="E168" s="426" t="s">
        <v>12311</v>
      </c>
      <c r="F168" s="426" t="s">
        <v>44</v>
      </c>
      <c r="G168" s="426" t="s">
        <v>17</v>
      </c>
      <c r="H168" s="426" t="s">
        <v>45</v>
      </c>
      <c r="I168" s="500">
        <v>39408.0</v>
      </c>
      <c r="J168" s="428">
        <v>11.0</v>
      </c>
      <c r="K168" s="635" t="s">
        <v>228</v>
      </c>
      <c r="L168" s="428" t="s">
        <v>258</v>
      </c>
      <c r="M168" s="319">
        <f t="shared" si="2"/>
        <v>142</v>
      </c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578">
        <v>16807.0</v>
      </c>
      <c r="B169" s="420" t="s">
        <v>12312</v>
      </c>
      <c r="C169" s="420">
        <v>2007.0</v>
      </c>
      <c r="D169" s="497">
        <v>39266.0</v>
      </c>
      <c r="E169" s="420" t="s">
        <v>12313</v>
      </c>
      <c r="F169" s="420" t="s">
        <v>44</v>
      </c>
      <c r="G169" s="420" t="s">
        <v>17</v>
      </c>
      <c r="H169" s="420" t="s">
        <v>901</v>
      </c>
      <c r="I169" s="497">
        <v>39408.0</v>
      </c>
      <c r="J169" s="422">
        <v>11.0</v>
      </c>
      <c r="K169" s="635" t="s">
        <v>228</v>
      </c>
      <c r="L169" s="420" t="s">
        <v>258</v>
      </c>
      <c r="M169" s="316">
        <f t="shared" si="2"/>
        <v>142</v>
      </c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585">
        <v>16907.0</v>
      </c>
      <c r="B170" s="426" t="s">
        <v>12314</v>
      </c>
      <c r="C170" s="426">
        <v>2004.0</v>
      </c>
      <c r="D170" s="500">
        <v>38336.0</v>
      </c>
      <c r="E170" s="426" t="s">
        <v>12315</v>
      </c>
      <c r="F170" s="426" t="s">
        <v>719</v>
      </c>
      <c r="G170" s="426" t="s">
        <v>552</v>
      </c>
      <c r="H170" s="426" t="s">
        <v>50</v>
      </c>
      <c r="I170" s="500">
        <v>39409.0</v>
      </c>
      <c r="J170" s="428">
        <v>11.0</v>
      </c>
      <c r="K170" s="638" t="s">
        <v>234</v>
      </c>
      <c r="L170" s="428" t="s">
        <v>256</v>
      </c>
      <c r="M170" s="319">
        <f t="shared" si="2"/>
        <v>1073</v>
      </c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578">
        <v>17007.0</v>
      </c>
      <c r="B171" s="420" t="s">
        <v>12316</v>
      </c>
      <c r="C171" s="420">
        <v>2006.0</v>
      </c>
      <c r="D171" s="497">
        <v>38868.0</v>
      </c>
      <c r="E171" s="420" t="s">
        <v>12317</v>
      </c>
      <c r="F171" s="420" t="s">
        <v>1401</v>
      </c>
      <c r="G171" s="420" t="s">
        <v>17</v>
      </c>
      <c r="H171" s="420" t="s">
        <v>12318</v>
      </c>
      <c r="I171" s="497">
        <v>39414.0</v>
      </c>
      <c r="J171" s="422">
        <v>11.0</v>
      </c>
      <c r="K171" s="637" t="s">
        <v>238</v>
      </c>
      <c r="L171" s="420" t="s">
        <v>258</v>
      </c>
      <c r="M171" s="316">
        <f t="shared" si="2"/>
        <v>546</v>
      </c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585">
        <v>17107.0</v>
      </c>
      <c r="B172" s="426" t="s">
        <v>12319</v>
      </c>
      <c r="C172" s="426">
        <v>2004.0</v>
      </c>
      <c r="D172" s="500">
        <v>38051.0</v>
      </c>
      <c r="E172" s="426" t="s">
        <v>12320</v>
      </c>
      <c r="F172" s="426" t="s">
        <v>11617</v>
      </c>
      <c r="G172" s="426" t="s">
        <v>17</v>
      </c>
      <c r="H172" s="426" t="s">
        <v>7403</v>
      </c>
      <c r="I172" s="500">
        <v>39414.0</v>
      </c>
      <c r="J172" s="428">
        <v>11.0</v>
      </c>
      <c r="K172" s="635" t="s">
        <v>228</v>
      </c>
      <c r="L172" s="428" t="s">
        <v>258</v>
      </c>
      <c r="M172" s="319">
        <f t="shared" si="2"/>
        <v>1363</v>
      </c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578">
        <v>17207.0</v>
      </c>
      <c r="B173" s="420" t="s">
        <v>12321</v>
      </c>
      <c r="C173" s="420">
        <v>2007.0</v>
      </c>
      <c r="D173" s="497">
        <v>39234.0</v>
      </c>
      <c r="E173" s="420" t="s">
        <v>12322</v>
      </c>
      <c r="F173" s="420" t="s">
        <v>947</v>
      </c>
      <c r="G173" s="420" t="s">
        <v>17</v>
      </c>
      <c r="H173" s="420" t="s">
        <v>12323</v>
      </c>
      <c r="I173" s="497">
        <v>39414.0</v>
      </c>
      <c r="J173" s="422">
        <v>11.0</v>
      </c>
      <c r="K173" s="637" t="s">
        <v>238</v>
      </c>
      <c r="L173" s="420" t="s">
        <v>258</v>
      </c>
      <c r="M173" s="316">
        <f t="shared" si="2"/>
        <v>180</v>
      </c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585">
        <v>17307.0</v>
      </c>
      <c r="B174" s="426" t="s">
        <v>12324</v>
      </c>
      <c r="C174" s="426">
        <v>2006.0</v>
      </c>
      <c r="D174" s="500">
        <v>38979.0</v>
      </c>
      <c r="E174" s="426" t="s">
        <v>12325</v>
      </c>
      <c r="F174" s="426" t="s">
        <v>2873</v>
      </c>
      <c r="G174" s="426" t="s">
        <v>17</v>
      </c>
      <c r="H174" s="426" t="s">
        <v>1501</v>
      </c>
      <c r="I174" s="500">
        <v>39416.0</v>
      </c>
      <c r="J174" s="428">
        <v>11.0</v>
      </c>
      <c r="K174" s="635" t="s">
        <v>228</v>
      </c>
      <c r="L174" s="428" t="s">
        <v>258</v>
      </c>
      <c r="M174" s="319">
        <f t="shared" si="2"/>
        <v>437</v>
      </c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578">
        <v>17407.0</v>
      </c>
      <c r="B175" s="420" t="s">
        <v>12326</v>
      </c>
      <c r="C175" s="420">
        <v>2007.0</v>
      </c>
      <c r="D175" s="497">
        <v>39272.0</v>
      </c>
      <c r="E175" s="420" t="s">
        <v>12327</v>
      </c>
      <c r="F175" s="420" t="s">
        <v>2873</v>
      </c>
      <c r="G175" s="420" t="s">
        <v>17</v>
      </c>
      <c r="H175" s="420" t="s">
        <v>50</v>
      </c>
      <c r="I175" s="497">
        <v>39416.0</v>
      </c>
      <c r="J175" s="422">
        <v>11.0</v>
      </c>
      <c r="K175" s="635" t="s">
        <v>228</v>
      </c>
      <c r="L175" s="420" t="s">
        <v>258</v>
      </c>
      <c r="M175" s="316">
        <f t="shared" si="2"/>
        <v>144</v>
      </c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585">
        <v>17507.0</v>
      </c>
      <c r="B176" s="426" t="s">
        <v>12328</v>
      </c>
      <c r="C176" s="426">
        <v>2007.0</v>
      </c>
      <c r="D176" s="500">
        <v>39266.0</v>
      </c>
      <c r="E176" s="426" t="s">
        <v>12329</v>
      </c>
      <c r="F176" s="426" t="s">
        <v>1232</v>
      </c>
      <c r="G176" s="426" t="s">
        <v>17</v>
      </c>
      <c r="H176" s="426" t="s">
        <v>50</v>
      </c>
      <c r="I176" s="500">
        <v>39421.0</v>
      </c>
      <c r="J176" s="428">
        <v>12.0</v>
      </c>
      <c r="K176" s="638" t="s">
        <v>234</v>
      </c>
      <c r="L176" s="428" t="s">
        <v>258</v>
      </c>
      <c r="M176" s="319">
        <f t="shared" si="2"/>
        <v>155</v>
      </c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578">
        <v>17607.0</v>
      </c>
      <c r="B177" s="420" t="s">
        <v>12330</v>
      </c>
      <c r="C177" s="420">
        <v>2004.0</v>
      </c>
      <c r="D177" s="497">
        <v>38275.0</v>
      </c>
      <c r="E177" s="420" t="s">
        <v>12331</v>
      </c>
      <c r="F177" s="420" t="s">
        <v>11507</v>
      </c>
      <c r="G177" s="420" t="s">
        <v>650</v>
      </c>
      <c r="H177" s="420" t="s">
        <v>601</v>
      </c>
      <c r="I177" s="497">
        <v>39421.0</v>
      </c>
      <c r="J177" s="422">
        <v>12.0</v>
      </c>
      <c r="K177" s="638" t="s">
        <v>234</v>
      </c>
      <c r="L177" s="420" t="s">
        <v>256</v>
      </c>
      <c r="M177" s="316">
        <f t="shared" si="2"/>
        <v>1146</v>
      </c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585">
        <v>17707.0</v>
      </c>
      <c r="B178" s="426" t="s">
        <v>12332</v>
      </c>
      <c r="C178" s="426">
        <v>2005.0</v>
      </c>
      <c r="D178" s="500">
        <v>38701.0</v>
      </c>
      <c r="E178" s="426" t="s">
        <v>12333</v>
      </c>
      <c r="F178" s="426" t="s">
        <v>12334</v>
      </c>
      <c r="G178" s="426" t="s">
        <v>547</v>
      </c>
      <c r="H178" s="426" t="s">
        <v>601</v>
      </c>
      <c r="I178" s="500">
        <v>39422.0</v>
      </c>
      <c r="J178" s="428">
        <v>12.0</v>
      </c>
      <c r="K178" s="635" t="s">
        <v>228</v>
      </c>
      <c r="L178" s="428" t="s">
        <v>258</v>
      </c>
      <c r="M178" s="319">
        <f t="shared" si="2"/>
        <v>721</v>
      </c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578">
        <v>17807.0</v>
      </c>
      <c r="B179" s="420" t="s">
        <v>12335</v>
      </c>
      <c r="C179" s="420">
        <v>2004.0</v>
      </c>
      <c r="D179" s="497">
        <v>38019.0</v>
      </c>
      <c r="E179" s="420" t="s">
        <v>12336</v>
      </c>
      <c r="F179" s="420" t="s">
        <v>6747</v>
      </c>
      <c r="G179" s="420" t="s">
        <v>552</v>
      </c>
      <c r="H179" s="420" t="s">
        <v>50</v>
      </c>
      <c r="I179" s="497">
        <v>39422.0</v>
      </c>
      <c r="J179" s="422">
        <v>12.0</v>
      </c>
      <c r="K179" s="635" t="s">
        <v>228</v>
      </c>
      <c r="L179" s="420" t="s">
        <v>256</v>
      </c>
      <c r="M179" s="316">
        <f t="shared" si="2"/>
        <v>1403</v>
      </c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585">
        <v>17907.0</v>
      </c>
      <c r="B180" s="426" t="s">
        <v>12337</v>
      </c>
      <c r="C180" s="426">
        <v>2004.0</v>
      </c>
      <c r="D180" s="500">
        <v>38093.0</v>
      </c>
      <c r="E180" s="426" t="s">
        <v>12338</v>
      </c>
      <c r="F180" s="426" t="s">
        <v>6584</v>
      </c>
      <c r="G180" s="426" t="s">
        <v>17</v>
      </c>
      <c r="H180" s="426" t="s">
        <v>601</v>
      </c>
      <c r="I180" s="500">
        <v>39422.0</v>
      </c>
      <c r="J180" s="428">
        <v>12.0</v>
      </c>
      <c r="K180" s="637" t="s">
        <v>238</v>
      </c>
      <c r="L180" s="428" t="s">
        <v>256</v>
      </c>
      <c r="M180" s="319">
        <f t="shared" si="2"/>
        <v>1329</v>
      </c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578">
        <v>18007.0</v>
      </c>
      <c r="B181" s="420" t="s">
        <v>12339</v>
      </c>
      <c r="C181" s="420">
        <v>2003.0</v>
      </c>
      <c r="D181" s="497">
        <v>37672.0</v>
      </c>
      <c r="E181" s="420" t="s">
        <v>12340</v>
      </c>
      <c r="F181" s="420" t="s">
        <v>1846</v>
      </c>
      <c r="G181" s="420" t="s">
        <v>552</v>
      </c>
      <c r="H181" s="420" t="s">
        <v>740</v>
      </c>
      <c r="I181" s="497">
        <v>39423.0</v>
      </c>
      <c r="J181" s="422">
        <v>12.0</v>
      </c>
      <c r="K181" s="636" t="s">
        <v>244</v>
      </c>
      <c r="L181" s="420" t="s">
        <v>258</v>
      </c>
      <c r="M181" s="316">
        <f t="shared" si="2"/>
        <v>1751</v>
      </c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585">
        <v>18107.0</v>
      </c>
      <c r="B182" s="426" t="s">
        <v>12341</v>
      </c>
      <c r="C182" s="426">
        <v>2005.0</v>
      </c>
      <c r="D182" s="500">
        <v>38477.0</v>
      </c>
      <c r="E182" s="426" t="s">
        <v>12342</v>
      </c>
      <c r="F182" s="426" t="s">
        <v>12343</v>
      </c>
      <c r="G182" s="426" t="s">
        <v>650</v>
      </c>
      <c r="H182" s="426" t="s">
        <v>601</v>
      </c>
      <c r="I182" s="500">
        <v>39423.0</v>
      </c>
      <c r="J182" s="428">
        <v>12.0</v>
      </c>
      <c r="K182" s="638" t="s">
        <v>234</v>
      </c>
      <c r="L182" s="428" t="s">
        <v>254</v>
      </c>
      <c r="M182" s="319">
        <f t="shared" si="2"/>
        <v>946</v>
      </c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578">
        <v>18207.0</v>
      </c>
      <c r="B183" s="420" t="s">
        <v>12344</v>
      </c>
      <c r="C183" s="420">
        <v>2003.0</v>
      </c>
      <c r="D183" s="497">
        <v>37694.0</v>
      </c>
      <c r="E183" s="420" t="s">
        <v>12345</v>
      </c>
      <c r="F183" s="420" t="s">
        <v>1846</v>
      </c>
      <c r="G183" s="420" t="s">
        <v>552</v>
      </c>
      <c r="H183" s="420" t="s">
        <v>740</v>
      </c>
      <c r="I183" s="497">
        <v>39426.0</v>
      </c>
      <c r="J183" s="422">
        <v>12.0</v>
      </c>
      <c r="K183" s="636" t="s">
        <v>244</v>
      </c>
      <c r="L183" s="420" t="s">
        <v>258</v>
      </c>
      <c r="M183" s="316">
        <f t="shared" si="2"/>
        <v>1732</v>
      </c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585">
        <v>18307.0</v>
      </c>
      <c r="B184" s="426" t="s">
        <v>12346</v>
      </c>
      <c r="C184" s="426">
        <v>2003.0</v>
      </c>
      <c r="D184" s="500">
        <v>37874.0</v>
      </c>
      <c r="E184" s="426" t="s">
        <v>12347</v>
      </c>
      <c r="F184" s="426" t="s">
        <v>11582</v>
      </c>
      <c r="G184" s="426" t="s">
        <v>552</v>
      </c>
      <c r="H184" s="426" t="s">
        <v>12348</v>
      </c>
      <c r="I184" s="500">
        <v>39427.0</v>
      </c>
      <c r="J184" s="428">
        <v>12.0</v>
      </c>
      <c r="K184" s="637" t="s">
        <v>238</v>
      </c>
      <c r="L184" s="428" t="s">
        <v>258</v>
      </c>
      <c r="M184" s="319">
        <f t="shared" si="2"/>
        <v>1553</v>
      </c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578">
        <v>18407.0</v>
      </c>
      <c r="B185" s="420" t="s">
        <v>12349</v>
      </c>
      <c r="C185" s="420">
        <v>2005.0</v>
      </c>
      <c r="D185" s="497">
        <v>38687.0</v>
      </c>
      <c r="E185" s="420" t="s">
        <v>12350</v>
      </c>
      <c r="F185" s="420" t="s">
        <v>900</v>
      </c>
      <c r="G185" s="420" t="s">
        <v>552</v>
      </c>
      <c r="H185" s="420" t="s">
        <v>11527</v>
      </c>
      <c r="I185" s="497">
        <v>39433.0</v>
      </c>
      <c r="J185" s="422">
        <v>12.0</v>
      </c>
      <c r="K185" s="635" t="s">
        <v>228</v>
      </c>
      <c r="L185" s="420" t="s">
        <v>256</v>
      </c>
      <c r="M185" s="316">
        <f t="shared" si="2"/>
        <v>746</v>
      </c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585">
        <v>18507.0</v>
      </c>
      <c r="B186" s="426" t="s">
        <v>12351</v>
      </c>
      <c r="C186" s="426">
        <v>2005.0</v>
      </c>
      <c r="D186" s="500">
        <v>38707.0</v>
      </c>
      <c r="E186" s="426" t="s">
        <v>12352</v>
      </c>
      <c r="F186" s="426" t="s">
        <v>11582</v>
      </c>
      <c r="G186" s="426" t="s">
        <v>650</v>
      </c>
      <c r="H186" s="426" t="s">
        <v>1002</v>
      </c>
      <c r="I186" s="500">
        <v>39433.0</v>
      </c>
      <c r="J186" s="428">
        <v>12.0</v>
      </c>
      <c r="K186" s="637" t="s">
        <v>238</v>
      </c>
      <c r="L186" s="428" t="s">
        <v>258</v>
      </c>
      <c r="M186" s="319">
        <f t="shared" si="2"/>
        <v>726</v>
      </c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578">
        <v>18607.0</v>
      </c>
      <c r="B187" s="420" t="s">
        <v>12353</v>
      </c>
      <c r="C187" s="420">
        <v>2005.0</v>
      </c>
      <c r="D187" s="497">
        <v>38716.0</v>
      </c>
      <c r="E187" s="420" t="s">
        <v>12354</v>
      </c>
      <c r="F187" s="420" t="s">
        <v>900</v>
      </c>
      <c r="G187" s="420" t="s">
        <v>552</v>
      </c>
      <c r="H187" s="420" t="s">
        <v>11527</v>
      </c>
      <c r="I187" s="497">
        <v>39433.0</v>
      </c>
      <c r="J187" s="422">
        <v>12.0</v>
      </c>
      <c r="K187" s="635" t="s">
        <v>228</v>
      </c>
      <c r="L187" s="420" t="s">
        <v>256</v>
      </c>
      <c r="M187" s="316">
        <f t="shared" si="2"/>
        <v>717</v>
      </c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585">
        <v>18707.0</v>
      </c>
      <c r="B188" s="426" t="s">
        <v>12355</v>
      </c>
      <c r="C188" s="426">
        <v>2005.0</v>
      </c>
      <c r="D188" s="500">
        <v>38687.0</v>
      </c>
      <c r="E188" s="426" t="s">
        <v>12356</v>
      </c>
      <c r="F188" s="426" t="s">
        <v>7179</v>
      </c>
      <c r="G188" s="426" t="s">
        <v>552</v>
      </c>
      <c r="H188" s="426" t="s">
        <v>11527</v>
      </c>
      <c r="I188" s="500">
        <v>39433.0</v>
      </c>
      <c r="J188" s="428">
        <v>12.0</v>
      </c>
      <c r="K188" s="635" t="s">
        <v>228</v>
      </c>
      <c r="L188" s="428" t="s">
        <v>258</v>
      </c>
      <c r="M188" s="319">
        <f t="shared" si="2"/>
        <v>746</v>
      </c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578">
        <v>18807.0</v>
      </c>
      <c r="B189" s="420" t="s">
        <v>12357</v>
      </c>
      <c r="C189" s="420">
        <v>2006.0</v>
      </c>
      <c r="D189" s="497">
        <v>38761.0</v>
      </c>
      <c r="E189" s="420" t="s">
        <v>12358</v>
      </c>
      <c r="F189" s="420" t="s">
        <v>1108</v>
      </c>
      <c r="G189" s="420" t="s">
        <v>552</v>
      </c>
      <c r="H189" s="420" t="s">
        <v>2509</v>
      </c>
      <c r="I189" s="497">
        <v>39433.0</v>
      </c>
      <c r="J189" s="422">
        <v>12.0</v>
      </c>
      <c r="K189" s="637" t="s">
        <v>238</v>
      </c>
      <c r="L189" s="420" t="s">
        <v>258</v>
      </c>
      <c r="M189" s="316">
        <f t="shared" si="2"/>
        <v>672</v>
      </c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585">
        <v>18907.0</v>
      </c>
      <c r="B190" s="426" t="s">
        <v>12359</v>
      </c>
      <c r="C190" s="426">
        <v>2006.0</v>
      </c>
      <c r="D190" s="500">
        <v>38761.0</v>
      </c>
      <c r="E190" s="426" t="s">
        <v>12360</v>
      </c>
      <c r="F190" s="426" t="s">
        <v>1108</v>
      </c>
      <c r="G190" s="426" t="s">
        <v>552</v>
      </c>
      <c r="H190" s="426" t="s">
        <v>2509</v>
      </c>
      <c r="I190" s="500">
        <v>39433.0</v>
      </c>
      <c r="J190" s="428">
        <v>12.0</v>
      </c>
      <c r="K190" s="637" t="s">
        <v>238</v>
      </c>
      <c r="L190" s="428" t="s">
        <v>258</v>
      </c>
      <c r="M190" s="319">
        <f t="shared" si="2"/>
        <v>672</v>
      </c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578">
        <v>19007.0</v>
      </c>
      <c r="B191" s="420" t="s">
        <v>12361</v>
      </c>
      <c r="C191" s="420">
        <v>2005.0</v>
      </c>
      <c r="D191" s="497">
        <v>38688.0</v>
      </c>
      <c r="E191" s="420" t="s">
        <v>12362</v>
      </c>
      <c r="F191" s="420" t="s">
        <v>1203</v>
      </c>
      <c r="G191" s="420" t="s">
        <v>552</v>
      </c>
      <c r="H191" s="420" t="s">
        <v>5989</v>
      </c>
      <c r="I191" s="497">
        <v>39433.0</v>
      </c>
      <c r="J191" s="422">
        <v>12.0</v>
      </c>
      <c r="K191" s="637" t="s">
        <v>238</v>
      </c>
      <c r="L191" s="420" t="s">
        <v>256</v>
      </c>
      <c r="M191" s="316">
        <f t="shared" si="2"/>
        <v>745</v>
      </c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585">
        <v>19107.0</v>
      </c>
      <c r="B192" s="426" t="s">
        <v>12363</v>
      </c>
      <c r="C192" s="426">
        <v>2005.0</v>
      </c>
      <c r="D192" s="500">
        <v>38491.0</v>
      </c>
      <c r="E192" s="426" t="s">
        <v>12364</v>
      </c>
      <c r="F192" s="426" t="s">
        <v>11744</v>
      </c>
      <c r="G192" s="426" t="s">
        <v>17</v>
      </c>
      <c r="H192" s="426" t="s">
        <v>8274</v>
      </c>
      <c r="I192" s="500">
        <v>39433.0</v>
      </c>
      <c r="J192" s="428">
        <v>12.0</v>
      </c>
      <c r="K192" s="635" t="s">
        <v>228</v>
      </c>
      <c r="L192" s="428" t="s">
        <v>256</v>
      </c>
      <c r="M192" s="319">
        <f t="shared" si="2"/>
        <v>942</v>
      </c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578">
        <v>19207.0</v>
      </c>
      <c r="B193" s="420" t="s">
        <v>12365</v>
      </c>
      <c r="C193" s="420">
        <v>2005.0</v>
      </c>
      <c r="D193" s="497">
        <v>38693.0</v>
      </c>
      <c r="E193" s="420" t="s">
        <v>12366</v>
      </c>
      <c r="F193" s="420" t="s">
        <v>44</v>
      </c>
      <c r="G193" s="420" t="s">
        <v>17</v>
      </c>
      <c r="H193" s="420" t="s">
        <v>2964</v>
      </c>
      <c r="I193" s="497">
        <v>39433.0</v>
      </c>
      <c r="J193" s="422">
        <v>12.0</v>
      </c>
      <c r="K193" s="635" t="s">
        <v>228</v>
      </c>
      <c r="L193" s="420" t="s">
        <v>258</v>
      </c>
      <c r="M193" s="316">
        <f t="shared" si="2"/>
        <v>740</v>
      </c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585">
        <v>19307.0</v>
      </c>
      <c r="B194" s="426" t="s">
        <v>12367</v>
      </c>
      <c r="C194" s="426">
        <v>2004.0</v>
      </c>
      <c r="D194" s="500">
        <v>38275.0</v>
      </c>
      <c r="E194" s="426" t="s">
        <v>12368</v>
      </c>
      <c r="F194" s="426" t="s">
        <v>31</v>
      </c>
      <c r="G194" s="426" t="s">
        <v>650</v>
      </c>
      <c r="H194" s="426" t="s">
        <v>651</v>
      </c>
      <c r="I194" s="500">
        <v>39436.0</v>
      </c>
      <c r="J194" s="428">
        <v>12.0</v>
      </c>
      <c r="K194" s="636" t="s">
        <v>244</v>
      </c>
      <c r="L194" s="428" t="s">
        <v>258</v>
      </c>
      <c r="M194" s="319">
        <f t="shared" si="2"/>
        <v>1161</v>
      </c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578">
        <v>19407.0</v>
      </c>
      <c r="B195" s="420" t="s">
        <v>10610</v>
      </c>
      <c r="C195" s="420">
        <v>2005.0</v>
      </c>
      <c r="D195" s="497">
        <v>38665.0</v>
      </c>
      <c r="E195" s="420" t="s">
        <v>12369</v>
      </c>
      <c r="F195" s="420" t="s">
        <v>10027</v>
      </c>
      <c r="G195" s="420" t="s">
        <v>650</v>
      </c>
      <c r="H195" s="420" t="s">
        <v>1002</v>
      </c>
      <c r="I195" s="497">
        <v>39436.0</v>
      </c>
      <c r="J195" s="422">
        <v>12.0</v>
      </c>
      <c r="K195" s="638" t="s">
        <v>234</v>
      </c>
      <c r="L195" s="420" t="s">
        <v>256</v>
      </c>
      <c r="M195" s="316">
        <f t="shared" si="2"/>
        <v>771</v>
      </c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585">
        <v>19507.0</v>
      </c>
      <c r="B196" s="426" t="s">
        <v>12370</v>
      </c>
      <c r="C196" s="426">
        <v>2001.0</v>
      </c>
      <c r="D196" s="500">
        <v>37175.0</v>
      </c>
      <c r="E196" s="426" t="s">
        <v>12371</v>
      </c>
      <c r="F196" s="426" t="s">
        <v>12372</v>
      </c>
      <c r="G196" s="426" t="s">
        <v>650</v>
      </c>
      <c r="H196" s="426" t="s">
        <v>5180</v>
      </c>
      <c r="I196" s="500">
        <v>39436.0</v>
      </c>
      <c r="J196" s="428">
        <v>12.0</v>
      </c>
      <c r="K196" s="637" t="s">
        <v>238</v>
      </c>
      <c r="L196" s="428" t="s">
        <v>258</v>
      </c>
      <c r="M196" s="319">
        <f t="shared" si="2"/>
        <v>2261</v>
      </c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578">
        <v>19607.0</v>
      </c>
      <c r="B197" s="420" t="s">
        <v>12373</v>
      </c>
      <c r="C197" s="420">
        <v>2004.0</v>
      </c>
      <c r="D197" s="497">
        <v>38352.0</v>
      </c>
      <c r="E197" s="420" t="s">
        <v>12374</v>
      </c>
      <c r="F197" s="420" t="s">
        <v>11657</v>
      </c>
      <c r="G197" s="420" t="s">
        <v>650</v>
      </c>
      <c r="H197" s="420" t="s">
        <v>601</v>
      </c>
      <c r="I197" s="497">
        <v>39436.0</v>
      </c>
      <c r="J197" s="422">
        <v>12.0</v>
      </c>
      <c r="K197" s="638" t="s">
        <v>234</v>
      </c>
      <c r="L197" s="420" t="s">
        <v>256</v>
      </c>
      <c r="M197" s="316">
        <f t="shared" si="2"/>
        <v>1084</v>
      </c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585">
        <v>19707.0</v>
      </c>
      <c r="B198" s="426" t="s">
        <v>12375</v>
      </c>
      <c r="C198" s="426">
        <v>2005.0</v>
      </c>
      <c r="D198" s="500">
        <v>38677.0</v>
      </c>
      <c r="E198" s="426" t="s">
        <v>12376</v>
      </c>
      <c r="F198" s="426" t="s">
        <v>3505</v>
      </c>
      <c r="G198" s="426" t="s">
        <v>552</v>
      </c>
      <c r="H198" s="426" t="s">
        <v>5989</v>
      </c>
      <c r="I198" s="500">
        <v>39436.0</v>
      </c>
      <c r="J198" s="428">
        <v>12.0</v>
      </c>
      <c r="K198" s="635" t="s">
        <v>228</v>
      </c>
      <c r="L198" s="428" t="s">
        <v>256</v>
      </c>
      <c r="M198" s="319">
        <f t="shared" si="2"/>
        <v>759</v>
      </c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578">
        <v>19807.0</v>
      </c>
      <c r="B199" s="420" t="s">
        <v>12377</v>
      </c>
      <c r="C199" s="420">
        <v>2006.0</v>
      </c>
      <c r="D199" s="497">
        <v>38968.0</v>
      </c>
      <c r="E199" s="420" t="s">
        <v>12378</v>
      </c>
      <c r="F199" s="420" t="s">
        <v>666</v>
      </c>
      <c r="G199" s="420" t="s">
        <v>17</v>
      </c>
      <c r="H199" s="420" t="s">
        <v>9033</v>
      </c>
      <c r="I199" s="497">
        <v>39436.0</v>
      </c>
      <c r="J199" s="422">
        <v>12.0</v>
      </c>
      <c r="K199" s="637" t="s">
        <v>238</v>
      </c>
      <c r="L199" s="420" t="s">
        <v>258</v>
      </c>
      <c r="M199" s="316">
        <f t="shared" si="2"/>
        <v>468</v>
      </c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585">
        <v>19907.0</v>
      </c>
      <c r="B200" s="426" t="s">
        <v>12379</v>
      </c>
      <c r="C200" s="426">
        <v>2005.0</v>
      </c>
      <c r="D200" s="500">
        <v>38693.0</v>
      </c>
      <c r="E200" s="426" t="s">
        <v>12380</v>
      </c>
      <c r="F200" s="426" t="s">
        <v>11494</v>
      </c>
      <c r="G200" s="426" t="s">
        <v>650</v>
      </c>
      <c r="H200" s="426" t="s">
        <v>12381</v>
      </c>
      <c r="I200" s="500">
        <v>39436.0</v>
      </c>
      <c r="J200" s="428">
        <v>12.0</v>
      </c>
      <c r="K200" s="637" t="s">
        <v>238</v>
      </c>
      <c r="L200" s="428" t="s">
        <v>258</v>
      </c>
      <c r="M200" s="319">
        <f t="shared" si="2"/>
        <v>743</v>
      </c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578">
        <v>20007.0</v>
      </c>
      <c r="B201" s="420" t="s">
        <v>12382</v>
      </c>
      <c r="C201" s="420">
        <v>2006.0</v>
      </c>
      <c r="D201" s="497">
        <v>38772.0</v>
      </c>
      <c r="E201" s="420" t="s">
        <v>12383</v>
      </c>
      <c r="F201" s="420" t="s">
        <v>1401</v>
      </c>
      <c r="G201" s="420" t="s">
        <v>552</v>
      </c>
      <c r="H201" s="420" t="s">
        <v>7403</v>
      </c>
      <c r="I201" s="497">
        <v>39437.0</v>
      </c>
      <c r="J201" s="422">
        <v>12.0</v>
      </c>
      <c r="K201" s="638" t="s">
        <v>234</v>
      </c>
      <c r="L201" s="420" t="s">
        <v>256</v>
      </c>
      <c r="M201" s="316">
        <f t="shared" si="2"/>
        <v>665</v>
      </c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585">
        <v>20107.0</v>
      </c>
      <c r="B202" s="426" t="s">
        <v>12384</v>
      </c>
      <c r="C202" s="426">
        <v>2006.0</v>
      </c>
      <c r="D202" s="500">
        <v>38726.0</v>
      </c>
      <c r="E202" s="426" t="s">
        <v>12385</v>
      </c>
      <c r="F202" s="426" t="s">
        <v>660</v>
      </c>
      <c r="G202" s="426" t="s">
        <v>650</v>
      </c>
      <c r="H202" s="426" t="s">
        <v>158</v>
      </c>
      <c r="I202" s="500">
        <v>39437.0</v>
      </c>
      <c r="J202" s="428">
        <v>12.0</v>
      </c>
      <c r="K202" s="635" t="s">
        <v>228</v>
      </c>
      <c r="L202" s="428" t="s">
        <v>256</v>
      </c>
      <c r="M202" s="319">
        <f t="shared" si="2"/>
        <v>711</v>
      </c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578">
        <v>20207.0</v>
      </c>
      <c r="B203" s="420" t="s">
        <v>12386</v>
      </c>
      <c r="C203" s="420">
        <v>2006.0</v>
      </c>
      <c r="D203" s="497">
        <v>39051.0</v>
      </c>
      <c r="E203" s="420" t="s">
        <v>12387</v>
      </c>
      <c r="F203" s="420" t="s">
        <v>1232</v>
      </c>
      <c r="G203" s="420" t="s">
        <v>552</v>
      </c>
      <c r="H203" s="420" t="s">
        <v>7403</v>
      </c>
      <c r="I203" s="497">
        <v>39440.0</v>
      </c>
      <c r="J203" s="422">
        <v>12.0</v>
      </c>
      <c r="K203" s="635" t="s">
        <v>228</v>
      </c>
      <c r="L203" s="420" t="s">
        <v>256</v>
      </c>
      <c r="M203" s="316">
        <f t="shared" si="2"/>
        <v>389</v>
      </c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585">
        <v>20307.0</v>
      </c>
      <c r="B204" s="426" t="s">
        <v>12388</v>
      </c>
      <c r="C204" s="426">
        <v>2006.0</v>
      </c>
      <c r="D204" s="500">
        <v>38772.0</v>
      </c>
      <c r="E204" s="426" t="s">
        <v>12389</v>
      </c>
      <c r="F204" s="426" t="s">
        <v>1401</v>
      </c>
      <c r="G204" s="426" t="s">
        <v>552</v>
      </c>
      <c r="H204" s="426" t="s">
        <v>7403</v>
      </c>
      <c r="I204" s="500">
        <v>39440.0</v>
      </c>
      <c r="J204" s="428">
        <v>12.0</v>
      </c>
      <c r="K204" s="638" t="s">
        <v>234</v>
      </c>
      <c r="L204" s="428" t="s">
        <v>256</v>
      </c>
      <c r="M204" s="319">
        <f t="shared" si="2"/>
        <v>668</v>
      </c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67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hidden="1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67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hidden="1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67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hidden="1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67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hidden="1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67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hidden="1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67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hidden="1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67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hidden="1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67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hidden="1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67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hidden="1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67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hidden="1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67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hidden="1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67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hidden="1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67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hidden="1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67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hidden="1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67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hidden="1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67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hidden="1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67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67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67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67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67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67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67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67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67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67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67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67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67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67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67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67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67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67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67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67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67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67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67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67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67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67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67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67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67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67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67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67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67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67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67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67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67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67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67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67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67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67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67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67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67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67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67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67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67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67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67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67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67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67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67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67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67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67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67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67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67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67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67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67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67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67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67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67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67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67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67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67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67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67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67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67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67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67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67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67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67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67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67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67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67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67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67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67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67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67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67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67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67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67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67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67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67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67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67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67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67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67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67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67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67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67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67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67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67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67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67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67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67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67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67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67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67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67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67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67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67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67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67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67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67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67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67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67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67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67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67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67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67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67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67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67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67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67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67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67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67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67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67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67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67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67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6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67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67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6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67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67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6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67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67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6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67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67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6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67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67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6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67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67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6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67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67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6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67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67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6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67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67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6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67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67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6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67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67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6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67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67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6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67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67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6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67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67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6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67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67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6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67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67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6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67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67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6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67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67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6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67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67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67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67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67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67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67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67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6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67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67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6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67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67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6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67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67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6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67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67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6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67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67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6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67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67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6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67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67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6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67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67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6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67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67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6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67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67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6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67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67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6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67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67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6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67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67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6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67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67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6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67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67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6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67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67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6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67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67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6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67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67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6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67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67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6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67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67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6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67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67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6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67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67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6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67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67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6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67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67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6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67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67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6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67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67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6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67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67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6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67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67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6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67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67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6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67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67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6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67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67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6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67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67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6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67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67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6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67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67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6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67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67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6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67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67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6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67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67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6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67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67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6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67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67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6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67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67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6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67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67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6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67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67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6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67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67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6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67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67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6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67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67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6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67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67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6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67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67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6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67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67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6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67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67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6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67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67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6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67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67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6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67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67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6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67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67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6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67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67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67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67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67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67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67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67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67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67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67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67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67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67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67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67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67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67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67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67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67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67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67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67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67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67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67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67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67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67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67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67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67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67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67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67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67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67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67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67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67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67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67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67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67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67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67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67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67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67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67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67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67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67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67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67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67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67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67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67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67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67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67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67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67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67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67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67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67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67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67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67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67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67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67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67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67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67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67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67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67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67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67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67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67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67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67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67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67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67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67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67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67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67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67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67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67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67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67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67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67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67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67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67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67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67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67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67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67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67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67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67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67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67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67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67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67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67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67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67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67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67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67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67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67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67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67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67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67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67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67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67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67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67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67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67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67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67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67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67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67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67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67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67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67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67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67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67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67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67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67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67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67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67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67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67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67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67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67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67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67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67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67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67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67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67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67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67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67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67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67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67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67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67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67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67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67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67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67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67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67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67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67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67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67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67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67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67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67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67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67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67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67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67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67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67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67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67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67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67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67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67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67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67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67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67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67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67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67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67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67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67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67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67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67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67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67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67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67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67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67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67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67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67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67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67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67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67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67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67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67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67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67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67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67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67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67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67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67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67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67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67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67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67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67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67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67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67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67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67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67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67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67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67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67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67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67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67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67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67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67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67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67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67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67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67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67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67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67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67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67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67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67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67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67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67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67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67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67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67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67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67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67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67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67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67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67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67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67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67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67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67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67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67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67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67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67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67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67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67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67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67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67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67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67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67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67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67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67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67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67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67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67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67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67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67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67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67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67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67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67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67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67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67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67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67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67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67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67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67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67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67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67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67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67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67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67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67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67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67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67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67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67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67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67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67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67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67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67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67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67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67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67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67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67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67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67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67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67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67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67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67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67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67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67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67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67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67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67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67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67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67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67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67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67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67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67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67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67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67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67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67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67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67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67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67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67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67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67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67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67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67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67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67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67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67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67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67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67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67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67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67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67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67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67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67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67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67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67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67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67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204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86"/>
    <col customWidth="1" min="2" max="2" width="24.71"/>
    <col customWidth="1" min="3" max="3" width="25.57"/>
    <col customWidth="1" min="4" max="4" width="26.14"/>
    <col customWidth="1" min="5" max="5" width="42.43"/>
    <col customWidth="1" min="6" max="6" width="61.71"/>
    <col customWidth="1" min="7" max="8" width="15.43"/>
    <col customWidth="1" min="9" max="9" width="25.43"/>
    <col customWidth="1" min="10" max="10" width="26.86"/>
    <col customWidth="1" min="11" max="11" width="57.14"/>
    <col customWidth="1" min="12" max="12" width="59.86"/>
    <col customWidth="1" min="13" max="13" width="43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106.0</v>
      </c>
      <c r="B2" s="426" t="s">
        <v>12390</v>
      </c>
      <c r="C2" s="426">
        <v>2002.0</v>
      </c>
      <c r="D2" s="500">
        <v>37287.0</v>
      </c>
      <c r="E2" s="426" t="s">
        <v>12391</v>
      </c>
      <c r="F2" s="426" t="s">
        <v>4226</v>
      </c>
      <c r="G2" s="426" t="s">
        <v>270</v>
      </c>
      <c r="H2" s="426" t="s">
        <v>9672</v>
      </c>
      <c r="I2" s="500">
        <v>38728.0</v>
      </c>
      <c r="J2" s="428">
        <v>1.0</v>
      </c>
      <c r="K2" s="637" t="s">
        <v>238</v>
      </c>
      <c r="L2" s="428" t="s">
        <v>258</v>
      </c>
      <c r="M2" s="319">
        <f t="shared" ref="M2:M64" si="1">I2-D2</f>
        <v>1441</v>
      </c>
      <c r="N2" s="198"/>
      <c r="O2" s="545" t="s">
        <v>12392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206.0</v>
      </c>
      <c r="B3" s="420" t="s">
        <v>12393</v>
      </c>
      <c r="C3" s="420">
        <v>2002.0</v>
      </c>
      <c r="D3" s="497">
        <v>37287.0</v>
      </c>
      <c r="E3" s="420" t="s">
        <v>4225</v>
      </c>
      <c r="F3" s="420" t="s">
        <v>4226</v>
      </c>
      <c r="G3" s="420" t="s">
        <v>650</v>
      </c>
      <c r="H3" s="420" t="s">
        <v>9672</v>
      </c>
      <c r="I3" s="497">
        <v>38728.0</v>
      </c>
      <c r="J3" s="422">
        <v>1.0</v>
      </c>
      <c r="K3" s="637" t="s">
        <v>238</v>
      </c>
      <c r="L3" s="420" t="s">
        <v>256</v>
      </c>
      <c r="M3" s="316">
        <f t="shared" si="1"/>
        <v>1441</v>
      </c>
      <c r="N3" s="198"/>
      <c r="O3" s="320" t="s">
        <v>27</v>
      </c>
      <c r="P3" s="320">
        <f>COUNTIF($G$2:$G$476,"PT")</f>
        <v>18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306.0</v>
      </c>
      <c r="B4" s="426" t="s">
        <v>12394</v>
      </c>
      <c r="C4" s="426">
        <v>2004.0</v>
      </c>
      <c r="D4" s="500">
        <v>38351.0</v>
      </c>
      <c r="E4" s="426" t="s">
        <v>12395</v>
      </c>
      <c r="F4" s="426" t="s">
        <v>947</v>
      </c>
      <c r="G4" s="426" t="s">
        <v>17</v>
      </c>
      <c r="H4" s="426" t="s">
        <v>163</v>
      </c>
      <c r="I4" s="500">
        <v>38730.0</v>
      </c>
      <c r="J4" s="428">
        <v>1.0</v>
      </c>
      <c r="K4" s="637" t="s">
        <v>238</v>
      </c>
      <c r="L4" s="428" t="s">
        <v>258</v>
      </c>
      <c r="M4" s="319">
        <f t="shared" si="1"/>
        <v>379</v>
      </c>
      <c r="N4" s="198"/>
      <c r="O4" s="321" t="s">
        <v>34</v>
      </c>
      <c r="P4" s="321">
        <f>COUNTIF($G$2:$G$476,"PTN")</f>
        <v>5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406.0</v>
      </c>
      <c r="B5" s="420" t="s">
        <v>12396</v>
      </c>
      <c r="C5" s="420">
        <v>2003.0</v>
      </c>
      <c r="D5" s="497">
        <v>37873.0</v>
      </c>
      <c r="E5" s="420" t="s">
        <v>12397</v>
      </c>
      <c r="F5" s="420" t="s">
        <v>12398</v>
      </c>
      <c r="G5" s="420" t="s">
        <v>650</v>
      </c>
      <c r="H5" s="420" t="s">
        <v>601</v>
      </c>
      <c r="I5" s="497">
        <v>38741.0</v>
      </c>
      <c r="J5" s="422">
        <v>1.0</v>
      </c>
      <c r="K5" s="637" t="s">
        <v>238</v>
      </c>
      <c r="L5" s="420" t="s">
        <v>256</v>
      </c>
      <c r="M5" s="316">
        <f t="shared" si="1"/>
        <v>868</v>
      </c>
      <c r="N5" s="198"/>
      <c r="O5" s="322" t="s">
        <v>40</v>
      </c>
      <c r="P5" s="322">
        <f>COUNTIF($G$2:$G$476,"PTE")</f>
        <v>15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506.0</v>
      </c>
      <c r="B6" s="426" t="s">
        <v>12399</v>
      </c>
      <c r="C6" s="426">
        <v>2001.0</v>
      </c>
      <c r="D6" s="500">
        <v>37089.0</v>
      </c>
      <c r="E6" s="426" t="s">
        <v>12400</v>
      </c>
      <c r="F6" s="426" t="s">
        <v>963</v>
      </c>
      <c r="G6" s="426" t="s">
        <v>650</v>
      </c>
      <c r="H6" s="426" t="s">
        <v>45</v>
      </c>
      <c r="I6" s="500">
        <v>38744.0</v>
      </c>
      <c r="J6" s="428">
        <v>1.0</v>
      </c>
      <c r="K6" s="638" t="s">
        <v>234</v>
      </c>
      <c r="L6" s="428" t="s">
        <v>258</v>
      </c>
      <c r="M6" s="319">
        <f t="shared" si="1"/>
        <v>1655</v>
      </c>
      <c r="N6" s="198"/>
      <c r="O6" s="321" t="s">
        <v>46</v>
      </c>
      <c r="P6" s="321">
        <f>COUNTIF($G$2:$G$476,"Pré-Mistura")</f>
        <v>1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606.0</v>
      </c>
      <c r="B7" s="420" t="s">
        <v>12401</v>
      </c>
      <c r="C7" s="420">
        <v>2001.0</v>
      </c>
      <c r="D7" s="497">
        <v>37089.0</v>
      </c>
      <c r="E7" s="420" t="s">
        <v>12402</v>
      </c>
      <c r="F7" s="420" t="s">
        <v>660</v>
      </c>
      <c r="G7" s="420" t="s">
        <v>270</v>
      </c>
      <c r="H7" s="420" t="s">
        <v>45</v>
      </c>
      <c r="I7" s="497">
        <v>38744.0</v>
      </c>
      <c r="J7" s="422">
        <v>1.0</v>
      </c>
      <c r="K7" s="635" t="s">
        <v>228</v>
      </c>
      <c r="L7" s="420" t="s">
        <v>258</v>
      </c>
      <c r="M7" s="316">
        <f t="shared" si="1"/>
        <v>1655</v>
      </c>
      <c r="N7" s="198"/>
      <c r="O7" s="322" t="s">
        <v>553</v>
      </c>
      <c r="P7" s="322">
        <f>COUNTIF($G$2:$G$476,"PF")</f>
        <v>56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706.0</v>
      </c>
      <c r="B8" s="426" t="s">
        <v>12403</v>
      </c>
      <c r="C8" s="426">
        <v>2003.0</v>
      </c>
      <c r="D8" s="500">
        <v>37873.0</v>
      </c>
      <c r="E8" s="426" t="s">
        <v>12404</v>
      </c>
      <c r="F8" s="426" t="s">
        <v>12398</v>
      </c>
      <c r="G8" s="426" t="s">
        <v>650</v>
      </c>
      <c r="H8" s="426" t="s">
        <v>5180</v>
      </c>
      <c r="I8" s="500">
        <v>38757.0</v>
      </c>
      <c r="J8" s="428">
        <v>2.0</v>
      </c>
      <c r="K8" s="637" t="s">
        <v>238</v>
      </c>
      <c r="L8" s="428" t="s">
        <v>256</v>
      </c>
      <c r="M8" s="319">
        <f t="shared" si="1"/>
        <v>884</v>
      </c>
      <c r="N8" s="198"/>
      <c r="O8" s="321" t="s">
        <v>547</v>
      </c>
      <c r="P8" s="321">
        <f>COUNTIF($G$2:$G$476,"PFN")</f>
        <v>7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806.0</v>
      </c>
      <c r="B9" s="420" t="s">
        <v>12405</v>
      </c>
      <c r="C9" s="420">
        <v>2003.0</v>
      </c>
      <c r="D9" s="497">
        <v>37734.0</v>
      </c>
      <c r="E9" s="420" t="s">
        <v>12406</v>
      </c>
      <c r="F9" s="420" t="s">
        <v>660</v>
      </c>
      <c r="G9" s="420" t="s">
        <v>650</v>
      </c>
      <c r="H9" s="420" t="s">
        <v>45</v>
      </c>
      <c r="I9" s="497">
        <v>38763.0</v>
      </c>
      <c r="J9" s="422">
        <v>2.0</v>
      </c>
      <c r="K9" s="635" t="s">
        <v>228</v>
      </c>
      <c r="L9" s="420" t="s">
        <v>258</v>
      </c>
      <c r="M9" s="316">
        <f t="shared" si="1"/>
        <v>1029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906.0</v>
      </c>
      <c r="B10" s="426" t="s">
        <v>12407</v>
      </c>
      <c r="C10" s="426">
        <v>2000.0</v>
      </c>
      <c r="D10" s="500">
        <v>36874.0</v>
      </c>
      <c r="E10" s="426" t="s">
        <v>12408</v>
      </c>
      <c r="F10" s="426" t="s">
        <v>12409</v>
      </c>
      <c r="G10" s="426" t="s">
        <v>270</v>
      </c>
      <c r="H10" s="426" t="s">
        <v>705</v>
      </c>
      <c r="I10" s="500">
        <v>38770.0</v>
      </c>
      <c r="J10" s="428">
        <v>2.0</v>
      </c>
      <c r="K10" s="638" t="s">
        <v>234</v>
      </c>
      <c r="L10" s="428" t="s">
        <v>258</v>
      </c>
      <c r="M10" s="319">
        <f t="shared" si="1"/>
        <v>1896</v>
      </c>
      <c r="N10" s="198"/>
      <c r="O10" s="321" t="s">
        <v>565</v>
      </c>
      <c r="P10" s="321">
        <f>COUNTIF($G$2:$G$476,"Bio")</f>
        <v>7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1006.0</v>
      </c>
      <c r="B11" s="420" t="s">
        <v>12410</v>
      </c>
      <c r="C11" s="420">
        <v>2003.0</v>
      </c>
      <c r="D11" s="497">
        <v>37981.0</v>
      </c>
      <c r="E11" s="420" t="s">
        <v>12411</v>
      </c>
      <c r="F11" s="420" t="s">
        <v>12412</v>
      </c>
      <c r="G11" s="420" t="s">
        <v>270</v>
      </c>
      <c r="H11" s="420" t="s">
        <v>651</v>
      </c>
      <c r="I11" s="497">
        <v>38772.0</v>
      </c>
      <c r="J11" s="422">
        <v>2.0</v>
      </c>
      <c r="K11" s="638" t="s">
        <v>234</v>
      </c>
      <c r="L11" s="420" t="s">
        <v>258</v>
      </c>
      <c r="M11" s="316">
        <f t="shared" si="1"/>
        <v>791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1106.0</v>
      </c>
      <c r="B12" s="426" t="s">
        <v>12413</v>
      </c>
      <c r="C12" s="426">
        <v>1995.0</v>
      </c>
      <c r="D12" s="500">
        <v>35033.0</v>
      </c>
      <c r="E12" s="426" t="s">
        <v>12414</v>
      </c>
      <c r="F12" s="426" t="s">
        <v>1203</v>
      </c>
      <c r="G12" s="426" t="s">
        <v>650</v>
      </c>
      <c r="H12" s="426" t="s">
        <v>12127</v>
      </c>
      <c r="I12" s="500">
        <v>38772.0</v>
      </c>
      <c r="J12" s="428">
        <v>2.0</v>
      </c>
      <c r="K12" s="637" t="s">
        <v>238</v>
      </c>
      <c r="L12" s="428" t="s">
        <v>256</v>
      </c>
      <c r="M12" s="319">
        <f t="shared" si="1"/>
        <v>3739</v>
      </c>
      <c r="N12" s="198"/>
      <c r="O12" s="324" t="s">
        <v>51</v>
      </c>
      <c r="P12" s="325">
        <f>SUM(P3:P11)</f>
        <v>109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1206.0</v>
      </c>
      <c r="B13" s="420" t="s">
        <v>12415</v>
      </c>
      <c r="C13" s="420">
        <v>1999.0</v>
      </c>
      <c r="D13" s="497">
        <v>36180.0</v>
      </c>
      <c r="E13" s="420" t="s">
        <v>12416</v>
      </c>
      <c r="F13" s="420" t="s">
        <v>3013</v>
      </c>
      <c r="G13" s="420" t="s">
        <v>650</v>
      </c>
      <c r="H13" s="420" t="s">
        <v>651</v>
      </c>
      <c r="I13" s="497">
        <v>38779.0</v>
      </c>
      <c r="J13" s="422">
        <v>3.0</v>
      </c>
      <c r="K13" s="637" t="s">
        <v>238</v>
      </c>
      <c r="L13" s="420" t="s">
        <v>256</v>
      </c>
      <c r="M13" s="316">
        <f t="shared" si="1"/>
        <v>2599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1306.0</v>
      </c>
      <c r="B14" s="426" t="s">
        <v>12417</v>
      </c>
      <c r="C14" s="426">
        <v>2003.0</v>
      </c>
      <c r="D14" s="500">
        <v>37704.0</v>
      </c>
      <c r="E14" s="426" t="s">
        <v>12418</v>
      </c>
      <c r="F14" s="426" t="s">
        <v>12419</v>
      </c>
      <c r="G14" s="426" t="s">
        <v>34</v>
      </c>
      <c r="H14" s="426" t="s">
        <v>705</v>
      </c>
      <c r="I14" s="500">
        <v>38791.0</v>
      </c>
      <c r="J14" s="428">
        <v>3.0</v>
      </c>
      <c r="K14" s="637" t="s">
        <v>238</v>
      </c>
      <c r="L14" s="428" t="s">
        <v>258</v>
      </c>
      <c r="M14" s="319">
        <f t="shared" si="1"/>
        <v>1087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1406.0</v>
      </c>
      <c r="B15" s="420" t="s">
        <v>12420</v>
      </c>
      <c r="C15" s="420">
        <v>2004.0</v>
      </c>
      <c r="D15" s="497">
        <v>38075.0</v>
      </c>
      <c r="E15" s="420" t="s">
        <v>12421</v>
      </c>
      <c r="F15" s="420" t="s">
        <v>12422</v>
      </c>
      <c r="G15" s="420" t="s">
        <v>34</v>
      </c>
      <c r="H15" s="420" t="s">
        <v>158</v>
      </c>
      <c r="I15" s="497">
        <v>38792.0</v>
      </c>
      <c r="J15" s="422">
        <v>3.0</v>
      </c>
      <c r="K15" s="635" t="s">
        <v>228</v>
      </c>
      <c r="L15" s="420" t="s">
        <v>256</v>
      </c>
      <c r="M15" s="316">
        <f t="shared" si="1"/>
        <v>717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1506.0</v>
      </c>
      <c r="B16" s="426" t="s">
        <v>12423</v>
      </c>
      <c r="C16" s="426">
        <v>2004.0</v>
      </c>
      <c r="D16" s="500">
        <v>38078.0</v>
      </c>
      <c r="E16" s="426" t="s">
        <v>12424</v>
      </c>
      <c r="F16" s="426" t="s">
        <v>12422</v>
      </c>
      <c r="G16" s="426" t="s">
        <v>547</v>
      </c>
      <c r="H16" s="426" t="s">
        <v>158</v>
      </c>
      <c r="I16" s="500">
        <v>38792.0</v>
      </c>
      <c r="J16" s="428">
        <v>3.0</v>
      </c>
      <c r="K16" s="635" t="s">
        <v>228</v>
      </c>
      <c r="L16" s="428" t="s">
        <v>256</v>
      </c>
      <c r="M16" s="319">
        <f t="shared" si="1"/>
        <v>714</v>
      </c>
      <c r="N16" s="198"/>
      <c r="O16" s="331" t="s">
        <v>12425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1606.0</v>
      </c>
      <c r="B17" s="420" t="s">
        <v>12426</v>
      </c>
      <c r="C17" s="420">
        <v>1994.0</v>
      </c>
      <c r="D17" s="497">
        <v>34620.0</v>
      </c>
      <c r="E17" s="420" t="s">
        <v>12427</v>
      </c>
      <c r="F17" s="420" t="s">
        <v>12428</v>
      </c>
      <c r="G17" s="420" t="s">
        <v>650</v>
      </c>
      <c r="H17" s="420" t="s">
        <v>9672</v>
      </c>
      <c r="I17" s="497">
        <v>38798.0</v>
      </c>
      <c r="J17" s="422">
        <v>3.0</v>
      </c>
      <c r="K17" s="638" t="s">
        <v>234</v>
      </c>
      <c r="L17" s="420" t="s">
        <v>254</v>
      </c>
      <c r="M17" s="316">
        <f t="shared" si="1"/>
        <v>4178</v>
      </c>
      <c r="N17" s="198"/>
      <c r="O17" s="334" t="s">
        <v>12429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1706.0</v>
      </c>
      <c r="B18" s="426" t="s">
        <v>12430</v>
      </c>
      <c r="C18" s="426">
        <v>2003.0</v>
      </c>
      <c r="D18" s="500">
        <v>37798.0</v>
      </c>
      <c r="E18" s="426" t="s">
        <v>12431</v>
      </c>
      <c r="F18" s="426" t="s">
        <v>12419</v>
      </c>
      <c r="G18" s="426" t="s">
        <v>547</v>
      </c>
      <c r="H18" s="426" t="s">
        <v>705</v>
      </c>
      <c r="I18" s="500">
        <v>38800.0</v>
      </c>
      <c r="J18" s="428">
        <v>3.0</v>
      </c>
      <c r="K18" s="637" t="s">
        <v>238</v>
      </c>
      <c r="L18" s="428" t="s">
        <v>256</v>
      </c>
      <c r="M18" s="319">
        <f t="shared" si="1"/>
        <v>1002</v>
      </c>
      <c r="N18" s="198"/>
      <c r="O18" s="335" t="s">
        <v>12432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1806.0</v>
      </c>
      <c r="B19" s="420" t="s">
        <v>12433</v>
      </c>
      <c r="C19" s="420">
        <v>1998.0</v>
      </c>
      <c r="D19" s="497">
        <v>36122.0</v>
      </c>
      <c r="E19" s="420" t="s">
        <v>12434</v>
      </c>
      <c r="F19" s="420" t="s">
        <v>1108</v>
      </c>
      <c r="G19" s="420" t="s">
        <v>650</v>
      </c>
      <c r="H19" s="420" t="s">
        <v>2509</v>
      </c>
      <c r="I19" s="497">
        <v>38805.0</v>
      </c>
      <c r="J19" s="422">
        <v>3.0</v>
      </c>
      <c r="K19" s="635" t="s">
        <v>228</v>
      </c>
      <c r="L19" s="420" t="s">
        <v>256</v>
      </c>
      <c r="M19" s="316">
        <f t="shared" si="1"/>
        <v>2683</v>
      </c>
      <c r="N19" s="198"/>
      <c r="O19" s="334" t="s">
        <v>12435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1906.0</v>
      </c>
      <c r="B20" s="426" t="s">
        <v>12436</v>
      </c>
      <c r="C20" s="426">
        <v>2000.0</v>
      </c>
      <c r="D20" s="500">
        <v>36851.0</v>
      </c>
      <c r="E20" s="426" t="s">
        <v>12437</v>
      </c>
      <c r="F20" s="426" t="s">
        <v>963</v>
      </c>
      <c r="G20" s="426" t="s">
        <v>650</v>
      </c>
      <c r="H20" s="426" t="s">
        <v>7403</v>
      </c>
      <c r="I20" s="500">
        <v>38806.0</v>
      </c>
      <c r="J20" s="428">
        <v>3.0</v>
      </c>
      <c r="K20" s="638" t="s">
        <v>234</v>
      </c>
      <c r="L20" s="428" t="s">
        <v>258</v>
      </c>
      <c r="M20" s="319">
        <f t="shared" si="1"/>
        <v>1955</v>
      </c>
      <c r="N20" s="198"/>
      <c r="O20" s="335" t="s">
        <v>12438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2006.0</v>
      </c>
      <c r="B21" s="420" t="s">
        <v>12439</v>
      </c>
      <c r="C21" s="420">
        <v>2004.0</v>
      </c>
      <c r="D21" s="497">
        <v>38308.0</v>
      </c>
      <c r="E21" s="420" t="s">
        <v>12440</v>
      </c>
      <c r="F21" s="420" t="s">
        <v>16</v>
      </c>
      <c r="G21" s="420" t="s">
        <v>547</v>
      </c>
      <c r="H21" s="420" t="s">
        <v>5180</v>
      </c>
      <c r="I21" s="497">
        <v>38810.0</v>
      </c>
      <c r="J21" s="422">
        <v>4.0</v>
      </c>
      <c r="K21" s="637" t="s">
        <v>238</v>
      </c>
      <c r="L21" s="420" t="s">
        <v>256</v>
      </c>
      <c r="M21" s="316">
        <f t="shared" si="1"/>
        <v>502</v>
      </c>
      <c r="N21" s="198"/>
      <c r="O21" s="334" t="s">
        <v>12441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2106.0</v>
      </c>
      <c r="B22" s="426" t="s">
        <v>12442</v>
      </c>
      <c r="C22" s="426">
        <v>2002.0</v>
      </c>
      <c r="D22" s="500">
        <v>37442.0</v>
      </c>
      <c r="E22" s="426" t="s">
        <v>12443</v>
      </c>
      <c r="F22" s="426" t="s">
        <v>2575</v>
      </c>
      <c r="G22" s="426" t="s">
        <v>270</v>
      </c>
      <c r="H22" s="426" t="s">
        <v>11527</v>
      </c>
      <c r="I22" s="500">
        <v>38820.0</v>
      </c>
      <c r="J22" s="428">
        <v>4.0</v>
      </c>
      <c r="K22" s="638" t="s">
        <v>234</v>
      </c>
      <c r="L22" s="428" t="s">
        <v>258</v>
      </c>
      <c r="M22" s="319">
        <f t="shared" si="1"/>
        <v>1378</v>
      </c>
      <c r="N22" s="198"/>
      <c r="O22" s="335" t="s">
        <v>12444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2206.0</v>
      </c>
      <c r="B23" s="420" t="s">
        <v>12445</v>
      </c>
      <c r="C23" s="420">
        <v>2003.0</v>
      </c>
      <c r="D23" s="497">
        <v>37973.0</v>
      </c>
      <c r="E23" s="420" t="s">
        <v>12446</v>
      </c>
      <c r="F23" s="420" t="s">
        <v>1232</v>
      </c>
      <c r="G23" s="420" t="s">
        <v>17</v>
      </c>
      <c r="H23" s="420" t="s">
        <v>50</v>
      </c>
      <c r="I23" s="497">
        <v>38824.0</v>
      </c>
      <c r="J23" s="422">
        <v>4.0</v>
      </c>
      <c r="K23" s="635" t="s">
        <v>228</v>
      </c>
      <c r="L23" s="420" t="s">
        <v>258</v>
      </c>
      <c r="M23" s="316">
        <f t="shared" si="1"/>
        <v>851</v>
      </c>
      <c r="N23" s="198"/>
      <c r="O23" s="334" t="s">
        <v>12447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5.0" customHeight="1">
      <c r="A24" s="585">
        <v>2306.0</v>
      </c>
      <c r="B24" s="426" t="s">
        <v>12448</v>
      </c>
      <c r="C24" s="426">
        <v>2004.0</v>
      </c>
      <c r="D24" s="500">
        <v>38281.0</v>
      </c>
      <c r="E24" s="426" t="s">
        <v>12449</v>
      </c>
      <c r="F24" s="426" t="s">
        <v>947</v>
      </c>
      <c r="G24" s="426" t="s">
        <v>17</v>
      </c>
      <c r="H24" s="426" t="s">
        <v>7403</v>
      </c>
      <c r="I24" s="500">
        <v>38826.0</v>
      </c>
      <c r="J24" s="428">
        <v>4.0</v>
      </c>
      <c r="K24" s="637" t="s">
        <v>238</v>
      </c>
      <c r="L24" s="428" t="s">
        <v>258</v>
      </c>
      <c r="M24" s="319">
        <f t="shared" si="1"/>
        <v>545</v>
      </c>
      <c r="N24" s="198"/>
      <c r="O24" s="336" t="s">
        <v>12450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2406.0</v>
      </c>
      <c r="B25" s="420" t="s">
        <v>12451</v>
      </c>
      <c r="C25" s="420">
        <v>2001.0</v>
      </c>
      <c r="D25" s="497">
        <v>37246.0</v>
      </c>
      <c r="E25" s="420" t="s">
        <v>12452</v>
      </c>
      <c r="F25" s="420" t="s">
        <v>12453</v>
      </c>
      <c r="G25" s="420" t="s">
        <v>34</v>
      </c>
      <c r="H25" s="420" t="s">
        <v>5826</v>
      </c>
      <c r="I25" s="497">
        <v>38840.0</v>
      </c>
      <c r="J25" s="422">
        <v>5.0</v>
      </c>
      <c r="K25" s="637" t="s">
        <v>238</v>
      </c>
      <c r="L25" s="420" t="s">
        <v>258</v>
      </c>
      <c r="M25" s="316">
        <f t="shared" si="1"/>
        <v>1594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2506.0</v>
      </c>
      <c r="B26" s="426" t="s">
        <v>12454</v>
      </c>
      <c r="C26" s="426">
        <v>2005.0</v>
      </c>
      <c r="D26" s="500">
        <v>38400.0</v>
      </c>
      <c r="E26" s="426" t="s">
        <v>12455</v>
      </c>
      <c r="F26" s="426" t="s">
        <v>2663</v>
      </c>
      <c r="G26" s="426" t="s">
        <v>650</v>
      </c>
      <c r="H26" s="426" t="s">
        <v>705</v>
      </c>
      <c r="I26" s="500">
        <v>38840.0</v>
      </c>
      <c r="J26" s="428">
        <v>5.0</v>
      </c>
      <c r="K26" s="638" t="s">
        <v>234</v>
      </c>
      <c r="L26" s="428" t="s">
        <v>256</v>
      </c>
      <c r="M26" s="319">
        <f t="shared" si="1"/>
        <v>440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2606.0</v>
      </c>
      <c r="B27" s="420" t="s">
        <v>12456</v>
      </c>
      <c r="C27" s="420">
        <v>2003.0</v>
      </c>
      <c r="D27" s="497">
        <v>37985.0</v>
      </c>
      <c r="E27" s="420" t="s">
        <v>12457</v>
      </c>
      <c r="F27" s="420" t="s">
        <v>1232</v>
      </c>
      <c r="G27" s="420" t="s">
        <v>650</v>
      </c>
      <c r="H27" s="420" t="s">
        <v>50</v>
      </c>
      <c r="I27" s="497">
        <v>38849.0</v>
      </c>
      <c r="J27" s="422">
        <v>5.0</v>
      </c>
      <c r="K27" s="635" t="s">
        <v>228</v>
      </c>
      <c r="L27" s="420" t="s">
        <v>256</v>
      </c>
      <c r="M27" s="316">
        <f t="shared" si="1"/>
        <v>864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2706.0</v>
      </c>
      <c r="B28" s="426" t="s">
        <v>12458</v>
      </c>
      <c r="C28" s="426">
        <v>2001.0</v>
      </c>
      <c r="D28" s="500">
        <v>37091.0</v>
      </c>
      <c r="E28" s="426" t="s">
        <v>12459</v>
      </c>
      <c r="F28" s="426" t="s">
        <v>12460</v>
      </c>
      <c r="G28" s="426" t="s">
        <v>650</v>
      </c>
      <c r="H28" s="426" t="s">
        <v>7403</v>
      </c>
      <c r="I28" s="500">
        <v>38867.0</v>
      </c>
      <c r="J28" s="428">
        <v>5.0</v>
      </c>
      <c r="K28" s="635" t="s">
        <v>228</v>
      </c>
      <c r="L28" s="428" t="s">
        <v>256</v>
      </c>
      <c r="M28" s="319">
        <f t="shared" si="1"/>
        <v>1776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2806.0</v>
      </c>
      <c r="B29" s="420" t="s">
        <v>12461</v>
      </c>
      <c r="C29" s="420">
        <v>2003.0</v>
      </c>
      <c r="D29" s="497">
        <v>37882.0</v>
      </c>
      <c r="E29" s="420" t="s">
        <v>12462</v>
      </c>
      <c r="F29" s="420" t="s">
        <v>12463</v>
      </c>
      <c r="G29" s="420" t="s">
        <v>46</v>
      </c>
      <c r="H29" s="420" t="s">
        <v>2964</v>
      </c>
      <c r="I29" s="497">
        <v>38867.0</v>
      </c>
      <c r="J29" s="422">
        <v>5.0</v>
      </c>
      <c r="K29" s="637" t="s">
        <v>238</v>
      </c>
      <c r="L29" s="420" t="s">
        <v>258</v>
      </c>
      <c r="M29" s="316">
        <f t="shared" si="1"/>
        <v>985</v>
      </c>
      <c r="N29" s="198"/>
      <c r="O29" s="322">
        <v>1994.0</v>
      </c>
      <c r="P29" s="346">
        <f>COUNTIF($C$2:$C$503,"1994")</f>
        <v>1</v>
      </c>
      <c r="Q29" s="113"/>
      <c r="R29" s="114"/>
      <c r="S29" s="343">
        <f>P29/P42</f>
        <v>0.009174311927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2906.0</v>
      </c>
      <c r="B30" s="426" t="s">
        <v>12464</v>
      </c>
      <c r="C30" s="426">
        <v>2002.0</v>
      </c>
      <c r="D30" s="500">
        <v>37588.0</v>
      </c>
      <c r="E30" s="426" t="s">
        <v>12465</v>
      </c>
      <c r="F30" s="426" t="s">
        <v>12466</v>
      </c>
      <c r="G30" s="426" t="s">
        <v>270</v>
      </c>
      <c r="H30" s="426" t="s">
        <v>12467</v>
      </c>
      <c r="I30" s="500">
        <v>38867.0</v>
      </c>
      <c r="J30" s="428">
        <v>5.0</v>
      </c>
      <c r="K30" s="638" t="s">
        <v>234</v>
      </c>
      <c r="L30" s="428" t="s">
        <v>258</v>
      </c>
      <c r="M30" s="319">
        <f t="shared" si="1"/>
        <v>1279</v>
      </c>
      <c r="N30" s="198"/>
      <c r="O30" s="321">
        <v>1995.0</v>
      </c>
      <c r="P30" s="344">
        <f>COUNTIF($C$2:$C$503,"1995")</f>
        <v>2</v>
      </c>
      <c r="Q30" s="113"/>
      <c r="R30" s="114"/>
      <c r="S30" s="345">
        <f>P30/P42</f>
        <v>0.01834862385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3006.0</v>
      </c>
      <c r="B31" s="420" t="s">
        <v>12468</v>
      </c>
      <c r="C31" s="420">
        <v>2003.0</v>
      </c>
      <c r="D31" s="497">
        <v>37918.0</v>
      </c>
      <c r="E31" s="420" t="s">
        <v>12469</v>
      </c>
      <c r="F31" s="420" t="s">
        <v>12470</v>
      </c>
      <c r="G31" s="420" t="s">
        <v>270</v>
      </c>
      <c r="H31" s="420" t="s">
        <v>12467</v>
      </c>
      <c r="I31" s="497">
        <v>38867.0</v>
      </c>
      <c r="J31" s="422">
        <v>5.0</v>
      </c>
      <c r="K31" s="635" t="s">
        <v>228</v>
      </c>
      <c r="L31" s="420" t="s">
        <v>256</v>
      </c>
      <c r="M31" s="316">
        <f t="shared" si="1"/>
        <v>949</v>
      </c>
      <c r="N31" s="198"/>
      <c r="O31" s="322">
        <v>1996.0</v>
      </c>
      <c r="P31" s="346">
        <f>COUNTIF($C$2:$C$503,"1996")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3106.0</v>
      </c>
      <c r="B32" s="426" t="s">
        <v>12471</v>
      </c>
      <c r="C32" s="426">
        <v>2000.0</v>
      </c>
      <c r="D32" s="500">
        <v>36662.0</v>
      </c>
      <c r="E32" s="426" t="s">
        <v>12472</v>
      </c>
      <c r="F32" s="426" t="s">
        <v>1464</v>
      </c>
      <c r="G32" s="426" t="s">
        <v>650</v>
      </c>
      <c r="H32" s="426" t="s">
        <v>601</v>
      </c>
      <c r="I32" s="500">
        <v>38873.0</v>
      </c>
      <c r="J32" s="428">
        <v>6.0</v>
      </c>
      <c r="K32" s="635" t="s">
        <v>228</v>
      </c>
      <c r="L32" s="428" t="s">
        <v>256</v>
      </c>
      <c r="M32" s="319">
        <f t="shared" si="1"/>
        <v>2211</v>
      </c>
      <c r="N32" s="198"/>
      <c r="O32" s="321">
        <v>1997.0</v>
      </c>
      <c r="P32" s="344">
        <f>COUNTIF($C$2:$C$503,"1997")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3206.0</v>
      </c>
      <c r="B33" s="420" t="s">
        <v>12473</v>
      </c>
      <c r="C33" s="420">
        <v>1999.0</v>
      </c>
      <c r="D33" s="497">
        <v>36294.0</v>
      </c>
      <c r="E33" s="420" t="s">
        <v>12474</v>
      </c>
      <c r="F33" s="420" t="s">
        <v>963</v>
      </c>
      <c r="G33" s="420" t="s">
        <v>650</v>
      </c>
      <c r="H33" s="420" t="s">
        <v>7403</v>
      </c>
      <c r="I33" s="497">
        <v>38874.0</v>
      </c>
      <c r="J33" s="422">
        <v>6.0</v>
      </c>
      <c r="K33" s="638" t="s">
        <v>234</v>
      </c>
      <c r="L33" s="420" t="s">
        <v>258</v>
      </c>
      <c r="M33" s="316">
        <f t="shared" si="1"/>
        <v>2580</v>
      </c>
      <c r="N33" s="198"/>
      <c r="O33" s="322">
        <v>1998.0</v>
      </c>
      <c r="P33" s="346">
        <f>COUNTIF($C$2:$C$503,"1998")</f>
        <v>1</v>
      </c>
      <c r="Q33" s="113"/>
      <c r="R33" s="114"/>
      <c r="S33" s="343">
        <f>P33/P42</f>
        <v>0.009174311927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3306.0</v>
      </c>
      <c r="B34" s="426" t="s">
        <v>12475</v>
      </c>
      <c r="C34" s="426">
        <v>2001.0</v>
      </c>
      <c r="D34" s="500">
        <v>37246.0</v>
      </c>
      <c r="E34" s="426" t="s">
        <v>12476</v>
      </c>
      <c r="F34" s="426" t="s">
        <v>12477</v>
      </c>
      <c r="G34" s="426" t="s">
        <v>547</v>
      </c>
      <c r="H34" s="426" t="s">
        <v>5826</v>
      </c>
      <c r="I34" s="500">
        <v>38887.0</v>
      </c>
      <c r="J34" s="428">
        <v>6.0</v>
      </c>
      <c r="K34" s="637" t="s">
        <v>238</v>
      </c>
      <c r="L34" s="428" t="s">
        <v>258</v>
      </c>
      <c r="M34" s="319">
        <f t="shared" si="1"/>
        <v>1641</v>
      </c>
      <c r="N34" s="198"/>
      <c r="O34" s="321">
        <v>1999.0</v>
      </c>
      <c r="P34" s="344">
        <f>COUNTIF($C$2:$C$503,"1999")</f>
        <v>5</v>
      </c>
      <c r="Q34" s="113"/>
      <c r="R34" s="114"/>
      <c r="S34" s="345">
        <f>P34/P42</f>
        <v>0.04587155963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3406.0</v>
      </c>
      <c r="B35" s="420" t="s">
        <v>12478</v>
      </c>
      <c r="C35" s="420">
        <v>2005.0</v>
      </c>
      <c r="D35" s="497">
        <v>38373.0</v>
      </c>
      <c r="E35" s="420" t="s">
        <v>12479</v>
      </c>
      <c r="F35" s="420" t="s">
        <v>947</v>
      </c>
      <c r="G35" s="420" t="s">
        <v>650</v>
      </c>
      <c r="H35" s="420" t="s">
        <v>163</v>
      </c>
      <c r="I35" s="497">
        <v>38888.0</v>
      </c>
      <c r="J35" s="422">
        <v>6.0</v>
      </c>
      <c r="K35" s="637" t="s">
        <v>238</v>
      </c>
      <c r="L35" s="420" t="s">
        <v>258</v>
      </c>
      <c r="M35" s="316">
        <f t="shared" si="1"/>
        <v>515</v>
      </c>
      <c r="N35" s="198"/>
      <c r="O35" s="322">
        <v>2000.0</v>
      </c>
      <c r="P35" s="346">
        <f>COUNTIF($C$2:$C$503,"2000")</f>
        <v>4</v>
      </c>
      <c r="Q35" s="113"/>
      <c r="R35" s="114"/>
      <c r="S35" s="343">
        <f>P35/P42</f>
        <v>0.03669724771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3506.0</v>
      </c>
      <c r="B36" s="426" t="s">
        <v>12480</v>
      </c>
      <c r="C36" s="426">
        <v>2005.0</v>
      </c>
      <c r="D36" s="500">
        <v>38496.0</v>
      </c>
      <c r="E36" s="426" t="s">
        <v>12481</v>
      </c>
      <c r="F36" s="426" t="s">
        <v>4398</v>
      </c>
      <c r="G36" s="426" t="s">
        <v>650</v>
      </c>
      <c r="H36" s="426" t="s">
        <v>18</v>
      </c>
      <c r="I36" s="500">
        <v>38897.0</v>
      </c>
      <c r="J36" s="428">
        <v>6.0</v>
      </c>
      <c r="K36" s="638" t="s">
        <v>234</v>
      </c>
      <c r="L36" s="428" t="s">
        <v>260</v>
      </c>
      <c r="M36" s="319">
        <f t="shared" si="1"/>
        <v>401</v>
      </c>
      <c r="N36" s="198"/>
      <c r="O36" s="321">
        <v>2001.0</v>
      </c>
      <c r="P36" s="344">
        <f>COUNTIF($C$2:$C$503,"2001")</f>
        <v>17</v>
      </c>
      <c r="Q36" s="113"/>
      <c r="R36" s="114"/>
      <c r="S36" s="345">
        <f>P36/P42</f>
        <v>0.1559633028</v>
      </c>
      <c r="T36" s="25"/>
      <c r="U36" s="198"/>
      <c r="V36" s="198"/>
      <c r="W36" s="198"/>
      <c r="X36" s="198"/>
      <c r="Y36" s="198"/>
      <c r="Z36" s="198"/>
    </row>
    <row r="37" ht="12.75" customHeight="1">
      <c r="A37" s="578">
        <v>3606.0</v>
      </c>
      <c r="B37" s="420" t="s">
        <v>12482</v>
      </c>
      <c r="C37" s="420">
        <v>1995.0</v>
      </c>
      <c r="D37" s="497">
        <v>34852.0</v>
      </c>
      <c r="E37" s="420" t="s">
        <v>12483</v>
      </c>
      <c r="F37" s="420" t="s">
        <v>3095</v>
      </c>
      <c r="G37" s="420" t="s">
        <v>650</v>
      </c>
      <c r="H37" s="420" t="s">
        <v>12127</v>
      </c>
      <c r="I37" s="497">
        <v>38902.0</v>
      </c>
      <c r="J37" s="422">
        <v>7.0</v>
      </c>
      <c r="K37" s="637" t="s">
        <v>238</v>
      </c>
      <c r="L37" s="420" t="s">
        <v>258</v>
      </c>
      <c r="M37" s="316">
        <f t="shared" si="1"/>
        <v>4050</v>
      </c>
      <c r="N37" s="198"/>
      <c r="O37" s="322">
        <v>2002.0</v>
      </c>
      <c r="P37" s="346">
        <f>COUNTIF($C$2:$C$503,"2002")</f>
        <v>14</v>
      </c>
      <c r="Q37" s="113"/>
      <c r="R37" s="114"/>
      <c r="S37" s="343">
        <f>P37/P42</f>
        <v>0.128440367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3706.0</v>
      </c>
      <c r="B38" s="426" t="s">
        <v>12484</v>
      </c>
      <c r="C38" s="426">
        <v>2003.0</v>
      </c>
      <c r="D38" s="500">
        <v>37977.0</v>
      </c>
      <c r="E38" s="426" t="s">
        <v>12485</v>
      </c>
      <c r="F38" s="426" t="s">
        <v>719</v>
      </c>
      <c r="G38" s="426" t="s">
        <v>270</v>
      </c>
      <c r="H38" s="426" t="s">
        <v>929</v>
      </c>
      <c r="I38" s="500">
        <v>38902.0</v>
      </c>
      <c r="J38" s="428">
        <v>7.0</v>
      </c>
      <c r="K38" s="637" t="s">
        <v>238</v>
      </c>
      <c r="L38" s="428" t="s">
        <v>258</v>
      </c>
      <c r="M38" s="319">
        <f t="shared" si="1"/>
        <v>925</v>
      </c>
      <c r="N38" s="198"/>
      <c r="O38" s="321">
        <v>2003.0</v>
      </c>
      <c r="P38" s="344">
        <f>COUNTIF($C$2:$C$503,"2003")</f>
        <v>16</v>
      </c>
      <c r="Q38" s="113"/>
      <c r="R38" s="114"/>
      <c r="S38" s="345">
        <f>P38/P42</f>
        <v>0.1467889908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3806.0</v>
      </c>
      <c r="B39" s="420" t="s">
        <v>12486</v>
      </c>
      <c r="C39" s="420">
        <v>2001.0</v>
      </c>
      <c r="D39" s="497">
        <v>37089.0</v>
      </c>
      <c r="E39" s="420" t="s">
        <v>12487</v>
      </c>
      <c r="F39" s="420" t="s">
        <v>44</v>
      </c>
      <c r="G39" s="420" t="s">
        <v>650</v>
      </c>
      <c r="H39" s="420" t="s">
        <v>45</v>
      </c>
      <c r="I39" s="497">
        <v>38911.0</v>
      </c>
      <c r="J39" s="422">
        <v>7.0</v>
      </c>
      <c r="K39" s="635" t="s">
        <v>228</v>
      </c>
      <c r="L39" s="420" t="s">
        <v>258</v>
      </c>
      <c r="M39" s="316">
        <f t="shared" si="1"/>
        <v>1822</v>
      </c>
      <c r="N39" s="198"/>
      <c r="O39" s="322">
        <v>2004.0</v>
      </c>
      <c r="P39" s="346">
        <f>COUNTIF($C$2:$C$503,"2004")</f>
        <v>29</v>
      </c>
      <c r="Q39" s="113"/>
      <c r="R39" s="114"/>
      <c r="S39" s="343">
        <f>P39/P42</f>
        <v>0.2660550459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3906.0</v>
      </c>
      <c r="B40" s="426" t="s">
        <v>12488</v>
      </c>
      <c r="C40" s="426">
        <v>2005.0</v>
      </c>
      <c r="D40" s="500">
        <v>38514.0</v>
      </c>
      <c r="E40" s="426" t="s">
        <v>12489</v>
      </c>
      <c r="F40" s="426" t="s">
        <v>12490</v>
      </c>
      <c r="G40" s="426" t="s">
        <v>565</v>
      </c>
      <c r="H40" s="426" t="s">
        <v>6534</v>
      </c>
      <c r="I40" s="500">
        <v>38911.0</v>
      </c>
      <c r="J40" s="428">
        <v>7.0</v>
      </c>
      <c r="K40" s="636" t="s">
        <v>244</v>
      </c>
      <c r="L40" s="428" t="s">
        <v>260</v>
      </c>
      <c r="M40" s="319">
        <f t="shared" si="1"/>
        <v>397</v>
      </c>
      <c r="N40" s="198"/>
      <c r="O40" s="321">
        <v>2005.0</v>
      </c>
      <c r="P40" s="344">
        <f>COUNTIF($C$2:$C$503,"2005")</f>
        <v>17</v>
      </c>
      <c r="Q40" s="113"/>
      <c r="R40" s="114"/>
      <c r="S40" s="345">
        <f>P40/P42</f>
        <v>0.1559633028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4006.0</v>
      </c>
      <c r="B41" s="420" t="s">
        <v>12491</v>
      </c>
      <c r="C41" s="420">
        <v>2002.0</v>
      </c>
      <c r="D41" s="497">
        <v>37263.0</v>
      </c>
      <c r="E41" s="420" t="s">
        <v>12492</v>
      </c>
      <c r="F41" s="420" t="s">
        <v>874</v>
      </c>
      <c r="G41" s="420" t="s">
        <v>650</v>
      </c>
      <c r="H41" s="420" t="s">
        <v>601</v>
      </c>
      <c r="I41" s="497">
        <v>38912.0</v>
      </c>
      <c r="J41" s="422">
        <v>7.0</v>
      </c>
      <c r="K41" s="636" t="s">
        <v>244</v>
      </c>
      <c r="L41" s="420" t="s">
        <v>256</v>
      </c>
      <c r="M41" s="316">
        <f t="shared" si="1"/>
        <v>1649</v>
      </c>
      <c r="N41" s="198"/>
      <c r="O41" s="322">
        <v>2006.0</v>
      </c>
      <c r="P41" s="346">
        <f>COUNTIF($C$2:$C$503,"2006")</f>
        <v>3</v>
      </c>
      <c r="Q41" s="113"/>
      <c r="R41" s="114"/>
      <c r="S41" s="343">
        <f>P41/P42</f>
        <v>0.02752293578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4106.0</v>
      </c>
      <c r="B42" s="426" t="s">
        <v>12493</v>
      </c>
      <c r="C42" s="426">
        <v>2002.0</v>
      </c>
      <c r="D42" s="500">
        <v>37530.0</v>
      </c>
      <c r="E42" s="426" t="s">
        <v>12494</v>
      </c>
      <c r="F42" s="426" t="s">
        <v>12495</v>
      </c>
      <c r="G42" s="426" t="s">
        <v>650</v>
      </c>
      <c r="H42" s="426" t="s">
        <v>158</v>
      </c>
      <c r="I42" s="500">
        <v>38915.0</v>
      </c>
      <c r="J42" s="428">
        <v>7.0</v>
      </c>
      <c r="K42" s="637" t="s">
        <v>238</v>
      </c>
      <c r="L42" s="428" t="s">
        <v>254</v>
      </c>
      <c r="M42" s="319">
        <f t="shared" si="1"/>
        <v>1385</v>
      </c>
      <c r="N42" s="198"/>
      <c r="O42" s="348" t="s">
        <v>179</v>
      </c>
      <c r="P42" s="349">
        <f>SUM(P29:R41)</f>
        <v>109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2.75" customHeight="1">
      <c r="A43" s="578">
        <v>4206.0</v>
      </c>
      <c r="B43" s="420" t="s">
        <v>12496</v>
      </c>
      <c r="C43" s="420">
        <v>2004.0</v>
      </c>
      <c r="D43" s="497">
        <v>38303.0</v>
      </c>
      <c r="E43" s="420" t="s">
        <v>12497</v>
      </c>
      <c r="F43" s="420" t="s">
        <v>1232</v>
      </c>
      <c r="G43" s="420" t="s">
        <v>17</v>
      </c>
      <c r="H43" s="420" t="s">
        <v>56</v>
      </c>
      <c r="I43" s="497">
        <v>38915.0</v>
      </c>
      <c r="J43" s="422">
        <v>7.0</v>
      </c>
      <c r="K43" s="638" t="s">
        <v>234</v>
      </c>
      <c r="L43" s="420" t="s">
        <v>256</v>
      </c>
      <c r="M43" s="316">
        <f t="shared" si="1"/>
        <v>612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3.5" customHeight="1">
      <c r="A44" s="585">
        <v>4306.0</v>
      </c>
      <c r="B44" s="426" t="s">
        <v>12498</v>
      </c>
      <c r="C44" s="426">
        <v>2005.0</v>
      </c>
      <c r="D44" s="500">
        <v>38455.0</v>
      </c>
      <c r="E44" s="426" t="s">
        <v>12499</v>
      </c>
      <c r="F44" s="426" t="s">
        <v>1895</v>
      </c>
      <c r="G44" s="426" t="s">
        <v>17</v>
      </c>
      <c r="H44" s="426" t="s">
        <v>56</v>
      </c>
      <c r="I44" s="500">
        <v>38915.0</v>
      </c>
      <c r="J44" s="428">
        <v>7.0</v>
      </c>
      <c r="K44" s="637" t="s">
        <v>238</v>
      </c>
      <c r="L44" s="428" t="s">
        <v>256</v>
      </c>
      <c r="M44" s="319">
        <f t="shared" si="1"/>
        <v>460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4406.0</v>
      </c>
      <c r="B45" s="420" t="s">
        <v>12500</v>
      </c>
      <c r="C45" s="420">
        <v>2001.0</v>
      </c>
      <c r="D45" s="497">
        <v>37112.0</v>
      </c>
      <c r="E45" s="420" t="s">
        <v>12501</v>
      </c>
      <c r="F45" s="420" t="s">
        <v>563</v>
      </c>
      <c r="G45" s="420" t="s">
        <v>650</v>
      </c>
      <c r="H45" s="420" t="s">
        <v>651</v>
      </c>
      <c r="I45" s="497">
        <v>38915.0</v>
      </c>
      <c r="J45" s="422">
        <v>7.0</v>
      </c>
      <c r="K45" s="637" t="s">
        <v>238</v>
      </c>
      <c r="L45" s="420" t="s">
        <v>256</v>
      </c>
      <c r="M45" s="316">
        <f t="shared" si="1"/>
        <v>1803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4506.0</v>
      </c>
      <c r="B46" s="426" t="s">
        <v>12502</v>
      </c>
      <c r="C46" s="426">
        <v>2004.0</v>
      </c>
      <c r="D46" s="500">
        <v>38051.0</v>
      </c>
      <c r="E46" s="426" t="s">
        <v>12503</v>
      </c>
      <c r="F46" s="426" t="s">
        <v>6666</v>
      </c>
      <c r="G46" s="426" t="s">
        <v>270</v>
      </c>
      <c r="H46" s="426" t="s">
        <v>158</v>
      </c>
      <c r="I46" s="500">
        <v>38922.0</v>
      </c>
      <c r="J46" s="428">
        <v>7.0</v>
      </c>
      <c r="K46" s="637" t="s">
        <v>238</v>
      </c>
      <c r="L46" s="428" t="s">
        <v>256</v>
      </c>
      <c r="M46" s="319">
        <f t="shared" si="1"/>
        <v>871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4606.0</v>
      </c>
      <c r="B47" s="420" t="s">
        <v>12504</v>
      </c>
      <c r="C47" s="420">
        <v>2001.0</v>
      </c>
      <c r="D47" s="497">
        <v>37174.0</v>
      </c>
      <c r="E47" s="420" t="s">
        <v>12505</v>
      </c>
      <c r="F47" s="420" t="s">
        <v>12506</v>
      </c>
      <c r="G47" s="420" t="s">
        <v>270</v>
      </c>
      <c r="H47" s="420" t="s">
        <v>12507</v>
      </c>
      <c r="I47" s="497">
        <v>38930.0</v>
      </c>
      <c r="J47" s="422">
        <v>8.0</v>
      </c>
      <c r="K47" s="636" t="s">
        <v>244</v>
      </c>
      <c r="L47" s="420" t="s">
        <v>258</v>
      </c>
      <c r="M47" s="316">
        <f t="shared" si="1"/>
        <v>1756</v>
      </c>
      <c r="N47" s="198"/>
      <c r="O47" s="353" t="s">
        <v>195</v>
      </c>
      <c r="P47" s="342">
        <f>COUNTIF($J$2:$J$476,"1")</f>
        <v>6</v>
      </c>
      <c r="Q47" s="332"/>
      <c r="R47" s="333"/>
      <c r="S47" s="354">
        <f>(P47/P59)</f>
        <v>0.05504587156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4706.0</v>
      </c>
      <c r="B48" s="426" t="s">
        <v>12508</v>
      </c>
      <c r="C48" s="426">
        <v>2001.0</v>
      </c>
      <c r="D48" s="500">
        <v>37243.0</v>
      </c>
      <c r="E48" s="426" t="s">
        <v>12509</v>
      </c>
      <c r="F48" s="426" t="s">
        <v>12510</v>
      </c>
      <c r="G48" s="426" t="s">
        <v>270</v>
      </c>
      <c r="H48" s="426" t="s">
        <v>5180</v>
      </c>
      <c r="I48" s="500">
        <v>38930.0</v>
      </c>
      <c r="J48" s="428">
        <v>8.0</v>
      </c>
      <c r="K48" s="635" t="s">
        <v>228</v>
      </c>
      <c r="L48" s="428" t="s">
        <v>258</v>
      </c>
      <c r="M48" s="319">
        <f t="shared" si="1"/>
        <v>1687</v>
      </c>
      <c r="N48" s="198"/>
      <c r="O48" s="321" t="s">
        <v>197</v>
      </c>
      <c r="P48" s="344">
        <f>COUNTIF($J$2:$J$476,"2")</f>
        <v>5</v>
      </c>
      <c r="Q48" s="113"/>
      <c r="R48" s="114"/>
      <c r="S48" s="345">
        <f>(P48/P59)</f>
        <v>0.04587155963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4806.0</v>
      </c>
      <c r="B49" s="420" t="s">
        <v>12511</v>
      </c>
      <c r="C49" s="420">
        <v>2002.0</v>
      </c>
      <c r="D49" s="497">
        <v>37613.0</v>
      </c>
      <c r="E49" s="420" t="s">
        <v>12512</v>
      </c>
      <c r="F49" s="420" t="s">
        <v>2582</v>
      </c>
      <c r="G49" s="420" t="s">
        <v>270</v>
      </c>
      <c r="H49" s="420" t="s">
        <v>5180</v>
      </c>
      <c r="I49" s="497">
        <v>38930.0</v>
      </c>
      <c r="J49" s="422">
        <v>8.0</v>
      </c>
      <c r="K49" s="637" t="s">
        <v>238</v>
      </c>
      <c r="L49" s="420" t="s">
        <v>258</v>
      </c>
      <c r="M49" s="316">
        <f t="shared" si="1"/>
        <v>1317</v>
      </c>
      <c r="N49" s="198"/>
      <c r="O49" s="322" t="s">
        <v>199</v>
      </c>
      <c r="P49" s="346">
        <f>COUNTIF($J$2:$J$476,"3")</f>
        <v>8</v>
      </c>
      <c r="Q49" s="113"/>
      <c r="R49" s="114"/>
      <c r="S49" s="343">
        <f>(P49/P59)</f>
        <v>0.07339449541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4906.0</v>
      </c>
      <c r="B50" s="426" t="s">
        <v>12513</v>
      </c>
      <c r="C50" s="426">
        <v>2001.0</v>
      </c>
      <c r="D50" s="500">
        <v>37146.0</v>
      </c>
      <c r="E50" s="426" t="s">
        <v>12514</v>
      </c>
      <c r="F50" s="426" t="s">
        <v>12515</v>
      </c>
      <c r="G50" s="426" t="s">
        <v>565</v>
      </c>
      <c r="H50" s="426" t="s">
        <v>6534</v>
      </c>
      <c r="I50" s="500">
        <v>38932.0</v>
      </c>
      <c r="J50" s="428">
        <v>8.0</v>
      </c>
      <c r="K50" s="636" t="s">
        <v>244</v>
      </c>
      <c r="L50" s="428" t="s">
        <v>260</v>
      </c>
      <c r="M50" s="319">
        <f t="shared" si="1"/>
        <v>1786</v>
      </c>
      <c r="N50" s="198"/>
      <c r="O50" s="321" t="s">
        <v>201</v>
      </c>
      <c r="P50" s="344">
        <f>COUNTIF($J$2:$J$476,"4")</f>
        <v>4</v>
      </c>
      <c r="Q50" s="113"/>
      <c r="R50" s="114"/>
      <c r="S50" s="345">
        <f>(P50/P59)</f>
        <v>0.03669724771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5006.0</v>
      </c>
      <c r="B51" s="420" t="s">
        <v>12516</v>
      </c>
      <c r="C51" s="420">
        <v>2004.0</v>
      </c>
      <c r="D51" s="497">
        <v>38133.0</v>
      </c>
      <c r="E51" s="420" t="s">
        <v>12517</v>
      </c>
      <c r="F51" s="420" t="s">
        <v>8119</v>
      </c>
      <c r="G51" s="420" t="s">
        <v>650</v>
      </c>
      <c r="H51" s="420" t="s">
        <v>929</v>
      </c>
      <c r="I51" s="497">
        <v>38933.0</v>
      </c>
      <c r="J51" s="422">
        <v>8.0</v>
      </c>
      <c r="K51" s="635" t="s">
        <v>228</v>
      </c>
      <c r="L51" s="420" t="s">
        <v>256</v>
      </c>
      <c r="M51" s="316">
        <f t="shared" si="1"/>
        <v>800</v>
      </c>
      <c r="N51" s="198"/>
      <c r="O51" s="322" t="s">
        <v>203</v>
      </c>
      <c r="P51" s="346">
        <f>COUNTIF($J$2:$J$476,"5")</f>
        <v>7</v>
      </c>
      <c r="Q51" s="113"/>
      <c r="R51" s="114"/>
      <c r="S51" s="343">
        <f>(P51/P59)</f>
        <v>0.06422018349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5106.0</v>
      </c>
      <c r="B52" s="426" t="s">
        <v>12518</v>
      </c>
      <c r="C52" s="426">
        <v>2005.0</v>
      </c>
      <c r="D52" s="500">
        <v>38370.0</v>
      </c>
      <c r="E52" s="426" t="s">
        <v>12519</v>
      </c>
      <c r="F52" s="426" t="s">
        <v>1170</v>
      </c>
      <c r="G52" s="426" t="s">
        <v>17</v>
      </c>
      <c r="H52" s="426" t="s">
        <v>5989</v>
      </c>
      <c r="I52" s="500">
        <v>38938.0</v>
      </c>
      <c r="J52" s="428">
        <v>8.0</v>
      </c>
      <c r="K52" s="637" t="s">
        <v>238</v>
      </c>
      <c r="L52" s="428" t="s">
        <v>256</v>
      </c>
      <c r="M52" s="319">
        <f t="shared" si="1"/>
        <v>568</v>
      </c>
      <c r="N52" s="198"/>
      <c r="O52" s="321" t="s">
        <v>205</v>
      </c>
      <c r="P52" s="344">
        <f>COUNTIF($J$2:$J$476,"6")</f>
        <v>5</v>
      </c>
      <c r="Q52" s="113"/>
      <c r="R52" s="114"/>
      <c r="S52" s="345">
        <f>(P52/P59)</f>
        <v>0.04587155963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5206.0</v>
      </c>
      <c r="B53" s="420" t="s">
        <v>12520</v>
      </c>
      <c r="C53" s="420">
        <v>2005.0</v>
      </c>
      <c r="D53" s="497">
        <v>38362.0</v>
      </c>
      <c r="E53" s="420" t="s">
        <v>12521</v>
      </c>
      <c r="F53" s="420" t="s">
        <v>1232</v>
      </c>
      <c r="G53" s="420" t="s">
        <v>17</v>
      </c>
      <c r="H53" s="420" t="s">
        <v>163</v>
      </c>
      <c r="I53" s="497">
        <v>38938.0</v>
      </c>
      <c r="J53" s="422">
        <v>8.0</v>
      </c>
      <c r="K53" s="637" t="s">
        <v>238</v>
      </c>
      <c r="L53" s="420" t="s">
        <v>256</v>
      </c>
      <c r="M53" s="316">
        <f t="shared" si="1"/>
        <v>576</v>
      </c>
      <c r="N53" s="198"/>
      <c r="O53" s="322" t="s">
        <v>207</v>
      </c>
      <c r="P53" s="346">
        <f>COUNTIF($J$2:$J$476,"7")</f>
        <v>10</v>
      </c>
      <c r="Q53" s="113"/>
      <c r="R53" s="114"/>
      <c r="S53" s="343">
        <f>(P53/P59)</f>
        <v>0.09174311927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5306.0</v>
      </c>
      <c r="B54" s="426" t="s">
        <v>12522</v>
      </c>
      <c r="C54" s="426">
        <v>2002.0</v>
      </c>
      <c r="D54" s="500">
        <v>37441.0</v>
      </c>
      <c r="E54" s="426" t="s">
        <v>12523</v>
      </c>
      <c r="F54" s="426" t="s">
        <v>12524</v>
      </c>
      <c r="G54" s="426" t="s">
        <v>650</v>
      </c>
      <c r="H54" s="426" t="s">
        <v>3662</v>
      </c>
      <c r="I54" s="500">
        <v>38939.0</v>
      </c>
      <c r="J54" s="428">
        <v>8.0</v>
      </c>
      <c r="K54" s="637" t="s">
        <v>238</v>
      </c>
      <c r="L54" s="428" t="s">
        <v>260</v>
      </c>
      <c r="M54" s="319">
        <f t="shared" si="1"/>
        <v>1498</v>
      </c>
      <c r="N54" s="198"/>
      <c r="O54" s="321" t="s">
        <v>209</v>
      </c>
      <c r="P54" s="344">
        <f>COUNTIF($J$2:$J$476,"8")</f>
        <v>13</v>
      </c>
      <c r="Q54" s="113"/>
      <c r="R54" s="114"/>
      <c r="S54" s="345">
        <f>(P54/P59)</f>
        <v>0.119266055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5406.0</v>
      </c>
      <c r="B55" s="420" t="s">
        <v>12525</v>
      </c>
      <c r="C55" s="420">
        <v>2002.0</v>
      </c>
      <c r="D55" s="497">
        <v>37441.0</v>
      </c>
      <c r="E55" s="420" t="s">
        <v>12526</v>
      </c>
      <c r="F55" s="420" t="s">
        <v>12524</v>
      </c>
      <c r="G55" s="420" t="s">
        <v>650</v>
      </c>
      <c r="H55" s="420" t="s">
        <v>3662</v>
      </c>
      <c r="I55" s="497">
        <v>38939.0</v>
      </c>
      <c r="J55" s="422">
        <v>8.0</v>
      </c>
      <c r="K55" s="637" t="s">
        <v>238</v>
      </c>
      <c r="L55" s="420" t="s">
        <v>260</v>
      </c>
      <c r="M55" s="316">
        <f t="shared" si="1"/>
        <v>1498</v>
      </c>
      <c r="N55" s="198"/>
      <c r="O55" s="322" t="s">
        <v>211</v>
      </c>
      <c r="P55" s="346">
        <f>COUNTIF($J$2:$J$476,"9")</f>
        <v>5</v>
      </c>
      <c r="Q55" s="113"/>
      <c r="R55" s="114"/>
      <c r="S55" s="343">
        <f>(P55/P59)</f>
        <v>0.04587155963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5506.0</v>
      </c>
      <c r="B56" s="426" t="s">
        <v>12527</v>
      </c>
      <c r="C56" s="426">
        <v>2002.0</v>
      </c>
      <c r="D56" s="500">
        <v>37441.0</v>
      </c>
      <c r="E56" s="426" t="s">
        <v>12528</v>
      </c>
      <c r="F56" s="426" t="s">
        <v>12524</v>
      </c>
      <c r="G56" s="426" t="s">
        <v>650</v>
      </c>
      <c r="H56" s="426" t="s">
        <v>3662</v>
      </c>
      <c r="I56" s="500">
        <v>38939.0</v>
      </c>
      <c r="J56" s="428">
        <v>8.0</v>
      </c>
      <c r="K56" s="637" t="s">
        <v>238</v>
      </c>
      <c r="L56" s="428" t="s">
        <v>260</v>
      </c>
      <c r="M56" s="319">
        <f t="shared" si="1"/>
        <v>1498</v>
      </c>
      <c r="N56" s="198"/>
      <c r="O56" s="321" t="s">
        <v>213</v>
      </c>
      <c r="P56" s="344">
        <f>COUNTIF($J$2:$J$476,"10")</f>
        <v>8</v>
      </c>
      <c r="Q56" s="113"/>
      <c r="R56" s="114"/>
      <c r="S56" s="345">
        <f>(P56/P59)</f>
        <v>0.07339449541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5606.0</v>
      </c>
      <c r="B57" s="420" t="s">
        <v>12529</v>
      </c>
      <c r="C57" s="420">
        <v>2004.0</v>
      </c>
      <c r="D57" s="497">
        <v>38275.0</v>
      </c>
      <c r="E57" s="420" t="s">
        <v>12530</v>
      </c>
      <c r="F57" s="420" t="s">
        <v>8140</v>
      </c>
      <c r="G57" s="420" t="s">
        <v>650</v>
      </c>
      <c r="H57" s="420" t="s">
        <v>2964</v>
      </c>
      <c r="I57" s="497">
        <v>38943.0</v>
      </c>
      <c r="J57" s="422">
        <v>8.0</v>
      </c>
      <c r="K57" s="637" t="s">
        <v>238</v>
      </c>
      <c r="L57" s="420" t="s">
        <v>258</v>
      </c>
      <c r="M57" s="316">
        <f t="shared" si="1"/>
        <v>668</v>
      </c>
      <c r="N57" s="198"/>
      <c r="O57" s="322" t="s">
        <v>215</v>
      </c>
      <c r="P57" s="346">
        <f>COUNTIF($J$2:$J$476,"11")</f>
        <v>11</v>
      </c>
      <c r="Q57" s="113"/>
      <c r="R57" s="114"/>
      <c r="S57" s="343">
        <f>(P57/P59)</f>
        <v>0.1009174312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5706.0</v>
      </c>
      <c r="B58" s="426" t="s">
        <v>12531</v>
      </c>
      <c r="C58" s="426">
        <v>2002.0</v>
      </c>
      <c r="D58" s="500">
        <v>37512.0</v>
      </c>
      <c r="E58" s="426" t="s">
        <v>12532</v>
      </c>
      <c r="F58" s="426" t="s">
        <v>12506</v>
      </c>
      <c r="G58" s="426" t="s">
        <v>17</v>
      </c>
      <c r="H58" s="426" t="s">
        <v>5016</v>
      </c>
      <c r="I58" s="500">
        <v>38943.0</v>
      </c>
      <c r="J58" s="428">
        <v>8.0</v>
      </c>
      <c r="K58" s="637" t="s">
        <v>238</v>
      </c>
      <c r="L58" s="428" t="s">
        <v>258</v>
      </c>
      <c r="M58" s="319">
        <f t="shared" si="1"/>
        <v>1431</v>
      </c>
      <c r="N58" s="198"/>
      <c r="O58" s="355" t="s">
        <v>217</v>
      </c>
      <c r="P58" s="344">
        <f>COUNTIF($J$2:$J$476,"12")</f>
        <v>27</v>
      </c>
      <c r="Q58" s="113"/>
      <c r="R58" s="114"/>
      <c r="S58" s="356">
        <f>(P58/P59)</f>
        <v>0.247706422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5806.0</v>
      </c>
      <c r="B59" s="420" t="s">
        <v>12533</v>
      </c>
      <c r="C59" s="420">
        <v>2004.0</v>
      </c>
      <c r="D59" s="497">
        <v>37995.0</v>
      </c>
      <c r="E59" s="420" t="s">
        <v>12534</v>
      </c>
      <c r="F59" s="420" t="s">
        <v>7186</v>
      </c>
      <c r="G59" s="420" t="s">
        <v>650</v>
      </c>
      <c r="H59" s="420" t="s">
        <v>5180</v>
      </c>
      <c r="I59" s="497">
        <v>38954.0</v>
      </c>
      <c r="J59" s="422">
        <v>8.0</v>
      </c>
      <c r="K59" s="635" t="s">
        <v>228</v>
      </c>
      <c r="L59" s="420" t="s">
        <v>258</v>
      </c>
      <c r="M59" s="316">
        <f t="shared" si="1"/>
        <v>959</v>
      </c>
      <c r="N59" s="198"/>
      <c r="O59" s="348" t="s">
        <v>219</v>
      </c>
      <c r="P59" s="349">
        <f>SUM(P47:R58)</f>
        <v>109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5906.0</v>
      </c>
      <c r="B60" s="426" t="s">
        <v>12535</v>
      </c>
      <c r="C60" s="426">
        <v>2004.0</v>
      </c>
      <c r="D60" s="500">
        <v>37995.0</v>
      </c>
      <c r="E60" s="426" t="s">
        <v>12536</v>
      </c>
      <c r="F60" s="426" t="s">
        <v>7186</v>
      </c>
      <c r="G60" s="426" t="s">
        <v>270</v>
      </c>
      <c r="H60" s="426" t="s">
        <v>5180</v>
      </c>
      <c r="I60" s="500">
        <v>38965.0</v>
      </c>
      <c r="J60" s="428">
        <v>9.0</v>
      </c>
      <c r="K60" s="635" t="s">
        <v>228</v>
      </c>
      <c r="L60" s="428" t="s">
        <v>258</v>
      </c>
      <c r="M60" s="319">
        <f t="shared" si="1"/>
        <v>970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6006.0</v>
      </c>
      <c r="B61" s="420" t="s">
        <v>12537</v>
      </c>
      <c r="C61" s="420">
        <v>2005.0</v>
      </c>
      <c r="D61" s="497">
        <v>38603.0</v>
      </c>
      <c r="E61" s="420" t="s">
        <v>12538</v>
      </c>
      <c r="F61" s="420" t="s">
        <v>5435</v>
      </c>
      <c r="G61" s="420" t="s">
        <v>650</v>
      </c>
      <c r="H61" s="420" t="s">
        <v>705</v>
      </c>
      <c r="I61" s="497">
        <v>38968.0</v>
      </c>
      <c r="J61" s="422">
        <v>9.0</v>
      </c>
      <c r="K61" s="637" t="s">
        <v>238</v>
      </c>
      <c r="L61" s="420" t="s">
        <v>258</v>
      </c>
      <c r="M61" s="316">
        <f t="shared" si="1"/>
        <v>365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6106.0</v>
      </c>
      <c r="B62" s="426" t="s">
        <v>12539</v>
      </c>
      <c r="C62" s="426">
        <v>2004.0</v>
      </c>
      <c r="D62" s="500">
        <v>38061.0</v>
      </c>
      <c r="E62" s="426" t="s">
        <v>12540</v>
      </c>
      <c r="F62" s="426" t="s">
        <v>719</v>
      </c>
      <c r="G62" s="426" t="s">
        <v>650</v>
      </c>
      <c r="H62" s="426" t="s">
        <v>929</v>
      </c>
      <c r="I62" s="500">
        <v>38974.0</v>
      </c>
      <c r="J62" s="428">
        <v>9.0</v>
      </c>
      <c r="K62" s="637" t="s">
        <v>238</v>
      </c>
      <c r="L62" s="428" t="s">
        <v>258</v>
      </c>
      <c r="M62" s="319">
        <f t="shared" si="1"/>
        <v>913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6206.0</v>
      </c>
      <c r="B63" s="420" t="s">
        <v>12541</v>
      </c>
      <c r="C63" s="420">
        <v>2001.0</v>
      </c>
      <c r="D63" s="497">
        <v>37167.0</v>
      </c>
      <c r="E63" s="420" t="s">
        <v>12542</v>
      </c>
      <c r="F63" s="420" t="s">
        <v>11589</v>
      </c>
      <c r="G63" s="420" t="s">
        <v>270</v>
      </c>
      <c r="H63" s="420" t="s">
        <v>12507</v>
      </c>
      <c r="I63" s="497">
        <v>38979.0</v>
      </c>
      <c r="J63" s="422">
        <v>9.0</v>
      </c>
      <c r="K63" s="637" t="s">
        <v>238</v>
      </c>
      <c r="L63" s="420" t="s">
        <v>258</v>
      </c>
      <c r="M63" s="316">
        <f t="shared" si="1"/>
        <v>1812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6306.0</v>
      </c>
      <c r="B64" s="426" t="s">
        <v>12543</v>
      </c>
      <c r="C64" s="426">
        <v>1999.0</v>
      </c>
      <c r="D64" s="500">
        <v>36237.0</v>
      </c>
      <c r="E64" s="426" t="s">
        <v>12544</v>
      </c>
      <c r="F64" s="426" t="s">
        <v>3485</v>
      </c>
      <c r="G64" s="426" t="s">
        <v>650</v>
      </c>
      <c r="H64" s="426" t="s">
        <v>2509</v>
      </c>
      <c r="I64" s="500">
        <v>38989.0</v>
      </c>
      <c r="J64" s="428">
        <v>9.0</v>
      </c>
      <c r="K64" s="636" t="s">
        <v>244</v>
      </c>
      <c r="L64" s="428" t="s">
        <v>256</v>
      </c>
      <c r="M64" s="319">
        <f t="shared" si="1"/>
        <v>2752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32</v>
      </c>
      <c r="T64" s="366">
        <f>(S64/S76)</f>
        <v>0.2935779817</v>
      </c>
      <c r="U64" s="198"/>
      <c r="V64" s="198"/>
      <c r="W64" s="198"/>
      <c r="X64" s="198"/>
      <c r="Y64" s="198"/>
      <c r="Z64" s="198"/>
    </row>
    <row r="65" ht="12.75" customHeight="1">
      <c r="A65" s="578">
        <v>6406.0</v>
      </c>
      <c r="B65" s="578" t="s">
        <v>3889</v>
      </c>
      <c r="C65" s="578" t="s">
        <v>3889</v>
      </c>
      <c r="D65" s="579" t="s">
        <v>3889</v>
      </c>
      <c r="E65" s="578" t="s">
        <v>3889</v>
      </c>
      <c r="F65" s="578" t="s">
        <v>3889</v>
      </c>
      <c r="G65" s="578" t="s">
        <v>3889</v>
      </c>
      <c r="H65" s="578" t="s">
        <v>3889</v>
      </c>
      <c r="I65" s="579" t="s">
        <v>3889</v>
      </c>
      <c r="J65" s="322" t="s">
        <v>3889</v>
      </c>
      <c r="K65" s="322" t="s">
        <v>3889</v>
      </c>
      <c r="L65" s="578" t="s">
        <v>3889</v>
      </c>
      <c r="M65" s="578" t="s">
        <v>3889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6506.0</v>
      </c>
      <c r="B66" s="426" t="s">
        <v>12545</v>
      </c>
      <c r="C66" s="426">
        <v>2005.0</v>
      </c>
      <c r="D66" s="500">
        <v>38663.0</v>
      </c>
      <c r="E66" s="426" t="s">
        <v>12546</v>
      </c>
      <c r="F66" s="426" t="s">
        <v>12547</v>
      </c>
      <c r="G66" s="426" t="s">
        <v>565</v>
      </c>
      <c r="H66" s="426" t="s">
        <v>6534</v>
      </c>
      <c r="I66" s="500">
        <v>38999.0</v>
      </c>
      <c r="J66" s="428">
        <v>10.0</v>
      </c>
      <c r="K66" s="636" t="s">
        <v>244</v>
      </c>
      <c r="L66" s="428" t="s">
        <v>260</v>
      </c>
      <c r="M66" s="319">
        <f t="shared" ref="M66:M111" si="2">I66-D66</f>
        <v>336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6606.0</v>
      </c>
      <c r="B67" s="420" t="s">
        <v>12548</v>
      </c>
      <c r="C67" s="420">
        <v>2004.0</v>
      </c>
      <c r="D67" s="497">
        <v>38071.0</v>
      </c>
      <c r="E67" s="420" t="s">
        <v>12549</v>
      </c>
      <c r="F67" s="420" t="s">
        <v>2842</v>
      </c>
      <c r="G67" s="420" t="s">
        <v>650</v>
      </c>
      <c r="H67" s="420" t="s">
        <v>2509</v>
      </c>
      <c r="I67" s="497">
        <v>38999.0</v>
      </c>
      <c r="J67" s="422">
        <v>10.0</v>
      </c>
      <c r="K67" s="635" t="s">
        <v>228</v>
      </c>
      <c r="L67" s="420" t="s">
        <v>256</v>
      </c>
      <c r="M67" s="316">
        <f t="shared" si="2"/>
        <v>928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21</v>
      </c>
      <c r="T67" s="374">
        <f>(S67/S76)</f>
        <v>0.1926605505</v>
      </c>
      <c r="U67" s="198"/>
      <c r="V67" s="198"/>
      <c r="W67" s="198"/>
      <c r="X67" s="198"/>
      <c r="Y67" s="198"/>
      <c r="Z67" s="198"/>
    </row>
    <row r="68" ht="12.75" customHeight="1">
      <c r="A68" s="585">
        <v>6706.0</v>
      </c>
      <c r="B68" s="426" t="s">
        <v>12550</v>
      </c>
      <c r="C68" s="426">
        <v>2002.0</v>
      </c>
      <c r="D68" s="500">
        <v>37620.0</v>
      </c>
      <c r="E68" s="426" t="s">
        <v>12551</v>
      </c>
      <c r="F68" s="426" t="s">
        <v>12552</v>
      </c>
      <c r="G68" s="426" t="s">
        <v>650</v>
      </c>
      <c r="H68" s="426" t="s">
        <v>2964</v>
      </c>
      <c r="I68" s="500">
        <v>39000.0</v>
      </c>
      <c r="J68" s="428">
        <v>10.0</v>
      </c>
      <c r="K68" s="635" t="s">
        <v>228</v>
      </c>
      <c r="L68" s="428" t="s">
        <v>256</v>
      </c>
      <c r="M68" s="319">
        <f t="shared" si="2"/>
        <v>1380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6806.0</v>
      </c>
      <c r="B69" s="420" t="s">
        <v>12553</v>
      </c>
      <c r="C69" s="420">
        <v>2005.0</v>
      </c>
      <c r="D69" s="497">
        <v>38514.0</v>
      </c>
      <c r="E69" s="420" t="s">
        <v>12554</v>
      </c>
      <c r="F69" s="420" t="s">
        <v>12555</v>
      </c>
      <c r="G69" s="420" t="s">
        <v>565</v>
      </c>
      <c r="H69" s="420" t="s">
        <v>6534</v>
      </c>
      <c r="I69" s="497">
        <v>39006.0</v>
      </c>
      <c r="J69" s="422">
        <v>10.0</v>
      </c>
      <c r="K69" s="636" t="s">
        <v>244</v>
      </c>
      <c r="L69" s="420" t="s">
        <v>260</v>
      </c>
      <c r="M69" s="316">
        <f t="shared" si="2"/>
        <v>492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43</v>
      </c>
      <c r="T69" s="377">
        <f>(S69/S76)</f>
        <v>0.3944954128</v>
      </c>
      <c r="U69" s="198"/>
      <c r="V69" s="198"/>
      <c r="W69" s="198"/>
      <c r="X69" s="198"/>
      <c r="Y69" s="198"/>
      <c r="Z69" s="198"/>
    </row>
    <row r="70" ht="12.75" customHeight="1">
      <c r="A70" s="585">
        <v>6906.0</v>
      </c>
      <c r="B70" s="426" t="s">
        <v>12556</v>
      </c>
      <c r="C70" s="426">
        <v>2005.0</v>
      </c>
      <c r="D70" s="500">
        <v>38566.0</v>
      </c>
      <c r="E70" s="426" t="s">
        <v>12557</v>
      </c>
      <c r="F70" s="426" t="s">
        <v>65</v>
      </c>
      <c r="G70" s="426" t="s">
        <v>17</v>
      </c>
      <c r="H70" s="426" t="s">
        <v>56</v>
      </c>
      <c r="I70" s="500">
        <v>39008.0</v>
      </c>
      <c r="J70" s="428">
        <v>10.0</v>
      </c>
      <c r="K70" s="638" t="s">
        <v>234</v>
      </c>
      <c r="L70" s="428" t="s">
        <v>254</v>
      </c>
      <c r="M70" s="319">
        <f t="shared" si="2"/>
        <v>442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7006.0</v>
      </c>
      <c r="B71" s="420" t="s">
        <v>12558</v>
      </c>
      <c r="C71" s="420">
        <v>2004.0</v>
      </c>
      <c r="D71" s="497">
        <v>38127.0</v>
      </c>
      <c r="E71" s="420" t="s">
        <v>12559</v>
      </c>
      <c r="F71" s="420" t="s">
        <v>12560</v>
      </c>
      <c r="G71" s="420" t="s">
        <v>34</v>
      </c>
      <c r="H71" s="420" t="s">
        <v>2964</v>
      </c>
      <c r="I71" s="497">
        <v>39008.0</v>
      </c>
      <c r="J71" s="422">
        <v>10.0</v>
      </c>
      <c r="K71" s="635" t="s">
        <v>228</v>
      </c>
      <c r="L71" s="420" t="s">
        <v>258</v>
      </c>
      <c r="M71" s="316">
        <f t="shared" si="2"/>
        <v>881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7106.0</v>
      </c>
      <c r="B72" s="426" t="s">
        <v>12561</v>
      </c>
      <c r="C72" s="426">
        <v>2005.0</v>
      </c>
      <c r="D72" s="500">
        <v>38475.0</v>
      </c>
      <c r="E72" s="426" t="s">
        <v>12562</v>
      </c>
      <c r="F72" s="426" t="s">
        <v>2873</v>
      </c>
      <c r="G72" s="426" t="s">
        <v>17</v>
      </c>
      <c r="H72" s="426" t="s">
        <v>5989</v>
      </c>
      <c r="I72" s="500">
        <v>39008.0</v>
      </c>
      <c r="J72" s="428">
        <v>10.0</v>
      </c>
      <c r="K72" s="635" t="s">
        <v>228</v>
      </c>
      <c r="L72" s="428" t="s">
        <v>258</v>
      </c>
      <c r="M72" s="319">
        <f t="shared" si="2"/>
        <v>533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13</v>
      </c>
      <c r="T72" s="380">
        <f>(S72/S76)</f>
        <v>0.119266055</v>
      </c>
      <c r="U72" s="198"/>
      <c r="V72" s="198"/>
      <c r="W72" s="198"/>
      <c r="X72" s="198"/>
      <c r="Y72" s="198"/>
      <c r="Z72" s="198"/>
    </row>
    <row r="73" ht="12.75" customHeight="1">
      <c r="A73" s="578">
        <v>7206.0</v>
      </c>
      <c r="B73" s="420" t="s">
        <v>12563</v>
      </c>
      <c r="C73" s="420">
        <v>2004.0</v>
      </c>
      <c r="D73" s="497">
        <v>38146.0</v>
      </c>
      <c r="E73" s="420" t="s">
        <v>12564</v>
      </c>
      <c r="F73" s="420" t="s">
        <v>12565</v>
      </c>
      <c r="G73" s="420" t="s">
        <v>547</v>
      </c>
      <c r="H73" s="420" t="s">
        <v>2964</v>
      </c>
      <c r="I73" s="497">
        <v>39020.0</v>
      </c>
      <c r="J73" s="422">
        <v>10.0</v>
      </c>
      <c r="K73" s="635" t="s">
        <v>228</v>
      </c>
      <c r="L73" s="420" t="s">
        <v>256</v>
      </c>
      <c r="M73" s="316">
        <f t="shared" si="2"/>
        <v>874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7306.0</v>
      </c>
      <c r="B74" s="426" t="s">
        <v>12566</v>
      </c>
      <c r="C74" s="426">
        <v>2004.0</v>
      </c>
      <c r="D74" s="500">
        <v>38330.0</v>
      </c>
      <c r="E74" s="426" t="s">
        <v>12567</v>
      </c>
      <c r="F74" s="426" t="s">
        <v>1232</v>
      </c>
      <c r="G74" s="426" t="s">
        <v>650</v>
      </c>
      <c r="H74" s="426" t="s">
        <v>56</v>
      </c>
      <c r="I74" s="500">
        <v>39022.0</v>
      </c>
      <c r="J74" s="428">
        <v>11.0</v>
      </c>
      <c r="K74" s="635" t="s">
        <v>228</v>
      </c>
      <c r="L74" s="428" t="s">
        <v>256</v>
      </c>
      <c r="M74" s="319">
        <f t="shared" si="2"/>
        <v>692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7406.0</v>
      </c>
      <c r="B75" s="420" t="s">
        <v>12568</v>
      </c>
      <c r="C75" s="420">
        <v>2005.0</v>
      </c>
      <c r="D75" s="497">
        <v>38552.0</v>
      </c>
      <c r="E75" s="420" t="s">
        <v>12569</v>
      </c>
      <c r="F75" s="420" t="s">
        <v>1232</v>
      </c>
      <c r="G75" s="420" t="s">
        <v>650</v>
      </c>
      <c r="H75" s="420" t="s">
        <v>56</v>
      </c>
      <c r="I75" s="497">
        <v>39022.0</v>
      </c>
      <c r="J75" s="422">
        <v>11.0</v>
      </c>
      <c r="K75" s="635" t="s">
        <v>228</v>
      </c>
      <c r="L75" s="420" t="s">
        <v>256</v>
      </c>
      <c r="M75" s="316">
        <f t="shared" si="2"/>
        <v>470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2.75" customHeight="1">
      <c r="A76" s="585">
        <v>7506.0</v>
      </c>
      <c r="B76" s="426" t="s">
        <v>12570</v>
      </c>
      <c r="C76" s="426">
        <v>2004.0</v>
      </c>
      <c r="D76" s="500">
        <v>38110.0</v>
      </c>
      <c r="E76" s="426" t="s">
        <v>12571</v>
      </c>
      <c r="F76" s="426" t="s">
        <v>874</v>
      </c>
      <c r="G76" s="426" t="s">
        <v>270</v>
      </c>
      <c r="H76" s="426" t="s">
        <v>601</v>
      </c>
      <c r="I76" s="500">
        <v>39024.0</v>
      </c>
      <c r="J76" s="428">
        <v>11.0</v>
      </c>
      <c r="K76" s="638" t="s">
        <v>234</v>
      </c>
      <c r="L76" s="428" t="s">
        <v>256</v>
      </c>
      <c r="M76" s="319">
        <f t="shared" si="2"/>
        <v>914</v>
      </c>
      <c r="N76" s="198"/>
      <c r="O76" s="386" t="s">
        <v>219</v>
      </c>
      <c r="P76" s="332"/>
      <c r="Q76" s="332"/>
      <c r="R76" s="387"/>
      <c r="S76" s="388">
        <f>SUM(S64:S75)</f>
        <v>109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7606.0</v>
      </c>
      <c r="B77" s="420" t="s">
        <v>12572</v>
      </c>
      <c r="C77" s="420">
        <v>2004.0</v>
      </c>
      <c r="D77" s="497">
        <v>38173.0</v>
      </c>
      <c r="E77" s="420" t="s">
        <v>12573</v>
      </c>
      <c r="F77" s="420" t="s">
        <v>1762</v>
      </c>
      <c r="G77" s="420" t="s">
        <v>270</v>
      </c>
      <c r="H77" s="420" t="s">
        <v>601</v>
      </c>
      <c r="I77" s="497">
        <v>39024.0</v>
      </c>
      <c r="J77" s="422">
        <v>11.0</v>
      </c>
      <c r="K77" s="637" t="s">
        <v>238</v>
      </c>
      <c r="L77" s="420" t="s">
        <v>256</v>
      </c>
      <c r="M77" s="316">
        <f t="shared" si="2"/>
        <v>851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7706.0</v>
      </c>
      <c r="B78" s="426" t="s">
        <v>12574</v>
      </c>
      <c r="C78" s="426">
        <v>2002.0</v>
      </c>
      <c r="D78" s="500">
        <v>37442.0</v>
      </c>
      <c r="E78" s="426" t="s">
        <v>12575</v>
      </c>
      <c r="F78" s="426" t="s">
        <v>1533</v>
      </c>
      <c r="G78" s="426" t="s">
        <v>650</v>
      </c>
      <c r="H78" s="426" t="s">
        <v>601</v>
      </c>
      <c r="I78" s="500">
        <v>39028.0</v>
      </c>
      <c r="J78" s="428">
        <v>11.0</v>
      </c>
      <c r="K78" s="638" t="s">
        <v>234</v>
      </c>
      <c r="L78" s="428" t="s">
        <v>256</v>
      </c>
      <c r="M78" s="319">
        <f t="shared" si="2"/>
        <v>1586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7806.0</v>
      </c>
      <c r="B79" s="420" t="s">
        <v>12576</v>
      </c>
      <c r="C79" s="420">
        <v>2004.0</v>
      </c>
      <c r="D79" s="497">
        <v>38286.0</v>
      </c>
      <c r="E79" s="420" t="s">
        <v>12577</v>
      </c>
      <c r="F79" s="420" t="s">
        <v>1533</v>
      </c>
      <c r="G79" s="420" t="s">
        <v>650</v>
      </c>
      <c r="H79" s="420" t="s">
        <v>601</v>
      </c>
      <c r="I79" s="497">
        <v>39029.0</v>
      </c>
      <c r="J79" s="422">
        <v>11.0</v>
      </c>
      <c r="K79" s="638" t="s">
        <v>234</v>
      </c>
      <c r="L79" s="420" t="s">
        <v>256</v>
      </c>
      <c r="M79" s="316">
        <f t="shared" si="2"/>
        <v>743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7906.0</v>
      </c>
      <c r="B80" s="426" t="s">
        <v>12578</v>
      </c>
      <c r="C80" s="426">
        <v>2004.0</v>
      </c>
      <c r="D80" s="500">
        <v>38286.0</v>
      </c>
      <c r="E80" s="426" t="s">
        <v>12579</v>
      </c>
      <c r="F80" s="426" t="s">
        <v>1533</v>
      </c>
      <c r="G80" s="426" t="s">
        <v>650</v>
      </c>
      <c r="H80" s="426" t="s">
        <v>601</v>
      </c>
      <c r="I80" s="500">
        <v>39029.0</v>
      </c>
      <c r="J80" s="428">
        <v>11.0</v>
      </c>
      <c r="K80" s="638" t="s">
        <v>234</v>
      </c>
      <c r="L80" s="428" t="s">
        <v>256</v>
      </c>
      <c r="M80" s="319">
        <f t="shared" si="2"/>
        <v>743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8006.0</v>
      </c>
      <c r="B81" s="420" t="s">
        <v>12580</v>
      </c>
      <c r="C81" s="420">
        <v>2001.0</v>
      </c>
      <c r="D81" s="497">
        <v>37246.0</v>
      </c>
      <c r="E81" s="420" t="s">
        <v>12581</v>
      </c>
      <c r="F81" s="420" t="s">
        <v>12453</v>
      </c>
      <c r="G81" s="420" t="s">
        <v>547</v>
      </c>
      <c r="H81" s="420" t="s">
        <v>5826</v>
      </c>
      <c r="I81" s="497">
        <v>39037.0</v>
      </c>
      <c r="J81" s="422">
        <v>11.0</v>
      </c>
      <c r="K81" s="637" t="s">
        <v>238</v>
      </c>
      <c r="L81" s="420" t="s">
        <v>258</v>
      </c>
      <c r="M81" s="316">
        <f t="shared" si="2"/>
        <v>1791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3</v>
      </c>
      <c r="T81" s="395">
        <f>(S81/S85)</f>
        <v>0.02752293578</v>
      </c>
      <c r="U81" s="198"/>
      <c r="V81" s="198"/>
      <c r="W81" s="198"/>
      <c r="X81" s="198"/>
      <c r="Y81" s="198"/>
      <c r="Z81" s="198"/>
    </row>
    <row r="82" ht="13.5" customHeight="1">
      <c r="A82" s="585">
        <v>8106.0</v>
      </c>
      <c r="B82" s="426" t="s">
        <v>12582</v>
      </c>
      <c r="C82" s="426">
        <v>2001.0</v>
      </c>
      <c r="D82" s="500">
        <v>37235.0</v>
      </c>
      <c r="E82" s="426" t="s">
        <v>12583</v>
      </c>
      <c r="F82" s="426" t="s">
        <v>12470</v>
      </c>
      <c r="G82" s="426" t="s">
        <v>650</v>
      </c>
      <c r="H82" s="426" t="s">
        <v>12584</v>
      </c>
      <c r="I82" s="500">
        <v>39038.0</v>
      </c>
      <c r="J82" s="428">
        <v>11.0</v>
      </c>
      <c r="K82" s="635" t="s">
        <v>228</v>
      </c>
      <c r="L82" s="428" t="s">
        <v>258</v>
      </c>
      <c r="M82" s="319">
        <f t="shared" si="2"/>
        <v>1803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49</v>
      </c>
      <c r="T82" s="398">
        <f>(S82/S85)</f>
        <v>0.4495412844</v>
      </c>
      <c r="U82" s="198"/>
      <c r="V82" s="198"/>
      <c r="W82" s="198"/>
      <c r="X82" s="198"/>
      <c r="Y82" s="198"/>
      <c r="Z82" s="198"/>
    </row>
    <row r="83" ht="13.5" customHeight="1">
      <c r="A83" s="578">
        <v>8206.0</v>
      </c>
      <c r="B83" s="420" t="s">
        <v>12585</v>
      </c>
      <c r="C83" s="420">
        <v>2004.0</v>
      </c>
      <c r="D83" s="497">
        <v>38289.0</v>
      </c>
      <c r="E83" s="420" t="s">
        <v>12586</v>
      </c>
      <c r="F83" s="420" t="s">
        <v>947</v>
      </c>
      <c r="G83" s="420" t="s">
        <v>650</v>
      </c>
      <c r="H83" s="420" t="s">
        <v>7403</v>
      </c>
      <c r="I83" s="497">
        <v>39038.0</v>
      </c>
      <c r="J83" s="422">
        <v>11.0</v>
      </c>
      <c r="K83" s="637" t="s">
        <v>238</v>
      </c>
      <c r="L83" s="420" t="s">
        <v>258</v>
      </c>
      <c r="M83" s="316">
        <f t="shared" si="2"/>
        <v>749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45</v>
      </c>
      <c r="T83" s="395">
        <f>(S83/S85)</f>
        <v>0.4128440367</v>
      </c>
      <c r="U83" s="198"/>
      <c r="V83" s="198"/>
      <c r="W83" s="198"/>
      <c r="X83" s="198"/>
      <c r="Y83" s="198"/>
      <c r="Z83" s="198"/>
    </row>
    <row r="84" ht="14.25" customHeight="1">
      <c r="A84" s="585">
        <v>8306.0</v>
      </c>
      <c r="B84" s="426" t="s">
        <v>12587</v>
      </c>
      <c r="C84" s="426">
        <v>2003.0</v>
      </c>
      <c r="D84" s="500">
        <v>37971.0</v>
      </c>
      <c r="E84" s="426" t="s">
        <v>12588</v>
      </c>
      <c r="F84" s="426" t="s">
        <v>11589</v>
      </c>
      <c r="G84" s="426" t="s">
        <v>650</v>
      </c>
      <c r="H84" s="426" t="s">
        <v>8845</v>
      </c>
      <c r="I84" s="500">
        <v>39044.0</v>
      </c>
      <c r="J84" s="428">
        <v>11.0</v>
      </c>
      <c r="K84" s="636" t="s">
        <v>244</v>
      </c>
      <c r="L84" s="428" t="s">
        <v>258</v>
      </c>
      <c r="M84" s="319">
        <f t="shared" si="2"/>
        <v>1073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12</v>
      </c>
      <c r="T84" s="398">
        <f>(S84/S85)</f>
        <v>0.1100917431</v>
      </c>
      <c r="U84" s="198"/>
      <c r="V84" s="198"/>
      <c r="W84" s="198"/>
      <c r="X84" s="198"/>
      <c r="Y84" s="198"/>
      <c r="Z84" s="198"/>
    </row>
    <row r="85" ht="12.75" customHeight="1">
      <c r="A85" s="578">
        <v>8406.0</v>
      </c>
      <c r="B85" s="420" t="s">
        <v>12589</v>
      </c>
      <c r="C85" s="420">
        <v>2005.0</v>
      </c>
      <c r="D85" s="497">
        <v>38478.0</v>
      </c>
      <c r="E85" s="420" t="s">
        <v>12590</v>
      </c>
      <c r="F85" s="420" t="s">
        <v>1895</v>
      </c>
      <c r="G85" s="420" t="s">
        <v>650</v>
      </c>
      <c r="H85" s="420" t="s">
        <v>56</v>
      </c>
      <c r="I85" s="497">
        <v>39055.0</v>
      </c>
      <c r="J85" s="422">
        <v>12.0</v>
      </c>
      <c r="K85" s="635" t="s">
        <v>228</v>
      </c>
      <c r="L85" s="420" t="s">
        <v>256</v>
      </c>
      <c r="M85" s="316">
        <f t="shared" si="2"/>
        <v>577</v>
      </c>
      <c r="N85" s="198"/>
      <c r="O85" s="358" t="s">
        <v>219</v>
      </c>
      <c r="P85" s="359"/>
      <c r="Q85" s="359"/>
      <c r="R85" s="360"/>
      <c r="S85" s="388">
        <f>SUM(S81:S84)</f>
        <v>109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8506.0</v>
      </c>
      <c r="B86" s="426" t="s">
        <v>12591</v>
      </c>
      <c r="C86" s="426">
        <v>2005.0</v>
      </c>
      <c r="D86" s="500">
        <v>38709.0</v>
      </c>
      <c r="E86" s="426" t="s">
        <v>12592</v>
      </c>
      <c r="F86" s="426" t="s">
        <v>963</v>
      </c>
      <c r="G86" s="426" t="s">
        <v>650</v>
      </c>
      <c r="H86" s="426" t="s">
        <v>7907</v>
      </c>
      <c r="I86" s="500">
        <v>39055.0</v>
      </c>
      <c r="J86" s="428">
        <v>12.0</v>
      </c>
      <c r="K86" s="637" t="s">
        <v>238</v>
      </c>
      <c r="L86" s="428" t="s">
        <v>258</v>
      </c>
      <c r="M86" s="319">
        <f t="shared" si="2"/>
        <v>346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578">
        <v>8606.0</v>
      </c>
      <c r="B87" s="420" t="s">
        <v>12593</v>
      </c>
      <c r="C87" s="420">
        <v>2003.0</v>
      </c>
      <c r="D87" s="497">
        <v>37978.0</v>
      </c>
      <c r="E87" s="420" t="s">
        <v>12594</v>
      </c>
      <c r="F87" s="420" t="s">
        <v>11522</v>
      </c>
      <c r="G87" s="420" t="s">
        <v>650</v>
      </c>
      <c r="H87" s="420" t="s">
        <v>10808</v>
      </c>
      <c r="I87" s="497">
        <v>39057.0</v>
      </c>
      <c r="J87" s="422">
        <v>12.0</v>
      </c>
      <c r="K87" s="636" t="s">
        <v>244</v>
      </c>
      <c r="L87" s="420" t="s">
        <v>260</v>
      </c>
      <c r="M87" s="316">
        <f t="shared" si="2"/>
        <v>1079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5.0" customHeight="1">
      <c r="A88" s="585">
        <v>8706.0</v>
      </c>
      <c r="B88" s="426" t="s">
        <v>12595</v>
      </c>
      <c r="C88" s="426">
        <v>2001.0</v>
      </c>
      <c r="D88" s="500">
        <v>37235.0</v>
      </c>
      <c r="E88" s="426" t="s">
        <v>12596</v>
      </c>
      <c r="F88" s="426" t="s">
        <v>12470</v>
      </c>
      <c r="G88" s="426" t="s">
        <v>270</v>
      </c>
      <c r="H88" s="426" t="s">
        <v>12584</v>
      </c>
      <c r="I88" s="500">
        <v>39063.0</v>
      </c>
      <c r="J88" s="428">
        <v>12.0</v>
      </c>
      <c r="K88" s="635" t="s">
        <v>228</v>
      </c>
      <c r="L88" s="428" t="s">
        <v>256</v>
      </c>
      <c r="M88" s="319">
        <f t="shared" si="2"/>
        <v>1828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578">
        <v>8806.0</v>
      </c>
      <c r="B89" s="420" t="s">
        <v>12597</v>
      </c>
      <c r="C89" s="420">
        <v>2004.0</v>
      </c>
      <c r="D89" s="497">
        <v>38210.0</v>
      </c>
      <c r="E89" s="420" t="s">
        <v>12598</v>
      </c>
      <c r="F89" s="420" t="s">
        <v>12599</v>
      </c>
      <c r="G89" s="420" t="s">
        <v>650</v>
      </c>
      <c r="H89" s="420" t="s">
        <v>651</v>
      </c>
      <c r="I89" s="497">
        <v>39071.0</v>
      </c>
      <c r="J89" s="422">
        <v>12.0</v>
      </c>
      <c r="K89" s="637" t="s">
        <v>238</v>
      </c>
      <c r="L89" s="420" t="s">
        <v>256</v>
      </c>
      <c r="M89" s="316">
        <f t="shared" si="2"/>
        <v>861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5.0" customHeight="1">
      <c r="A90" s="585">
        <v>8906.0</v>
      </c>
      <c r="B90" s="426" t="s">
        <v>12600</v>
      </c>
      <c r="C90" s="426">
        <v>2003.0</v>
      </c>
      <c r="D90" s="500">
        <v>37985.0</v>
      </c>
      <c r="E90" s="426" t="s">
        <v>12601</v>
      </c>
      <c r="F90" s="426" t="s">
        <v>4226</v>
      </c>
      <c r="G90" s="426" t="s">
        <v>17</v>
      </c>
      <c r="H90" s="426" t="s">
        <v>8274</v>
      </c>
      <c r="I90" s="500">
        <v>39071.0</v>
      </c>
      <c r="J90" s="428">
        <v>12.0</v>
      </c>
      <c r="K90" s="637" t="s">
        <v>238</v>
      </c>
      <c r="L90" s="428" t="s">
        <v>256</v>
      </c>
      <c r="M90" s="319">
        <f t="shared" si="2"/>
        <v>1086</v>
      </c>
      <c r="N90" s="198"/>
      <c r="O90" s="412" t="s">
        <v>270</v>
      </c>
      <c r="P90" s="413">
        <f>AVERAGEIF(G2:G476,"PT",M2:M476)</f>
        <v>1288.666667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5.0" customHeight="1">
      <c r="A91" s="578">
        <v>9006.0</v>
      </c>
      <c r="B91" s="420" t="s">
        <v>12602</v>
      </c>
      <c r="C91" s="420">
        <v>2004.0</v>
      </c>
      <c r="D91" s="497">
        <v>38195.0</v>
      </c>
      <c r="E91" s="420" t="s">
        <v>12603</v>
      </c>
      <c r="F91" s="420" t="s">
        <v>162</v>
      </c>
      <c r="G91" s="420" t="s">
        <v>270</v>
      </c>
      <c r="H91" s="420" t="s">
        <v>158</v>
      </c>
      <c r="I91" s="497">
        <v>39071.0</v>
      </c>
      <c r="J91" s="422">
        <v>12.0</v>
      </c>
      <c r="K91" s="635" t="s">
        <v>228</v>
      </c>
      <c r="L91" s="420" t="s">
        <v>256</v>
      </c>
      <c r="M91" s="316">
        <f t="shared" si="2"/>
        <v>876</v>
      </c>
      <c r="N91" s="198"/>
      <c r="O91" s="414" t="s">
        <v>34</v>
      </c>
      <c r="P91" s="415">
        <f>AVERAGEIF(G2:G477,"PTN",M2:M477)</f>
        <v>1082.2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5.0" customHeight="1">
      <c r="A92" s="585">
        <v>9106.0</v>
      </c>
      <c r="B92" s="426" t="s">
        <v>12604</v>
      </c>
      <c r="C92" s="426">
        <v>2004.0</v>
      </c>
      <c r="D92" s="500">
        <v>38114.0</v>
      </c>
      <c r="E92" s="426" t="s">
        <v>12605</v>
      </c>
      <c r="F92" s="426" t="s">
        <v>963</v>
      </c>
      <c r="G92" s="426" t="s">
        <v>650</v>
      </c>
      <c r="H92" s="426" t="s">
        <v>2325</v>
      </c>
      <c r="I92" s="500">
        <v>39071.0</v>
      </c>
      <c r="J92" s="428">
        <v>12.0</v>
      </c>
      <c r="K92" s="638" t="s">
        <v>234</v>
      </c>
      <c r="L92" s="428" t="s">
        <v>258</v>
      </c>
      <c r="M92" s="319">
        <f t="shared" si="2"/>
        <v>957</v>
      </c>
      <c r="N92" s="198"/>
      <c r="O92" s="412" t="s">
        <v>17</v>
      </c>
      <c r="P92" s="413">
        <f>AVERAGEIF(G2:G476,"PTE",M2:M476)</f>
        <v>826.3333333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5.0" customHeight="1">
      <c r="A93" s="578">
        <v>9206.0</v>
      </c>
      <c r="B93" s="420" t="s">
        <v>12606</v>
      </c>
      <c r="C93" s="420">
        <v>2002.0</v>
      </c>
      <c r="D93" s="497">
        <v>37442.0</v>
      </c>
      <c r="E93" s="420" t="s">
        <v>12607</v>
      </c>
      <c r="F93" s="420" t="s">
        <v>171</v>
      </c>
      <c r="G93" s="420" t="s">
        <v>17</v>
      </c>
      <c r="H93" s="420" t="s">
        <v>11527</v>
      </c>
      <c r="I93" s="497">
        <v>39071.0</v>
      </c>
      <c r="J93" s="422">
        <v>12.0</v>
      </c>
      <c r="K93" s="638" t="s">
        <v>234</v>
      </c>
      <c r="L93" s="420" t="s">
        <v>256</v>
      </c>
      <c r="M93" s="316">
        <f t="shared" si="2"/>
        <v>1629</v>
      </c>
      <c r="N93" s="198"/>
      <c r="O93" s="414" t="s">
        <v>46</v>
      </c>
      <c r="P93" s="415">
        <f>AVERAGEIF(G2:G476,"Pré-Mistura",M2:M476)</f>
        <v>985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5.0" customHeight="1">
      <c r="A94" s="585">
        <v>9306.0</v>
      </c>
      <c r="B94" s="426" t="s">
        <v>12608</v>
      </c>
      <c r="C94" s="426">
        <v>2004.0</v>
      </c>
      <c r="D94" s="500">
        <v>38145.0</v>
      </c>
      <c r="E94" s="426" t="s">
        <v>12609</v>
      </c>
      <c r="F94" s="426" t="s">
        <v>963</v>
      </c>
      <c r="G94" s="426" t="s">
        <v>650</v>
      </c>
      <c r="H94" s="426" t="s">
        <v>2325</v>
      </c>
      <c r="I94" s="500">
        <v>39071.0</v>
      </c>
      <c r="J94" s="428">
        <v>12.0</v>
      </c>
      <c r="K94" s="638" t="s">
        <v>234</v>
      </c>
      <c r="L94" s="428" t="s">
        <v>258</v>
      </c>
      <c r="M94" s="319">
        <f t="shared" si="2"/>
        <v>926</v>
      </c>
      <c r="N94" s="198"/>
      <c r="O94" s="412" t="s">
        <v>650</v>
      </c>
      <c r="P94" s="413">
        <f>AVERAGEIF(G2:G476,"PF",M2:M476)</f>
        <v>1454.160714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5.0" customHeight="1">
      <c r="A95" s="578">
        <v>9406.0</v>
      </c>
      <c r="B95" s="420" t="s">
        <v>12610</v>
      </c>
      <c r="C95" s="420">
        <v>2006.0</v>
      </c>
      <c r="D95" s="497">
        <v>38789.0</v>
      </c>
      <c r="E95" s="420" t="s">
        <v>12611</v>
      </c>
      <c r="F95" s="420" t="s">
        <v>12612</v>
      </c>
      <c r="G95" s="420" t="s">
        <v>565</v>
      </c>
      <c r="H95" s="420" t="s">
        <v>6534</v>
      </c>
      <c r="I95" s="497">
        <v>39071.0</v>
      </c>
      <c r="J95" s="422">
        <v>12.0</v>
      </c>
      <c r="K95" s="636" t="s">
        <v>244</v>
      </c>
      <c r="L95" s="420" t="s">
        <v>260</v>
      </c>
      <c r="M95" s="316">
        <f t="shared" si="2"/>
        <v>282</v>
      </c>
      <c r="N95" s="198"/>
      <c r="O95" s="414" t="s">
        <v>547</v>
      </c>
      <c r="P95" s="415">
        <f>AVERAGEIF(G2:G476,"PFN",M2:M476)</f>
        <v>1022.285714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5.0" customHeight="1">
      <c r="A96" s="585">
        <v>9506.0</v>
      </c>
      <c r="B96" s="426" t="s">
        <v>12613</v>
      </c>
      <c r="C96" s="426">
        <v>2006.0</v>
      </c>
      <c r="D96" s="500">
        <v>38797.0</v>
      </c>
      <c r="E96" s="426" t="s">
        <v>12614</v>
      </c>
      <c r="F96" s="426" t="s">
        <v>12490</v>
      </c>
      <c r="G96" s="426" t="s">
        <v>565</v>
      </c>
      <c r="H96" s="426" t="s">
        <v>6534</v>
      </c>
      <c r="I96" s="500">
        <v>39071.0</v>
      </c>
      <c r="J96" s="428">
        <v>12.0</v>
      </c>
      <c r="K96" s="636" t="s">
        <v>244</v>
      </c>
      <c r="L96" s="428" t="s">
        <v>260</v>
      </c>
      <c r="M96" s="319">
        <f t="shared" si="2"/>
        <v>274</v>
      </c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578">
        <v>9606.0</v>
      </c>
      <c r="B97" s="420" t="s">
        <v>12615</v>
      </c>
      <c r="C97" s="420">
        <v>2006.0</v>
      </c>
      <c r="D97" s="497">
        <v>38789.0</v>
      </c>
      <c r="E97" s="420" t="s">
        <v>12616</v>
      </c>
      <c r="F97" s="420" t="s">
        <v>12617</v>
      </c>
      <c r="G97" s="420" t="s">
        <v>565</v>
      </c>
      <c r="H97" s="420" t="s">
        <v>6534</v>
      </c>
      <c r="I97" s="497">
        <v>39071.0</v>
      </c>
      <c r="J97" s="422">
        <v>12.0</v>
      </c>
      <c r="K97" s="636" t="s">
        <v>244</v>
      </c>
      <c r="L97" s="420" t="s">
        <v>260</v>
      </c>
      <c r="M97" s="316">
        <f t="shared" si="2"/>
        <v>282</v>
      </c>
      <c r="N97" s="198"/>
      <c r="O97" s="414" t="s">
        <v>565</v>
      </c>
      <c r="P97" s="415">
        <f>AVERAGEIF(G2:G476,"Bio",M2:M476)</f>
        <v>549.8571429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585">
        <v>9706.0</v>
      </c>
      <c r="B98" s="426" t="s">
        <v>12618</v>
      </c>
      <c r="C98" s="426">
        <v>1999.0</v>
      </c>
      <c r="D98" s="500">
        <v>36441.0</v>
      </c>
      <c r="E98" s="426" t="s">
        <v>12619</v>
      </c>
      <c r="F98" s="426" t="s">
        <v>12620</v>
      </c>
      <c r="G98" s="426" t="s">
        <v>650</v>
      </c>
      <c r="H98" s="426" t="s">
        <v>143</v>
      </c>
      <c r="I98" s="500">
        <v>39072.0</v>
      </c>
      <c r="J98" s="428">
        <v>12.0</v>
      </c>
      <c r="K98" s="635" t="s">
        <v>228</v>
      </c>
      <c r="L98" s="428" t="s">
        <v>256</v>
      </c>
      <c r="M98" s="319">
        <f t="shared" si="2"/>
        <v>2631</v>
      </c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578">
        <v>9806.0</v>
      </c>
      <c r="B99" s="420" t="s">
        <v>12621</v>
      </c>
      <c r="C99" s="420">
        <v>2004.0</v>
      </c>
      <c r="D99" s="497">
        <v>38294.0</v>
      </c>
      <c r="E99" s="420" t="s">
        <v>12622</v>
      </c>
      <c r="F99" s="420" t="s">
        <v>12623</v>
      </c>
      <c r="G99" s="420" t="s">
        <v>17</v>
      </c>
      <c r="H99" s="420" t="s">
        <v>12624</v>
      </c>
      <c r="I99" s="497">
        <v>39072.0</v>
      </c>
      <c r="J99" s="422">
        <v>12.0</v>
      </c>
      <c r="K99" s="635" t="s">
        <v>228</v>
      </c>
      <c r="L99" s="420" t="s">
        <v>258</v>
      </c>
      <c r="M99" s="316">
        <f t="shared" si="2"/>
        <v>778</v>
      </c>
      <c r="N99" s="198"/>
      <c r="O99" s="416" t="s">
        <v>275</v>
      </c>
      <c r="P99" s="417">
        <f>AVERAGE(M2:M494)</f>
        <v>1233.256881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585">
        <v>9906.0</v>
      </c>
      <c r="B100" s="426" t="s">
        <v>12625</v>
      </c>
      <c r="C100" s="426">
        <v>2001.0</v>
      </c>
      <c r="D100" s="500">
        <v>36916.0</v>
      </c>
      <c r="E100" s="426" t="s">
        <v>12626</v>
      </c>
      <c r="F100" s="426" t="s">
        <v>12627</v>
      </c>
      <c r="G100" s="426" t="s">
        <v>650</v>
      </c>
      <c r="H100" s="426" t="s">
        <v>158</v>
      </c>
      <c r="I100" s="500">
        <v>39072.0</v>
      </c>
      <c r="J100" s="428">
        <v>12.0</v>
      </c>
      <c r="K100" s="635" t="s">
        <v>228</v>
      </c>
      <c r="L100" s="428" t="s">
        <v>256</v>
      </c>
      <c r="M100" s="319">
        <f t="shared" si="2"/>
        <v>2156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578">
        <v>10006.0</v>
      </c>
      <c r="B101" s="420" t="s">
        <v>12628</v>
      </c>
      <c r="C101" s="420">
        <v>2004.0</v>
      </c>
      <c r="D101" s="497">
        <v>38341.0</v>
      </c>
      <c r="E101" s="420" t="s">
        <v>12629</v>
      </c>
      <c r="F101" s="420" t="s">
        <v>10517</v>
      </c>
      <c r="G101" s="420" t="s">
        <v>650</v>
      </c>
      <c r="H101" s="420" t="s">
        <v>2509</v>
      </c>
      <c r="I101" s="497">
        <v>39072.0</v>
      </c>
      <c r="J101" s="422">
        <v>12.0</v>
      </c>
      <c r="K101" s="635" t="s">
        <v>228</v>
      </c>
      <c r="L101" s="420" t="s">
        <v>256</v>
      </c>
      <c r="M101" s="316">
        <f t="shared" si="2"/>
        <v>731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585">
        <v>10106.0</v>
      </c>
      <c r="B102" s="426" t="s">
        <v>12630</v>
      </c>
      <c r="C102" s="426">
        <v>2003.0</v>
      </c>
      <c r="D102" s="500">
        <v>37940.0</v>
      </c>
      <c r="E102" s="426" t="s">
        <v>12631</v>
      </c>
      <c r="F102" s="426" t="s">
        <v>129</v>
      </c>
      <c r="G102" s="426" t="s">
        <v>34</v>
      </c>
      <c r="H102" s="426" t="s">
        <v>705</v>
      </c>
      <c r="I102" s="500">
        <v>39072.0</v>
      </c>
      <c r="J102" s="428">
        <v>12.0</v>
      </c>
      <c r="K102" s="637" t="s">
        <v>238</v>
      </c>
      <c r="L102" s="428" t="s">
        <v>258</v>
      </c>
      <c r="M102" s="319">
        <f t="shared" si="2"/>
        <v>1132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578">
        <v>10206.0</v>
      </c>
      <c r="B103" s="420" t="s">
        <v>12632</v>
      </c>
      <c r="C103" s="420">
        <v>2005.0</v>
      </c>
      <c r="D103" s="497">
        <v>38478.0</v>
      </c>
      <c r="E103" s="420" t="s">
        <v>12633</v>
      </c>
      <c r="F103" s="420" t="s">
        <v>900</v>
      </c>
      <c r="G103" s="420" t="s">
        <v>17</v>
      </c>
      <c r="H103" s="420" t="s">
        <v>9033</v>
      </c>
      <c r="I103" s="497">
        <v>39073.0</v>
      </c>
      <c r="J103" s="422">
        <v>12.0</v>
      </c>
      <c r="K103" s="635" t="s">
        <v>228</v>
      </c>
      <c r="L103" s="420" t="s">
        <v>256</v>
      </c>
      <c r="M103" s="316">
        <f t="shared" si="2"/>
        <v>595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585">
        <v>10306.0</v>
      </c>
      <c r="B104" s="426" t="s">
        <v>12634</v>
      </c>
      <c r="C104" s="426">
        <v>2004.0</v>
      </c>
      <c r="D104" s="500">
        <v>38310.0</v>
      </c>
      <c r="E104" s="426" t="s">
        <v>12635</v>
      </c>
      <c r="F104" s="426" t="s">
        <v>1533</v>
      </c>
      <c r="G104" s="426" t="s">
        <v>650</v>
      </c>
      <c r="H104" s="426" t="s">
        <v>601</v>
      </c>
      <c r="I104" s="500">
        <v>39073.0</v>
      </c>
      <c r="J104" s="428">
        <v>12.0</v>
      </c>
      <c r="K104" s="638" t="s">
        <v>234</v>
      </c>
      <c r="L104" s="428" t="s">
        <v>256</v>
      </c>
      <c r="M104" s="319">
        <f t="shared" si="2"/>
        <v>763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578">
        <v>10406.0</v>
      </c>
      <c r="B105" s="420" t="s">
        <v>12636</v>
      </c>
      <c r="C105" s="420">
        <v>2003.0</v>
      </c>
      <c r="D105" s="497">
        <v>37971.0</v>
      </c>
      <c r="E105" s="420" t="s">
        <v>12637</v>
      </c>
      <c r="F105" s="420" t="s">
        <v>963</v>
      </c>
      <c r="G105" s="420" t="s">
        <v>650</v>
      </c>
      <c r="H105" s="420" t="s">
        <v>8845</v>
      </c>
      <c r="I105" s="497">
        <v>39077.0</v>
      </c>
      <c r="J105" s="422">
        <v>12.0</v>
      </c>
      <c r="K105" s="637" t="s">
        <v>238</v>
      </c>
      <c r="L105" s="420" t="s">
        <v>258</v>
      </c>
      <c r="M105" s="316">
        <f t="shared" si="2"/>
        <v>1106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585">
        <v>10506.0</v>
      </c>
      <c r="B106" s="426" t="s">
        <v>12638</v>
      </c>
      <c r="C106" s="426">
        <v>2001.0</v>
      </c>
      <c r="D106" s="500">
        <v>37167.0</v>
      </c>
      <c r="E106" s="426" t="s">
        <v>12639</v>
      </c>
      <c r="F106" s="426" t="s">
        <v>31</v>
      </c>
      <c r="G106" s="426" t="s">
        <v>17</v>
      </c>
      <c r="H106" s="426" t="s">
        <v>8845</v>
      </c>
      <c r="I106" s="500">
        <v>39077.0</v>
      </c>
      <c r="J106" s="428">
        <v>12.0</v>
      </c>
      <c r="K106" s="636" t="s">
        <v>244</v>
      </c>
      <c r="L106" s="428" t="s">
        <v>258</v>
      </c>
      <c r="M106" s="319">
        <f t="shared" si="2"/>
        <v>1910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578">
        <v>10606.0</v>
      </c>
      <c r="B107" s="420" t="s">
        <v>12640</v>
      </c>
      <c r="C107" s="420">
        <v>1999.0</v>
      </c>
      <c r="D107" s="497">
        <v>36525.0</v>
      </c>
      <c r="E107" s="420" t="s">
        <v>12641</v>
      </c>
      <c r="F107" s="420" t="s">
        <v>947</v>
      </c>
      <c r="G107" s="420" t="s">
        <v>650</v>
      </c>
      <c r="H107" s="420" t="s">
        <v>9672</v>
      </c>
      <c r="I107" s="497">
        <v>39077.0</v>
      </c>
      <c r="J107" s="422">
        <v>12.0</v>
      </c>
      <c r="K107" s="637" t="s">
        <v>238</v>
      </c>
      <c r="L107" s="420" t="s">
        <v>256</v>
      </c>
      <c r="M107" s="316">
        <f t="shared" si="2"/>
        <v>2552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5.0" customHeight="1">
      <c r="A108" s="585">
        <v>10706.0</v>
      </c>
      <c r="B108" s="426" t="s">
        <v>12642</v>
      </c>
      <c r="C108" s="426">
        <v>2004.0</v>
      </c>
      <c r="D108" s="500">
        <v>38310.0</v>
      </c>
      <c r="E108" s="426" t="s">
        <v>12643</v>
      </c>
      <c r="F108" s="426" t="s">
        <v>1533</v>
      </c>
      <c r="G108" s="426" t="s">
        <v>650</v>
      </c>
      <c r="H108" s="426" t="s">
        <v>601</v>
      </c>
      <c r="I108" s="500">
        <v>39078.0</v>
      </c>
      <c r="J108" s="428">
        <v>12.0</v>
      </c>
      <c r="K108" s="638" t="s">
        <v>234</v>
      </c>
      <c r="L108" s="428" t="s">
        <v>256</v>
      </c>
      <c r="M108" s="319">
        <f t="shared" si="2"/>
        <v>768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5.0" customHeight="1">
      <c r="A109" s="578">
        <v>10806.0</v>
      </c>
      <c r="B109" s="420" t="s">
        <v>12644</v>
      </c>
      <c r="C109" s="420">
        <v>2005.0</v>
      </c>
      <c r="D109" s="497">
        <v>38447.0</v>
      </c>
      <c r="E109" s="420" t="s">
        <v>12645</v>
      </c>
      <c r="F109" s="420" t="s">
        <v>12646</v>
      </c>
      <c r="G109" s="420" t="s">
        <v>547</v>
      </c>
      <c r="H109" s="420" t="s">
        <v>705</v>
      </c>
      <c r="I109" s="497">
        <v>39079.0</v>
      </c>
      <c r="J109" s="422">
        <v>12.0</v>
      </c>
      <c r="K109" s="637" t="s">
        <v>238</v>
      </c>
      <c r="L109" s="420" t="s">
        <v>256</v>
      </c>
      <c r="M109" s="316">
        <f t="shared" si="2"/>
        <v>632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5.0" customHeight="1">
      <c r="A110" s="585">
        <v>10906.0</v>
      </c>
      <c r="B110" s="426" t="s">
        <v>12647</v>
      </c>
      <c r="C110" s="426">
        <v>2000.0</v>
      </c>
      <c r="D110" s="500">
        <v>36714.0</v>
      </c>
      <c r="E110" s="426" t="s">
        <v>12648</v>
      </c>
      <c r="F110" s="426" t="s">
        <v>947</v>
      </c>
      <c r="G110" s="426" t="s">
        <v>650</v>
      </c>
      <c r="H110" s="426" t="s">
        <v>9672</v>
      </c>
      <c r="I110" s="500">
        <v>39080.0</v>
      </c>
      <c r="J110" s="428">
        <v>12.0</v>
      </c>
      <c r="K110" s="637" t="s">
        <v>238</v>
      </c>
      <c r="L110" s="428" t="s">
        <v>256</v>
      </c>
      <c r="M110" s="319">
        <f t="shared" si="2"/>
        <v>2366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5.0" customHeight="1">
      <c r="A111" s="578">
        <v>11006.0</v>
      </c>
      <c r="B111" s="420" t="s">
        <v>12649</v>
      </c>
      <c r="C111" s="420">
        <v>2001.0</v>
      </c>
      <c r="D111" s="497">
        <v>37111.0</v>
      </c>
      <c r="E111" s="420" t="s">
        <v>12650</v>
      </c>
      <c r="F111" s="420" t="s">
        <v>963</v>
      </c>
      <c r="G111" s="420" t="s">
        <v>650</v>
      </c>
      <c r="H111" s="420" t="s">
        <v>934</v>
      </c>
      <c r="I111" s="497">
        <v>39080.0</v>
      </c>
      <c r="J111" s="422">
        <v>12.0</v>
      </c>
      <c r="K111" s="635" t="s">
        <v>228</v>
      </c>
      <c r="L111" s="420" t="s">
        <v>258</v>
      </c>
      <c r="M111" s="316">
        <f t="shared" si="2"/>
        <v>1969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60"/>
      <c r="B112" s="660"/>
      <c r="C112" s="660"/>
      <c r="D112" s="661"/>
      <c r="E112" s="662"/>
      <c r="F112" s="675"/>
      <c r="G112" s="662"/>
      <c r="H112" s="198"/>
      <c r="I112" s="661"/>
      <c r="J112" s="663"/>
      <c r="K112" s="663"/>
      <c r="L112" s="663"/>
      <c r="M112" s="664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hidden="1" customHeight="1">
      <c r="A113" s="660"/>
      <c r="B113" s="660"/>
      <c r="C113" s="660"/>
      <c r="D113" s="661"/>
      <c r="E113" s="662"/>
      <c r="F113" s="662"/>
      <c r="G113" s="662"/>
      <c r="H113" s="662"/>
      <c r="I113" s="661"/>
      <c r="J113" s="663"/>
      <c r="K113" s="663"/>
      <c r="L113" s="663"/>
      <c r="M113" s="664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hidden="1" customHeight="1">
      <c r="A114" s="660"/>
      <c r="B114" s="660"/>
      <c r="C114" s="660"/>
      <c r="D114" s="661"/>
      <c r="E114" s="662"/>
      <c r="F114" s="662"/>
      <c r="G114" s="662"/>
      <c r="H114" s="662"/>
      <c r="I114" s="661"/>
      <c r="J114" s="663"/>
      <c r="K114" s="663"/>
      <c r="L114" s="663"/>
      <c r="M114" s="664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hidden="1" customHeight="1">
      <c r="A115" s="660"/>
      <c r="B115" s="660"/>
      <c r="C115" s="660"/>
      <c r="D115" s="661"/>
      <c r="E115" s="662"/>
      <c r="F115" s="662"/>
      <c r="G115" s="662"/>
      <c r="H115" s="662"/>
      <c r="I115" s="661"/>
      <c r="J115" s="663"/>
      <c r="K115" s="663"/>
      <c r="L115" s="663"/>
      <c r="M115" s="664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hidden="1" customHeight="1">
      <c r="A116" s="660"/>
      <c r="B116" s="660"/>
      <c r="C116" s="660"/>
      <c r="D116" s="661"/>
      <c r="E116" s="662"/>
      <c r="F116" s="662"/>
      <c r="G116" s="662"/>
      <c r="H116" s="662"/>
      <c r="I116" s="661"/>
      <c r="J116" s="662"/>
      <c r="K116" s="662"/>
      <c r="L116" s="662"/>
      <c r="M116" s="664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hidden="1" customHeight="1">
      <c r="A117" s="660"/>
      <c r="B117" s="660"/>
      <c r="C117" s="660"/>
      <c r="D117" s="661"/>
      <c r="E117" s="662"/>
      <c r="F117" s="662"/>
      <c r="G117" s="662"/>
      <c r="H117" s="662"/>
      <c r="I117" s="661"/>
      <c r="J117" s="662"/>
      <c r="K117" s="662"/>
      <c r="L117" s="662"/>
      <c r="M117" s="664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11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105.0</v>
      </c>
      <c r="B2" s="426" t="s">
        <v>12651</v>
      </c>
      <c r="C2" s="426">
        <v>1999.0</v>
      </c>
      <c r="D2" s="676">
        <v>36525.0</v>
      </c>
      <c r="E2" s="426" t="s">
        <v>12652</v>
      </c>
      <c r="F2" s="426" t="s">
        <v>1170</v>
      </c>
      <c r="G2" s="426" t="s">
        <v>270</v>
      </c>
      <c r="H2" s="426" t="s">
        <v>9672</v>
      </c>
      <c r="I2" s="676">
        <v>38366.0</v>
      </c>
      <c r="J2" s="428">
        <v>1.0</v>
      </c>
      <c r="K2" s="637" t="s">
        <v>238</v>
      </c>
      <c r="L2" s="428" t="s">
        <v>256</v>
      </c>
      <c r="M2" s="319">
        <f t="shared" ref="M2:M19" si="1">I2-D2</f>
        <v>1841</v>
      </c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205.0</v>
      </c>
      <c r="B3" s="420" t="s">
        <v>12654</v>
      </c>
      <c r="C3" s="420">
        <v>2004.0</v>
      </c>
      <c r="D3" s="497">
        <v>38190.0</v>
      </c>
      <c r="E3" s="420" t="s">
        <v>12655</v>
      </c>
      <c r="F3" s="420" t="s">
        <v>12656</v>
      </c>
      <c r="G3" s="420" t="s">
        <v>650</v>
      </c>
      <c r="H3" s="420" t="s">
        <v>705</v>
      </c>
      <c r="I3" s="497">
        <v>38392.0</v>
      </c>
      <c r="J3" s="422">
        <v>2.0</v>
      </c>
      <c r="K3" s="637" t="s">
        <v>238</v>
      </c>
      <c r="L3" s="420" t="s">
        <v>256</v>
      </c>
      <c r="M3" s="316">
        <f t="shared" si="1"/>
        <v>202</v>
      </c>
      <c r="N3" s="198"/>
      <c r="O3" s="320" t="s">
        <v>27</v>
      </c>
      <c r="P3" s="320">
        <f>COUNTIF($G$2:$G$477,"PT")</f>
        <v>23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305.0</v>
      </c>
      <c r="B4" s="426" t="s">
        <v>12657</v>
      </c>
      <c r="C4" s="426">
        <v>2004.0</v>
      </c>
      <c r="D4" s="676">
        <v>38201.0</v>
      </c>
      <c r="E4" s="426" t="s">
        <v>12658</v>
      </c>
      <c r="F4" s="426" t="s">
        <v>711</v>
      </c>
      <c r="G4" s="426" t="s">
        <v>46</v>
      </c>
      <c r="H4" s="426" t="s">
        <v>158</v>
      </c>
      <c r="I4" s="676">
        <v>38397.0</v>
      </c>
      <c r="J4" s="428">
        <v>2.0</v>
      </c>
      <c r="K4" s="635" t="s">
        <v>228</v>
      </c>
      <c r="L4" s="428" t="s">
        <v>256</v>
      </c>
      <c r="M4" s="319">
        <f t="shared" si="1"/>
        <v>196</v>
      </c>
      <c r="N4" s="198"/>
      <c r="O4" s="321" t="s">
        <v>34</v>
      </c>
      <c r="P4" s="321">
        <f>COUNTIF($G$2:$G$477,"PTN")</f>
        <v>5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405.0</v>
      </c>
      <c r="B5" s="420" t="s">
        <v>12659</v>
      </c>
      <c r="C5" s="420">
        <v>2000.0</v>
      </c>
      <c r="D5" s="497">
        <v>36650.0</v>
      </c>
      <c r="E5" s="420" t="s">
        <v>12660</v>
      </c>
      <c r="F5" s="420" t="s">
        <v>3505</v>
      </c>
      <c r="G5" s="420" t="s">
        <v>650</v>
      </c>
      <c r="H5" s="420" t="s">
        <v>5180</v>
      </c>
      <c r="I5" s="497">
        <v>38394.0</v>
      </c>
      <c r="J5" s="422">
        <v>2.0</v>
      </c>
      <c r="K5" s="637" t="s">
        <v>238</v>
      </c>
      <c r="L5" s="420" t="s">
        <v>256</v>
      </c>
      <c r="M5" s="316">
        <f t="shared" si="1"/>
        <v>1744</v>
      </c>
      <c r="N5" s="198"/>
      <c r="O5" s="322" t="s">
        <v>40</v>
      </c>
      <c r="P5" s="322">
        <f>COUNTIF($G$2:$G$477,"PTE")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505.0</v>
      </c>
      <c r="B6" s="426" t="s">
        <v>12661</v>
      </c>
      <c r="C6" s="426">
        <v>2001.0</v>
      </c>
      <c r="D6" s="676">
        <v>36963.0</v>
      </c>
      <c r="E6" s="426" t="s">
        <v>12662</v>
      </c>
      <c r="F6" s="426" t="s">
        <v>12663</v>
      </c>
      <c r="G6" s="426" t="s">
        <v>547</v>
      </c>
      <c r="H6" s="426" t="s">
        <v>12269</v>
      </c>
      <c r="I6" s="676">
        <v>38394.0</v>
      </c>
      <c r="J6" s="428">
        <v>2.0</v>
      </c>
      <c r="K6" s="635" t="s">
        <v>228</v>
      </c>
      <c r="L6" s="428" t="s">
        <v>256</v>
      </c>
      <c r="M6" s="319">
        <f t="shared" si="1"/>
        <v>1431</v>
      </c>
      <c r="N6" s="198"/>
      <c r="O6" s="321" t="s">
        <v>46</v>
      </c>
      <c r="P6" s="321">
        <f>COUNTIF($G$2:$G$477,"Pré-Mistura")</f>
        <v>1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605.0</v>
      </c>
      <c r="B7" s="420" t="s">
        <v>12664</v>
      </c>
      <c r="C7" s="420">
        <v>2003.0</v>
      </c>
      <c r="D7" s="497">
        <v>37900.0</v>
      </c>
      <c r="E7" s="420" t="s">
        <v>12665</v>
      </c>
      <c r="F7" s="420" t="s">
        <v>10829</v>
      </c>
      <c r="G7" s="420" t="s">
        <v>650</v>
      </c>
      <c r="H7" s="420" t="s">
        <v>12666</v>
      </c>
      <c r="I7" s="497">
        <v>38425.0</v>
      </c>
      <c r="J7" s="422">
        <v>3.0</v>
      </c>
      <c r="K7" s="636" t="s">
        <v>244</v>
      </c>
      <c r="L7" s="420" t="s">
        <v>258</v>
      </c>
      <c r="M7" s="316">
        <f t="shared" si="1"/>
        <v>525</v>
      </c>
      <c r="N7" s="198"/>
      <c r="O7" s="322" t="s">
        <v>553</v>
      </c>
      <c r="P7" s="322">
        <f>COUNTIF($G$2:$G$477,"PF")</f>
        <v>45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705.0</v>
      </c>
      <c r="B8" s="426" t="s">
        <v>12667</v>
      </c>
      <c r="C8" s="426">
        <v>2002.0</v>
      </c>
      <c r="D8" s="676">
        <v>37441.0</v>
      </c>
      <c r="E8" s="426" t="s">
        <v>12668</v>
      </c>
      <c r="F8" s="426" t="s">
        <v>12669</v>
      </c>
      <c r="G8" s="426" t="s">
        <v>565</v>
      </c>
      <c r="H8" s="426" t="s">
        <v>11733</v>
      </c>
      <c r="I8" s="676">
        <v>38426.0</v>
      </c>
      <c r="J8" s="428">
        <v>3.0</v>
      </c>
      <c r="K8" s="637" t="s">
        <v>238</v>
      </c>
      <c r="L8" s="428" t="s">
        <v>260</v>
      </c>
      <c r="M8" s="319">
        <f t="shared" si="1"/>
        <v>985</v>
      </c>
      <c r="N8" s="198"/>
      <c r="O8" s="321" t="s">
        <v>547</v>
      </c>
      <c r="P8" s="321">
        <f>COUNTIF($G$2:$G$477,"PFN")</f>
        <v>5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805.0</v>
      </c>
      <c r="B9" s="420" t="s">
        <v>12670</v>
      </c>
      <c r="C9" s="420">
        <v>2002.0</v>
      </c>
      <c r="D9" s="677">
        <v>37441.0</v>
      </c>
      <c r="E9" s="420" t="s">
        <v>12671</v>
      </c>
      <c r="F9" s="420" t="s">
        <v>12669</v>
      </c>
      <c r="G9" s="420" t="s">
        <v>565</v>
      </c>
      <c r="H9" s="420" t="s">
        <v>11733</v>
      </c>
      <c r="I9" s="677">
        <v>38426.0</v>
      </c>
      <c r="J9" s="422">
        <v>3.0</v>
      </c>
      <c r="K9" s="637" t="s">
        <v>238</v>
      </c>
      <c r="L9" s="420" t="s">
        <v>260</v>
      </c>
      <c r="M9" s="316">
        <f t="shared" si="1"/>
        <v>985</v>
      </c>
      <c r="N9" s="198"/>
      <c r="O9" s="322" t="s">
        <v>560</v>
      </c>
      <c r="P9" s="322">
        <f>COUNTIF($G$2:$G$477,"PF/PTE")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905.0</v>
      </c>
      <c r="B10" s="426" t="s">
        <v>12672</v>
      </c>
      <c r="C10" s="426">
        <v>2002.0</v>
      </c>
      <c r="D10" s="676">
        <v>37441.0</v>
      </c>
      <c r="E10" s="426" t="s">
        <v>12673</v>
      </c>
      <c r="F10" s="426" t="s">
        <v>12669</v>
      </c>
      <c r="G10" s="426" t="s">
        <v>565</v>
      </c>
      <c r="H10" s="426" t="s">
        <v>11733</v>
      </c>
      <c r="I10" s="676">
        <v>38426.0</v>
      </c>
      <c r="J10" s="428">
        <v>3.0</v>
      </c>
      <c r="K10" s="637" t="s">
        <v>238</v>
      </c>
      <c r="L10" s="428" t="s">
        <v>260</v>
      </c>
      <c r="M10" s="319">
        <f t="shared" si="1"/>
        <v>985</v>
      </c>
      <c r="N10" s="198"/>
      <c r="O10" s="321" t="s">
        <v>565</v>
      </c>
      <c r="P10" s="321">
        <f>COUNTIF($G$2:$G$477,"Bio")</f>
        <v>10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1005.0</v>
      </c>
      <c r="B11" s="420" t="s">
        <v>12674</v>
      </c>
      <c r="C11" s="420">
        <v>2001.0</v>
      </c>
      <c r="D11" s="677">
        <v>37133.0</v>
      </c>
      <c r="E11" s="420" t="s">
        <v>12675</v>
      </c>
      <c r="F11" s="420" t="s">
        <v>12676</v>
      </c>
      <c r="G11" s="420" t="s">
        <v>565</v>
      </c>
      <c r="H11" s="420" t="s">
        <v>6534</v>
      </c>
      <c r="I11" s="677">
        <v>38428.0</v>
      </c>
      <c r="J11" s="422">
        <v>3.0</v>
      </c>
      <c r="K11" s="636" t="s">
        <v>244</v>
      </c>
      <c r="L11" s="420" t="s">
        <v>260</v>
      </c>
      <c r="M11" s="316">
        <f t="shared" si="1"/>
        <v>1295</v>
      </c>
      <c r="N11" s="198"/>
      <c r="O11" s="323" t="s">
        <v>569</v>
      </c>
      <c r="P11" s="323">
        <f>COUNTIF($G$2:$G$477,"Bio/Org")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1105.0</v>
      </c>
      <c r="B12" s="426" t="s">
        <v>12677</v>
      </c>
      <c r="C12" s="426">
        <v>2002.0</v>
      </c>
      <c r="D12" s="676">
        <v>37518.0</v>
      </c>
      <c r="E12" s="426" t="s">
        <v>12678</v>
      </c>
      <c r="F12" s="426" t="s">
        <v>947</v>
      </c>
      <c r="G12" s="426" t="s">
        <v>270</v>
      </c>
      <c r="H12" s="426" t="s">
        <v>705</v>
      </c>
      <c r="I12" s="676">
        <v>38429.0</v>
      </c>
      <c r="J12" s="428">
        <v>3.0</v>
      </c>
      <c r="K12" s="637" t="s">
        <v>238</v>
      </c>
      <c r="L12" s="428" t="s">
        <v>258</v>
      </c>
      <c r="M12" s="319">
        <f t="shared" si="1"/>
        <v>911</v>
      </c>
      <c r="N12" s="198"/>
      <c r="O12" s="324" t="s">
        <v>51</v>
      </c>
      <c r="P12" s="325">
        <f>SUM(P3:P11)</f>
        <v>89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1205.0</v>
      </c>
      <c r="B13" s="420" t="s">
        <v>12679</v>
      </c>
      <c r="C13" s="420">
        <v>2001.0</v>
      </c>
      <c r="D13" s="497">
        <v>37181.0</v>
      </c>
      <c r="E13" s="420" t="s">
        <v>12680</v>
      </c>
      <c r="F13" s="420" t="s">
        <v>10921</v>
      </c>
      <c r="G13" s="420" t="s">
        <v>650</v>
      </c>
      <c r="H13" s="420" t="s">
        <v>2509</v>
      </c>
      <c r="I13" s="497">
        <v>38435.0</v>
      </c>
      <c r="J13" s="422">
        <v>3.0</v>
      </c>
      <c r="K13" s="638" t="s">
        <v>234</v>
      </c>
      <c r="L13" s="420" t="s">
        <v>258</v>
      </c>
      <c r="M13" s="316">
        <f t="shared" si="1"/>
        <v>1254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1305.0</v>
      </c>
      <c r="B14" s="426" t="s">
        <v>12681</v>
      </c>
      <c r="C14" s="426">
        <v>2003.0</v>
      </c>
      <c r="D14" s="500">
        <v>37875.0</v>
      </c>
      <c r="E14" s="426" t="s">
        <v>12682</v>
      </c>
      <c r="F14" s="426" t="s">
        <v>711</v>
      </c>
      <c r="G14" s="426" t="s">
        <v>650</v>
      </c>
      <c r="H14" s="426" t="s">
        <v>158</v>
      </c>
      <c r="I14" s="500">
        <v>38435.0</v>
      </c>
      <c r="J14" s="428">
        <v>3.0</v>
      </c>
      <c r="K14" s="636" t="s">
        <v>244</v>
      </c>
      <c r="L14" s="428" t="s">
        <v>256</v>
      </c>
      <c r="M14" s="319">
        <f t="shared" si="1"/>
        <v>560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1405.0</v>
      </c>
      <c r="B15" s="420" t="s">
        <v>12683</v>
      </c>
      <c r="C15" s="420">
        <v>2003.0</v>
      </c>
      <c r="D15" s="497">
        <v>37900.0</v>
      </c>
      <c r="E15" s="420" t="s">
        <v>12684</v>
      </c>
      <c r="F15" s="420" t="s">
        <v>11332</v>
      </c>
      <c r="G15" s="420" t="s">
        <v>650</v>
      </c>
      <c r="H15" s="420" t="s">
        <v>705</v>
      </c>
      <c r="I15" s="497">
        <v>38439.0</v>
      </c>
      <c r="J15" s="422">
        <v>3.0</v>
      </c>
      <c r="K15" s="637" t="s">
        <v>238</v>
      </c>
      <c r="L15" s="420" t="s">
        <v>258</v>
      </c>
      <c r="M15" s="316">
        <f t="shared" si="1"/>
        <v>539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1505.0</v>
      </c>
      <c r="B16" s="426" t="s">
        <v>12685</v>
      </c>
      <c r="C16" s="426">
        <v>2003.0</v>
      </c>
      <c r="D16" s="500">
        <v>37900.0</v>
      </c>
      <c r="E16" s="426" t="s">
        <v>12686</v>
      </c>
      <c r="F16" s="426" t="s">
        <v>11332</v>
      </c>
      <c r="G16" s="426" t="s">
        <v>650</v>
      </c>
      <c r="H16" s="426" t="s">
        <v>705</v>
      </c>
      <c r="I16" s="500">
        <v>38439.0</v>
      </c>
      <c r="J16" s="428">
        <v>3.0</v>
      </c>
      <c r="K16" s="635" t="s">
        <v>228</v>
      </c>
      <c r="L16" s="428" t="s">
        <v>258</v>
      </c>
      <c r="M16" s="319">
        <f t="shared" si="1"/>
        <v>539</v>
      </c>
      <c r="N16" s="198"/>
      <c r="O16" s="331" t="s">
        <v>12687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1605.0</v>
      </c>
      <c r="B17" s="420" t="s">
        <v>12688</v>
      </c>
      <c r="C17" s="420">
        <v>2003.0</v>
      </c>
      <c r="D17" s="497">
        <v>37900.0</v>
      </c>
      <c r="E17" s="420" t="s">
        <v>12689</v>
      </c>
      <c r="F17" s="420" t="s">
        <v>11332</v>
      </c>
      <c r="G17" s="420" t="s">
        <v>650</v>
      </c>
      <c r="H17" s="420" t="s">
        <v>705</v>
      </c>
      <c r="I17" s="497">
        <v>38439.0</v>
      </c>
      <c r="J17" s="422">
        <v>3.0</v>
      </c>
      <c r="K17" s="635" t="s">
        <v>228</v>
      </c>
      <c r="L17" s="420" t="s">
        <v>258</v>
      </c>
      <c r="M17" s="316">
        <f t="shared" si="1"/>
        <v>539</v>
      </c>
      <c r="N17" s="198"/>
      <c r="O17" s="334" t="s">
        <v>12690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1705.0</v>
      </c>
      <c r="B18" s="426" t="s">
        <v>12691</v>
      </c>
      <c r="C18" s="426">
        <v>1998.0</v>
      </c>
      <c r="D18" s="500">
        <v>36110.0</v>
      </c>
      <c r="E18" s="426" t="s">
        <v>12692</v>
      </c>
      <c r="F18" s="426" t="s">
        <v>12693</v>
      </c>
      <c r="G18" s="426" t="s">
        <v>650</v>
      </c>
      <c r="H18" s="426" t="s">
        <v>705</v>
      </c>
      <c r="I18" s="500">
        <v>38446.0</v>
      </c>
      <c r="J18" s="428">
        <v>4.0</v>
      </c>
      <c r="K18" s="635" t="s">
        <v>228</v>
      </c>
      <c r="L18" s="428" t="s">
        <v>258</v>
      </c>
      <c r="M18" s="319">
        <f t="shared" si="1"/>
        <v>2336</v>
      </c>
      <c r="N18" s="198"/>
      <c r="O18" s="335" t="s">
        <v>12694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1805.0</v>
      </c>
      <c r="B19" s="420" t="s">
        <v>12695</v>
      </c>
      <c r="C19" s="420">
        <v>1998.0</v>
      </c>
      <c r="D19" s="497">
        <v>36110.0</v>
      </c>
      <c r="E19" s="420" t="s">
        <v>12696</v>
      </c>
      <c r="F19" s="420" t="s">
        <v>12693</v>
      </c>
      <c r="G19" s="420" t="s">
        <v>650</v>
      </c>
      <c r="H19" s="420" t="s">
        <v>705</v>
      </c>
      <c r="I19" s="497">
        <v>38446.0</v>
      </c>
      <c r="J19" s="422">
        <v>4.0</v>
      </c>
      <c r="K19" s="638" t="s">
        <v>234</v>
      </c>
      <c r="L19" s="420" t="s">
        <v>258</v>
      </c>
      <c r="M19" s="316">
        <f t="shared" si="1"/>
        <v>2336</v>
      </c>
      <c r="N19" s="198"/>
      <c r="O19" s="334" t="s">
        <v>12697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1905.0</v>
      </c>
      <c r="B20" s="585" t="s">
        <v>3889</v>
      </c>
      <c r="C20" s="585" t="s">
        <v>3889</v>
      </c>
      <c r="D20" s="678" t="s">
        <v>3889</v>
      </c>
      <c r="E20" s="585" t="s">
        <v>3889</v>
      </c>
      <c r="F20" s="585" t="s">
        <v>3889</v>
      </c>
      <c r="G20" s="585" t="s">
        <v>3889</v>
      </c>
      <c r="H20" s="585" t="s">
        <v>3889</v>
      </c>
      <c r="I20" s="678" t="s">
        <v>3889</v>
      </c>
      <c r="J20" s="321" t="s">
        <v>3889</v>
      </c>
      <c r="K20" s="585" t="s">
        <v>3889</v>
      </c>
      <c r="L20" s="321" t="s">
        <v>3889</v>
      </c>
      <c r="M20" s="321" t="s">
        <v>3889</v>
      </c>
      <c r="N20" s="198"/>
      <c r="O20" s="335" t="s">
        <v>12698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2005.0</v>
      </c>
      <c r="B21" s="420" t="s">
        <v>12288</v>
      </c>
      <c r="C21" s="420">
        <v>2004.0</v>
      </c>
      <c r="D21" s="497">
        <v>38089.0</v>
      </c>
      <c r="E21" s="420" t="s">
        <v>12699</v>
      </c>
      <c r="F21" s="420" t="s">
        <v>1401</v>
      </c>
      <c r="G21" s="420" t="s">
        <v>650</v>
      </c>
      <c r="H21" s="420" t="s">
        <v>7403</v>
      </c>
      <c r="I21" s="497">
        <v>38455.0</v>
      </c>
      <c r="J21" s="422">
        <v>4.0</v>
      </c>
      <c r="K21" s="638" t="s">
        <v>234</v>
      </c>
      <c r="L21" s="420" t="s">
        <v>256</v>
      </c>
      <c r="M21" s="316">
        <f t="shared" ref="M21:M84" si="2">I21-D21</f>
        <v>366</v>
      </c>
      <c r="N21" s="198"/>
      <c r="O21" s="334" t="s">
        <v>12700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2105.0</v>
      </c>
      <c r="B22" s="426" t="s">
        <v>12701</v>
      </c>
      <c r="C22" s="426">
        <v>2004.0</v>
      </c>
      <c r="D22" s="500">
        <v>38089.0</v>
      </c>
      <c r="E22" s="426" t="s">
        <v>12702</v>
      </c>
      <c r="F22" s="426" t="s">
        <v>1401</v>
      </c>
      <c r="G22" s="426" t="s">
        <v>650</v>
      </c>
      <c r="H22" s="426" t="s">
        <v>7403</v>
      </c>
      <c r="I22" s="500">
        <v>38455.0</v>
      </c>
      <c r="J22" s="428">
        <v>4.0</v>
      </c>
      <c r="K22" s="638" t="s">
        <v>234</v>
      </c>
      <c r="L22" s="428" t="s">
        <v>256</v>
      </c>
      <c r="M22" s="319">
        <f t="shared" si="2"/>
        <v>366</v>
      </c>
      <c r="N22" s="198"/>
      <c r="O22" s="335" t="s">
        <v>12703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2205.0</v>
      </c>
      <c r="B23" s="420" t="s">
        <v>12704</v>
      </c>
      <c r="C23" s="420">
        <v>2004.0</v>
      </c>
      <c r="D23" s="497">
        <v>38089.0</v>
      </c>
      <c r="E23" s="420" t="s">
        <v>12705</v>
      </c>
      <c r="F23" s="420" t="s">
        <v>1401</v>
      </c>
      <c r="G23" s="420" t="s">
        <v>650</v>
      </c>
      <c r="H23" s="420" t="s">
        <v>7403</v>
      </c>
      <c r="I23" s="497">
        <v>38455.0</v>
      </c>
      <c r="J23" s="422">
        <v>4.0</v>
      </c>
      <c r="K23" s="638" t="s">
        <v>234</v>
      </c>
      <c r="L23" s="420" t="s">
        <v>256</v>
      </c>
      <c r="M23" s="316">
        <f t="shared" si="2"/>
        <v>366</v>
      </c>
      <c r="N23" s="198"/>
      <c r="O23" s="334" t="s">
        <v>12706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2305.0</v>
      </c>
      <c r="B24" s="426" t="s">
        <v>12707</v>
      </c>
      <c r="C24" s="426">
        <v>2001.0</v>
      </c>
      <c r="D24" s="676">
        <v>37238.0</v>
      </c>
      <c r="E24" s="426" t="s">
        <v>12708</v>
      </c>
      <c r="F24" s="426" t="s">
        <v>660</v>
      </c>
      <c r="G24" s="426" t="s">
        <v>270</v>
      </c>
      <c r="H24" s="426" t="s">
        <v>929</v>
      </c>
      <c r="I24" s="676">
        <v>38456.0</v>
      </c>
      <c r="J24" s="428">
        <v>4.0</v>
      </c>
      <c r="K24" s="635" t="s">
        <v>228</v>
      </c>
      <c r="L24" s="428" t="s">
        <v>258</v>
      </c>
      <c r="M24" s="319">
        <f t="shared" si="2"/>
        <v>1218</v>
      </c>
      <c r="N24" s="198"/>
      <c r="O24" s="336" t="s">
        <v>12709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2405.0</v>
      </c>
      <c r="B25" s="420" t="s">
        <v>12710</v>
      </c>
      <c r="C25" s="420">
        <v>1999.0</v>
      </c>
      <c r="D25" s="497">
        <v>36441.0</v>
      </c>
      <c r="E25" s="420" t="s">
        <v>12711</v>
      </c>
      <c r="F25" s="420" t="s">
        <v>12712</v>
      </c>
      <c r="G25" s="420" t="s">
        <v>650</v>
      </c>
      <c r="H25" s="420" t="s">
        <v>12269</v>
      </c>
      <c r="I25" s="497">
        <v>38461.0</v>
      </c>
      <c r="J25" s="422">
        <v>4.0</v>
      </c>
      <c r="K25" s="635" t="s">
        <v>228</v>
      </c>
      <c r="L25" s="420" t="s">
        <v>256</v>
      </c>
      <c r="M25" s="316">
        <f t="shared" si="2"/>
        <v>2020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2505.0</v>
      </c>
      <c r="B26" s="426" t="s">
        <v>12713</v>
      </c>
      <c r="C26" s="426">
        <v>2001.0</v>
      </c>
      <c r="D26" s="500">
        <v>37246.0</v>
      </c>
      <c r="E26" s="426" t="s">
        <v>12714</v>
      </c>
      <c r="F26" s="426" t="s">
        <v>3141</v>
      </c>
      <c r="G26" s="426" t="s">
        <v>650</v>
      </c>
      <c r="H26" s="426" t="s">
        <v>12269</v>
      </c>
      <c r="I26" s="500">
        <v>38467.0</v>
      </c>
      <c r="J26" s="428">
        <v>4.0</v>
      </c>
      <c r="K26" s="637" t="s">
        <v>238</v>
      </c>
      <c r="L26" s="428" t="s">
        <v>258</v>
      </c>
      <c r="M26" s="319">
        <f t="shared" si="2"/>
        <v>1221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2605.0</v>
      </c>
      <c r="B27" s="420" t="s">
        <v>12715</v>
      </c>
      <c r="C27" s="420">
        <v>1998.0</v>
      </c>
      <c r="D27" s="497">
        <v>36482.0</v>
      </c>
      <c r="E27" s="420" t="s">
        <v>12716</v>
      </c>
      <c r="F27" s="420" t="s">
        <v>12717</v>
      </c>
      <c r="G27" s="420" t="s">
        <v>650</v>
      </c>
      <c r="H27" s="420" t="s">
        <v>651</v>
      </c>
      <c r="I27" s="497">
        <v>38483.0</v>
      </c>
      <c r="J27" s="422">
        <v>5.0</v>
      </c>
      <c r="K27" s="638" t="s">
        <v>234</v>
      </c>
      <c r="L27" s="420" t="s">
        <v>256</v>
      </c>
      <c r="M27" s="316">
        <f t="shared" si="2"/>
        <v>2001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2705.0</v>
      </c>
      <c r="B28" s="426" t="s">
        <v>12718</v>
      </c>
      <c r="C28" s="426">
        <v>2003.0</v>
      </c>
      <c r="D28" s="676">
        <v>37669.0</v>
      </c>
      <c r="E28" s="426" t="s">
        <v>12719</v>
      </c>
      <c r="F28" s="426" t="s">
        <v>12720</v>
      </c>
      <c r="G28" s="426" t="s">
        <v>270</v>
      </c>
      <c r="H28" s="426" t="s">
        <v>158</v>
      </c>
      <c r="I28" s="676">
        <v>38484.0</v>
      </c>
      <c r="J28" s="428">
        <v>5.0</v>
      </c>
      <c r="K28" s="637" t="s">
        <v>238</v>
      </c>
      <c r="L28" s="428" t="s">
        <v>258</v>
      </c>
      <c r="M28" s="319">
        <f t="shared" si="2"/>
        <v>815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2805.0</v>
      </c>
      <c r="B29" s="420" t="s">
        <v>12721</v>
      </c>
      <c r="C29" s="420">
        <v>2003.0</v>
      </c>
      <c r="D29" s="677">
        <v>37756.0</v>
      </c>
      <c r="E29" s="420" t="s">
        <v>12722</v>
      </c>
      <c r="F29" s="420" t="s">
        <v>1255</v>
      </c>
      <c r="G29" s="420" t="s">
        <v>270</v>
      </c>
      <c r="H29" s="420" t="s">
        <v>158</v>
      </c>
      <c r="I29" s="677">
        <v>38484.0</v>
      </c>
      <c r="J29" s="422">
        <v>5.0</v>
      </c>
      <c r="K29" s="637" t="s">
        <v>238</v>
      </c>
      <c r="L29" s="420" t="s">
        <v>256</v>
      </c>
      <c r="M29" s="316">
        <f t="shared" si="2"/>
        <v>728</v>
      </c>
      <c r="N29" s="198"/>
      <c r="O29" s="322">
        <v>1993.0</v>
      </c>
      <c r="P29" s="346">
        <f>COUNTIF($C$2:$C$504,"1993")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2905.0</v>
      </c>
      <c r="B30" s="426" t="s">
        <v>12723</v>
      </c>
      <c r="C30" s="426">
        <v>2002.0</v>
      </c>
      <c r="D30" s="676">
        <v>37410.0</v>
      </c>
      <c r="E30" s="426" t="s">
        <v>12724</v>
      </c>
      <c r="F30" s="426" t="s">
        <v>781</v>
      </c>
      <c r="G30" s="426" t="s">
        <v>270</v>
      </c>
      <c r="H30" s="426" t="s">
        <v>12212</v>
      </c>
      <c r="I30" s="676">
        <v>38484.0</v>
      </c>
      <c r="J30" s="428">
        <v>5.0</v>
      </c>
      <c r="K30" s="638" t="s">
        <v>234</v>
      </c>
      <c r="L30" s="428" t="s">
        <v>258</v>
      </c>
      <c r="M30" s="319">
        <f t="shared" si="2"/>
        <v>1074</v>
      </c>
      <c r="N30" s="198"/>
      <c r="O30" s="321">
        <v>1994.0</v>
      </c>
      <c r="P30" s="344">
        <f>COUNTIF($C$2:$C$504,"1994")</f>
        <v>1</v>
      </c>
      <c r="Q30" s="113"/>
      <c r="R30" s="114"/>
      <c r="S30" s="345">
        <f>P30/P42</f>
        <v>0.01123595506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3005.0</v>
      </c>
      <c r="B31" s="420" t="s">
        <v>12725</v>
      </c>
      <c r="C31" s="420">
        <v>2003.0</v>
      </c>
      <c r="D31" s="677">
        <v>37659.0</v>
      </c>
      <c r="E31" s="420" t="s">
        <v>12726</v>
      </c>
      <c r="F31" s="420" t="s">
        <v>10716</v>
      </c>
      <c r="G31" s="420" t="s">
        <v>34</v>
      </c>
      <c r="H31" s="420" t="s">
        <v>12727</v>
      </c>
      <c r="I31" s="677">
        <v>38490.0</v>
      </c>
      <c r="J31" s="422">
        <v>5.0</v>
      </c>
      <c r="K31" s="637" t="s">
        <v>238</v>
      </c>
      <c r="L31" s="420" t="s">
        <v>258</v>
      </c>
      <c r="M31" s="316">
        <f t="shared" si="2"/>
        <v>831</v>
      </c>
      <c r="N31" s="198"/>
      <c r="O31" s="322">
        <v>1995.0</v>
      </c>
      <c r="P31" s="346">
        <f>COUNTIF($C$2:$C$504,"1995")</f>
        <v>1</v>
      </c>
      <c r="Q31" s="113"/>
      <c r="R31" s="114"/>
      <c r="S31" s="343">
        <f>P31/P42</f>
        <v>0.01123595506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3105.0</v>
      </c>
      <c r="B32" s="426" t="s">
        <v>12728</v>
      </c>
      <c r="C32" s="426">
        <v>2002.0</v>
      </c>
      <c r="D32" s="500">
        <v>37610.0</v>
      </c>
      <c r="E32" s="426" t="s">
        <v>12729</v>
      </c>
      <c r="F32" s="426" t="s">
        <v>102</v>
      </c>
      <c r="G32" s="426" t="s">
        <v>650</v>
      </c>
      <c r="H32" s="426" t="s">
        <v>158</v>
      </c>
      <c r="I32" s="500">
        <v>38492.0</v>
      </c>
      <c r="J32" s="428">
        <v>5.0</v>
      </c>
      <c r="K32" s="637" t="s">
        <v>238</v>
      </c>
      <c r="L32" s="428" t="s">
        <v>258</v>
      </c>
      <c r="M32" s="319">
        <f t="shared" si="2"/>
        <v>882</v>
      </c>
      <c r="N32" s="198"/>
      <c r="O32" s="321">
        <v>1996.0</v>
      </c>
      <c r="P32" s="344">
        <f>COUNTIF($C$2:$C$504,"1996")</f>
        <v>1</v>
      </c>
      <c r="Q32" s="113"/>
      <c r="R32" s="114"/>
      <c r="S32" s="345">
        <f>P32/P42</f>
        <v>0.01123595506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3205.0</v>
      </c>
      <c r="B33" s="420" t="s">
        <v>12730</v>
      </c>
      <c r="C33" s="420">
        <v>2003.0</v>
      </c>
      <c r="D33" s="497">
        <v>37979.0</v>
      </c>
      <c r="E33" s="420" t="s">
        <v>12731</v>
      </c>
      <c r="F33" s="420" t="s">
        <v>1537</v>
      </c>
      <c r="G33" s="420" t="s">
        <v>650</v>
      </c>
      <c r="H33" s="420" t="s">
        <v>2964</v>
      </c>
      <c r="I33" s="497">
        <v>38503.0</v>
      </c>
      <c r="J33" s="422">
        <v>5.0</v>
      </c>
      <c r="K33" s="635" t="s">
        <v>228</v>
      </c>
      <c r="L33" s="420" t="s">
        <v>256</v>
      </c>
      <c r="M33" s="316">
        <f t="shared" si="2"/>
        <v>524</v>
      </c>
      <c r="N33" s="198"/>
      <c r="O33" s="322">
        <v>1997.0</v>
      </c>
      <c r="P33" s="346">
        <f>COUNTIF($C$2:$C$504,"1997")</f>
        <v>0</v>
      </c>
      <c r="Q33" s="113"/>
      <c r="R33" s="114"/>
      <c r="S33" s="343">
        <f>P33/P42</f>
        <v>0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3305.0</v>
      </c>
      <c r="B34" s="426" t="s">
        <v>12732</v>
      </c>
      <c r="C34" s="426">
        <v>1994.0</v>
      </c>
      <c r="D34" s="500">
        <v>34352.0</v>
      </c>
      <c r="E34" s="426" t="s">
        <v>12733</v>
      </c>
      <c r="F34" s="426" t="s">
        <v>3095</v>
      </c>
      <c r="G34" s="426" t="s">
        <v>650</v>
      </c>
      <c r="H34" s="426" t="s">
        <v>6011</v>
      </c>
      <c r="I34" s="500">
        <v>38503.0</v>
      </c>
      <c r="J34" s="428">
        <v>5.0</v>
      </c>
      <c r="K34" s="638" t="s">
        <v>234</v>
      </c>
      <c r="L34" s="428" t="s">
        <v>256</v>
      </c>
      <c r="M34" s="319">
        <f t="shared" si="2"/>
        <v>4151</v>
      </c>
      <c r="N34" s="198"/>
      <c r="O34" s="321">
        <v>1998.0</v>
      </c>
      <c r="P34" s="344">
        <f>COUNTIF($C$2:$C$504,"1998")</f>
        <v>3</v>
      </c>
      <c r="Q34" s="113"/>
      <c r="R34" s="114"/>
      <c r="S34" s="345">
        <f>P34/P42</f>
        <v>0.03370786517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3405.0</v>
      </c>
      <c r="B35" s="420" t="s">
        <v>12734</v>
      </c>
      <c r="C35" s="420">
        <v>2001.0</v>
      </c>
      <c r="D35" s="677">
        <v>37208.0</v>
      </c>
      <c r="E35" s="420" t="s">
        <v>12735</v>
      </c>
      <c r="F35" s="420" t="s">
        <v>12736</v>
      </c>
      <c r="G35" s="420" t="s">
        <v>565</v>
      </c>
      <c r="H35" s="420" t="s">
        <v>12246</v>
      </c>
      <c r="I35" s="677">
        <v>38519.0</v>
      </c>
      <c r="J35" s="422">
        <v>6.0</v>
      </c>
      <c r="K35" s="636" t="s">
        <v>244</v>
      </c>
      <c r="L35" s="420" t="s">
        <v>260</v>
      </c>
      <c r="M35" s="316">
        <f t="shared" si="2"/>
        <v>1311</v>
      </c>
      <c r="N35" s="198"/>
      <c r="O35" s="322">
        <v>1999.0</v>
      </c>
      <c r="P35" s="346">
        <f>COUNTIF($C$2:$C$504,"1999")</f>
        <v>2</v>
      </c>
      <c r="Q35" s="113"/>
      <c r="R35" s="114"/>
      <c r="S35" s="343">
        <f>P35/P42</f>
        <v>0.02247191011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3505.0</v>
      </c>
      <c r="B36" s="426" t="s">
        <v>12737</v>
      </c>
      <c r="C36" s="426">
        <v>2002.0</v>
      </c>
      <c r="D36" s="676">
        <v>37529.0</v>
      </c>
      <c r="E36" s="426" t="s">
        <v>12738</v>
      </c>
      <c r="F36" s="426" t="s">
        <v>8844</v>
      </c>
      <c r="G36" s="426" t="s">
        <v>270</v>
      </c>
      <c r="H36" s="426" t="s">
        <v>705</v>
      </c>
      <c r="I36" s="676">
        <v>38519.0</v>
      </c>
      <c r="J36" s="428">
        <v>6.0</v>
      </c>
      <c r="K36" s="637" t="s">
        <v>238</v>
      </c>
      <c r="L36" s="428" t="s">
        <v>258</v>
      </c>
      <c r="M36" s="319">
        <f t="shared" si="2"/>
        <v>990</v>
      </c>
      <c r="N36" s="198"/>
      <c r="O36" s="321">
        <v>2000.0</v>
      </c>
      <c r="P36" s="344">
        <f>COUNTIF($C$2:$C$504,"2000")</f>
        <v>9</v>
      </c>
      <c r="Q36" s="113"/>
      <c r="R36" s="114"/>
      <c r="S36" s="345">
        <f>P36/P42</f>
        <v>0.1011235955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3605.0</v>
      </c>
      <c r="B37" s="420" t="s">
        <v>12739</v>
      </c>
      <c r="C37" s="420">
        <v>2002.0</v>
      </c>
      <c r="D37" s="497">
        <v>37376.0</v>
      </c>
      <c r="E37" s="420" t="s">
        <v>12740</v>
      </c>
      <c r="F37" s="420" t="s">
        <v>12409</v>
      </c>
      <c r="G37" s="420" t="s">
        <v>650</v>
      </c>
      <c r="H37" s="420" t="s">
        <v>705</v>
      </c>
      <c r="I37" s="497">
        <v>38525.0</v>
      </c>
      <c r="J37" s="422">
        <v>6.0</v>
      </c>
      <c r="K37" s="637" t="s">
        <v>238</v>
      </c>
      <c r="L37" s="420" t="s">
        <v>258</v>
      </c>
      <c r="M37" s="316">
        <f t="shared" si="2"/>
        <v>1149</v>
      </c>
      <c r="N37" s="198"/>
      <c r="O37" s="322">
        <v>2001.0</v>
      </c>
      <c r="P37" s="346">
        <f>COUNTIF($C$2:$C$504,"2001")</f>
        <v>14</v>
      </c>
      <c r="Q37" s="113"/>
      <c r="R37" s="114"/>
      <c r="S37" s="343">
        <f>P37/P42</f>
        <v>0.1573033708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3705.0</v>
      </c>
      <c r="B38" s="426" t="s">
        <v>12741</v>
      </c>
      <c r="C38" s="426">
        <v>2000.0</v>
      </c>
      <c r="D38" s="500">
        <v>36769.0</v>
      </c>
      <c r="E38" s="426" t="s">
        <v>12742</v>
      </c>
      <c r="F38" s="426" t="s">
        <v>11636</v>
      </c>
      <c r="G38" s="426" t="s">
        <v>650</v>
      </c>
      <c r="H38" s="426" t="s">
        <v>12743</v>
      </c>
      <c r="I38" s="500">
        <v>38525.0</v>
      </c>
      <c r="J38" s="428">
        <v>6.0</v>
      </c>
      <c r="K38" s="637" t="s">
        <v>238</v>
      </c>
      <c r="L38" s="428" t="s">
        <v>258</v>
      </c>
      <c r="M38" s="319">
        <f t="shared" si="2"/>
        <v>1756</v>
      </c>
      <c r="N38" s="198"/>
      <c r="O38" s="321">
        <v>2002.0</v>
      </c>
      <c r="P38" s="344">
        <f>COUNTIF($C$2:$C$504,"2002")</f>
        <v>14</v>
      </c>
      <c r="Q38" s="113"/>
      <c r="R38" s="114"/>
      <c r="S38" s="345">
        <f>P38/P42</f>
        <v>0.1573033708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3805.0</v>
      </c>
      <c r="B39" s="420" t="s">
        <v>12744</v>
      </c>
      <c r="C39" s="420">
        <v>2003.0</v>
      </c>
      <c r="D39" s="677">
        <v>37722.0</v>
      </c>
      <c r="E39" s="420" t="s">
        <v>12745</v>
      </c>
      <c r="F39" s="420" t="s">
        <v>10278</v>
      </c>
      <c r="G39" s="420" t="s">
        <v>270</v>
      </c>
      <c r="H39" s="420" t="s">
        <v>158</v>
      </c>
      <c r="I39" s="677">
        <v>38537.0</v>
      </c>
      <c r="J39" s="422">
        <v>7.0</v>
      </c>
      <c r="K39" s="637" t="s">
        <v>238</v>
      </c>
      <c r="L39" s="420" t="s">
        <v>256</v>
      </c>
      <c r="M39" s="316">
        <f t="shared" si="2"/>
        <v>815</v>
      </c>
      <c r="N39" s="198"/>
      <c r="O39" s="322">
        <v>2003.0</v>
      </c>
      <c r="P39" s="346">
        <f>COUNTIF($C$2:$C$504,"2003")</f>
        <v>25</v>
      </c>
      <c r="Q39" s="113"/>
      <c r="R39" s="114"/>
      <c r="S39" s="343">
        <f>P39/P42</f>
        <v>0.2808988764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3905.0</v>
      </c>
      <c r="B40" s="426" t="s">
        <v>12746</v>
      </c>
      <c r="C40" s="426">
        <v>2002.0</v>
      </c>
      <c r="D40" s="676">
        <v>37608.0</v>
      </c>
      <c r="E40" s="426" t="s">
        <v>12747</v>
      </c>
      <c r="F40" s="426" t="s">
        <v>12748</v>
      </c>
      <c r="G40" s="426" t="s">
        <v>270</v>
      </c>
      <c r="H40" s="426" t="s">
        <v>705</v>
      </c>
      <c r="I40" s="676">
        <v>38537.0</v>
      </c>
      <c r="J40" s="428">
        <v>7.0</v>
      </c>
      <c r="K40" s="638" t="s">
        <v>234</v>
      </c>
      <c r="L40" s="428" t="s">
        <v>256</v>
      </c>
      <c r="M40" s="319">
        <f t="shared" si="2"/>
        <v>929</v>
      </c>
      <c r="N40" s="198"/>
      <c r="O40" s="321">
        <v>2004.0</v>
      </c>
      <c r="P40" s="344">
        <f>COUNTIF($C$2:$C$504,"2004")</f>
        <v>19</v>
      </c>
      <c r="Q40" s="113"/>
      <c r="R40" s="114"/>
      <c r="S40" s="345">
        <f>P40/P42</f>
        <v>0.2134831461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4005.0</v>
      </c>
      <c r="B41" s="420" t="s">
        <v>12749</v>
      </c>
      <c r="C41" s="420">
        <v>2003.0</v>
      </c>
      <c r="D41" s="677">
        <v>37739.0</v>
      </c>
      <c r="E41" s="420" t="s">
        <v>12750</v>
      </c>
      <c r="F41" s="420" t="s">
        <v>12751</v>
      </c>
      <c r="G41" s="420" t="s">
        <v>270</v>
      </c>
      <c r="H41" s="420" t="s">
        <v>651</v>
      </c>
      <c r="I41" s="677">
        <v>38539.0</v>
      </c>
      <c r="J41" s="422">
        <v>7.0</v>
      </c>
      <c r="K41" s="637" t="s">
        <v>238</v>
      </c>
      <c r="L41" s="420" t="s">
        <v>258</v>
      </c>
      <c r="M41" s="316">
        <f t="shared" si="2"/>
        <v>800</v>
      </c>
      <c r="N41" s="198"/>
      <c r="O41" s="322">
        <v>2005.0</v>
      </c>
      <c r="P41" s="346">
        <f>COUNTIF($C$2:$C$504,"2005")</f>
        <v>0</v>
      </c>
      <c r="Q41" s="113"/>
      <c r="R41" s="114"/>
      <c r="S41" s="343">
        <f>P41/P42</f>
        <v>0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4105.0</v>
      </c>
      <c r="B42" s="426" t="s">
        <v>12752</v>
      </c>
      <c r="C42" s="426">
        <v>2002.0</v>
      </c>
      <c r="D42" s="676">
        <v>37487.0</v>
      </c>
      <c r="E42" s="426" t="s">
        <v>12753</v>
      </c>
      <c r="F42" s="426" t="s">
        <v>2222</v>
      </c>
      <c r="G42" s="426" t="s">
        <v>270</v>
      </c>
      <c r="H42" s="426" t="s">
        <v>705</v>
      </c>
      <c r="I42" s="676">
        <v>38544.0</v>
      </c>
      <c r="J42" s="428">
        <v>7.0</v>
      </c>
      <c r="K42" s="638" t="s">
        <v>234</v>
      </c>
      <c r="L42" s="428" t="s">
        <v>258</v>
      </c>
      <c r="M42" s="319">
        <f t="shared" si="2"/>
        <v>1057</v>
      </c>
      <c r="N42" s="198"/>
      <c r="O42" s="348" t="s">
        <v>179</v>
      </c>
      <c r="P42" s="349">
        <f>SUM(P29:R41)</f>
        <v>89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4205.0</v>
      </c>
      <c r="B43" s="420" t="s">
        <v>12754</v>
      </c>
      <c r="C43" s="420">
        <v>2004.0</v>
      </c>
      <c r="D43" s="677">
        <v>38019.0</v>
      </c>
      <c r="E43" s="420" t="s">
        <v>12755</v>
      </c>
      <c r="F43" s="420" t="s">
        <v>12736</v>
      </c>
      <c r="G43" s="420" t="s">
        <v>565</v>
      </c>
      <c r="H43" s="420" t="s">
        <v>6534</v>
      </c>
      <c r="I43" s="677">
        <v>38551.0</v>
      </c>
      <c r="J43" s="422">
        <v>7.0</v>
      </c>
      <c r="K43" s="636" t="s">
        <v>244</v>
      </c>
      <c r="L43" s="420" t="s">
        <v>260</v>
      </c>
      <c r="M43" s="316">
        <f t="shared" si="2"/>
        <v>532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4305.0</v>
      </c>
      <c r="B44" s="426" t="s">
        <v>12756</v>
      </c>
      <c r="C44" s="426">
        <v>2000.0</v>
      </c>
      <c r="D44" s="676">
        <v>36882.0</v>
      </c>
      <c r="E44" s="426" t="s">
        <v>12757</v>
      </c>
      <c r="F44" s="426" t="s">
        <v>12751</v>
      </c>
      <c r="G44" s="426" t="s">
        <v>270</v>
      </c>
      <c r="H44" s="426" t="s">
        <v>11527</v>
      </c>
      <c r="I44" s="676">
        <v>38562.0</v>
      </c>
      <c r="J44" s="428">
        <v>7.0</v>
      </c>
      <c r="K44" s="637" t="s">
        <v>238</v>
      </c>
      <c r="L44" s="428" t="s">
        <v>258</v>
      </c>
      <c r="M44" s="319">
        <f t="shared" si="2"/>
        <v>1680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4405.0</v>
      </c>
      <c r="B45" s="420" t="s">
        <v>12758</v>
      </c>
      <c r="C45" s="420">
        <v>2002.0</v>
      </c>
      <c r="D45" s="677">
        <v>37621.0</v>
      </c>
      <c r="E45" s="420" t="s">
        <v>12759</v>
      </c>
      <c r="F45" s="420" t="s">
        <v>12760</v>
      </c>
      <c r="G45" s="420" t="s">
        <v>34</v>
      </c>
      <c r="H45" s="420" t="s">
        <v>601</v>
      </c>
      <c r="I45" s="677">
        <v>38562.0</v>
      </c>
      <c r="J45" s="422">
        <v>7.0</v>
      </c>
      <c r="K45" s="637" t="s">
        <v>238</v>
      </c>
      <c r="L45" s="420" t="s">
        <v>258</v>
      </c>
      <c r="M45" s="316">
        <f t="shared" si="2"/>
        <v>941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4505.0</v>
      </c>
      <c r="B46" s="426" t="s">
        <v>12761</v>
      </c>
      <c r="C46" s="426">
        <v>2002.0</v>
      </c>
      <c r="D46" s="676">
        <v>37621.0</v>
      </c>
      <c r="E46" s="426" t="s">
        <v>12762</v>
      </c>
      <c r="F46" s="426" t="s">
        <v>12760</v>
      </c>
      <c r="G46" s="426" t="s">
        <v>34</v>
      </c>
      <c r="H46" s="426" t="s">
        <v>12727</v>
      </c>
      <c r="I46" s="676">
        <v>38562.0</v>
      </c>
      <c r="J46" s="428">
        <v>7.0</v>
      </c>
      <c r="K46" s="637" t="s">
        <v>238</v>
      </c>
      <c r="L46" s="428" t="s">
        <v>258</v>
      </c>
      <c r="M46" s="319">
        <f t="shared" si="2"/>
        <v>941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4605.0</v>
      </c>
      <c r="B47" s="420" t="s">
        <v>12763</v>
      </c>
      <c r="C47" s="420">
        <v>2004.0</v>
      </c>
      <c r="D47" s="497">
        <v>38174.0</v>
      </c>
      <c r="E47" s="420" t="s">
        <v>12764</v>
      </c>
      <c r="F47" s="420" t="s">
        <v>11494</v>
      </c>
      <c r="G47" s="420" t="s">
        <v>650</v>
      </c>
      <c r="H47" s="420" t="s">
        <v>12765</v>
      </c>
      <c r="I47" s="497">
        <v>38562.0</v>
      </c>
      <c r="J47" s="422">
        <v>7.0</v>
      </c>
      <c r="K47" s="637" t="s">
        <v>238</v>
      </c>
      <c r="L47" s="420" t="s">
        <v>258</v>
      </c>
      <c r="M47" s="316">
        <f t="shared" si="2"/>
        <v>388</v>
      </c>
      <c r="N47" s="198"/>
      <c r="O47" s="353" t="s">
        <v>195</v>
      </c>
      <c r="P47" s="342">
        <f>COUNTIF($J$2:$J$477,"1")</f>
        <v>1</v>
      </c>
      <c r="Q47" s="332"/>
      <c r="R47" s="333"/>
      <c r="S47" s="354">
        <f>(P47/P59)</f>
        <v>0.01123595506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4705.0</v>
      </c>
      <c r="B48" s="426" t="s">
        <v>12766</v>
      </c>
      <c r="C48" s="426">
        <v>2004.0</v>
      </c>
      <c r="D48" s="500">
        <v>38170.0</v>
      </c>
      <c r="E48" s="426" t="s">
        <v>12767</v>
      </c>
      <c r="F48" s="426" t="s">
        <v>1170</v>
      </c>
      <c r="G48" s="426" t="s">
        <v>650</v>
      </c>
      <c r="H48" s="426" t="s">
        <v>9672</v>
      </c>
      <c r="I48" s="500">
        <v>38569.0</v>
      </c>
      <c r="J48" s="428">
        <v>8.0</v>
      </c>
      <c r="K48" s="638" t="s">
        <v>234</v>
      </c>
      <c r="L48" s="428" t="s">
        <v>256</v>
      </c>
      <c r="M48" s="319">
        <f t="shared" si="2"/>
        <v>399</v>
      </c>
      <c r="N48" s="198"/>
      <c r="O48" s="321" t="s">
        <v>197</v>
      </c>
      <c r="P48" s="344">
        <f>COUNTIF($J$2:$J$477,"2")</f>
        <v>4</v>
      </c>
      <c r="Q48" s="113"/>
      <c r="R48" s="114"/>
      <c r="S48" s="345">
        <f>(P48/P59)</f>
        <v>0.04494382022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4805.0</v>
      </c>
      <c r="B49" s="420" t="s">
        <v>12768</v>
      </c>
      <c r="C49" s="420">
        <v>2003.0</v>
      </c>
      <c r="D49" s="497">
        <v>37893.0</v>
      </c>
      <c r="E49" s="420" t="s">
        <v>12769</v>
      </c>
      <c r="F49" s="420" t="s">
        <v>947</v>
      </c>
      <c r="G49" s="420" t="s">
        <v>650</v>
      </c>
      <c r="H49" s="420" t="s">
        <v>583</v>
      </c>
      <c r="I49" s="497">
        <v>38569.0</v>
      </c>
      <c r="J49" s="422">
        <v>8.0</v>
      </c>
      <c r="K49" s="637" t="s">
        <v>238</v>
      </c>
      <c r="L49" s="420" t="s">
        <v>258</v>
      </c>
      <c r="M49" s="316">
        <f t="shared" si="2"/>
        <v>676</v>
      </c>
      <c r="N49" s="198"/>
      <c r="O49" s="322" t="s">
        <v>199</v>
      </c>
      <c r="P49" s="346">
        <f>COUNTIF($J$2:$J$477,"3")</f>
        <v>11</v>
      </c>
      <c r="Q49" s="113"/>
      <c r="R49" s="114"/>
      <c r="S49" s="343">
        <f>(P49/P59)</f>
        <v>0.1235955056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4905.0</v>
      </c>
      <c r="B50" s="426" t="s">
        <v>12770</v>
      </c>
      <c r="C50" s="426">
        <v>2004.0</v>
      </c>
      <c r="D50" s="500">
        <v>38349.0</v>
      </c>
      <c r="E50" s="426" t="s">
        <v>12771</v>
      </c>
      <c r="F50" s="426" t="s">
        <v>12772</v>
      </c>
      <c r="G50" s="426" t="s">
        <v>650</v>
      </c>
      <c r="H50" s="426" t="s">
        <v>1002</v>
      </c>
      <c r="I50" s="500">
        <v>38569.0</v>
      </c>
      <c r="J50" s="428">
        <v>8.0</v>
      </c>
      <c r="K50" s="637" t="s">
        <v>238</v>
      </c>
      <c r="L50" s="428" t="s">
        <v>258</v>
      </c>
      <c r="M50" s="319">
        <f t="shared" si="2"/>
        <v>220</v>
      </c>
      <c r="N50" s="198"/>
      <c r="O50" s="321" t="s">
        <v>201</v>
      </c>
      <c r="P50" s="344">
        <f>COUNTIF($J$2:$J$477,"4")</f>
        <v>8</v>
      </c>
      <c r="Q50" s="113"/>
      <c r="R50" s="114"/>
      <c r="S50" s="345">
        <f>(P50/P59)</f>
        <v>0.08988764045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5005.0</v>
      </c>
      <c r="B51" s="420" t="s">
        <v>12773</v>
      </c>
      <c r="C51" s="420">
        <v>2004.0</v>
      </c>
      <c r="D51" s="497">
        <v>38349.0</v>
      </c>
      <c r="E51" s="420" t="s">
        <v>12774</v>
      </c>
      <c r="F51" s="420" t="s">
        <v>12772</v>
      </c>
      <c r="G51" s="420" t="s">
        <v>650</v>
      </c>
      <c r="H51" s="420" t="s">
        <v>7403</v>
      </c>
      <c r="I51" s="497">
        <v>38569.0</v>
      </c>
      <c r="J51" s="422">
        <v>8.0</v>
      </c>
      <c r="K51" s="637" t="s">
        <v>238</v>
      </c>
      <c r="L51" s="420" t="s">
        <v>258</v>
      </c>
      <c r="M51" s="316">
        <f t="shared" si="2"/>
        <v>220</v>
      </c>
      <c r="N51" s="198"/>
      <c r="O51" s="322" t="s">
        <v>203</v>
      </c>
      <c r="P51" s="346">
        <f>COUNTIF($J$2:$J$477,"5")</f>
        <v>8</v>
      </c>
      <c r="Q51" s="113"/>
      <c r="R51" s="114"/>
      <c r="S51" s="343">
        <f>(P51/P59)</f>
        <v>0.08988764045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5105.0</v>
      </c>
      <c r="B52" s="426" t="s">
        <v>12775</v>
      </c>
      <c r="C52" s="426">
        <v>2003.0</v>
      </c>
      <c r="D52" s="676">
        <v>37659.0</v>
      </c>
      <c r="E52" s="426" t="s">
        <v>12776</v>
      </c>
      <c r="F52" s="426" t="s">
        <v>10716</v>
      </c>
      <c r="G52" s="426" t="s">
        <v>547</v>
      </c>
      <c r="H52" s="426" t="s">
        <v>12727</v>
      </c>
      <c r="I52" s="676">
        <v>38572.0</v>
      </c>
      <c r="J52" s="428">
        <v>8.0</v>
      </c>
      <c r="K52" s="637" t="s">
        <v>238</v>
      </c>
      <c r="L52" s="428" t="s">
        <v>258</v>
      </c>
      <c r="M52" s="319">
        <f t="shared" si="2"/>
        <v>913</v>
      </c>
      <c r="N52" s="198"/>
      <c r="O52" s="321" t="s">
        <v>205</v>
      </c>
      <c r="P52" s="344">
        <f>COUNTIF($J$2:$J$477,"6")</f>
        <v>4</v>
      </c>
      <c r="Q52" s="113"/>
      <c r="R52" s="114"/>
      <c r="S52" s="345">
        <f>(P52/P59)</f>
        <v>0.04494382022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5205.0</v>
      </c>
      <c r="B53" s="420" t="s">
        <v>12777</v>
      </c>
      <c r="C53" s="420">
        <v>2003.0</v>
      </c>
      <c r="D53" s="497">
        <v>37809.0</v>
      </c>
      <c r="E53" s="420" t="s">
        <v>12778</v>
      </c>
      <c r="F53" s="420" t="s">
        <v>1544</v>
      </c>
      <c r="G53" s="420" t="s">
        <v>650</v>
      </c>
      <c r="H53" s="420" t="s">
        <v>705</v>
      </c>
      <c r="I53" s="497">
        <v>38573.0</v>
      </c>
      <c r="J53" s="422">
        <v>8.0</v>
      </c>
      <c r="K53" s="637" t="s">
        <v>238</v>
      </c>
      <c r="L53" s="420" t="s">
        <v>258</v>
      </c>
      <c r="M53" s="316">
        <f t="shared" si="2"/>
        <v>764</v>
      </c>
      <c r="N53" s="198"/>
      <c r="O53" s="322" t="s">
        <v>207</v>
      </c>
      <c r="P53" s="346">
        <f>COUNTIF($J$2:$J$477,"7")</f>
        <v>9</v>
      </c>
      <c r="Q53" s="113"/>
      <c r="R53" s="114"/>
      <c r="S53" s="343">
        <f>(P53/P59)</f>
        <v>0.1011235955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5305.0</v>
      </c>
      <c r="B54" s="426" t="s">
        <v>12779</v>
      </c>
      <c r="C54" s="426">
        <v>2000.0</v>
      </c>
      <c r="D54" s="500">
        <v>36886.0</v>
      </c>
      <c r="E54" s="426" t="s">
        <v>12780</v>
      </c>
      <c r="F54" s="426" t="s">
        <v>12751</v>
      </c>
      <c r="G54" s="426" t="s">
        <v>650</v>
      </c>
      <c r="H54" s="426" t="s">
        <v>11527</v>
      </c>
      <c r="I54" s="500">
        <v>38573.0</v>
      </c>
      <c r="J54" s="428">
        <v>8.0</v>
      </c>
      <c r="K54" s="637" t="s">
        <v>238</v>
      </c>
      <c r="L54" s="428" t="s">
        <v>258</v>
      </c>
      <c r="M54" s="319">
        <f t="shared" si="2"/>
        <v>1687</v>
      </c>
      <c r="N54" s="198"/>
      <c r="O54" s="321" t="s">
        <v>209</v>
      </c>
      <c r="P54" s="344">
        <f>COUNTIF($J$2:$J$477,"8")</f>
        <v>9</v>
      </c>
      <c r="Q54" s="113"/>
      <c r="R54" s="114"/>
      <c r="S54" s="345">
        <f>(P54/P59)</f>
        <v>0.1011235955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5405.0</v>
      </c>
      <c r="B55" s="420" t="s">
        <v>12781</v>
      </c>
      <c r="C55" s="420">
        <v>2001.0</v>
      </c>
      <c r="D55" s="677">
        <v>37174.0</v>
      </c>
      <c r="E55" s="420" t="s">
        <v>12782</v>
      </c>
      <c r="F55" s="420" t="s">
        <v>963</v>
      </c>
      <c r="G55" s="420" t="s">
        <v>270</v>
      </c>
      <c r="H55" s="420" t="s">
        <v>12507</v>
      </c>
      <c r="I55" s="677">
        <v>38574.0</v>
      </c>
      <c r="J55" s="422">
        <v>8.0</v>
      </c>
      <c r="K55" s="635" t="s">
        <v>228</v>
      </c>
      <c r="L55" s="420" t="s">
        <v>258</v>
      </c>
      <c r="M55" s="316">
        <f t="shared" si="2"/>
        <v>1400</v>
      </c>
      <c r="N55" s="198"/>
      <c r="O55" s="322" t="s">
        <v>211</v>
      </c>
      <c r="P55" s="346">
        <f>COUNTIF($J$2:$J$477,"9")</f>
        <v>8</v>
      </c>
      <c r="Q55" s="113"/>
      <c r="R55" s="114"/>
      <c r="S55" s="343">
        <f>(P55/P59)</f>
        <v>0.08988764045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5505.0</v>
      </c>
      <c r="B56" s="426" t="s">
        <v>12783</v>
      </c>
      <c r="C56" s="426">
        <v>2003.0</v>
      </c>
      <c r="D56" s="676">
        <v>37644.0</v>
      </c>
      <c r="E56" s="426" t="s">
        <v>12784</v>
      </c>
      <c r="F56" s="426" t="s">
        <v>12785</v>
      </c>
      <c r="G56" s="426" t="s">
        <v>270</v>
      </c>
      <c r="H56" s="426" t="s">
        <v>651</v>
      </c>
      <c r="I56" s="676">
        <v>38576.0</v>
      </c>
      <c r="J56" s="428">
        <v>8.0</v>
      </c>
      <c r="K56" s="635" t="s">
        <v>228</v>
      </c>
      <c r="L56" s="428" t="s">
        <v>256</v>
      </c>
      <c r="M56" s="319">
        <f t="shared" si="2"/>
        <v>932</v>
      </c>
      <c r="N56" s="198"/>
      <c r="O56" s="321" t="s">
        <v>213</v>
      </c>
      <c r="P56" s="344">
        <f>COUNTIF($J$2:$J$477,"10")</f>
        <v>5</v>
      </c>
      <c r="Q56" s="113"/>
      <c r="R56" s="114"/>
      <c r="S56" s="345">
        <f>(P56/P59)</f>
        <v>0.05617977528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5605.0</v>
      </c>
      <c r="B57" s="420" t="s">
        <v>12786</v>
      </c>
      <c r="C57" s="420">
        <v>2000.0</v>
      </c>
      <c r="D57" s="497">
        <v>36847.0</v>
      </c>
      <c r="E57" s="420" t="s">
        <v>12787</v>
      </c>
      <c r="F57" s="420" t="s">
        <v>963</v>
      </c>
      <c r="G57" s="420" t="s">
        <v>650</v>
      </c>
      <c r="H57" s="420" t="s">
        <v>12788</v>
      </c>
      <c r="I57" s="497">
        <v>38596.0</v>
      </c>
      <c r="J57" s="422">
        <v>9.0</v>
      </c>
      <c r="K57" s="636" t="s">
        <v>244</v>
      </c>
      <c r="L57" s="420" t="s">
        <v>258</v>
      </c>
      <c r="M57" s="316">
        <f t="shared" si="2"/>
        <v>1749</v>
      </c>
      <c r="N57" s="198"/>
      <c r="O57" s="322" t="s">
        <v>215</v>
      </c>
      <c r="P57" s="346">
        <f>COUNTIF($J$2:$J$477,"11")</f>
        <v>5</v>
      </c>
      <c r="Q57" s="113"/>
      <c r="R57" s="114"/>
      <c r="S57" s="343">
        <f>(P57/P59)</f>
        <v>0.05617977528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5705.0</v>
      </c>
      <c r="B58" s="426" t="s">
        <v>12789</v>
      </c>
      <c r="C58" s="426">
        <v>2002.0</v>
      </c>
      <c r="D58" s="676">
        <v>37621.0</v>
      </c>
      <c r="E58" s="426" t="s">
        <v>12790</v>
      </c>
      <c r="F58" s="426" t="s">
        <v>12760</v>
      </c>
      <c r="G58" s="426" t="s">
        <v>547</v>
      </c>
      <c r="H58" s="426" t="s">
        <v>601</v>
      </c>
      <c r="I58" s="676">
        <v>38600.0</v>
      </c>
      <c r="J58" s="428">
        <v>9.0</v>
      </c>
      <c r="K58" s="637" t="s">
        <v>238</v>
      </c>
      <c r="L58" s="428" t="s">
        <v>258</v>
      </c>
      <c r="M58" s="319">
        <f t="shared" si="2"/>
        <v>979</v>
      </c>
      <c r="N58" s="198"/>
      <c r="O58" s="355" t="s">
        <v>217</v>
      </c>
      <c r="P58" s="344">
        <f>COUNTIF($J$2:$J$477,"12")</f>
        <v>17</v>
      </c>
      <c r="Q58" s="113"/>
      <c r="R58" s="114"/>
      <c r="S58" s="356">
        <f>(P58/P59)</f>
        <v>0.191011236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5805.0</v>
      </c>
      <c r="B59" s="420" t="s">
        <v>12791</v>
      </c>
      <c r="C59" s="420">
        <v>2002.0</v>
      </c>
      <c r="D59" s="677">
        <v>37621.0</v>
      </c>
      <c r="E59" s="420" t="s">
        <v>12792</v>
      </c>
      <c r="F59" s="420" t="s">
        <v>12760</v>
      </c>
      <c r="G59" s="420" t="s">
        <v>547</v>
      </c>
      <c r="H59" s="420" t="s">
        <v>12727</v>
      </c>
      <c r="I59" s="677">
        <v>38600.0</v>
      </c>
      <c r="J59" s="422">
        <v>9.0</v>
      </c>
      <c r="K59" s="637" t="s">
        <v>238</v>
      </c>
      <c r="L59" s="420" t="s">
        <v>258</v>
      </c>
      <c r="M59" s="316">
        <f t="shared" si="2"/>
        <v>979</v>
      </c>
      <c r="N59" s="198"/>
      <c r="O59" s="348" t="s">
        <v>219</v>
      </c>
      <c r="P59" s="349">
        <f>SUM(P47:R58)</f>
        <v>89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5905.0</v>
      </c>
      <c r="B60" s="426" t="s">
        <v>12793</v>
      </c>
      <c r="C60" s="426">
        <v>2004.0</v>
      </c>
      <c r="D60" s="500">
        <v>38023.0</v>
      </c>
      <c r="E60" s="426" t="s">
        <v>12794</v>
      </c>
      <c r="F60" s="426" t="s">
        <v>1762</v>
      </c>
      <c r="G60" s="426" t="s">
        <v>650</v>
      </c>
      <c r="H60" s="426" t="s">
        <v>601</v>
      </c>
      <c r="I60" s="500">
        <v>38601.0</v>
      </c>
      <c r="J60" s="428">
        <v>9.0</v>
      </c>
      <c r="K60" s="636" t="s">
        <v>244</v>
      </c>
      <c r="L60" s="428" t="s">
        <v>258</v>
      </c>
      <c r="M60" s="319">
        <f t="shared" si="2"/>
        <v>578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6005.0</v>
      </c>
      <c r="B61" s="420" t="s">
        <v>12795</v>
      </c>
      <c r="C61" s="420">
        <v>2001.0</v>
      </c>
      <c r="D61" s="497">
        <v>37167.0</v>
      </c>
      <c r="E61" s="420" t="s">
        <v>12796</v>
      </c>
      <c r="F61" s="420" t="s">
        <v>12797</v>
      </c>
      <c r="G61" s="420" t="s">
        <v>650</v>
      </c>
      <c r="H61" s="420" t="s">
        <v>7403</v>
      </c>
      <c r="I61" s="497">
        <v>38611.0</v>
      </c>
      <c r="J61" s="422">
        <v>9.0</v>
      </c>
      <c r="K61" s="635" t="s">
        <v>228</v>
      </c>
      <c r="L61" s="420" t="s">
        <v>256</v>
      </c>
      <c r="M61" s="316">
        <f t="shared" si="2"/>
        <v>1444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6105.0</v>
      </c>
      <c r="B62" s="426" t="s">
        <v>12798</v>
      </c>
      <c r="C62" s="426">
        <v>2003.0</v>
      </c>
      <c r="D62" s="500">
        <v>37978.0</v>
      </c>
      <c r="E62" s="426" t="s">
        <v>12799</v>
      </c>
      <c r="F62" s="426" t="s">
        <v>12800</v>
      </c>
      <c r="G62" s="426" t="s">
        <v>650</v>
      </c>
      <c r="H62" s="426" t="s">
        <v>158</v>
      </c>
      <c r="I62" s="500">
        <v>38611.0</v>
      </c>
      <c r="J62" s="428">
        <v>9.0</v>
      </c>
      <c r="K62" s="637" t="s">
        <v>238</v>
      </c>
      <c r="L62" s="428" t="s">
        <v>254</v>
      </c>
      <c r="M62" s="319">
        <f t="shared" si="2"/>
        <v>633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6205.0</v>
      </c>
      <c r="B63" s="420" t="s">
        <v>12801</v>
      </c>
      <c r="C63" s="420">
        <v>2003.0</v>
      </c>
      <c r="D63" s="677">
        <v>37751.0</v>
      </c>
      <c r="E63" s="420" t="s">
        <v>12802</v>
      </c>
      <c r="F63" s="420" t="s">
        <v>963</v>
      </c>
      <c r="G63" s="420" t="s">
        <v>270</v>
      </c>
      <c r="H63" s="420" t="s">
        <v>7907</v>
      </c>
      <c r="I63" s="677">
        <v>38617.0</v>
      </c>
      <c r="J63" s="422">
        <v>9.0</v>
      </c>
      <c r="K63" s="638" t="s">
        <v>234</v>
      </c>
      <c r="L63" s="420" t="s">
        <v>258</v>
      </c>
      <c r="M63" s="316">
        <f t="shared" si="2"/>
        <v>866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6305.0</v>
      </c>
      <c r="B64" s="426" t="s">
        <v>12803</v>
      </c>
      <c r="C64" s="426">
        <v>2003.0</v>
      </c>
      <c r="D64" s="676">
        <v>37939.0</v>
      </c>
      <c r="E64" s="426" t="s">
        <v>12804</v>
      </c>
      <c r="F64" s="426" t="s">
        <v>2311</v>
      </c>
      <c r="G64" s="426" t="s">
        <v>270</v>
      </c>
      <c r="H64" s="426" t="s">
        <v>601</v>
      </c>
      <c r="I64" s="676">
        <v>38622.0</v>
      </c>
      <c r="J64" s="428">
        <v>9.0</v>
      </c>
      <c r="K64" s="638" t="s">
        <v>234</v>
      </c>
      <c r="L64" s="428" t="s">
        <v>256</v>
      </c>
      <c r="M64" s="319">
        <f t="shared" si="2"/>
        <v>683</v>
      </c>
      <c r="N64" s="198"/>
      <c r="O64" s="522" t="s">
        <v>228</v>
      </c>
      <c r="P64" s="523"/>
      <c r="Q64" s="523"/>
      <c r="R64" s="524"/>
      <c r="S64" s="365">
        <f>COUNTIF($K$1:$K$495,"I - Extremamente tóxico")</f>
        <v>16</v>
      </c>
      <c r="T64" s="366">
        <f>(S64/S76)</f>
        <v>0.1797752809</v>
      </c>
      <c r="U64" s="198"/>
      <c r="V64" s="198"/>
      <c r="W64" s="198"/>
      <c r="X64" s="198"/>
      <c r="Y64" s="198"/>
      <c r="Z64" s="198"/>
    </row>
    <row r="65" ht="12.75" customHeight="1">
      <c r="A65" s="578">
        <v>6405.0</v>
      </c>
      <c r="B65" s="420" t="s">
        <v>12805</v>
      </c>
      <c r="C65" s="420">
        <v>2003.0</v>
      </c>
      <c r="D65" s="497">
        <v>37707.0</v>
      </c>
      <c r="E65" s="420" t="s">
        <v>12806</v>
      </c>
      <c r="F65" s="420" t="s">
        <v>3141</v>
      </c>
      <c r="G65" s="420" t="s">
        <v>650</v>
      </c>
      <c r="H65" s="420" t="s">
        <v>5826</v>
      </c>
      <c r="I65" s="497">
        <v>38632.0</v>
      </c>
      <c r="J65" s="422">
        <v>10.0</v>
      </c>
      <c r="K65" s="637" t="s">
        <v>238</v>
      </c>
      <c r="L65" s="420" t="s">
        <v>258</v>
      </c>
      <c r="M65" s="316">
        <f t="shared" si="2"/>
        <v>925</v>
      </c>
      <c r="N65" s="198"/>
      <c r="O65" s="367" t="s">
        <v>230</v>
      </c>
      <c r="P65" s="368"/>
      <c r="Q65" s="368"/>
      <c r="R65" s="369"/>
      <c r="S65" s="370">
        <f>COUNTIF($K$2:$K$477,"Categoria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6505.0</v>
      </c>
      <c r="B66" s="426" t="s">
        <v>12807</v>
      </c>
      <c r="C66" s="426">
        <v>2000.0</v>
      </c>
      <c r="D66" s="676">
        <v>36763.0</v>
      </c>
      <c r="E66" s="426" t="s">
        <v>12808</v>
      </c>
      <c r="F66" s="426" t="s">
        <v>12809</v>
      </c>
      <c r="G66" s="426" t="s">
        <v>270</v>
      </c>
      <c r="H66" s="426" t="s">
        <v>651</v>
      </c>
      <c r="I66" s="676">
        <v>38635.0</v>
      </c>
      <c r="J66" s="428">
        <v>10.0</v>
      </c>
      <c r="K66" s="637" t="s">
        <v>238</v>
      </c>
      <c r="L66" s="428" t="s">
        <v>256</v>
      </c>
      <c r="M66" s="319">
        <f t="shared" si="2"/>
        <v>1872</v>
      </c>
      <c r="N66" s="198"/>
      <c r="O66" s="367" t="s">
        <v>232</v>
      </c>
      <c r="P66" s="368"/>
      <c r="Q66" s="368"/>
      <c r="R66" s="369"/>
      <c r="S66" s="370">
        <f>COUNTIF($K$2:$K$477,"Categoria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6605.0</v>
      </c>
      <c r="B67" s="420" t="s">
        <v>12810</v>
      </c>
      <c r="C67" s="420">
        <v>2004.0</v>
      </c>
      <c r="D67" s="677">
        <v>38314.0</v>
      </c>
      <c r="E67" s="420" t="s">
        <v>12811</v>
      </c>
      <c r="F67" s="420" t="s">
        <v>2343</v>
      </c>
      <c r="G67" s="420" t="s">
        <v>565</v>
      </c>
      <c r="H67" s="420" t="s">
        <v>11986</v>
      </c>
      <c r="I67" s="677">
        <v>38635.0</v>
      </c>
      <c r="J67" s="422">
        <v>10.0</v>
      </c>
      <c r="K67" s="638" t="s">
        <v>234</v>
      </c>
      <c r="L67" s="420" t="s">
        <v>260</v>
      </c>
      <c r="M67" s="316">
        <f t="shared" si="2"/>
        <v>321</v>
      </c>
      <c r="N67" s="198"/>
      <c r="O67" s="372" t="s">
        <v>234</v>
      </c>
      <c r="P67" s="368"/>
      <c r="Q67" s="368"/>
      <c r="R67" s="369"/>
      <c r="S67" s="373">
        <f>COUNTIF($K$2:$K$477,"II - Altamente tóxico")</f>
        <v>22</v>
      </c>
      <c r="T67" s="374">
        <f>(S67/S76)</f>
        <v>0.2471910112</v>
      </c>
      <c r="U67" s="198"/>
      <c r="V67" s="198"/>
      <c r="W67" s="198"/>
      <c r="X67" s="198"/>
      <c r="Y67" s="198"/>
      <c r="Z67" s="198"/>
    </row>
    <row r="68" ht="12.75" customHeight="1">
      <c r="A68" s="585">
        <v>6705.0</v>
      </c>
      <c r="B68" s="426" t="s">
        <v>12812</v>
      </c>
      <c r="C68" s="426">
        <v>2001.0</v>
      </c>
      <c r="D68" s="500">
        <v>37182.0</v>
      </c>
      <c r="E68" s="426" t="s">
        <v>12813</v>
      </c>
      <c r="F68" s="426" t="s">
        <v>4263</v>
      </c>
      <c r="G68" s="426" t="s">
        <v>650</v>
      </c>
      <c r="H68" s="426" t="s">
        <v>705</v>
      </c>
      <c r="I68" s="500">
        <v>38636.0</v>
      </c>
      <c r="J68" s="428">
        <v>10.0</v>
      </c>
      <c r="K68" s="638" t="s">
        <v>234</v>
      </c>
      <c r="L68" s="428" t="s">
        <v>258</v>
      </c>
      <c r="M68" s="319">
        <f t="shared" si="2"/>
        <v>1454</v>
      </c>
      <c r="N68" s="198"/>
      <c r="O68" s="372" t="s">
        <v>236</v>
      </c>
      <c r="P68" s="368"/>
      <c r="Q68" s="368"/>
      <c r="R68" s="369"/>
      <c r="S68" s="373">
        <f>COUNTIF($K$2:$K$477,"Categoria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6805.0</v>
      </c>
      <c r="B69" s="420" t="s">
        <v>12814</v>
      </c>
      <c r="C69" s="420">
        <v>2003.0</v>
      </c>
      <c r="D69" s="677">
        <v>37874.0</v>
      </c>
      <c r="E69" s="420" t="s">
        <v>12815</v>
      </c>
      <c r="F69" s="420" t="s">
        <v>12816</v>
      </c>
      <c r="G69" s="420" t="s">
        <v>565</v>
      </c>
      <c r="H69" s="420" t="s">
        <v>6534</v>
      </c>
      <c r="I69" s="677">
        <v>38646.0</v>
      </c>
      <c r="J69" s="422">
        <v>10.0</v>
      </c>
      <c r="K69" s="636" t="s">
        <v>244</v>
      </c>
      <c r="L69" s="420" t="s">
        <v>260</v>
      </c>
      <c r="M69" s="316">
        <f t="shared" si="2"/>
        <v>772</v>
      </c>
      <c r="N69" s="198"/>
      <c r="O69" s="375" t="s">
        <v>238</v>
      </c>
      <c r="P69" s="368"/>
      <c r="Q69" s="368"/>
      <c r="R69" s="369"/>
      <c r="S69" s="376">
        <f>COUNTIF($K$2:$K$477,"III - Medianamente tóxico")</f>
        <v>39</v>
      </c>
      <c r="T69" s="377">
        <f>(S69/S76)</f>
        <v>0.4382022472</v>
      </c>
      <c r="U69" s="198"/>
      <c r="V69" s="198"/>
      <c r="W69" s="198"/>
      <c r="X69" s="198"/>
      <c r="Y69" s="198"/>
      <c r="Z69" s="198"/>
    </row>
    <row r="70" ht="12.75" customHeight="1">
      <c r="A70" s="585">
        <v>6905.0</v>
      </c>
      <c r="B70" s="426" t="s">
        <v>12817</v>
      </c>
      <c r="C70" s="426">
        <v>2004.0</v>
      </c>
      <c r="D70" s="500">
        <v>38085.0</v>
      </c>
      <c r="E70" s="426" t="s">
        <v>12818</v>
      </c>
      <c r="F70" s="426" t="s">
        <v>11494</v>
      </c>
      <c r="G70" s="426" t="s">
        <v>650</v>
      </c>
      <c r="H70" s="426" t="s">
        <v>11495</v>
      </c>
      <c r="I70" s="500">
        <v>38665.0</v>
      </c>
      <c r="J70" s="428">
        <v>11.0</v>
      </c>
      <c r="K70" s="636" t="s">
        <v>244</v>
      </c>
      <c r="L70" s="428" t="s">
        <v>258</v>
      </c>
      <c r="M70" s="319">
        <f t="shared" si="2"/>
        <v>580</v>
      </c>
      <c r="N70" s="198"/>
      <c r="O70" s="375" t="s">
        <v>240</v>
      </c>
      <c r="P70" s="368"/>
      <c r="Q70" s="368"/>
      <c r="R70" s="369"/>
      <c r="S70" s="376">
        <f>COUNTIF($K$2:$K$477,"Categoria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7005.0</v>
      </c>
      <c r="B71" s="420" t="s">
        <v>12819</v>
      </c>
      <c r="C71" s="420">
        <v>2004.0</v>
      </c>
      <c r="D71" s="497">
        <v>38085.0</v>
      </c>
      <c r="E71" s="420" t="s">
        <v>12820</v>
      </c>
      <c r="F71" s="420" t="s">
        <v>11522</v>
      </c>
      <c r="G71" s="420" t="s">
        <v>650</v>
      </c>
      <c r="H71" s="420" t="s">
        <v>11495</v>
      </c>
      <c r="I71" s="497">
        <v>38677.0</v>
      </c>
      <c r="J71" s="422">
        <v>11.0</v>
      </c>
      <c r="K71" s="636" t="s">
        <v>244</v>
      </c>
      <c r="L71" s="420" t="s">
        <v>260</v>
      </c>
      <c r="M71" s="316">
        <f t="shared" si="2"/>
        <v>592</v>
      </c>
      <c r="N71" s="198"/>
      <c r="O71" s="375" t="s">
        <v>242</v>
      </c>
      <c r="P71" s="368"/>
      <c r="Q71" s="368"/>
      <c r="R71" s="369"/>
      <c r="S71" s="376">
        <f>COUNTIF($K$2:$K$477,"Categoria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7105.0</v>
      </c>
      <c r="B72" s="426" t="s">
        <v>12821</v>
      </c>
      <c r="C72" s="426">
        <v>2004.0</v>
      </c>
      <c r="D72" s="500">
        <v>38085.0</v>
      </c>
      <c r="E72" s="426" t="s">
        <v>12822</v>
      </c>
      <c r="F72" s="426" t="s">
        <v>11522</v>
      </c>
      <c r="G72" s="426" t="s">
        <v>650</v>
      </c>
      <c r="H72" s="426" t="s">
        <v>11495</v>
      </c>
      <c r="I72" s="500">
        <v>38677.0</v>
      </c>
      <c r="J72" s="428">
        <v>11.0</v>
      </c>
      <c r="K72" s="638" t="s">
        <v>234</v>
      </c>
      <c r="L72" s="428" t="s">
        <v>260</v>
      </c>
      <c r="M72" s="319">
        <f t="shared" si="2"/>
        <v>592</v>
      </c>
      <c r="N72" s="198"/>
      <c r="O72" s="378" t="s">
        <v>244</v>
      </c>
      <c r="P72" s="368"/>
      <c r="Q72" s="368"/>
      <c r="R72" s="369"/>
      <c r="S72" s="379">
        <f>COUNTIF($K$2:$K$477,"IV - Pouco tóxico")</f>
        <v>12</v>
      </c>
      <c r="T72" s="380">
        <f>(S72/S76)</f>
        <v>0.1348314607</v>
      </c>
      <c r="U72" s="198"/>
      <c r="V72" s="198"/>
      <c r="W72" s="198"/>
      <c r="X72" s="198"/>
      <c r="Y72" s="198"/>
      <c r="Z72" s="198"/>
    </row>
    <row r="73" ht="12.75" customHeight="1">
      <c r="A73" s="578">
        <v>7205.0</v>
      </c>
      <c r="B73" s="420" t="s">
        <v>12823</v>
      </c>
      <c r="C73" s="420">
        <v>1995.0</v>
      </c>
      <c r="D73" s="497">
        <v>35054.0</v>
      </c>
      <c r="E73" s="420" t="s">
        <v>12824</v>
      </c>
      <c r="F73" s="420" t="s">
        <v>12825</v>
      </c>
      <c r="G73" s="420" t="s">
        <v>650</v>
      </c>
      <c r="H73" s="420" t="s">
        <v>12127</v>
      </c>
      <c r="I73" s="497">
        <v>38677.0</v>
      </c>
      <c r="J73" s="422">
        <v>11.0</v>
      </c>
      <c r="K73" s="637" t="s">
        <v>238</v>
      </c>
      <c r="L73" s="420" t="s">
        <v>256</v>
      </c>
      <c r="M73" s="316">
        <f t="shared" si="2"/>
        <v>3623</v>
      </c>
      <c r="N73" s="198"/>
      <c r="O73" s="378" t="s">
        <v>822</v>
      </c>
      <c r="P73" s="368"/>
      <c r="Q73" s="368"/>
      <c r="R73" s="369"/>
      <c r="S73" s="379">
        <f>COUNTIF($K$2:$K$477,"Não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7305.0</v>
      </c>
      <c r="B74" s="426" t="s">
        <v>12826</v>
      </c>
      <c r="C74" s="426">
        <v>2000.0</v>
      </c>
      <c r="D74" s="676">
        <v>36850.0</v>
      </c>
      <c r="E74" s="426" t="s">
        <v>12827</v>
      </c>
      <c r="F74" s="426" t="s">
        <v>963</v>
      </c>
      <c r="G74" s="426" t="s">
        <v>270</v>
      </c>
      <c r="H74" s="426" t="s">
        <v>9672</v>
      </c>
      <c r="I74" s="676">
        <v>38686.0</v>
      </c>
      <c r="J74" s="428">
        <v>11.0</v>
      </c>
      <c r="K74" s="635" t="s">
        <v>228</v>
      </c>
      <c r="L74" s="428" t="s">
        <v>258</v>
      </c>
      <c r="M74" s="319">
        <f t="shared" si="2"/>
        <v>1836</v>
      </c>
      <c r="N74" s="198"/>
      <c r="O74" s="378" t="s">
        <v>850</v>
      </c>
      <c r="P74" s="368"/>
      <c r="Q74" s="368"/>
      <c r="R74" s="369"/>
      <c r="S74" s="379">
        <f>COUNTIF($K$2:$K$477,"Não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7405.0</v>
      </c>
      <c r="B75" s="420" t="s">
        <v>12828</v>
      </c>
      <c r="C75" s="420">
        <v>2001.0</v>
      </c>
      <c r="D75" s="497">
        <v>37162.0</v>
      </c>
      <c r="E75" s="420" t="s">
        <v>12829</v>
      </c>
      <c r="F75" s="420" t="s">
        <v>10278</v>
      </c>
      <c r="G75" s="420" t="s">
        <v>650</v>
      </c>
      <c r="H75" s="420" t="s">
        <v>158</v>
      </c>
      <c r="I75" s="497">
        <v>38687.0</v>
      </c>
      <c r="J75" s="422">
        <v>12.0</v>
      </c>
      <c r="K75" s="637" t="s">
        <v>238</v>
      </c>
      <c r="L75" s="420" t="s">
        <v>256</v>
      </c>
      <c r="M75" s="316">
        <f t="shared" si="2"/>
        <v>1525</v>
      </c>
      <c r="N75" s="198"/>
      <c r="O75" s="381" t="s">
        <v>19</v>
      </c>
      <c r="P75" s="382"/>
      <c r="Q75" s="382"/>
      <c r="R75" s="383"/>
      <c r="S75" s="384">
        <f>COUNTIF($K$2:$K$477,"O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585">
        <v>7505.0</v>
      </c>
      <c r="B76" s="426" t="s">
        <v>12830</v>
      </c>
      <c r="C76" s="426">
        <v>2003.0</v>
      </c>
      <c r="D76" s="500">
        <v>37971.0</v>
      </c>
      <c r="E76" s="426" t="s">
        <v>12831</v>
      </c>
      <c r="F76" s="426" t="s">
        <v>947</v>
      </c>
      <c r="G76" s="426" t="s">
        <v>650</v>
      </c>
      <c r="H76" s="426" t="s">
        <v>12507</v>
      </c>
      <c r="I76" s="500">
        <v>38693.0</v>
      </c>
      <c r="J76" s="428">
        <v>12.0</v>
      </c>
      <c r="K76" s="637" t="s">
        <v>238</v>
      </c>
      <c r="L76" s="428" t="s">
        <v>258</v>
      </c>
      <c r="M76" s="319">
        <f t="shared" si="2"/>
        <v>722</v>
      </c>
      <c r="N76" s="198"/>
      <c r="O76" s="386" t="s">
        <v>219</v>
      </c>
      <c r="P76" s="332"/>
      <c r="Q76" s="332"/>
      <c r="R76" s="387"/>
      <c r="S76" s="388">
        <f>SUM(S64:S75)</f>
        <v>89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7605.0</v>
      </c>
      <c r="B77" s="420" t="s">
        <v>12832</v>
      </c>
      <c r="C77" s="420">
        <v>1996.0</v>
      </c>
      <c r="D77" s="497">
        <v>35166.0</v>
      </c>
      <c r="E77" s="420" t="s">
        <v>12833</v>
      </c>
      <c r="F77" s="420" t="s">
        <v>12834</v>
      </c>
      <c r="G77" s="420" t="s">
        <v>650</v>
      </c>
      <c r="H77" s="420" t="s">
        <v>12127</v>
      </c>
      <c r="I77" s="497">
        <v>38694.0</v>
      </c>
      <c r="J77" s="422">
        <v>12.0</v>
      </c>
      <c r="K77" s="637" t="s">
        <v>238</v>
      </c>
      <c r="L77" s="420" t="s">
        <v>258</v>
      </c>
      <c r="M77" s="316">
        <f t="shared" si="2"/>
        <v>3528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7705.0</v>
      </c>
      <c r="B78" s="426" t="s">
        <v>12835</v>
      </c>
      <c r="C78" s="426">
        <v>2001.0</v>
      </c>
      <c r="D78" s="676">
        <v>37139.0</v>
      </c>
      <c r="E78" s="426" t="s">
        <v>12836</v>
      </c>
      <c r="F78" s="426" t="s">
        <v>1219</v>
      </c>
      <c r="G78" s="426" t="s">
        <v>270</v>
      </c>
      <c r="H78" s="426" t="s">
        <v>705</v>
      </c>
      <c r="I78" s="676">
        <v>38695.0</v>
      </c>
      <c r="J78" s="428">
        <v>12.0</v>
      </c>
      <c r="K78" s="635" t="s">
        <v>228</v>
      </c>
      <c r="L78" s="428" t="s">
        <v>256</v>
      </c>
      <c r="M78" s="319">
        <f t="shared" si="2"/>
        <v>1556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7805.0</v>
      </c>
      <c r="B79" s="420" t="s">
        <v>12837</v>
      </c>
      <c r="C79" s="420">
        <v>2004.0</v>
      </c>
      <c r="D79" s="677">
        <v>38022.0</v>
      </c>
      <c r="E79" s="420" t="s">
        <v>12838</v>
      </c>
      <c r="F79" s="420" t="s">
        <v>8119</v>
      </c>
      <c r="G79" s="420" t="s">
        <v>270</v>
      </c>
      <c r="H79" s="420" t="s">
        <v>929</v>
      </c>
      <c r="I79" s="677">
        <v>38700.0</v>
      </c>
      <c r="J79" s="422">
        <v>12.0</v>
      </c>
      <c r="K79" s="635" t="s">
        <v>228</v>
      </c>
      <c r="L79" s="420" t="s">
        <v>256</v>
      </c>
      <c r="M79" s="316">
        <f t="shared" si="2"/>
        <v>678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7905.0</v>
      </c>
      <c r="B80" s="426" t="s">
        <v>12839</v>
      </c>
      <c r="C80" s="426">
        <v>2004.0</v>
      </c>
      <c r="D80" s="676">
        <v>38201.0</v>
      </c>
      <c r="E80" s="426" t="s">
        <v>12840</v>
      </c>
      <c r="F80" s="426" t="s">
        <v>16</v>
      </c>
      <c r="G80" s="426" t="s">
        <v>34</v>
      </c>
      <c r="H80" s="426" t="s">
        <v>158</v>
      </c>
      <c r="I80" s="676">
        <v>38702.0</v>
      </c>
      <c r="J80" s="428">
        <v>12.0</v>
      </c>
      <c r="K80" s="638" t="s">
        <v>234</v>
      </c>
      <c r="L80" s="428" t="s">
        <v>256</v>
      </c>
      <c r="M80" s="319">
        <f t="shared" si="2"/>
        <v>501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8005.0</v>
      </c>
      <c r="B81" s="420" t="s">
        <v>12841</v>
      </c>
      <c r="C81" s="420">
        <v>2004.0</v>
      </c>
      <c r="D81" s="497">
        <v>38002.0</v>
      </c>
      <c r="E81" s="420" t="s">
        <v>12842</v>
      </c>
      <c r="F81" s="420" t="s">
        <v>660</v>
      </c>
      <c r="G81" s="420" t="s">
        <v>650</v>
      </c>
      <c r="H81" s="420" t="s">
        <v>929</v>
      </c>
      <c r="I81" s="497">
        <v>38702.0</v>
      </c>
      <c r="J81" s="422">
        <v>12.0</v>
      </c>
      <c r="K81" s="635" t="s">
        <v>228</v>
      </c>
      <c r="L81" s="420" t="s">
        <v>258</v>
      </c>
      <c r="M81" s="316">
        <f t="shared" si="2"/>
        <v>700</v>
      </c>
      <c r="N81" s="198"/>
      <c r="O81" s="527" t="s">
        <v>254</v>
      </c>
      <c r="P81" s="332"/>
      <c r="Q81" s="332"/>
      <c r="R81" s="333"/>
      <c r="S81" s="394">
        <f>COUNTIF($L$2:$L$477,"I - Produto altamente perigoso ao meio ambiente")</f>
        <v>1</v>
      </c>
      <c r="T81" s="395">
        <f>(S81/S85)</f>
        <v>0.01123595506</v>
      </c>
      <c r="U81" s="198"/>
      <c r="V81" s="198"/>
      <c r="W81" s="198"/>
      <c r="X81" s="198"/>
      <c r="Y81" s="198"/>
      <c r="Z81" s="198"/>
    </row>
    <row r="82" ht="13.5" customHeight="1">
      <c r="A82" s="585">
        <v>8105.0</v>
      </c>
      <c r="B82" s="426" t="s">
        <v>12843</v>
      </c>
      <c r="C82" s="426">
        <v>2001.0</v>
      </c>
      <c r="D82" s="676">
        <v>37244.0</v>
      </c>
      <c r="E82" s="426" t="s">
        <v>12844</v>
      </c>
      <c r="F82" s="426" t="s">
        <v>12845</v>
      </c>
      <c r="G82" s="426" t="s">
        <v>565</v>
      </c>
      <c r="H82" s="426" t="s">
        <v>12246</v>
      </c>
      <c r="I82" s="676">
        <v>38705.0</v>
      </c>
      <c r="J82" s="428">
        <v>12.0</v>
      </c>
      <c r="K82" s="636" t="s">
        <v>244</v>
      </c>
      <c r="L82" s="428" t="s">
        <v>260</v>
      </c>
      <c r="M82" s="319">
        <f t="shared" si="2"/>
        <v>1461</v>
      </c>
      <c r="N82" s="198"/>
      <c r="O82" s="396" t="s">
        <v>256</v>
      </c>
      <c r="P82" s="113"/>
      <c r="Q82" s="113"/>
      <c r="R82" s="114"/>
      <c r="S82" s="397">
        <f>COUNTIF($L$2:$L$477,"II - Produto muito perigoso ao meio ambiente")</f>
        <v>28</v>
      </c>
      <c r="T82" s="398">
        <f>(S82/S85)</f>
        <v>0.3146067416</v>
      </c>
      <c r="U82" s="198"/>
      <c r="V82" s="198"/>
      <c r="W82" s="198"/>
      <c r="X82" s="198"/>
      <c r="Y82" s="198"/>
      <c r="Z82" s="198"/>
    </row>
    <row r="83" ht="13.5" customHeight="1">
      <c r="A83" s="578">
        <v>8205.0</v>
      </c>
      <c r="B83" s="420" t="s">
        <v>12846</v>
      </c>
      <c r="C83" s="420">
        <v>2003.0</v>
      </c>
      <c r="D83" s="677">
        <v>37741.0</v>
      </c>
      <c r="E83" s="420" t="s">
        <v>12847</v>
      </c>
      <c r="F83" s="420" t="s">
        <v>12848</v>
      </c>
      <c r="G83" s="420" t="s">
        <v>547</v>
      </c>
      <c r="H83" s="420" t="s">
        <v>2964</v>
      </c>
      <c r="I83" s="677">
        <v>38705.0</v>
      </c>
      <c r="J83" s="422">
        <v>12.0</v>
      </c>
      <c r="K83" s="638" t="s">
        <v>234</v>
      </c>
      <c r="L83" s="420" t="s">
        <v>258</v>
      </c>
      <c r="M83" s="316">
        <f t="shared" si="2"/>
        <v>964</v>
      </c>
      <c r="N83" s="198"/>
      <c r="O83" s="399" t="s">
        <v>258</v>
      </c>
      <c r="P83" s="113"/>
      <c r="Q83" s="113"/>
      <c r="R83" s="114"/>
      <c r="S83" s="394">
        <f>COUNTIF($L$2:$L$477,"III - Produto perigoso ao meio ambiente")</f>
        <v>48</v>
      </c>
      <c r="T83" s="395">
        <f>(S83/S85)</f>
        <v>0.5393258427</v>
      </c>
      <c r="U83" s="198"/>
      <c r="V83" s="198"/>
      <c r="W83" s="198"/>
      <c r="X83" s="198"/>
      <c r="Y83" s="198"/>
      <c r="Z83" s="198"/>
    </row>
    <row r="84" ht="14.25" customHeight="1">
      <c r="A84" s="585">
        <v>8305.0</v>
      </c>
      <c r="B84" s="426" t="s">
        <v>12849</v>
      </c>
      <c r="C84" s="426">
        <v>2003.0</v>
      </c>
      <c r="D84" s="676">
        <v>37741.0</v>
      </c>
      <c r="E84" s="426" t="s">
        <v>12850</v>
      </c>
      <c r="F84" s="426" t="s">
        <v>12848</v>
      </c>
      <c r="G84" s="426" t="s">
        <v>34</v>
      </c>
      <c r="H84" s="426" t="s">
        <v>2964</v>
      </c>
      <c r="I84" s="676">
        <v>38705.0</v>
      </c>
      <c r="J84" s="428">
        <v>12.0</v>
      </c>
      <c r="K84" s="638" t="s">
        <v>238</v>
      </c>
      <c r="L84" s="428" t="s">
        <v>258</v>
      </c>
      <c r="M84" s="319">
        <f t="shared" si="2"/>
        <v>964</v>
      </c>
      <c r="N84" s="198"/>
      <c r="O84" s="396" t="s">
        <v>260</v>
      </c>
      <c r="P84" s="113"/>
      <c r="Q84" s="113"/>
      <c r="R84" s="114"/>
      <c r="S84" s="397">
        <f>COUNTIF($L$2:$L$477,"IV - Produto pouco perigoso ao meio ambiente")</f>
        <v>12</v>
      </c>
      <c r="T84" s="398">
        <f>(S84/S85)</f>
        <v>0.1348314607</v>
      </c>
      <c r="U84" s="198"/>
      <c r="V84" s="198"/>
      <c r="W84" s="198"/>
      <c r="X84" s="198"/>
      <c r="Y84" s="198"/>
      <c r="Z84" s="198"/>
    </row>
    <row r="85" ht="14.25" customHeight="1">
      <c r="A85" s="578">
        <v>8403.0</v>
      </c>
      <c r="B85" s="578" t="s">
        <v>3889</v>
      </c>
      <c r="C85" s="578" t="s">
        <v>3889</v>
      </c>
      <c r="D85" s="578" t="s">
        <v>3889</v>
      </c>
      <c r="E85" s="578" t="s">
        <v>3889</v>
      </c>
      <c r="F85" s="578" t="s">
        <v>3889</v>
      </c>
      <c r="G85" s="578" t="s">
        <v>3889</v>
      </c>
      <c r="H85" s="578" t="s">
        <v>3889</v>
      </c>
      <c r="I85" s="578" t="s">
        <v>3889</v>
      </c>
      <c r="J85" s="578" t="s">
        <v>3889</v>
      </c>
      <c r="K85" s="578" t="s">
        <v>3889</v>
      </c>
      <c r="L85" s="578" t="s">
        <v>3889</v>
      </c>
      <c r="M85" s="578" t="s">
        <v>3889</v>
      </c>
      <c r="N85" s="198"/>
      <c r="O85" s="358" t="s">
        <v>219</v>
      </c>
      <c r="P85" s="359"/>
      <c r="Q85" s="359"/>
      <c r="R85" s="360"/>
      <c r="S85" s="388">
        <f>SUM(S81:S84)</f>
        <v>89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8505.0</v>
      </c>
      <c r="B86" s="426" t="s">
        <v>12851</v>
      </c>
      <c r="C86" s="426">
        <v>2000.0</v>
      </c>
      <c r="D86" s="500">
        <v>36818.0</v>
      </c>
      <c r="E86" s="426" t="s">
        <v>12852</v>
      </c>
      <c r="F86" s="426" t="s">
        <v>12853</v>
      </c>
      <c r="G86" s="426" t="s">
        <v>650</v>
      </c>
      <c r="H86" s="426" t="s">
        <v>705</v>
      </c>
      <c r="I86" s="500">
        <v>38706.0</v>
      </c>
      <c r="J86" s="428">
        <v>12.0</v>
      </c>
      <c r="K86" s="638" t="s">
        <v>234</v>
      </c>
      <c r="L86" s="428" t="s">
        <v>258</v>
      </c>
      <c r="M86" s="319">
        <f t="shared" ref="M86:M92" si="3">I86-D86</f>
        <v>1888</v>
      </c>
      <c r="N86" s="198"/>
      <c r="U86" s="198"/>
      <c r="V86" s="198"/>
      <c r="W86" s="198"/>
      <c r="X86" s="198"/>
      <c r="Y86" s="198"/>
      <c r="Z86" s="198"/>
    </row>
    <row r="87" ht="12.75" customHeight="1">
      <c r="A87" s="578">
        <v>8605.0</v>
      </c>
      <c r="B87" s="420" t="s">
        <v>12854</v>
      </c>
      <c r="C87" s="420">
        <v>2003.0</v>
      </c>
      <c r="D87" s="677">
        <v>37735.0</v>
      </c>
      <c r="E87" s="420" t="s">
        <v>12855</v>
      </c>
      <c r="F87" s="420" t="s">
        <v>4226</v>
      </c>
      <c r="G87" s="420" t="s">
        <v>270</v>
      </c>
      <c r="H87" s="420" t="s">
        <v>158</v>
      </c>
      <c r="I87" s="677">
        <v>38706.0</v>
      </c>
      <c r="J87" s="422">
        <v>12.0</v>
      </c>
      <c r="K87" s="638" t="s">
        <v>234</v>
      </c>
      <c r="L87" s="420" t="s">
        <v>256</v>
      </c>
      <c r="M87" s="316">
        <f t="shared" si="3"/>
        <v>971</v>
      </c>
      <c r="N87" s="198"/>
      <c r="O87" s="25"/>
      <c r="P87" s="25"/>
      <c r="Q87" s="25"/>
      <c r="R87" s="25"/>
      <c r="S87" s="25"/>
      <c r="T87" s="25"/>
      <c r="U87" s="198"/>
      <c r="V87" s="198"/>
      <c r="W87" s="198"/>
      <c r="X87" s="198"/>
      <c r="Y87" s="198"/>
      <c r="Z87" s="198"/>
    </row>
    <row r="88" ht="13.5" customHeight="1">
      <c r="A88" s="585">
        <v>8705.0</v>
      </c>
      <c r="B88" s="426" t="s">
        <v>12856</v>
      </c>
      <c r="C88" s="426">
        <v>2004.0</v>
      </c>
      <c r="D88" s="676">
        <v>38217.0</v>
      </c>
      <c r="E88" s="426" t="s">
        <v>12857</v>
      </c>
      <c r="F88" s="426" t="s">
        <v>5435</v>
      </c>
      <c r="G88" s="426" t="s">
        <v>270</v>
      </c>
      <c r="H88" s="426" t="s">
        <v>705</v>
      </c>
      <c r="I88" s="676">
        <v>38706.0</v>
      </c>
      <c r="J88" s="428">
        <v>12.0</v>
      </c>
      <c r="K88" s="638" t="s">
        <v>234</v>
      </c>
      <c r="L88" s="428" t="s">
        <v>256</v>
      </c>
      <c r="M88" s="319">
        <f t="shared" si="3"/>
        <v>489</v>
      </c>
      <c r="N88" s="198"/>
      <c r="O88" s="403" t="s">
        <v>264</v>
      </c>
      <c r="P88" s="404"/>
      <c r="Q88" s="404"/>
      <c r="R88" s="405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578">
        <v>8805.0</v>
      </c>
      <c r="B89" s="420" t="s">
        <v>12858</v>
      </c>
      <c r="C89" s="420">
        <v>2000.0</v>
      </c>
      <c r="D89" s="677">
        <v>36600.0</v>
      </c>
      <c r="E89" s="420" t="s">
        <v>12859</v>
      </c>
      <c r="F89" s="420" t="s">
        <v>12860</v>
      </c>
      <c r="G89" s="420" t="s">
        <v>565</v>
      </c>
      <c r="H89" s="420" t="s">
        <v>6534</v>
      </c>
      <c r="I89" s="677">
        <v>38706.0</v>
      </c>
      <c r="J89" s="422">
        <v>12.0</v>
      </c>
      <c r="K89" s="638" t="s">
        <v>244</v>
      </c>
      <c r="L89" s="420" t="s">
        <v>260</v>
      </c>
      <c r="M89" s="316">
        <f t="shared" si="3"/>
        <v>2106</v>
      </c>
      <c r="N89" s="198"/>
      <c r="O89" s="406"/>
      <c r="P89" s="105"/>
      <c r="Q89" s="105"/>
      <c r="R89" s="407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585">
        <v>8905.0</v>
      </c>
      <c r="B90" s="426" t="s">
        <v>12861</v>
      </c>
      <c r="C90" s="426">
        <v>2003.0</v>
      </c>
      <c r="D90" s="676">
        <v>37923.0</v>
      </c>
      <c r="E90" s="426" t="s">
        <v>12862</v>
      </c>
      <c r="F90" s="426" t="s">
        <v>11332</v>
      </c>
      <c r="G90" s="426" t="s">
        <v>270</v>
      </c>
      <c r="H90" s="426" t="s">
        <v>705</v>
      </c>
      <c r="I90" s="676">
        <v>38708.0</v>
      </c>
      <c r="J90" s="428">
        <v>12.0</v>
      </c>
      <c r="K90" s="638" t="s">
        <v>228</v>
      </c>
      <c r="L90" s="428" t="s">
        <v>258</v>
      </c>
      <c r="M90" s="578">
        <f t="shared" si="3"/>
        <v>785</v>
      </c>
      <c r="N90" s="198"/>
      <c r="O90" s="679" t="s">
        <v>267</v>
      </c>
      <c r="P90" s="680" t="s">
        <v>268</v>
      </c>
      <c r="R90" s="681"/>
      <c r="S90" s="198"/>
      <c r="T90" s="198"/>
      <c r="U90" s="198"/>
      <c r="V90" s="198"/>
      <c r="W90" s="198"/>
      <c r="X90" s="198"/>
      <c r="Y90" s="198"/>
      <c r="Z90" s="198"/>
    </row>
    <row r="91" ht="12.75" customHeight="1">
      <c r="A91" s="578">
        <v>9005.0</v>
      </c>
      <c r="B91" s="420" t="s">
        <v>12863</v>
      </c>
      <c r="C91" s="420">
        <v>2001.0</v>
      </c>
      <c r="D91" s="497">
        <v>37039.0</v>
      </c>
      <c r="E91" s="420" t="s">
        <v>12864</v>
      </c>
      <c r="F91" s="420" t="s">
        <v>8101</v>
      </c>
      <c r="G91" s="420" t="s">
        <v>650</v>
      </c>
      <c r="H91" s="420" t="s">
        <v>9033</v>
      </c>
      <c r="I91" s="497">
        <v>38713.0</v>
      </c>
      <c r="J91" s="422">
        <v>12.0</v>
      </c>
      <c r="K91" s="638" t="s">
        <v>238</v>
      </c>
      <c r="L91" s="420" t="s">
        <v>258</v>
      </c>
      <c r="M91" s="316">
        <f t="shared" si="3"/>
        <v>1674</v>
      </c>
      <c r="N91" s="198"/>
      <c r="O91" s="412" t="s">
        <v>270</v>
      </c>
      <c r="P91" s="413">
        <f>AVERAGEIF(G2:G477,"PT",M2:M477)</f>
        <v>1083.73913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585">
        <v>9105.0</v>
      </c>
      <c r="B92" s="426" t="s">
        <v>12865</v>
      </c>
      <c r="C92" s="426">
        <v>2001.0</v>
      </c>
      <c r="D92" s="500">
        <v>37097.0</v>
      </c>
      <c r="E92" s="426" t="s">
        <v>12866</v>
      </c>
      <c r="F92" s="426" t="s">
        <v>12853</v>
      </c>
      <c r="G92" s="426" t="s">
        <v>650</v>
      </c>
      <c r="H92" s="426" t="s">
        <v>705</v>
      </c>
      <c r="I92" s="500">
        <v>38714.0</v>
      </c>
      <c r="J92" s="428">
        <v>12.0</v>
      </c>
      <c r="K92" s="638" t="s">
        <v>234</v>
      </c>
      <c r="L92" s="428" t="s">
        <v>258</v>
      </c>
      <c r="M92" s="319">
        <f t="shared" si="3"/>
        <v>1617</v>
      </c>
      <c r="N92" s="198"/>
      <c r="O92" s="414" t="s">
        <v>34</v>
      </c>
      <c r="P92" s="415">
        <f>AVERAGEIF(G2:G478,"PTN",M2:M478)</f>
        <v>835.6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613"/>
      <c r="B93" s="613"/>
      <c r="C93" s="613"/>
      <c r="D93" s="613"/>
      <c r="E93" s="198"/>
      <c r="F93" s="198"/>
      <c r="G93" s="198"/>
      <c r="H93" s="198"/>
      <c r="I93" s="198"/>
      <c r="J93" s="198"/>
      <c r="K93" s="198"/>
      <c r="L93" s="198"/>
      <c r="M93" s="616"/>
      <c r="N93" s="198"/>
      <c r="O93" s="412" t="s">
        <v>17</v>
      </c>
      <c r="P93" s="413" t="str">
        <f>AVERAGEIF(G2:G92,"PTE",M2:M92)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613"/>
      <c r="B94" s="613"/>
      <c r="C94" s="613"/>
      <c r="D94" s="615"/>
      <c r="E94" s="198"/>
      <c r="F94" s="198"/>
      <c r="G94" s="198"/>
      <c r="H94" s="198"/>
      <c r="I94" s="615"/>
      <c r="J94" s="198"/>
      <c r="K94" s="198"/>
      <c r="L94" s="198"/>
      <c r="M94" s="616"/>
      <c r="N94" s="198"/>
      <c r="O94" s="414" t="s">
        <v>46</v>
      </c>
      <c r="P94" s="415">
        <f>AVERAGEIF(G2:G477,"Pré-Mistura",M2:M477)</f>
        <v>196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613"/>
      <c r="B95" s="613"/>
      <c r="C95" s="613"/>
      <c r="D95" s="615"/>
      <c r="E95" s="198"/>
      <c r="F95" s="198"/>
      <c r="G95" s="198"/>
      <c r="H95" s="198"/>
      <c r="I95" s="615"/>
      <c r="J95" s="198"/>
      <c r="K95" s="198"/>
      <c r="L95" s="198"/>
      <c r="M95" s="616"/>
      <c r="N95" s="198"/>
      <c r="O95" s="412" t="s">
        <v>650</v>
      </c>
      <c r="P95" s="413">
        <f>AVERAGEIF(G2:G477,"PF",M2:M477)</f>
        <v>1190.088889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613"/>
      <c r="B96" s="613"/>
      <c r="C96" s="613"/>
      <c r="D96" s="615"/>
      <c r="E96" s="198"/>
      <c r="F96" s="198"/>
      <c r="G96" s="198"/>
      <c r="H96" s="198"/>
      <c r="I96" s="615"/>
      <c r="J96" s="198"/>
      <c r="K96" s="198"/>
      <c r="L96" s="198"/>
      <c r="M96" s="616"/>
      <c r="N96" s="198"/>
      <c r="O96" s="414" t="s">
        <v>547</v>
      </c>
      <c r="P96" s="415">
        <f>AVERAGEIF(G2:G477,"PFN",M2:M477)</f>
        <v>1053.2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613"/>
      <c r="B97" s="613"/>
      <c r="C97" s="613"/>
      <c r="D97" s="615"/>
      <c r="E97" s="198"/>
      <c r="F97" s="198"/>
      <c r="G97" s="198"/>
      <c r="H97" s="198"/>
      <c r="I97" s="615"/>
      <c r="J97" s="198"/>
      <c r="K97" s="198"/>
      <c r="L97" s="198"/>
      <c r="M97" s="616"/>
      <c r="N97" s="198"/>
      <c r="O97" s="412" t="s">
        <v>552</v>
      </c>
      <c r="P97" s="413" t="str">
        <f>AVERAGEIF(G2:G477,"PF/PTE",M2:M477)</f>
        <v>#DIV/0!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613"/>
      <c r="B98" s="613"/>
      <c r="C98" s="613"/>
      <c r="D98" s="615"/>
      <c r="E98" s="198"/>
      <c r="F98" s="198"/>
      <c r="G98" s="198"/>
      <c r="H98" s="198"/>
      <c r="I98" s="615"/>
      <c r="J98" s="198"/>
      <c r="K98" s="198"/>
      <c r="L98" s="198"/>
      <c r="M98" s="616"/>
      <c r="N98" s="198"/>
      <c r="O98" s="414" t="s">
        <v>565</v>
      </c>
      <c r="P98" s="415">
        <f>AVERAGEIF(G2:G477,"Bio",M2:M477)</f>
        <v>1075.3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613"/>
      <c r="B99" s="613"/>
      <c r="C99" s="613"/>
      <c r="D99" s="615"/>
      <c r="E99" s="198"/>
      <c r="F99" s="198"/>
      <c r="G99" s="198"/>
      <c r="H99" s="198"/>
      <c r="I99" s="615"/>
      <c r="J99" s="198"/>
      <c r="K99" s="198"/>
      <c r="L99" s="198"/>
      <c r="M99" s="616"/>
      <c r="N99" s="198"/>
      <c r="O99" s="412" t="s">
        <v>569</v>
      </c>
      <c r="P99" s="413" t="str">
        <f>AVERAGEIF(G2:G92,"Bio/Org",M2:M92)</f>
        <v>#DIV/0!</v>
      </c>
      <c r="Q99" s="368"/>
      <c r="R99" s="369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613"/>
      <c r="B100" s="613"/>
      <c r="C100" s="613"/>
      <c r="D100" s="615"/>
      <c r="E100" s="198"/>
      <c r="F100" s="198"/>
      <c r="G100" s="198"/>
      <c r="H100" s="198"/>
      <c r="I100" s="615"/>
      <c r="J100" s="198"/>
      <c r="K100" s="198"/>
      <c r="L100" s="198"/>
      <c r="M100" s="616"/>
      <c r="N100" s="198"/>
      <c r="O100" s="416" t="s">
        <v>275</v>
      </c>
      <c r="P100" s="417">
        <f>AVERAGE(M2:M495)</f>
        <v>1110.932584</v>
      </c>
      <c r="Q100" s="418"/>
      <c r="R100" s="318"/>
      <c r="S100" s="25"/>
      <c r="T100" s="25"/>
      <c r="U100" s="198"/>
      <c r="V100" s="198"/>
      <c r="W100" s="198"/>
      <c r="X100" s="198"/>
      <c r="Y100" s="198"/>
      <c r="Z100" s="198"/>
    </row>
    <row r="101" ht="12.75" customHeight="1">
      <c r="A101" s="613"/>
      <c r="B101" s="613"/>
      <c r="C101" s="613"/>
      <c r="D101" s="615"/>
      <c r="E101" s="198"/>
      <c r="F101" s="198"/>
      <c r="G101" s="198"/>
      <c r="H101" s="198"/>
      <c r="I101" s="615"/>
      <c r="J101" s="198"/>
      <c r="K101" s="198"/>
      <c r="L101" s="198"/>
      <c r="M101" s="616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613"/>
      <c r="B102" s="613"/>
      <c r="C102" s="613"/>
      <c r="D102" s="615"/>
      <c r="E102" s="198"/>
      <c r="F102" s="198"/>
      <c r="G102" s="198"/>
      <c r="H102" s="198"/>
      <c r="I102" s="615"/>
      <c r="J102" s="198"/>
      <c r="K102" s="198"/>
      <c r="L102" s="198"/>
      <c r="M102" s="616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613"/>
      <c r="B103" s="613"/>
      <c r="C103" s="613"/>
      <c r="D103" s="615"/>
      <c r="E103" s="198"/>
      <c r="F103" s="198"/>
      <c r="G103" s="198"/>
      <c r="H103" s="198"/>
      <c r="I103" s="615"/>
      <c r="J103" s="198"/>
      <c r="K103" s="198"/>
      <c r="L103" s="198"/>
      <c r="M103" s="616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613"/>
      <c r="B104" s="613"/>
      <c r="C104" s="613"/>
      <c r="D104" s="615"/>
      <c r="E104" s="198"/>
      <c r="F104" s="198"/>
      <c r="G104" s="198"/>
      <c r="H104" s="198"/>
      <c r="I104" s="615"/>
      <c r="J104" s="198"/>
      <c r="K104" s="198"/>
      <c r="L104" s="198"/>
      <c r="M104" s="61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613"/>
      <c r="B105" s="613"/>
      <c r="C105" s="613"/>
      <c r="D105" s="615"/>
      <c r="E105" s="198"/>
      <c r="F105" s="198"/>
      <c r="G105" s="198"/>
      <c r="H105" s="198"/>
      <c r="I105" s="615"/>
      <c r="J105" s="198"/>
      <c r="K105" s="198"/>
      <c r="L105" s="198"/>
      <c r="M105" s="616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613"/>
      <c r="C106" s="613"/>
      <c r="D106" s="615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613"/>
      <c r="B107" s="613"/>
      <c r="C107" s="613"/>
      <c r="D107" s="615"/>
      <c r="E107" s="198"/>
      <c r="F107" s="198"/>
      <c r="G107" s="198"/>
      <c r="H107" s="198"/>
      <c r="I107" s="615"/>
      <c r="J107" s="198"/>
      <c r="K107" s="198"/>
      <c r="L107" s="198"/>
      <c r="M107" s="61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613"/>
      <c r="B108" s="613"/>
      <c r="C108" s="613"/>
      <c r="D108" s="615"/>
      <c r="E108" s="198"/>
      <c r="F108" s="198"/>
      <c r="G108" s="198"/>
      <c r="H108" s="198"/>
      <c r="I108" s="615"/>
      <c r="J108" s="198"/>
      <c r="K108" s="198"/>
      <c r="L108" s="198"/>
      <c r="M108" s="616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613"/>
      <c r="B109" s="613"/>
      <c r="C109" s="613"/>
      <c r="D109" s="615"/>
      <c r="E109" s="198"/>
      <c r="F109" s="198"/>
      <c r="G109" s="198"/>
      <c r="H109" s="198"/>
      <c r="I109" s="615"/>
      <c r="J109" s="198"/>
      <c r="K109" s="198"/>
      <c r="L109" s="198"/>
      <c r="M109" s="616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613"/>
      <c r="B110" s="613"/>
      <c r="C110" s="613"/>
      <c r="D110" s="615"/>
      <c r="E110" s="198"/>
      <c r="F110" s="198"/>
      <c r="G110" s="198"/>
      <c r="H110" s="198"/>
      <c r="I110" s="615"/>
      <c r="J110" s="198"/>
      <c r="K110" s="198"/>
      <c r="L110" s="198"/>
      <c r="M110" s="61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613"/>
      <c r="B111" s="613"/>
      <c r="C111" s="613"/>
      <c r="D111" s="615"/>
      <c r="E111" s="198"/>
      <c r="F111" s="198"/>
      <c r="G111" s="198"/>
      <c r="H111" s="198"/>
      <c r="I111" s="615"/>
      <c r="J111" s="198"/>
      <c r="K111" s="198"/>
      <c r="L111" s="198"/>
      <c r="M111" s="616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5"/>
      <c r="E112" s="198"/>
      <c r="F112" s="198"/>
      <c r="G112" s="198"/>
      <c r="H112" s="198"/>
      <c r="I112" s="615"/>
      <c r="J112" s="198"/>
      <c r="K112" s="198"/>
      <c r="L112" s="198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613"/>
      <c r="B113" s="613"/>
      <c r="C113" s="613"/>
      <c r="D113" s="615"/>
      <c r="E113" s="198"/>
      <c r="F113" s="198"/>
      <c r="G113" s="198"/>
      <c r="H113" s="198"/>
      <c r="I113" s="615"/>
      <c r="J113" s="198"/>
      <c r="K113" s="198"/>
      <c r="L113" s="198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613"/>
      <c r="B114" s="613"/>
      <c r="C114" s="613"/>
      <c r="D114" s="615"/>
      <c r="E114" s="198"/>
      <c r="F114" s="198"/>
      <c r="G114" s="198"/>
      <c r="H114" s="198"/>
      <c r="I114" s="615"/>
      <c r="J114" s="198"/>
      <c r="K114" s="198"/>
      <c r="L114" s="198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613"/>
      <c r="B115" s="613"/>
      <c r="C115" s="613"/>
      <c r="D115" s="615"/>
      <c r="E115" s="198"/>
      <c r="F115" s="198"/>
      <c r="G115" s="198"/>
      <c r="H115" s="198"/>
      <c r="I115" s="615"/>
      <c r="J115" s="198"/>
      <c r="K115" s="198"/>
      <c r="L115" s="198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613"/>
      <c r="B116" s="613"/>
      <c r="C116" s="613"/>
      <c r="D116" s="615"/>
      <c r="E116" s="198"/>
      <c r="F116" s="198"/>
      <c r="G116" s="198"/>
      <c r="H116" s="198"/>
      <c r="I116" s="615"/>
      <c r="J116" s="198"/>
      <c r="K116" s="198"/>
      <c r="L116" s="198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613"/>
      <c r="B117" s="613"/>
      <c r="C117" s="613"/>
      <c r="D117" s="615"/>
      <c r="E117" s="198"/>
      <c r="F117" s="198"/>
      <c r="G117" s="198"/>
      <c r="H117" s="198"/>
      <c r="I117" s="615"/>
      <c r="J117" s="198"/>
      <c r="K117" s="198"/>
      <c r="L117" s="198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  <row r="1001" ht="12.75" customHeight="1">
      <c r="A1001" s="613"/>
      <c r="B1001" s="613"/>
      <c r="C1001" s="613"/>
      <c r="D1001" s="615"/>
      <c r="E1001" s="198"/>
      <c r="F1001" s="198"/>
      <c r="G1001" s="198"/>
      <c r="H1001" s="198"/>
      <c r="I1001" s="615"/>
      <c r="J1001" s="198"/>
      <c r="K1001" s="198"/>
      <c r="L1001" s="198"/>
      <c r="M1001" s="616"/>
      <c r="N1001" s="198"/>
      <c r="O1001" s="198"/>
      <c r="P1001" s="198"/>
      <c r="Q1001" s="198"/>
      <c r="R1001" s="198"/>
      <c r="S1001" s="198"/>
      <c r="T1001" s="198"/>
      <c r="U1001" s="198"/>
      <c r="V1001" s="198"/>
      <c r="W1001" s="198"/>
      <c r="X1001" s="198"/>
      <c r="Y1001" s="198"/>
      <c r="Z1001" s="198"/>
    </row>
  </sheetData>
  <autoFilter ref="$A$1:$M$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5:R95"/>
    <mergeCell ref="P96:R96"/>
    <mergeCell ref="P97:R97"/>
    <mergeCell ref="P98:R98"/>
    <mergeCell ref="P99:R99"/>
    <mergeCell ref="P100:R100"/>
    <mergeCell ref="O85:R85"/>
    <mergeCell ref="O88:R89"/>
    <mergeCell ref="P90:R90"/>
    <mergeCell ref="P91:R91"/>
    <mergeCell ref="P92:R92"/>
    <mergeCell ref="P93:R93"/>
    <mergeCell ref="P94:R94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43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104.0</v>
      </c>
      <c r="B2" s="426" t="s">
        <v>12867</v>
      </c>
      <c r="C2" s="426">
        <v>2000.0</v>
      </c>
      <c r="D2" s="500">
        <v>36874.0</v>
      </c>
      <c r="E2" s="426" t="s">
        <v>12868</v>
      </c>
      <c r="F2" s="426" t="s">
        <v>12869</v>
      </c>
      <c r="G2" s="426" t="s">
        <v>547</v>
      </c>
      <c r="H2" s="426" t="s">
        <v>705</v>
      </c>
      <c r="I2" s="500">
        <v>37995.0</v>
      </c>
      <c r="J2" s="428">
        <v>1.0</v>
      </c>
      <c r="K2" s="638" t="s">
        <v>234</v>
      </c>
      <c r="L2" s="428" t="s">
        <v>258</v>
      </c>
      <c r="M2" s="319">
        <f t="shared" ref="M2:M12" si="1">I2-D2</f>
        <v>1121</v>
      </c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204.0</v>
      </c>
      <c r="B3" s="420" t="s">
        <v>12870</v>
      </c>
      <c r="C3" s="420">
        <v>2003.0</v>
      </c>
      <c r="D3" s="497">
        <v>37900.0</v>
      </c>
      <c r="E3" s="420" t="s">
        <v>12871</v>
      </c>
      <c r="F3" s="420" t="s">
        <v>963</v>
      </c>
      <c r="G3" s="420" t="s">
        <v>650</v>
      </c>
      <c r="H3" s="420" t="s">
        <v>6011</v>
      </c>
      <c r="I3" s="497">
        <v>38000.0</v>
      </c>
      <c r="J3" s="422">
        <v>1.0</v>
      </c>
      <c r="K3" s="637" t="s">
        <v>238</v>
      </c>
      <c r="L3" s="420" t="s">
        <v>258</v>
      </c>
      <c r="M3" s="316">
        <f t="shared" si="1"/>
        <v>100</v>
      </c>
      <c r="N3" s="198"/>
      <c r="O3" s="320" t="s">
        <v>27</v>
      </c>
      <c r="P3" s="320">
        <f>COUNTIF($G$2:$G$476,"PT")</f>
        <v>21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304.0</v>
      </c>
      <c r="B4" s="426" t="s">
        <v>12872</v>
      </c>
      <c r="C4" s="426">
        <v>2001.0</v>
      </c>
      <c r="D4" s="500">
        <v>37071.0</v>
      </c>
      <c r="E4" s="426" t="s">
        <v>12873</v>
      </c>
      <c r="F4" s="426" t="s">
        <v>885</v>
      </c>
      <c r="G4" s="426" t="s">
        <v>270</v>
      </c>
      <c r="H4" s="426" t="s">
        <v>12127</v>
      </c>
      <c r="I4" s="500">
        <v>38015.0</v>
      </c>
      <c r="J4" s="428">
        <v>1.0</v>
      </c>
      <c r="K4" s="637" t="s">
        <v>238</v>
      </c>
      <c r="L4" s="428" t="s">
        <v>258</v>
      </c>
      <c r="M4" s="319">
        <f t="shared" si="1"/>
        <v>944</v>
      </c>
      <c r="N4" s="198"/>
      <c r="O4" s="321" t="s">
        <v>34</v>
      </c>
      <c r="P4" s="321">
        <f>COUNTIF($G$2:$G$476,"PTN")</f>
        <v>4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404.0</v>
      </c>
      <c r="B5" s="420" t="s">
        <v>12874</v>
      </c>
      <c r="C5" s="420">
        <v>2001.0</v>
      </c>
      <c r="D5" s="497">
        <v>37133.0</v>
      </c>
      <c r="E5" s="420" t="s">
        <v>12875</v>
      </c>
      <c r="F5" s="420" t="s">
        <v>12876</v>
      </c>
      <c r="G5" s="420" t="s">
        <v>650</v>
      </c>
      <c r="H5" s="420" t="s">
        <v>705</v>
      </c>
      <c r="I5" s="497">
        <v>38015.0</v>
      </c>
      <c r="J5" s="422">
        <v>1.0</v>
      </c>
      <c r="K5" s="638" t="s">
        <v>234</v>
      </c>
      <c r="L5" s="420" t="s">
        <v>258</v>
      </c>
      <c r="M5" s="316">
        <f t="shared" si="1"/>
        <v>882</v>
      </c>
      <c r="N5" s="198"/>
      <c r="O5" s="322" t="s">
        <v>40</v>
      </c>
      <c r="P5" s="322">
        <f>COUNTIF($G$2:$G$476,"PTE")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504.0</v>
      </c>
      <c r="B6" s="426" t="s">
        <v>12877</v>
      </c>
      <c r="C6" s="426">
        <v>2001.0</v>
      </c>
      <c r="D6" s="500">
        <v>37144.0</v>
      </c>
      <c r="E6" s="426" t="s">
        <v>12878</v>
      </c>
      <c r="F6" s="426" t="s">
        <v>12879</v>
      </c>
      <c r="G6" s="426" t="s">
        <v>270</v>
      </c>
      <c r="H6" s="426" t="s">
        <v>2964</v>
      </c>
      <c r="I6" s="500">
        <v>38015.0</v>
      </c>
      <c r="J6" s="428">
        <v>1.0</v>
      </c>
      <c r="K6" s="638" t="s">
        <v>234</v>
      </c>
      <c r="L6" s="428" t="s">
        <v>258</v>
      </c>
      <c r="M6" s="319">
        <f t="shared" si="1"/>
        <v>871</v>
      </c>
      <c r="N6" s="198"/>
      <c r="O6" s="321" t="s">
        <v>46</v>
      </c>
      <c r="P6" s="321">
        <f>COUNTIF($G$2:$G$476,"Pré-Mistura")</f>
        <v>1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604.0</v>
      </c>
      <c r="B7" s="420" t="s">
        <v>12880</v>
      </c>
      <c r="C7" s="420">
        <v>2001.0</v>
      </c>
      <c r="D7" s="497">
        <v>37246.0</v>
      </c>
      <c r="E7" s="420" t="s">
        <v>12881</v>
      </c>
      <c r="F7" s="420" t="s">
        <v>12882</v>
      </c>
      <c r="G7" s="420" t="s">
        <v>547</v>
      </c>
      <c r="H7" s="420" t="s">
        <v>1002</v>
      </c>
      <c r="I7" s="497">
        <v>38016.0</v>
      </c>
      <c r="J7" s="422">
        <v>1.0</v>
      </c>
      <c r="K7" s="637" t="s">
        <v>238</v>
      </c>
      <c r="L7" s="420" t="s">
        <v>256</v>
      </c>
      <c r="M7" s="316">
        <f t="shared" si="1"/>
        <v>770</v>
      </c>
      <c r="N7" s="198"/>
      <c r="O7" s="322" t="s">
        <v>553</v>
      </c>
      <c r="P7" s="322">
        <f>COUNTIF($G$2:$G$476,"PF")</f>
        <v>45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704.0</v>
      </c>
      <c r="B8" s="426" t="s">
        <v>12883</v>
      </c>
      <c r="C8" s="426">
        <v>2001.0</v>
      </c>
      <c r="D8" s="500">
        <v>37060.0</v>
      </c>
      <c r="E8" s="426" t="s">
        <v>12884</v>
      </c>
      <c r="F8" s="426" t="s">
        <v>3688</v>
      </c>
      <c r="G8" s="426" t="s">
        <v>565</v>
      </c>
      <c r="H8" s="426" t="s">
        <v>7556</v>
      </c>
      <c r="I8" s="500">
        <v>38016.0</v>
      </c>
      <c r="J8" s="428">
        <v>1.0</v>
      </c>
      <c r="K8" s="636" t="s">
        <v>244</v>
      </c>
      <c r="L8" s="428" t="s">
        <v>260</v>
      </c>
      <c r="M8" s="319">
        <f t="shared" si="1"/>
        <v>956</v>
      </c>
      <c r="N8" s="198"/>
      <c r="O8" s="321" t="s">
        <v>547</v>
      </c>
      <c r="P8" s="321">
        <f>COUNTIF($G$2:$G$476,"PFN")</f>
        <v>7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804.0</v>
      </c>
      <c r="B9" s="420" t="s">
        <v>12885</v>
      </c>
      <c r="C9" s="420">
        <v>2000.0</v>
      </c>
      <c r="D9" s="497">
        <v>36882.0</v>
      </c>
      <c r="E9" s="420" t="s">
        <v>12886</v>
      </c>
      <c r="F9" s="420" t="s">
        <v>31</v>
      </c>
      <c r="G9" s="420" t="s">
        <v>270</v>
      </c>
      <c r="H9" s="420" t="s">
        <v>11527</v>
      </c>
      <c r="I9" s="497">
        <v>38016.0</v>
      </c>
      <c r="J9" s="422">
        <v>1.0</v>
      </c>
      <c r="K9" s="637" t="s">
        <v>238</v>
      </c>
      <c r="L9" s="420" t="s">
        <v>258</v>
      </c>
      <c r="M9" s="316">
        <f t="shared" si="1"/>
        <v>1134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904.0</v>
      </c>
      <c r="B10" s="426" t="s">
        <v>12887</v>
      </c>
      <c r="C10" s="426">
        <v>2002.0</v>
      </c>
      <c r="D10" s="500">
        <v>37305.0</v>
      </c>
      <c r="E10" s="426" t="s">
        <v>12888</v>
      </c>
      <c r="F10" s="426" t="s">
        <v>5368</v>
      </c>
      <c r="G10" s="426" t="s">
        <v>650</v>
      </c>
      <c r="H10" s="426" t="s">
        <v>158</v>
      </c>
      <c r="I10" s="500">
        <v>38022.0</v>
      </c>
      <c r="J10" s="428">
        <v>2.0</v>
      </c>
      <c r="K10" s="637" t="s">
        <v>238</v>
      </c>
      <c r="L10" s="428" t="s">
        <v>260</v>
      </c>
      <c r="M10" s="319">
        <f t="shared" si="1"/>
        <v>717</v>
      </c>
      <c r="N10" s="198"/>
      <c r="O10" s="321" t="s">
        <v>565</v>
      </c>
      <c r="P10" s="321">
        <f>COUNTIF($G$2:$G$476,"Bio")</f>
        <v>6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1004.0</v>
      </c>
      <c r="B11" s="420" t="s">
        <v>12889</v>
      </c>
      <c r="C11" s="420">
        <v>2002.0</v>
      </c>
      <c r="D11" s="497">
        <v>37438.0</v>
      </c>
      <c r="E11" s="420" t="s">
        <v>12890</v>
      </c>
      <c r="F11" s="420" t="s">
        <v>1554</v>
      </c>
      <c r="G11" s="420" t="s">
        <v>547</v>
      </c>
      <c r="H11" s="420" t="s">
        <v>158</v>
      </c>
      <c r="I11" s="497">
        <v>38022.0</v>
      </c>
      <c r="J11" s="422">
        <v>2.0</v>
      </c>
      <c r="K11" s="637" t="s">
        <v>238</v>
      </c>
      <c r="L11" s="420" t="s">
        <v>258</v>
      </c>
      <c r="M11" s="316">
        <f t="shared" si="1"/>
        <v>584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1104.0</v>
      </c>
      <c r="B12" s="426" t="s">
        <v>12891</v>
      </c>
      <c r="C12" s="426">
        <v>2002.0</v>
      </c>
      <c r="D12" s="500">
        <v>37434.0</v>
      </c>
      <c r="E12" s="426" t="s">
        <v>12892</v>
      </c>
      <c r="F12" s="426" t="s">
        <v>1554</v>
      </c>
      <c r="G12" s="426" t="s">
        <v>34</v>
      </c>
      <c r="H12" s="426" t="s">
        <v>158</v>
      </c>
      <c r="I12" s="500">
        <v>38023.0</v>
      </c>
      <c r="J12" s="428">
        <v>2.0</v>
      </c>
      <c r="K12" s="635" t="s">
        <v>228</v>
      </c>
      <c r="L12" s="428" t="s">
        <v>258</v>
      </c>
      <c r="M12" s="319">
        <f t="shared" si="1"/>
        <v>589</v>
      </c>
      <c r="N12" s="198"/>
      <c r="O12" s="324" t="s">
        <v>51</v>
      </c>
      <c r="P12" s="325">
        <f>SUM(P3:P11)</f>
        <v>84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1204.0</v>
      </c>
      <c r="B13" s="578" t="s">
        <v>3889</v>
      </c>
      <c r="C13" s="578" t="s">
        <v>3889</v>
      </c>
      <c r="D13" s="579" t="s">
        <v>3889</v>
      </c>
      <c r="E13" s="578" t="s">
        <v>3889</v>
      </c>
      <c r="F13" s="578" t="s">
        <v>3889</v>
      </c>
      <c r="G13" s="578" t="s">
        <v>3889</v>
      </c>
      <c r="H13" s="578" t="s">
        <v>3889</v>
      </c>
      <c r="I13" s="579" t="s">
        <v>3889</v>
      </c>
      <c r="J13" s="322" t="s">
        <v>3889</v>
      </c>
      <c r="K13" s="322" t="s">
        <v>3889</v>
      </c>
      <c r="L13" s="578" t="s">
        <v>3889</v>
      </c>
      <c r="M13" s="578" t="s">
        <v>3889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1304.0</v>
      </c>
      <c r="B14" s="426" t="s">
        <v>12893</v>
      </c>
      <c r="C14" s="426">
        <v>2000.0</v>
      </c>
      <c r="D14" s="500">
        <v>36762.0</v>
      </c>
      <c r="E14" s="426" t="s">
        <v>12894</v>
      </c>
      <c r="F14" s="426" t="s">
        <v>12895</v>
      </c>
      <c r="G14" s="426" t="s">
        <v>34</v>
      </c>
      <c r="H14" s="426" t="s">
        <v>18</v>
      </c>
      <c r="I14" s="500">
        <v>38033.0</v>
      </c>
      <c r="J14" s="428">
        <v>2.0</v>
      </c>
      <c r="K14" s="637" t="s">
        <v>238</v>
      </c>
      <c r="L14" s="428" t="s">
        <v>256</v>
      </c>
      <c r="M14" s="319">
        <f t="shared" ref="M14:M86" si="2">I14-D14</f>
        <v>1271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1404.0</v>
      </c>
      <c r="B15" s="420" t="s">
        <v>12896</v>
      </c>
      <c r="C15" s="420">
        <v>2001.0</v>
      </c>
      <c r="D15" s="497">
        <v>37174.0</v>
      </c>
      <c r="E15" s="420" t="s">
        <v>12897</v>
      </c>
      <c r="F15" s="420" t="s">
        <v>12898</v>
      </c>
      <c r="G15" s="420" t="s">
        <v>650</v>
      </c>
      <c r="H15" s="420" t="s">
        <v>705</v>
      </c>
      <c r="I15" s="497">
        <v>38033.0</v>
      </c>
      <c r="J15" s="422">
        <v>2.0</v>
      </c>
      <c r="K15" s="635" t="s">
        <v>228</v>
      </c>
      <c r="L15" s="420" t="s">
        <v>256</v>
      </c>
      <c r="M15" s="316">
        <f t="shared" si="2"/>
        <v>859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1504.0</v>
      </c>
      <c r="B16" s="426" t="s">
        <v>12899</v>
      </c>
      <c r="C16" s="426">
        <v>2001.0</v>
      </c>
      <c r="D16" s="500">
        <v>37071.0</v>
      </c>
      <c r="E16" s="426" t="s">
        <v>12900</v>
      </c>
      <c r="F16" s="426" t="s">
        <v>885</v>
      </c>
      <c r="G16" s="426" t="s">
        <v>650</v>
      </c>
      <c r="H16" s="426" t="s">
        <v>12901</v>
      </c>
      <c r="I16" s="500">
        <v>38033.0</v>
      </c>
      <c r="J16" s="428">
        <v>2.0</v>
      </c>
      <c r="K16" s="637" t="s">
        <v>238</v>
      </c>
      <c r="L16" s="428" t="s">
        <v>256</v>
      </c>
      <c r="M16" s="319">
        <f t="shared" si="2"/>
        <v>962</v>
      </c>
      <c r="N16" s="198"/>
      <c r="O16" s="331" t="s">
        <v>12902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1604.0</v>
      </c>
      <c r="B17" s="420" t="s">
        <v>12903</v>
      </c>
      <c r="C17" s="420">
        <v>2001.0</v>
      </c>
      <c r="D17" s="497">
        <v>37147.0</v>
      </c>
      <c r="E17" s="420" t="s">
        <v>12904</v>
      </c>
      <c r="F17" s="420" t="s">
        <v>947</v>
      </c>
      <c r="G17" s="420" t="s">
        <v>650</v>
      </c>
      <c r="H17" s="420" t="s">
        <v>5180</v>
      </c>
      <c r="I17" s="497">
        <v>38033.0</v>
      </c>
      <c r="J17" s="422">
        <v>2.0</v>
      </c>
      <c r="K17" s="637" t="s">
        <v>238</v>
      </c>
      <c r="L17" s="420" t="s">
        <v>258</v>
      </c>
      <c r="M17" s="316">
        <f t="shared" si="2"/>
        <v>886</v>
      </c>
      <c r="N17" s="198"/>
      <c r="O17" s="334" t="s">
        <v>12905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1704.0</v>
      </c>
      <c r="B18" s="426" t="s">
        <v>12906</v>
      </c>
      <c r="C18" s="426">
        <v>2000.0</v>
      </c>
      <c r="D18" s="500">
        <v>36882.0</v>
      </c>
      <c r="E18" s="426" t="s">
        <v>12907</v>
      </c>
      <c r="F18" s="426" t="s">
        <v>963</v>
      </c>
      <c r="G18" s="426" t="s">
        <v>650</v>
      </c>
      <c r="H18" s="426" t="s">
        <v>11527</v>
      </c>
      <c r="I18" s="500">
        <v>38057.0</v>
      </c>
      <c r="J18" s="428">
        <v>3.0</v>
      </c>
      <c r="K18" s="637" t="s">
        <v>238</v>
      </c>
      <c r="L18" s="428" t="s">
        <v>258</v>
      </c>
      <c r="M18" s="319">
        <f t="shared" si="2"/>
        <v>1175</v>
      </c>
      <c r="N18" s="198"/>
      <c r="O18" s="335" t="s">
        <v>12908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1804.0</v>
      </c>
      <c r="B19" s="420" t="s">
        <v>12909</v>
      </c>
      <c r="C19" s="420">
        <v>2001.0</v>
      </c>
      <c r="D19" s="497">
        <v>37181.0</v>
      </c>
      <c r="E19" s="420" t="s">
        <v>12910</v>
      </c>
      <c r="F19" s="420" t="s">
        <v>12911</v>
      </c>
      <c r="G19" s="420" t="s">
        <v>547</v>
      </c>
      <c r="H19" s="420" t="s">
        <v>651</v>
      </c>
      <c r="I19" s="497">
        <v>38057.0</v>
      </c>
      <c r="J19" s="422">
        <v>3.0</v>
      </c>
      <c r="K19" s="637" t="s">
        <v>238</v>
      </c>
      <c r="L19" s="420" t="s">
        <v>256</v>
      </c>
      <c r="M19" s="316">
        <f t="shared" si="2"/>
        <v>876</v>
      </c>
      <c r="N19" s="198"/>
      <c r="O19" s="334" t="s">
        <v>12912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1904.0</v>
      </c>
      <c r="B20" s="426" t="s">
        <v>12913</v>
      </c>
      <c r="C20" s="426">
        <v>2001.0</v>
      </c>
      <c r="D20" s="500">
        <v>37244.0</v>
      </c>
      <c r="E20" s="426" t="s">
        <v>12914</v>
      </c>
      <c r="F20" s="426" t="s">
        <v>12915</v>
      </c>
      <c r="G20" s="426" t="s">
        <v>650</v>
      </c>
      <c r="H20" s="426" t="s">
        <v>158</v>
      </c>
      <c r="I20" s="500">
        <v>38058.0</v>
      </c>
      <c r="J20" s="428">
        <v>3.0</v>
      </c>
      <c r="K20" s="636" t="s">
        <v>244</v>
      </c>
      <c r="L20" s="428" t="s">
        <v>258</v>
      </c>
      <c r="M20" s="319">
        <f t="shared" si="2"/>
        <v>814</v>
      </c>
      <c r="N20" s="198"/>
      <c r="O20" s="335" t="s">
        <v>12916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2004.0</v>
      </c>
      <c r="B21" s="420" t="s">
        <v>12917</v>
      </c>
      <c r="C21" s="420">
        <v>2002.0</v>
      </c>
      <c r="D21" s="497">
        <v>37349.0</v>
      </c>
      <c r="E21" s="420" t="s">
        <v>12918</v>
      </c>
      <c r="F21" s="420" t="s">
        <v>1846</v>
      </c>
      <c r="G21" s="420" t="s">
        <v>650</v>
      </c>
      <c r="H21" s="420" t="s">
        <v>740</v>
      </c>
      <c r="I21" s="497">
        <v>38058.0</v>
      </c>
      <c r="J21" s="422">
        <v>3.0</v>
      </c>
      <c r="K21" s="636" t="s">
        <v>244</v>
      </c>
      <c r="L21" s="420" t="s">
        <v>258</v>
      </c>
      <c r="M21" s="316">
        <f t="shared" si="2"/>
        <v>709</v>
      </c>
      <c r="N21" s="198"/>
      <c r="O21" s="334" t="s">
        <v>12919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2104.0</v>
      </c>
      <c r="B22" s="426" t="s">
        <v>12920</v>
      </c>
      <c r="C22" s="426">
        <v>2002.0</v>
      </c>
      <c r="D22" s="500">
        <v>37349.0</v>
      </c>
      <c r="E22" s="426" t="s">
        <v>12921</v>
      </c>
      <c r="F22" s="426" t="s">
        <v>1846</v>
      </c>
      <c r="G22" s="426" t="s">
        <v>650</v>
      </c>
      <c r="H22" s="426" t="s">
        <v>740</v>
      </c>
      <c r="I22" s="500">
        <v>38058.0</v>
      </c>
      <c r="J22" s="428">
        <v>3.0</v>
      </c>
      <c r="K22" s="636" t="s">
        <v>244</v>
      </c>
      <c r="L22" s="428" t="s">
        <v>258</v>
      </c>
      <c r="M22" s="319">
        <f t="shared" si="2"/>
        <v>709</v>
      </c>
      <c r="N22" s="198"/>
      <c r="O22" s="335" t="s">
        <v>12922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2204.0</v>
      </c>
      <c r="B23" s="420" t="s">
        <v>12923</v>
      </c>
      <c r="C23" s="420">
        <v>2000.0</v>
      </c>
      <c r="D23" s="497">
        <v>36742.0</v>
      </c>
      <c r="E23" s="420" t="s">
        <v>12924</v>
      </c>
      <c r="F23" s="420" t="s">
        <v>10956</v>
      </c>
      <c r="G23" s="420" t="s">
        <v>270</v>
      </c>
      <c r="H23" s="420" t="s">
        <v>5016</v>
      </c>
      <c r="I23" s="497">
        <v>38069.0</v>
      </c>
      <c r="J23" s="422">
        <v>3.0</v>
      </c>
      <c r="K23" s="636" t="s">
        <v>244</v>
      </c>
      <c r="L23" s="420" t="s">
        <v>258</v>
      </c>
      <c r="M23" s="316">
        <f t="shared" si="2"/>
        <v>1327</v>
      </c>
      <c r="N23" s="198"/>
      <c r="O23" s="334" t="s">
        <v>12925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2304.0</v>
      </c>
      <c r="B24" s="426" t="s">
        <v>12926</v>
      </c>
      <c r="C24" s="426">
        <v>1996.0</v>
      </c>
      <c r="D24" s="500">
        <v>35166.0</v>
      </c>
      <c r="E24" s="426" t="s">
        <v>12927</v>
      </c>
      <c r="F24" s="426" t="s">
        <v>4257</v>
      </c>
      <c r="G24" s="426" t="s">
        <v>650</v>
      </c>
      <c r="H24" s="426" t="s">
        <v>6011</v>
      </c>
      <c r="I24" s="500">
        <v>38069.0</v>
      </c>
      <c r="J24" s="428">
        <v>3.0</v>
      </c>
      <c r="K24" s="635" t="s">
        <v>228</v>
      </c>
      <c r="L24" s="428" t="s">
        <v>258</v>
      </c>
      <c r="M24" s="319">
        <f t="shared" si="2"/>
        <v>2903</v>
      </c>
      <c r="N24" s="198"/>
      <c r="O24" s="336" t="s">
        <v>12928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2404.0</v>
      </c>
      <c r="B25" s="420" t="s">
        <v>12929</v>
      </c>
      <c r="C25" s="420">
        <v>2001.0</v>
      </c>
      <c r="D25" s="497">
        <v>37253.0</v>
      </c>
      <c r="E25" s="420" t="s">
        <v>12930</v>
      </c>
      <c r="F25" s="420" t="s">
        <v>719</v>
      </c>
      <c r="G25" s="420" t="s">
        <v>650</v>
      </c>
      <c r="H25" s="420" t="s">
        <v>705</v>
      </c>
      <c r="I25" s="497">
        <v>38077.0</v>
      </c>
      <c r="J25" s="422">
        <v>3.0</v>
      </c>
      <c r="K25" s="638" t="s">
        <v>234</v>
      </c>
      <c r="L25" s="420" t="s">
        <v>258</v>
      </c>
      <c r="M25" s="316">
        <f t="shared" si="2"/>
        <v>824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2504.0</v>
      </c>
      <c r="B26" s="426" t="s">
        <v>12931</v>
      </c>
      <c r="C26" s="426">
        <v>1995.0</v>
      </c>
      <c r="D26" s="500">
        <v>34703.0</v>
      </c>
      <c r="E26" s="426" t="s">
        <v>12932</v>
      </c>
      <c r="F26" s="426" t="s">
        <v>12933</v>
      </c>
      <c r="G26" s="426" t="s">
        <v>270</v>
      </c>
      <c r="H26" s="426" t="s">
        <v>11527</v>
      </c>
      <c r="I26" s="500">
        <v>38085.0</v>
      </c>
      <c r="J26" s="428">
        <v>4.0</v>
      </c>
      <c r="K26" s="636" t="s">
        <v>244</v>
      </c>
      <c r="L26" s="428" t="s">
        <v>256</v>
      </c>
      <c r="M26" s="319">
        <f t="shared" si="2"/>
        <v>3382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2604.0</v>
      </c>
      <c r="B27" s="420" t="s">
        <v>12934</v>
      </c>
      <c r="C27" s="420">
        <v>2002.0</v>
      </c>
      <c r="D27" s="497">
        <v>37362.0</v>
      </c>
      <c r="E27" s="420" t="s">
        <v>12935</v>
      </c>
      <c r="F27" s="420" t="s">
        <v>12936</v>
      </c>
      <c r="G27" s="420" t="s">
        <v>650</v>
      </c>
      <c r="H27" s="420" t="s">
        <v>705</v>
      </c>
      <c r="I27" s="497">
        <v>38092.0</v>
      </c>
      <c r="J27" s="422">
        <v>4.0</v>
      </c>
      <c r="K27" s="637" t="s">
        <v>238</v>
      </c>
      <c r="L27" s="420" t="s">
        <v>256</v>
      </c>
      <c r="M27" s="316">
        <f t="shared" si="2"/>
        <v>730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2704.0</v>
      </c>
      <c r="B28" s="426" t="s">
        <v>12937</v>
      </c>
      <c r="C28" s="426">
        <v>2001.0</v>
      </c>
      <c r="D28" s="500">
        <v>36955.0</v>
      </c>
      <c r="E28" s="426" t="s">
        <v>12938</v>
      </c>
      <c r="F28" s="426" t="s">
        <v>44</v>
      </c>
      <c r="G28" s="426" t="s">
        <v>650</v>
      </c>
      <c r="H28" s="426" t="s">
        <v>11527</v>
      </c>
      <c r="I28" s="500">
        <v>38100.0</v>
      </c>
      <c r="J28" s="428">
        <v>4.0</v>
      </c>
      <c r="K28" s="637" t="s">
        <v>238</v>
      </c>
      <c r="L28" s="428" t="s">
        <v>256</v>
      </c>
      <c r="M28" s="319">
        <f t="shared" si="2"/>
        <v>1145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2804.0</v>
      </c>
      <c r="B29" s="420" t="s">
        <v>12939</v>
      </c>
      <c r="C29" s="420">
        <v>1996.0</v>
      </c>
      <c r="D29" s="497">
        <v>35166.0</v>
      </c>
      <c r="E29" s="420" t="s">
        <v>12940</v>
      </c>
      <c r="F29" s="420" t="s">
        <v>12941</v>
      </c>
      <c r="G29" s="420" t="s">
        <v>650</v>
      </c>
      <c r="H29" s="420" t="s">
        <v>12127</v>
      </c>
      <c r="I29" s="497">
        <v>38102.0</v>
      </c>
      <c r="J29" s="422">
        <v>4.0</v>
      </c>
      <c r="K29" s="636" t="s">
        <v>244</v>
      </c>
      <c r="L29" s="420" t="s">
        <v>258</v>
      </c>
      <c r="M29" s="316">
        <f t="shared" si="2"/>
        <v>2936</v>
      </c>
      <c r="N29" s="198"/>
      <c r="O29" s="322">
        <v>1992.0</v>
      </c>
      <c r="P29" s="346">
        <f>COUNTIF($C$2:$C$503,"1992")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2904.0</v>
      </c>
      <c r="B30" s="426" t="s">
        <v>12942</v>
      </c>
      <c r="C30" s="426">
        <v>2002.0</v>
      </c>
      <c r="D30" s="500">
        <v>37442.0</v>
      </c>
      <c r="E30" s="426" t="s">
        <v>12943</v>
      </c>
      <c r="F30" s="426" t="s">
        <v>134</v>
      </c>
      <c r="G30" s="426" t="s">
        <v>270</v>
      </c>
      <c r="H30" s="426" t="s">
        <v>11527</v>
      </c>
      <c r="I30" s="500">
        <v>38103.0</v>
      </c>
      <c r="J30" s="428">
        <v>4.0</v>
      </c>
      <c r="K30" s="637" t="s">
        <v>238</v>
      </c>
      <c r="L30" s="428" t="s">
        <v>258</v>
      </c>
      <c r="M30" s="319">
        <f t="shared" si="2"/>
        <v>661</v>
      </c>
      <c r="N30" s="198"/>
      <c r="O30" s="321">
        <v>1993.0</v>
      </c>
      <c r="P30" s="344">
        <f>COUNTIF($C$2:$C$503,"1993")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3004.0</v>
      </c>
      <c r="B31" s="420" t="s">
        <v>12944</v>
      </c>
      <c r="C31" s="420">
        <v>2004.0</v>
      </c>
      <c r="D31" s="497">
        <v>38027.0</v>
      </c>
      <c r="E31" s="420" t="s">
        <v>12945</v>
      </c>
      <c r="F31" s="420" t="s">
        <v>12946</v>
      </c>
      <c r="G31" s="420" t="s">
        <v>650</v>
      </c>
      <c r="H31" s="420" t="s">
        <v>5826</v>
      </c>
      <c r="I31" s="497">
        <v>38106.0</v>
      </c>
      <c r="J31" s="422">
        <v>4.0</v>
      </c>
      <c r="K31" s="638" t="s">
        <v>234</v>
      </c>
      <c r="L31" s="420" t="s">
        <v>258</v>
      </c>
      <c r="M31" s="316">
        <f t="shared" si="2"/>
        <v>79</v>
      </c>
      <c r="N31" s="198"/>
      <c r="O31" s="322">
        <v>1994.0</v>
      </c>
      <c r="P31" s="346">
        <f>COUNTIF($C$2:$C$503,"1994")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3104.0</v>
      </c>
      <c r="B32" s="426" t="s">
        <v>12947</v>
      </c>
      <c r="C32" s="426">
        <v>2000.0</v>
      </c>
      <c r="D32" s="500">
        <v>36866.0</v>
      </c>
      <c r="E32" s="426" t="s">
        <v>12948</v>
      </c>
      <c r="F32" s="426" t="s">
        <v>11332</v>
      </c>
      <c r="G32" s="426" t="s">
        <v>270</v>
      </c>
      <c r="H32" s="426" t="s">
        <v>12949</v>
      </c>
      <c r="I32" s="500">
        <v>38133.0</v>
      </c>
      <c r="J32" s="428">
        <v>5.0</v>
      </c>
      <c r="K32" s="635" t="s">
        <v>228</v>
      </c>
      <c r="L32" s="428" t="s">
        <v>258</v>
      </c>
      <c r="M32" s="319">
        <f t="shared" si="2"/>
        <v>1267</v>
      </c>
      <c r="N32" s="198"/>
      <c r="O32" s="321">
        <v>1995.0</v>
      </c>
      <c r="P32" s="344">
        <f>COUNTIF($C$2:$C$503,"1995")</f>
        <v>1</v>
      </c>
      <c r="Q32" s="113"/>
      <c r="R32" s="114"/>
      <c r="S32" s="345">
        <f>P32/P42</f>
        <v>0.0119047619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3204.0</v>
      </c>
      <c r="B33" s="420" t="s">
        <v>12950</v>
      </c>
      <c r="C33" s="420">
        <v>2002.0</v>
      </c>
      <c r="D33" s="497">
        <v>37481.0</v>
      </c>
      <c r="E33" s="420" t="s">
        <v>12951</v>
      </c>
      <c r="F33" s="420" t="s">
        <v>124</v>
      </c>
      <c r="G33" s="420" t="s">
        <v>547</v>
      </c>
      <c r="H33" s="420" t="s">
        <v>651</v>
      </c>
      <c r="I33" s="497">
        <v>38133.0</v>
      </c>
      <c r="J33" s="422">
        <v>5.0</v>
      </c>
      <c r="K33" s="638" t="s">
        <v>234</v>
      </c>
      <c r="L33" s="420" t="s">
        <v>256</v>
      </c>
      <c r="M33" s="316">
        <f t="shared" si="2"/>
        <v>652</v>
      </c>
      <c r="N33" s="198"/>
      <c r="O33" s="322">
        <v>1996.0</v>
      </c>
      <c r="P33" s="346">
        <f>COUNTIF($C$2:$C$503,"1996")</f>
        <v>2</v>
      </c>
      <c r="Q33" s="113"/>
      <c r="R33" s="114"/>
      <c r="S33" s="343">
        <f>P33/P42</f>
        <v>0.02380952381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3304.0</v>
      </c>
      <c r="B34" s="426" t="s">
        <v>12952</v>
      </c>
      <c r="C34" s="426">
        <v>2000.0</v>
      </c>
      <c r="D34" s="500">
        <v>36608.0</v>
      </c>
      <c r="E34" s="426" t="s">
        <v>12953</v>
      </c>
      <c r="F34" s="426" t="s">
        <v>12797</v>
      </c>
      <c r="G34" s="426" t="s">
        <v>270</v>
      </c>
      <c r="H34" s="426" t="s">
        <v>12949</v>
      </c>
      <c r="I34" s="500">
        <v>38140.0</v>
      </c>
      <c r="J34" s="428">
        <v>6.0</v>
      </c>
      <c r="K34" s="635" t="s">
        <v>228</v>
      </c>
      <c r="L34" s="428" t="s">
        <v>256</v>
      </c>
      <c r="M34" s="319">
        <f t="shared" si="2"/>
        <v>1532</v>
      </c>
      <c r="N34" s="198"/>
      <c r="O34" s="321">
        <v>1997.0</v>
      </c>
      <c r="P34" s="344">
        <f>COUNTIF($C$2:$C$503,"1997")</f>
        <v>0</v>
      </c>
      <c r="Q34" s="113"/>
      <c r="R34" s="114"/>
      <c r="S34" s="345">
        <f>P34/P42</f>
        <v>0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3404.0</v>
      </c>
      <c r="B35" s="420" t="s">
        <v>12954</v>
      </c>
      <c r="C35" s="420">
        <v>2002.0</v>
      </c>
      <c r="D35" s="497">
        <v>37330.0</v>
      </c>
      <c r="E35" s="420" t="s">
        <v>12955</v>
      </c>
      <c r="F35" s="420" t="s">
        <v>5368</v>
      </c>
      <c r="G35" s="420" t="s">
        <v>650</v>
      </c>
      <c r="H35" s="420" t="s">
        <v>12956</v>
      </c>
      <c r="I35" s="497">
        <v>38147.0</v>
      </c>
      <c r="J35" s="422">
        <v>6.0</v>
      </c>
      <c r="K35" s="636" t="s">
        <v>244</v>
      </c>
      <c r="L35" s="420" t="s">
        <v>260</v>
      </c>
      <c r="M35" s="316">
        <f t="shared" si="2"/>
        <v>817</v>
      </c>
      <c r="N35" s="198"/>
      <c r="O35" s="322">
        <v>1998.0</v>
      </c>
      <c r="P35" s="346">
        <f>COUNTIF($C$2:$C$503,"1998")</f>
        <v>3</v>
      </c>
      <c r="Q35" s="113"/>
      <c r="R35" s="114"/>
      <c r="S35" s="343">
        <f>P35/P42</f>
        <v>0.03571428571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3504.0</v>
      </c>
      <c r="B36" s="426" t="s">
        <v>12957</v>
      </c>
      <c r="C36" s="426">
        <v>2002.0</v>
      </c>
      <c r="D36" s="500">
        <v>37351.0</v>
      </c>
      <c r="E36" s="426" t="s">
        <v>12958</v>
      </c>
      <c r="F36" s="426" t="s">
        <v>12959</v>
      </c>
      <c r="G36" s="426" t="s">
        <v>650</v>
      </c>
      <c r="H36" s="426" t="s">
        <v>12960</v>
      </c>
      <c r="I36" s="500">
        <v>38147.0</v>
      </c>
      <c r="J36" s="428">
        <v>6.0</v>
      </c>
      <c r="K36" s="635" t="s">
        <v>228</v>
      </c>
      <c r="L36" s="428" t="s">
        <v>260</v>
      </c>
      <c r="M36" s="319">
        <f t="shared" si="2"/>
        <v>796</v>
      </c>
      <c r="N36" s="198"/>
      <c r="O36" s="321">
        <v>1999.0</v>
      </c>
      <c r="P36" s="344">
        <f>COUNTIF($C$2:$C$503,"1999")</f>
        <v>4</v>
      </c>
      <c r="Q36" s="113"/>
      <c r="R36" s="114"/>
      <c r="S36" s="345">
        <f>P36/P42</f>
        <v>0.04761904762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3604.0</v>
      </c>
      <c r="B37" s="420" t="s">
        <v>12961</v>
      </c>
      <c r="C37" s="420">
        <v>2003.0</v>
      </c>
      <c r="D37" s="497">
        <v>37873.0</v>
      </c>
      <c r="E37" s="420" t="s">
        <v>12962</v>
      </c>
      <c r="F37" s="420" t="s">
        <v>11494</v>
      </c>
      <c r="G37" s="420" t="s">
        <v>650</v>
      </c>
      <c r="H37" s="420" t="s">
        <v>12963</v>
      </c>
      <c r="I37" s="497">
        <v>38147.0</v>
      </c>
      <c r="J37" s="422">
        <v>6.0</v>
      </c>
      <c r="K37" s="636" t="s">
        <v>244</v>
      </c>
      <c r="L37" s="420" t="s">
        <v>258</v>
      </c>
      <c r="M37" s="316">
        <f t="shared" si="2"/>
        <v>274</v>
      </c>
      <c r="N37" s="198"/>
      <c r="O37" s="322">
        <v>2000.0</v>
      </c>
      <c r="P37" s="346">
        <f>COUNTIF($C$2:$C$503,"2000")</f>
        <v>13</v>
      </c>
      <c r="Q37" s="113"/>
      <c r="R37" s="114"/>
      <c r="S37" s="343">
        <f>P37/P42</f>
        <v>0.1547619048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3704.0</v>
      </c>
      <c r="B38" s="426" t="s">
        <v>12964</v>
      </c>
      <c r="C38" s="426">
        <v>2001.0</v>
      </c>
      <c r="D38" s="500">
        <v>37134.0</v>
      </c>
      <c r="E38" s="426" t="s">
        <v>12965</v>
      </c>
      <c r="F38" s="426" t="s">
        <v>12966</v>
      </c>
      <c r="G38" s="426" t="s">
        <v>650</v>
      </c>
      <c r="H38" s="426" t="s">
        <v>12967</v>
      </c>
      <c r="I38" s="500">
        <v>38183.0</v>
      </c>
      <c r="J38" s="428">
        <v>7.0</v>
      </c>
      <c r="K38" s="636" t="s">
        <v>244</v>
      </c>
      <c r="L38" s="428" t="s">
        <v>256</v>
      </c>
      <c r="M38" s="319">
        <f t="shared" si="2"/>
        <v>1049</v>
      </c>
      <c r="N38" s="198"/>
      <c r="O38" s="321">
        <v>2001.0</v>
      </c>
      <c r="P38" s="344">
        <f>COUNTIF($C$2:$C$503,"2001")</f>
        <v>28</v>
      </c>
      <c r="Q38" s="113"/>
      <c r="R38" s="114"/>
      <c r="S38" s="345">
        <f>P38/P42</f>
        <v>0.3333333333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3804.0</v>
      </c>
      <c r="B39" s="420" t="s">
        <v>12968</v>
      </c>
      <c r="C39" s="420">
        <v>2000.0</v>
      </c>
      <c r="D39" s="497">
        <v>36847.0</v>
      </c>
      <c r="E39" s="420" t="s">
        <v>12969</v>
      </c>
      <c r="F39" s="420" t="s">
        <v>963</v>
      </c>
      <c r="G39" s="420" t="s">
        <v>270</v>
      </c>
      <c r="H39" s="420" t="s">
        <v>12970</v>
      </c>
      <c r="I39" s="497">
        <v>38183.0</v>
      </c>
      <c r="J39" s="422">
        <v>7.0</v>
      </c>
      <c r="K39" s="636" t="s">
        <v>244</v>
      </c>
      <c r="L39" s="420" t="s">
        <v>258</v>
      </c>
      <c r="M39" s="316">
        <f t="shared" si="2"/>
        <v>1336</v>
      </c>
      <c r="N39" s="198"/>
      <c r="O39" s="322">
        <v>2002.0</v>
      </c>
      <c r="P39" s="346">
        <f>COUNTIF($C$2:$C$503,"2002")</f>
        <v>18</v>
      </c>
      <c r="Q39" s="113"/>
      <c r="R39" s="114"/>
      <c r="S39" s="343">
        <f>P39/P42</f>
        <v>0.2142857143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3904.0</v>
      </c>
      <c r="B40" s="426" t="s">
        <v>12971</v>
      </c>
      <c r="C40" s="426">
        <v>2000.0</v>
      </c>
      <c r="D40" s="500">
        <v>36531.0</v>
      </c>
      <c r="E40" s="426" t="s">
        <v>12972</v>
      </c>
      <c r="F40" s="426" t="s">
        <v>5120</v>
      </c>
      <c r="G40" s="426" t="s">
        <v>650</v>
      </c>
      <c r="H40" s="426" t="s">
        <v>2964</v>
      </c>
      <c r="I40" s="500">
        <v>38198.0</v>
      </c>
      <c r="J40" s="428">
        <v>7.0</v>
      </c>
      <c r="K40" s="635" t="s">
        <v>228</v>
      </c>
      <c r="L40" s="428" t="s">
        <v>256</v>
      </c>
      <c r="M40" s="319">
        <f t="shared" si="2"/>
        <v>1667</v>
      </c>
      <c r="N40" s="198"/>
      <c r="O40" s="321">
        <v>2003.0</v>
      </c>
      <c r="P40" s="344">
        <f>COUNTIF($C$2:$C$503,"2003")</f>
        <v>13</v>
      </c>
      <c r="Q40" s="113"/>
      <c r="R40" s="114"/>
      <c r="S40" s="345">
        <f>P40/P42</f>
        <v>0.1547619048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4004.0</v>
      </c>
      <c r="B41" s="420" t="s">
        <v>12973</v>
      </c>
      <c r="C41" s="420">
        <v>2003.0</v>
      </c>
      <c r="D41" s="497">
        <v>37827.0</v>
      </c>
      <c r="E41" s="420" t="s">
        <v>12974</v>
      </c>
      <c r="F41" s="420" t="s">
        <v>11522</v>
      </c>
      <c r="G41" s="420" t="s">
        <v>565</v>
      </c>
      <c r="H41" s="420" t="s">
        <v>10160</v>
      </c>
      <c r="I41" s="497">
        <v>38204.0</v>
      </c>
      <c r="J41" s="422">
        <v>8.0</v>
      </c>
      <c r="K41" s="636" t="s">
        <v>244</v>
      </c>
      <c r="L41" s="420" t="s">
        <v>260</v>
      </c>
      <c r="M41" s="316">
        <f t="shared" si="2"/>
        <v>377</v>
      </c>
      <c r="N41" s="198"/>
      <c r="O41" s="322">
        <v>2004.0</v>
      </c>
      <c r="P41" s="346">
        <f>COUNTIF($C$2:$C$503,"2004")</f>
        <v>2</v>
      </c>
      <c r="Q41" s="113"/>
      <c r="R41" s="114"/>
      <c r="S41" s="343">
        <f>P41/P42</f>
        <v>0.02380952381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4104.0</v>
      </c>
      <c r="B42" s="426" t="s">
        <v>12975</v>
      </c>
      <c r="C42" s="426">
        <v>2001.0</v>
      </c>
      <c r="D42" s="500">
        <v>36963.0</v>
      </c>
      <c r="E42" s="426" t="s">
        <v>12976</v>
      </c>
      <c r="F42" s="426" t="s">
        <v>12663</v>
      </c>
      <c r="G42" s="426" t="s">
        <v>34</v>
      </c>
      <c r="H42" s="426" t="s">
        <v>12977</v>
      </c>
      <c r="I42" s="500">
        <v>38217.0</v>
      </c>
      <c r="J42" s="428">
        <v>8.0</v>
      </c>
      <c r="K42" s="638" t="s">
        <v>234</v>
      </c>
      <c r="L42" s="428" t="s">
        <v>256</v>
      </c>
      <c r="M42" s="319">
        <f t="shared" si="2"/>
        <v>1254</v>
      </c>
      <c r="N42" s="198"/>
      <c r="O42" s="348" t="s">
        <v>179</v>
      </c>
      <c r="P42" s="349">
        <f>SUM(P29:R41)</f>
        <v>84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4204.0</v>
      </c>
      <c r="B43" s="420" t="s">
        <v>12978</v>
      </c>
      <c r="C43" s="420">
        <v>2000.0</v>
      </c>
      <c r="D43" s="497">
        <v>36693.0</v>
      </c>
      <c r="E43" s="420" t="s">
        <v>12979</v>
      </c>
      <c r="F43" s="420" t="s">
        <v>12980</v>
      </c>
      <c r="G43" s="420" t="s">
        <v>270</v>
      </c>
      <c r="H43" s="420" t="s">
        <v>158</v>
      </c>
      <c r="I43" s="497">
        <v>38217.0</v>
      </c>
      <c r="J43" s="422">
        <v>8.0</v>
      </c>
      <c r="K43" s="637" t="s">
        <v>238</v>
      </c>
      <c r="L43" s="420" t="s">
        <v>258</v>
      </c>
      <c r="M43" s="316">
        <f t="shared" si="2"/>
        <v>1524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4304.0</v>
      </c>
      <c r="B44" s="426" t="s">
        <v>12981</v>
      </c>
      <c r="C44" s="426">
        <v>1999.0</v>
      </c>
      <c r="D44" s="500">
        <v>36509.0</v>
      </c>
      <c r="E44" s="426" t="s">
        <v>12982</v>
      </c>
      <c r="F44" s="426" t="s">
        <v>885</v>
      </c>
      <c r="G44" s="426" t="s">
        <v>650</v>
      </c>
      <c r="H44" s="426" t="s">
        <v>651</v>
      </c>
      <c r="I44" s="500">
        <v>38217.0</v>
      </c>
      <c r="J44" s="428">
        <v>8.0</v>
      </c>
      <c r="K44" s="637" t="s">
        <v>238</v>
      </c>
      <c r="L44" s="428" t="s">
        <v>256</v>
      </c>
      <c r="M44" s="319">
        <f t="shared" si="2"/>
        <v>1708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4404.0</v>
      </c>
      <c r="B45" s="420" t="s">
        <v>12983</v>
      </c>
      <c r="C45" s="420">
        <v>1999.0</v>
      </c>
      <c r="D45" s="497">
        <v>36509.0</v>
      </c>
      <c r="E45" s="420" t="s">
        <v>12984</v>
      </c>
      <c r="F45" s="420" t="s">
        <v>885</v>
      </c>
      <c r="G45" s="420" t="s">
        <v>650</v>
      </c>
      <c r="H45" s="420" t="s">
        <v>651</v>
      </c>
      <c r="I45" s="497">
        <v>38217.0</v>
      </c>
      <c r="J45" s="422">
        <v>8.0</v>
      </c>
      <c r="K45" s="637" t="s">
        <v>238</v>
      </c>
      <c r="L45" s="420" t="s">
        <v>256</v>
      </c>
      <c r="M45" s="316">
        <f t="shared" si="2"/>
        <v>1708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4504.0</v>
      </c>
      <c r="B46" s="426" t="s">
        <v>12985</v>
      </c>
      <c r="C46" s="426">
        <v>1998.0</v>
      </c>
      <c r="D46" s="500">
        <v>36124.0</v>
      </c>
      <c r="E46" s="426" t="s">
        <v>12986</v>
      </c>
      <c r="F46" s="426" t="s">
        <v>12751</v>
      </c>
      <c r="G46" s="426" t="s">
        <v>650</v>
      </c>
      <c r="H46" s="426" t="s">
        <v>9940</v>
      </c>
      <c r="I46" s="500">
        <v>38217.0</v>
      </c>
      <c r="J46" s="428">
        <v>8.0</v>
      </c>
      <c r="K46" s="636" t="s">
        <v>244</v>
      </c>
      <c r="L46" s="428" t="s">
        <v>258</v>
      </c>
      <c r="M46" s="319">
        <f t="shared" si="2"/>
        <v>2093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4604.0</v>
      </c>
      <c r="B47" s="420" t="s">
        <v>12987</v>
      </c>
      <c r="C47" s="420">
        <v>2001.0</v>
      </c>
      <c r="D47" s="497">
        <v>37148.0</v>
      </c>
      <c r="E47" s="420" t="s">
        <v>12988</v>
      </c>
      <c r="F47" s="420" t="s">
        <v>12989</v>
      </c>
      <c r="G47" s="420" t="s">
        <v>565</v>
      </c>
      <c r="H47" s="420" t="s">
        <v>6534</v>
      </c>
      <c r="I47" s="497">
        <v>38217.0</v>
      </c>
      <c r="J47" s="422">
        <v>8.0</v>
      </c>
      <c r="K47" s="636" t="s">
        <v>244</v>
      </c>
      <c r="L47" s="420" t="s">
        <v>260</v>
      </c>
      <c r="M47" s="316">
        <f t="shared" si="2"/>
        <v>1069</v>
      </c>
      <c r="N47" s="198"/>
      <c r="O47" s="353" t="s">
        <v>195</v>
      </c>
      <c r="P47" s="342">
        <f>COUNTIF($J$2:$J$476,"1")</f>
        <v>8</v>
      </c>
      <c r="Q47" s="332"/>
      <c r="R47" s="333"/>
      <c r="S47" s="354">
        <f>(P47/P59)</f>
        <v>0.09523809524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4704.0</v>
      </c>
      <c r="B48" s="426" t="s">
        <v>12990</v>
      </c>
      <c r="C48" s="426">
        <v>2000.0</v>
      </c>
      <c r="D48" s="500">
        <v>36882.0</v>
      </c>
      <c r="E48" s="426" t="s">
        <v>12991</v>
      </c>
      <c r="F48" s="426" t="s">
        <v>31</v>
      </c>
      <c r="G48" s="426" t="s">
        <v>650</v>
      </c>
      <c r="H48" s="426" t="s">
        <v>11527</v>
      </c>
      <c r="I48" s="500">
        <v>38219.0</v>
      </c>
      <c r="J48" s="428">
        <v>8.0</v>
      </c>
      <c r="K48" s="636" t="s">
        <v>244</v>
      </c>
      <c r="L48" s="428" t="s">
        <v>258</v>
      </c>
      <c r="M48" s="319">
        <f t="shared" si="2"/>
        <v>1337</v>
      </c>
      <c r="N48" s="198"/>
      <c r="O48" s="321" t="s">
        <v>197</v>
      </c>
      <c r="P48" s="344">
        <f>COUNTIF($J$2:$J$476,"2")</f>
        <v>7</v>
      </c>
      <c r="Q48" s="113"/>
      <c r="R48" s="114"/>
      <c r="S48" s="345">
        <f>(P48/P59)</f>
        <v>0.08333333333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4804.0</v>
      </c>
      <c r="B49" s="420" t="s">
        <v>12992</v>
      </c>
      <c r="C49" s="420">
        <v>2003.0</v>
      </c>
      <c r="D49" s="497">
        <v>37875.0</v>
      </c>
      <c r="E49" s="420" t="s">
        <v>12993</v>
      </c>
      <c r="F49" s="420" t="s">
        <v>666</v>
      </c>
      <c r="G49" s="420" t="s">
        <v>650</v>
      </c>
      <c r="H49" s="420" t="s">
        <v>705</v>
      </c>
      <c r="I49" s="497">
        <v>38219.0</v>
      </c>
      <c r="J49" s="422">
        <v>8.0</v>
      </c>
      <c r="K49" s="638" t="s">
        <v>234</v>
      </c>
      <c r="L49" s="420" t="s">
        <v>256</v>
      </c>
      <c r="M49" s="316">
        <f t="shared" si="2"/>
        <v>344</v>
      </c>
      <c r="N49" s="198"/>
      <c r="O49" s="322" t="s">
        <v>199</v>
      </c>
      <c r="P49" s="346">
        <f>COUNTIF($J$2:$J$476,"3")</f>
        <v>8</v>
      </c>
      <c r="Q49" s="113"/>
      <c r="R49" s="114"/>
      <c r="S49" s="343">
        <f>(P49/P59)</f>
        <v>0.09523809524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4904.0</v>
      </c>
      <c r="B50" s="426" t="s">
        <v>12994</v>
      </c>
      <c r="C50" s="426">
        <v>1999.0</v>
      </c>
      <c r="D50" s="500">
        <v>36311.0</v>
      </c>
      <c r="E50" s="426" t="s">
        <v>12995</v>
      </c>
      <c r="F50" s="426" t="s">
        <v>2453</v>
      </c>
      <c r="G50" s="426" t="s">
        <v>650</v>
      </c>
      <c r="H50" s="426" t="s">
        <v>1002</v>
      </c>
      <c r="I50" s="500">
        <v>38225.0</v>
      </c>
      <c r="J50" s="428">
        <v>8.0</v>
      </c>
      <c r="K50" s="636" t="s">
        <v>244</v>
      </c>
      <c r="L50" s="428" t="s">
        <v>256</v>
      </c>
      <c r="M50" s="319">
        <f t="shared" si="2"/>
        <v>1914</v>
      </c>
      <c r="N50" s="198"/>
      <c r="O50" s="321" t="s">
        <v>201</v>
      </c>
      <c r="P50" s="344">
        <f>COUNTIF($J$2:$J$476,"4")</f>
        <v>6</v>
      </c>
      <c r="Q50" s="113"/>
      <c r="R50" s="114"/>
      <c r="S50" s="345">
        <f>(P50/P59)</f>
        <v>0.07142857143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5004.0</v>
      </c>
      <c r="B51" s="420" t="s">
        <v>12996</v>
      </c>
      <c r="C51" s="420">
        <v>2001.0</v>
      </c>
      <c r="D51" s="497">
        <v>37104.0</v>
      </c>
      <c r="E51" s="420" t="s">
        <v>12997</v>
      </c>
      <c r="F51" s="420" t="s">
        <v>12998</v>
      </c>
      <c r="G51" s="420" t="s">
        <v>270</v>
      </c>
      <c r="H51" s="420" t="s">
        <v>7403</v>
      </c>
      <c r="I51" s="497">
        <v>38230.0</v>
      </c>
      <c r="J51" s="422">
        <v>8.0</v>
      </c>
      <c r="K51" s="635" t="s">
        <v>228</v>
      </c>
      <c r="L51" s="420" t="s">
        <v>256</v>
      </c>
      <c r="M51" s="316">
        <f t="shared" si="2"/>
        <v>1126</v>
      </c>
      <c r="N51" s="198"/>
      <c r="O51" s="322" t="s">
        <v>203</v>
      </c>
      <c r="P51" s="346">
        <f>COUNTIF($J$2:$J$476,"5")</f>
        <v>2</v>
      </c>
      <c r="Q51" s="113"/>
      <c r="R51" s="114"/>
      <c r="S51" s="343">
        <f>(P51/P59)</f>
        <v>0.02380952381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5104.0</v>
      </c>
      <c r="B52" s="426" t="s">
        <v>12999</v>
      </c>
      <c r="C52" s="426">
        <v>2001.0</v>
      </c>
      <c r="D52" s="500">
        <v>37111.0</v>
      </c>
      <c r="E52" s="426" t="s">
        <v>13000</v>
      </c>
      <c r="F52" s="426" t="s">
        <v>12998</v>
      </c>
      <c r="G52" s="426" t="s">
        <v>270</v>
      </c>
      <c r="H52" s="426" t="s">
        <v>7403</v>
      </c>
      <c r="I52" s="500">
        <v>38230.0</v>
      </c>
      <c r="J52" s="428">
        <v>8.0</v>
      </c>
      <c r="K52" s="635" t="s">
        <v>228</v>
      </c>
      <c r="L52" s="428" t="s">
        <v>256</v>
      </c>
      <c r="M52" s="319">
        <f t="shared" si="2"/>
        <v>1119</v>
      </c>
      <c r="N52" s="198"/>
      <c r="O52" s="321" t="s">
        <v>205</v>
      </c>
      <c r="P52" s="344">
        <f>COUNTIF($J$2:$J$476,"6")</f>
        <v>4</v>
      </c>
      <c r="Q52" s="113"/>
      <c r="R52" s="114"/>
      <c r="S52" s="345">
        <f>(P52/P59)</f>
        <v>0.04761904762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5204.0</v>
      </c>
      <c r="B53" s="420" t="s">
        <v>13001</v>
      </c>
      <c r="C53" s="420">
        <v>2001.0</v>
      </c>
      <c r="D53" s="497">
        <v>37253.0</v>
      </c>
      <c r="E53" s="420" t="s">
        <v>13002</v>
      </c>
      <c r="F53" s="420" t="s">
        <v>11332</v>
      </c>
      <c r="G53" s="420" t="s">
        <v>650</v>
      </c>
      <c r="H53" s="420" t="s">
        <v>18</v>
      </c>
      <c r="I53" s="497">
        <v>38251.0</v>
      </c>
      <c r="J53" s="422">
        <v>9.0</v>
      </c>
      <c r="K53" s="635" t="s">
        <v>228</v>
      </c>
      <c r="L53" s="420" t="s">
        <v>258</v>
      </c>
      <c r="M53" s="316">
        <f t="shared" si="2"/>
        <v>998</v>
      </c>
      <c r="N53" s="198"/>
      <c r="O53" s="322" t="s">
        <v>207</v>
      </c>
      <c r="P53" s="346">
        <f>COUNTIF($J$2:$J$476,"7")</f>
        <v>3</v>
      </c>
      <c r="Q53" s="113"/>
      <c r="R53" s="114"/>
      <c r="S53" s="343">
        <f>(P53/P59)</f>
        <v>0.03571428571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5304.0</v>
      </c>
      <c r="B54" s="426" t="s">
        <v>13003</v>
      </c>
      <c r="C54" s="426">
        <v>2003.0</v>
      </c>
      <c r="D54" s="500">
        <v>37882.0</v>
      </c>
      <c r="E54" s="426" t="s">
        <v>13004</v>
      </c>
      <c r="F54" s="426" t="s">
        <v>3705</v>
      </c>
      <c r="G54" s="426" t="s">
        <v>650</v>
      </c>
      <c r="H54" s="426" t="s">
        <v>583</v>
      </c>
      <c r="I54" s="500">
        <v>38251.0</v>
      </c>
      <c r="J54" s="428">
        <v>9.0</v>
      </c>
      <c r="K54" s="636" t="s">
        <v>244</v>
      </c>
      <c r="L54" s="428" t="s">
        <v>258</v>
      </c>
      <c r="M54" s="319">
        <f t="shared" si="2"/>
        <v>369</v>
      </c>
      <c r="N54" s="198"/>
      <c r="O54" s="321" t="s">
        <v>209</v>
      </c>
      <c r="P54" s="344">
        <f>COUNTIF($J$2:$J$476,"8")</f>
        <v>12</v>
      </c>
      <c r="Q54" s="113"/>
      <c r="R54" s="114"/>
      <c r="S54" s="345">
        <f>(P54/P59)</f>
        <v>0.1428571429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5404.0</v>
      </c>
      <c r="B55" s="420" t="s">
        <v>13005</v>
      </c>
      <c r="C55" s="420">
        <v>2002.0</v>
      </c>
      <c r="D55" s="497">
        <v>37420.0</v>
      </c>
      <c r="E55" s="420" t="s">
        <v>13006</v>
      </c>
      <c r="F55" s="420" t="s">
        <v>7179</v>
      </c>
      <c r="G55" s="420" t="s">
        <v>650</v>
      </c>
      <c r="H55" s="420" t="s">
        <v>2964</v>
      </c>
      <c r="I55" s="497">
        <v>38251.0</v>
      </c>
      <c r="J55" s="422">
        <v>9.0</v>
      </c>
      <c r="K55" s="635" t="s">
        <v>228</v>
      </c>
      <c r="L55" s="420" t="s">
        <v>258</v>
      </c>
      <c r="M55" s="316">
        <f t="shared" si="2"/>
        <v>831</v>
      </c>
      <c r="N55" s="198"/>
      <c r="O55" s="322" t="s">
        <v>211</v>
      </c>
      <c r="P55" s="346">
        <f>COUNTIF($J$2:$J$476,"9")</f>
        <v>4</v>
      </c>
      <c r="Q55" s="113"/>
      <c r="R55" s="114"/>
      <c r="S55" s="343">
        <f>(P55/P59)</f>
        <v>0.04761904762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5504.0</v>
      </c>
      <c r="B56" s="426" t="s">
        <v>13007</v>
      </c>
      <c r="C56" s="426">
        <v>2001.0</v>
      </c>
      <c r="D56" s="500">
        <v>37104.0</v>
      </c>
      <c r="E56" s="426" t="s">
        <v>13008</v>
      </c>
      <c r="F56" s="426" t="s">
        <v>12998</v>
      </c>
      <c r="G56" s="426" t="s">
        <v>650</v>
      </c>
      <c r="H56" s="426" t="s">
        <v>7403</v>
      </c>
      <c r="I56" s="500">
        <v>38265.0</v>
      </c>
      <c r="J56" s="428">
        <v>9.0</v>
      </c>
      <c r="K56" s="637" t="s">
        <v>238</v>
      </c>
      <c r="L56" s="428" t="s">
        <v>256</v>
      </c>
      <c r="M56" s="319">
        <f t="shared" si="2"/>
        <v>1161</v>
      </c>
      <c r="N56" s="198"/>
      <c r="O56" s="321" t="s">
        <v>213</v>
      </c>
      <c r="P56" s="344">
        <f>COUNTIF($J$2:$J$476,"10")</f>
        <v>10</v>
      </c>
      <c r="Q56" s="113"/>
      <c r="R56" s="114"/>
      <c r="S56" s="345">
        <f>(P56/P59)</f>
        <v>0.119047619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5604.0</v>
      </c>
      <c r="B57" s="420" t="s">
        <v>13009</v>
      </c>
      <c r="C57" s="420">
        <v>2003.0</v>
      </c>
      <c r="D57" s="497">
        <v>37669.0</v>
      </c>
      <c r="E57" s="420" t="s">
        <v>13010</v>
      </c>
      <c r="F57" s="420" t="s">
        <v>4572</v>
      </c>
      <c r="G57" s="420" t="s">
        <v>270</v>
      </c>
      <c r="H57" s="420" t="s">
        <v>158</v>
      </c>
      <c r="I57" s="497">
        <v>38265.0</v>
      </c>
      <c r="J57" s="422">
        <v>10.0</v>
      </c>
      <c r="K57" s="637" t="s">
        <v>238</v>
      </c>
      <c r="L57" s="420" t="s">
        <v>258</v>
      </c>
      <c r="M57" s="316">
        <f t="shared" si="2"/>
        <v>596</v>
      </c>
      <c r="N57" s="198"/>
      <c r="O57" s="322" t="s">
        <v>215</v>
      </c>
      <c r="P57" s="346">
        <f>COUNTIF($J$2:$J$476,"11")</f>
        <v>4</v>
      </c>
      <c r="Q57" s="113"/>
      <c r="R57" s="114"/>
      <c r="S57" s="343">
        <f>(P57/P59)</f>
        <v>0.04761904762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5704.0</v>
      </c>
      <c r="B58" s="426" t="s">
        <v>13011</v>
      </c>
      <c r="C58" s="426">
        <v>2001.0</v>
      </c>
      <c r="D58" s="500">
        <v>37104.0</v>
      </c>
      <c r="E58" s="426" t="s">
        <v>13012</v>
      </c>
      <c r="F58" s="426" t="s">
        <v>12998</v>
      </c>
      <c r="G58" s="426" t="s">
        <v>650</v>
      </c>
      <c r="H58" s="426" t="s">
        <v>7403</v>
      </c>
      <c r="I58" s="500">
        <v>38265.0</v>
      </c>
      <c r="J58" s="428">
        <v>10.0</v>
      </c>
      <c r="K58" s="637" t="s">
        <v>238</v>
      </c>
      <c r="L58" s="428" t="s">
        <v>256</v>
      </c>
      <c r="M58" s="319">
        <f t="shared" si="2"/>
        <v>1161</v>
      </c>
      <c r="N58" s="198"/>
      <c r="O58" s="355" t="s">
        <v>217</v>
      </c>
      <c r="P58" s="344">
        <f>COUNTIF($J$2:$J$476,"12")</f>
        <v>16</v>
      </c>
      <c r="Q58" s="113"/>
      <c r="R58" s="114"/>
      <c r="S58" s="356">
        <f>(P58/P59)</f>
        <v>0.1904761905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5804.0</v>
      </c>
      <c r="B59" s="420" t="s">
        <v>13013</v>
      </c>
      <c r="C59" s="420">
        <v>2001.0</v>
      </c>
      <c r="D59" s="497">
        <v>37167.0</v>
      </c>
      <c r="E59" s="420" t="s">
        <v>13014</v>
      </c>
      <c r="F59" s="420" t="s">
        <v>947</v>
      </c>
      <c r="G59" s="420" t="s">
        <v>270</v>
      </c>
      <c r="H59" s="420" t="s">
        <v>12507</v>
      </c>
      <c r="I59" s="497">
        <v>38271.0</v>
      </c>
      <c r="J59" s="422">
        <v>10.0</v>
      </c>
      <c r="K59" s="636" t="s">
        <v>244</v>
      </c>
      <c r="L59" s="420" t="s">
        <v>258</v>
      </c>
      <c r="M59" s="316">
        <f t="shared" si="2"/>
        <v>1104</v>
      </c>
      <c r="N59" s="198"/>
      <c r="O59" s="348" t="s">
        <v>219</v>
      </c>
      <c r="P59" s="349">
        <f>SUM(P47:R58)</f>
        <v>84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5904.0</v>
      </c>
      <c r="B60" s="426" t="s">
        <v>13015</v>
      </c>
      <c r="C60" s="426">
        <v>2001.0</v>
      </c>
      <c r="D60" s="500">
        <v>37111.0</v>
      </c>
      <c r="E60" s="426" t="s">
        <v>13016</v>
      </c>
      <c r="F60" s="426" t="s">
        <v>12998</v>
      </c>
      <c r="G60" s="426" t="s">
        <v>650</v>
      </c>
      <c r="H60" s="426" t="s">
        <v>7403</v>
      </c>
      <c r="I60" s="500">
        <v>38274.0</v>
      </c>
      <c r="J60" s="428">
        <v>10.0</v>
      </c>
      <c r="K60" s="637" t="s">
        <v>238</v>
      </c>
      <c r="L60" s="428" t="s">
        <v>256</v>
      </c>
      <c r="M60" s="319">
        <f t="shared" si="2"/>
        <v>1163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6004.0</v>
      </c>
      <c r="B61" s="420" t="s">
        <v>13017</v>
      </c>
      <c r="C61" s="420">
        <v>2001.0</v>
      </c>
      <c r="D61" s="497">
        <v>37111.0</v>
      </c>
      <c r="E61" s="420" t="s">
        <v>13018</v>
      </c>
      <c r="F61" s="420" t="s">
        <v>12998</v>
      </c>
      <c r="G61" s="420" t="s">
        <v>650</v>
      </c>
      <c r="H61" s="420" t="s">
        <v>7403</v>
      </c>
      <c r="I61" s="497">
        <v>38274.0</v>
      </c>
      <c r="J61" s="422">
        <v>10.0</v>
      </c>
      <c r="K61" s="637" t="s">
        <v>238</v>
      </c>
      <c r="L61" s="420" t="s">
        <v>256</v>
      </c>
      <c r="M61" s="316">
        <f t="shared" si="2"/>
        <v>1163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6104.0</v>
      </c>
      <c r="B62" s="426" t="s">
        <v>13019</v>
      </c>
      <c r="C62" s="426">
        <v>2002.0</v>
      </c>
      <c r="D62" s="500">
        <v>37362.0</v>
      </c>
      <c r="E62" s="426" t="s">
        <v>13020</v>
      </c>
      <c r="F62" s="426" t="s">
        <v>13021</v>
      </c>
      <c r="G62" s="426" t="s">
        <v>565</v>
      </c>
      <c r="H62" s="426" t="s">
        <v>3662</v>
      </c>
      <c r="I62" s="500">
        <v>38274.0</v>
      </c>
      <c r="J62" s="428">
        <v>10.0</v>
      </c>
      <c r="K62" s="638" t="s">
        <v>234</v>
      </c>
      <c r="L62" s="428" t="s">
        <v>260</v>
      </c>
      <c r="M62" s="319">
        <f t="shared" si="2"/>
        <v>912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6204.0</v>
      </c>
      <c r="B63" s="420" t="s">
        <v>13022</v>
      </c>
      <c r="C63" s="420">
        <v>2001.0</v>
      </c>
      <c r="D63" s="497">
        <v>37190.0</v>
      </c>
      <c r="E63" s="420" t="s">
        <v>13023</v>
      </c>
      <c r="F63" s="420" t="s">
        <v>13024</v>
      </c>
      <c r="G63" s="420" t="s">
        <v>565</v>
      </c>
      <c r="H63" s="420" t="s">
        <v>13025</v>
      </c>
      <c r="I63" s="497">
        <v>38274.0</v>
      </c>
      <c r="J63" s="422">
        <v>10.0</v>
      </c>
      <c r="K63" s="636" t="s">
        <v>244</v>
      </c>
      <c r="L63" s="420" t="s">
        <v>260</v>
      </c>
      <c r="M63" s="316">
        <f t="shared" si="2"/>
        <v>1084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6304.0</v>
      </c>
      <c r="B64" s="426" t="s">
        <v>13026</v>
      </c>
      <c r="C64" s="426">
        <v>2001.0</v>
      </c>
      <c r="D64" s="500">
        <v>37048.0</v>
      </c>
      <c r="E64" s="426" t="s">
        <v>13027</v>
      </c>
      <c r="F64" s="426" t="s">
        <v>11494</v>
      </c>
      <c r="G64" s="426" t="s">
        <v>565</v>
      </c>
      <c r="H64" s="426" t="s">
        <v>13028</v>
      </c>
      <c r="I64" s="500">
        <v>38278.0</v>
      </c>
      <c r="J64" s="428">
        <v>10.0</v>
      </c>
      <c r="K64" s="636" t="s">
        <v>244</v>
      </c>
      <c r="L64" s="428" t="s">
        <v>258</v>
      </c>
      <c r="M64" s="319">
        <f t="shared" si="2"/>
        <v>1230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14</v>
      </c>
      <c r="T64" s="366">
        <f>(S64/S76)</f>
        <v>0.1666666667</v>
      </c>
      <c r="U64" s="198"/>
      <c r="V64" s="198"/>
      <c r="W64" s="198"/>
      <c r="X64" s="198"/>
      <c r="Y64" s="198"/>
      <c r="Z64" s="198"/>
    </row>
    <row r="65" ht="12.75" customHeight="1">
      <c r="A65" s="578">
        <v>6404.0</v>
      </c>
      <c r="B65" s="420" t="s">
        <v>13029</v>
      </c>
      <c r="C65" s="420">
        <v>2003.0</v>
      </c>
      <c r="D65" s="497">
        <v>37900.0</v>
      </c>
      <c r="E65" s="420" t="s">
        <v>13030</v>
      </c>
      <c r="F65" s="420" t="s">
        <v>2192</v>
      </c>
      <c r="G65" s="420" t="s">
        <v>650</v>
      </c>
      <c r="H65" s="420" t="s">
        <v>651</v>
      </c>
      <c r="I65" s="497">
        <v>38285.0</v>
      </c>
      <c r="J65" s="422">
        <v>10.0</v>
      </c>
      <c r="K65" s="637" t="s">
        <v>238</v>
      </c>
      <c r="L65" s="420" t="s">
        <v>258</v>
      </c>
      <c r="M65" s="316">
        <f t="shared" si="2"/>
        <v>385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6504.0</v>
      </c>
      <c r="B66" s="426" t="s">
        <v>13031</v>
      </c>
      <c r="C66" s="426">
        <v>2004.0</v>
      </c>
      <c r="D66" s="500">
        <v>38168.0</v>
      </c>
      <c r="E66" s="426" t="s">
        <v>13032</v>
      </c>
      <c r="F66" s="426" t="s">
        <v>563</v>
      </c>
      <c r="G66" s="426" t="s">
        <v>650</v>
      </c>
      <c r="H66" s="426" t="s">
        <v>651</v>
      </c>
      <c r="I66" s="500">
        <v>38285.0</v>
      </c>
      <c r="J66" s="428">
        <v>10.0</v>
      </c>
      <c r="K66" s="638" t="s">
        <v>234</v>
      </c>
      <c r="L66" s="428" t="s">
        <v>256</v>
      </c>
      <c r="M66" s="319">
        <f t="shared" si="2"/>
        <v>117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6604.0</v>
      </c>
      <c r="B67" s="420" t="s">
        <v>13033</v>
      </c>
      <c r="C67" s="420">
        <v>2001.0</v>
      </c>
      <c r="D67" s="497">
        <v>37160.0</v>
      </c>
      <c r="E67" s="420" t="s">
        <v>13034</v>
      </c>
      <c r="F67" s="420" t="s">
        <v>947</v>
      </c>
      <c r="G67" s="420" t="s">
        <v>270</v>
      </c>
      <c r="H67" s="420" t="s">
        <v>583</v>
      </c>
      <c r="I67" s="497">
        <v>38294.0</v>
      </c>
      <c r="J67" s="422">
        <v>11.0</v>
      </c>
      <c r="K67" s="636" t="s">
        <v>244</v>
      </c>
      <c r="L67" s="420" t="s">
        <v>258</v>
      </c>
      <c r="M67" s="316">
        <f t="shared" si="2"/>
        <v>1134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15</v>
      </c>
      <c r="T67" s="374">
        <f>(S67/S76)</f>
        <v>0.1785714286</v>
      </c>
      <c r="U67" s="198"/>
      <c r="V67" s="198"/>
      <c r="W67" s="198"/>
      <c r="X67" s="198"/>
      <c r="Y67" s="198"/>
      <c r="Z67" s="198"/>
    </row>
    <row r="68" ht="12.75" customHeight="1">
      <c r="A68" s="585">
        <v>6704.0</v>
      </c>
      <c r="B68" s="426" t="s">
        <v>13035</v>
      </c>
      <c r="C68" s="426">
        <v>2003.0</v>
      </c>
      <c r="D68" s="500">
        <v>37900.0</v>
      </c>
      <c r="E68" s="426" t="s">
        <v>13036</v>
      </c>
      <c r="F68" s="426" t="s">
        <v>963</v>
      </c>
      <c r="G68" s="426" t="s">
        <v>650</v>
      </c>
      <c r="H68" s="426" t="s">
        <v>2325</v>
      </c>
      <c r="I68" s="500">
        <v>38294.0</v>
      </c>
      <c r="J68" s="428">
        <v>11.0</v>
      </c>
      <c r="K68" s="636" t="s">
        <v>244</v>
      </c>
      <c r="L68" s="428" t="s">
        <v>258</v>
      </c>
      <c r="M68" s="319">
        <f t="shared" si="2"/>
        <v>394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6804.0</v>
      </c>
      <c r="B69" s="420" t="s">
        <v>13037</v>
      </c>
      <c r="C69" s="420">
        <v>1999.0</v>
      </c>
      <c r="D69" s="497">
        <v>36495.0</v>
      </c>
      <c r="E69" s="420" t="s">
        <v>13038</v>
      </c>
      <c r="F69" s="420" t="s">
        <v>4170</v>
      </c>
      <c r="G69" s="420" t="s">
        <v>650</v>
      </c>
      <c r="H69" s="420" t="s">
        <v>11527</v>
      </c>
      <c r="I69" s="497">
        <v>38294.0</v>
      </c>
      <c r="J69" s="422">
        <v>11.0</v>
      </c>
      <c r="K69" s="637" t="s">
        <v>238</v>
      </c>
      <c r="L69" s="420" t="s">
        <v>256</v>
      </c>
      <c r="M69" s="316">
        <f t="shared" si="2"/>
        <v>1799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32</v>
      </c>
      <c r="T69" s="377">
        <f>(S69/S76)</f>
        <v>0.380952381</v>
      </c>
      <c r="U69" s="198"/>
      <c r="V69" s="198"/>
      <c r="W69" s="198"/>
      <c r="X69" s="198"/>
      <c r="Y69" s="198"/>
      <c r="Z69" s="198"/>
    </row>
    <row r="70" ht="12.75" customHeight="1">
      <c r="A70" s="585">
        <v>6904.0</v>
      </c>
      <c r="B70" s="426" t="s">
        <v>13039</v>
      </c>
      <c r="C70" s="426">
        <v>1998.0</v>
      </c>
      <c r="D70" s="500">
        <v>36110.0</v>
      </c>
      <c r="E70" s="426" t="s">
        <v>13040</v>
      </c>
      <c r="F70" s="426" t="s">
        <v>12693</v>
      </c>
      <c r="G70" s="426" t="s">
        <v>650</v>
      </c>
      <c r="H70" s="426" t="s">
        <v>705</v>
      </c>
      <c r="I70" s="500">
        <v>38294.0</v>
      </c>
      <c r="J70" s="428">
        <v>11.0</v>
      </c>
      <c r="K70" s="638" t="s">
        <v>234</v>
      </c>
      <c r="L70" s="428" t="s">
        <v>256</v>
      </c>
      <c r="M70" s="319">
        <f t="shared" si="2"/>
        <v>2184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7004.0</v>
      </c>
      <c r="B71" s="420" t="s">
        <v>13041</v>
      </c>
      <c r="C71" s="420">
        <v>2000.0</v>
      </c>
      <c r="D71" s="497">
        <v>36851.0</v>
      </c>
      <c r="E71" s="420" t="s">
        <v>13042</v>
      </c>
      <c r="F71" s="420" t="s">
        <v>963</v>
      </c>
      <c r="G71" s="420" t="s">
        <v>650</v>
      </c>
      <c r="H71" s="420" t="s">
        <v>2964</v>
      </c>
      <c r="I71" s="497">
        <v>38324.0</v>
      </c>
      <c r="J71" s="422">
        <v>12.0</v>
      </c>
      <c r="K71" s="638" t="s">
        <v>234</v>
      </c>
      <c r="L71" s="420" t="s">
        <v>258</v>
      </c>
      <c r="M71" s="316">
        <f t="shared" si="2"/>
        <v>1473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7104.0</v>
      </c>
      <c r="B72" s="426" t="s">
        <v>13043</v>
      </c>
      <c r="C72" s="426">
        <v>2003.0</v>
      </c>
      <c r="D72" s="500">
        <v>37922.0</v>
      </c>
      <c r="E72" s="426" t="s">
        <v>13044</v>
      </c>
      <c r="F72" s="426" t="s">
        <v>1401</v>
      </c>
      <c r="G72" s="426" t="s">
        <v>270</v>
      </c>
      <c r="H72" s="426" t="s">
        <v>7403</v>
      </c>
      <c r="I72" s="500">
        <v>38324.0</v>
      </c>
      <c r="J72" s="428">
        <v>12.0</v>
      </c>
      <c r="K72" s="637" t="s">
        <v>238</v>
      </c>
      <c r="L72" s="428" t="s">
        <v>258</v>
      </c>
      <c r="M72" s="319">
        <f t="shared" si="2"/>
        <v>402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23</v>
      </c>
      <c r="T72" s="380">
        <f>(S72/S76)</f>
        <v>0.2738095238</v>
      </c>
      <c r="U72" s="198"/>
      <c r="V72" s="198"/>
      <c r="W72" s="198"/>
      <c r="X72" s="198"/>
      <c r="Y72" s="198"/>
      <c r="Z72" s="198"/>
    </row>
    <row r="73" ht="12.75" customHeight="1">
      <c r="A73" s="578">
        <v>7204.0</v>
      </c>
      <c r="B73" s="420" t="s">
        <v>13045</v>
      </c>
      <c r="C73" s="420">
        <v>2002.0</v>
      </c>
      <c r="D73" s="497">
        <v>37442.0</v>
      </c>
      <c r="E73" s="420" t="s">
        <v>13046</v>
      </c>
      <c r="F73" s="420" t="s">
        <v>666</v>
      </c>
      <c r="G73" s="420" t="s">
        <v>270</v>
      </c>
      <c r="H73" s="420" t="s">
        <v>11527</v>
      </c>
      <c r="I73" s="497">
        <v>38327.0</v>
      </c>
      <c r="J73" s="422">
        <v>12.0</v>
      </c>
      <c r="K73" s="637" t="s">
        <v>238</v>
      </c>
      <c r="L73" s="420" t="s">
        <v>256</v>
      </c>
      <c r="M73" s="316">
        <f t="shared" si="2"/>
        <v>885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7304.0</v>
      </c>
      <c r="B74" s="426" t="s">
        <v>13047</v>
      </c>
      <c r="C74" s="426">
        <v>2002.0</v>
      </c>
      <c r="D74" s="500">
        <v>37399.0</v>
      </c>
      <c r="E74" s="426" t="s">
        <v>13048</v>
      </c>
      <c r="F74" s="426" t="s">
        <v>13049</v>
      </c>
      <c r="G74" s="426" t="s">
        <v>270</v>
      </c>
      <c r="H74" s="426" t="s">
        <v>651</v>
      </c>
      <c r="I74" s="500">
        <v>38328.0</v>
      </c>
      <c r="J74" s="428">
        <v>12.0</v>
      </c>
      <c r="K74" s="637" t="s">
        <v>238</v>
      </c>
      <c r="L74" s="428" t="s">
        <v>258</v>
      </c>
      <c r="M74" s="319">
        <f t="shared" si="2"/>
        <v>929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7404.0</v>
      </c>
      <c r="B75" s="420" t="s">
        <v>13050</v>
      </c>
      <c r="C75" s="420">
        <v>2003.0</v>
      </c>
      <c r="D75" s="497">
        <v>37693.0</v>
      </c>
      <c r="E75" s="420" t="s">
        <v>10072</v>
      </c>
      <c r="F75" s="420" t="s">
        <v>31</v>
      </c>
      <c r="G75" s="420" t="s">
        <v>270</v>
      </c>
      <c r="H75" s="420" t="s">
        <v>651</v>
      </c>
      <c r="I75" s="497">
        <v>38328.0</v>
      </c>
      <c r="J75" s="422">
        <v>12.0</v>
      </c>
      <c r="K75" s="638" t="s">
        <v>234</v>
      </c>
      <c r="L75" s="420" t="s">
        <v>258</v>
      </c>
      <c r="M75" s="316">
        <f t="shared" si="2"/>
        <v>635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585">
        <v>7504.0</v>
      </c>
      <c r="B76" s="426" t="s">
        <v>13051</v>
      </c>
      <c r="C76" s="426">
        <v>2002.0</v>
      </c>
      <c r="D76" s="500">
        <v>37399.0</v>
      </c>
      <c r="E76" s="426" t="s">
        <v>13052</v>
      </c>
      <c r="F76" s="426" t="s">
        <v>13049</v>
      </c>
      <c r="G76" s="426" t="s">
        <v>46</v>
      </c>
      <c r="H76" s="426" t="s">
        <v>651</v>
      </c>
      <c r="I76" s="500">
        <v>38329.0</v>
      </c>
      <c r="J76" s="428">
        <v>12.0</v>
      </c>
      <c r="K76" s="637" t="s">
        <v>238</v>
      </c>
      <c r="L76" s="428" t="s">
        <v>258</v>
      </c>
      <c r="M76" s="319">
        <f t="shared" si="2"/>
        <v>930</v>
      </c>
      <c r="N76" s="198"/>
      <c r="O76" s="386" t="s">
        <v>219</v>
      </c>
      <c r="P76" s="332"/>
      <c r="Q76" s="332"/>
      <c r="R76" s="387"/>
      <c r="S76" s="388">
        <f>SUM(S64:S75)</f>
        <v>84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7604.0</v>
      </c>
      <c r="B77" s="420" t="s">
        <v>13053</v>
      </c>
      <c r="C77" s="420">
        <v>1998.0</v>
      </c>
      <c r="D77" s="497">
        <v>35950.0</v>
      </c>
      <c r="E77" s="420" t="s">
        <v>13054</v>
      </c>
      <c r="F77" s="420" t="s">
        <v>963</v>
      </c>
      <c r="G77" s="420" t="s">
        <v>650</v>
      </c>
      <c r="H77" s="420" t="s">
        <v>2325</v>
      </c>
      <c r="I77" s="497">
        <v>38329.0</v>
      </c>
      <c r="J77" s="422">
        <v>12.0</v>
      </c>
      <c r="K77" s="638" t="s">
        <v>234</v>
      </c>
      <c r="L77" s="420" t="s">
        <v>258</v>
      </c>
      <c r="M77" s="316">
        <f t="shared" si="2"/>
        <v>2379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7704.0</v>
      </c>
      <c r="B78" s="426" t="s">
        <v>13055</v>
      </c>
      <c r="C78" s="426">
        <v>2001.0</v>
      </c>
      <c r="D78" s="500">
        <v>37161.0</v>
      </c>
      <c r="E78" s="426" t="s">
        <v>13056</v>
      </c>
      <c r="F78" s="426" t="s">
        <v>1843</v>
      </c>
      <c r="G78" s="426" t="s">
        <v>270</v>
      </c>
      <c r="H78" s="426" t="s">
        <v>2509</v>
      </c>
      <c r="I78" s="500">
        <v>38337.0</v>
      </c>
      <c r="J78" s="428">
        <v>12.0</v>
      </c>
      <c r="K78" s="637" t="s">
        <v>238</v>
      </c>
      <c r="L78" s="428" t="s">
        <v>260</v>
      </c>
      <c r="M78" s="319">
        <f t="shared" si="2"/>
        <v>1176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7804.0</v>
      </c>
      <c r="B79" s="420" t="s">
        <v>13057</v>
      </c>
      <c r="C79" s="420">
        <v>2001.0</v>
      </c>
      <c r="D79" s="497">
        <v>37217.0</v>
      </c>
      <c r="E79" s="420" t="s">
        <v>13058</v>
      </c>
      <c r="F79" s="420" t="s">
        <v>13059</v>
      </c>
      <c r="G79" s="420" t="s">
        <v>34</v>
      </c>
      <c r="H79" s="420" t="s">
        <v>12977</v>
      </c>
      <c r="I79" s="497">
        <v>38338.0</v>
      </c>
      <c r="J79" s="422">
        <v>12.0</v>
      </c>
      <c r="K79" s="637" t="s">
        <v>238</v>
      </c>
      <c r="L79" s="420" t="s">
        <v>260</v>
      </c>
      <c r="M79" s="316">
        <f t="shared" si="2"/>
        <v>1121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7904.0</v>
      </c>
      <c r="B80" s="426" t="s">
        <v>13060</v>
      </c>
      <c r="C80" s="426">
        <v>2003.0</v>
      </c>
      <c r="D80" s="500">
        <v>37900.0</v>
      </c>
      <c r="E80" s="426" t="s">
        <v>13061</v>
      </c>
      <c r="F80" s="426" t="s">
        <v>774</v>
      </c>
      <c r="G80" s="426" t="s">
        <v>650</v>
      </c>
      <c r="H80" s="426" t="s">
        <v>12127</v>
      </c>
      <c r="I80" s="500">
        <v>38338.0</v>
      </c>
      <c r="J80" s="428">
        <v>12.0</v>
      </c>
      <c r="K80" s="638" t="s">
        <v>234</v>
      </c>
      <c r="L80" s="428" t="s">
        <v>256</v>
      </c>
      <c r="M80" s="319">
        <f t="shared" si="2"/>
        <v>438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8004.0</v>
      </c>
      <c r="B81" s="420" t="s">
        <v>13062</v>
      </c>
      <c r="C81" s="420">
        <v>2002.0</v>
      </c>
      <c r="D81" s="497">
        <v>37510.0</v>
      </c>
      <c r="E81" s="420" t="s">
        <v>13063</v>
      </c>
      <c r="F81" s="420" t="s">
        <v>13059</v>
      </c>
      <c r="G81" s="420" t="s">
        <v>547</v>
      </c>
      <c r="H81" s="420" t="s">
        <v>13064</v>
      </c>
      <c r="I81" s="497">
        <v>38343.0</v>
      </c>
      <c r="J81" s="422">
        <v>12.0</v>
      </c>
      <c r="K81" s="635" t="s">
        <v>228</v>
      </c>
      <c r="L81" s="420" t="s">
        <v>258</v>
      </c>
      <c r="M81" s="316">
        <f t="shared" si="2"/>
        <v>833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0</v>
      </c>
      <c r="T81" s="395">
        <f>(S81/S85)</f>
        <v>0</v>
      </c>
      <c r="U81" s="198"/>
      <c r="V81" s="198"/>
      <c r="W81" s="198"/>
      <c r="X81" s="198"/>
      <c r="Y81" s="198"/>
      <c r="Z81" s="198"/>
    </row>
    <row r="82" ht="13.5" customHeight="1">
      <c r="A82" s="585">
        <v>8104.0</v>
      </c>
      <c r="B82" s="426" t="s">
        <v>13065</v>
      </c>
      <c r="C82" s="426">
        <v>2000.0</v>
      </c>
      <c r="D82" s="500">
        <v>36762.0</v>
      </c>
      <c r="E82" s="426" t="s">
        <v>13066</v>
      </c>
      <c r="F82" s="426" t="s">
        <v>13067</v>
      </c>
      <c r="G82" s="426" t="s">
        <v>547</v>
      </c>
      <c r="H82" s="426" t="s">
        <v>18</v>
      </c>
      <c r="I82" s="500">
        <v>38343.0</v>
      </c>
      <c r="J82" s="428">
        <v>12.0</v>
      </c>
      <c r="K82" s="637" t="s">
        <v>238</v>
      </c>
      <c r="L82" s="428" t="s">
        <v>256</v>
      </c>
      <c r="M82" s="319">
        <f t="shared" si="2"/>
        <v>1581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33</v>
      </c>
      <c r="T82" s="398">
        <f>(S82/S85)</f>
        <v>0.3928571429</v>
      </c>
      <c r="U82" s="198"/>
      <c r="V82" s="198"/>
      <c r="W82" s="198"/>
      <c r="X82" s="198"/>
      <c r="Y82" s="198"/>
      <c r="Z82" s="198"/>
    </row>
    <row r="83" ht="13.5" customHeight="1">
      <c r="A83" s="578">
        <v>8204.0</v>
      </c>
      <c r="B83" s="420" t="s">
        <v>13068</v>
      </c>
      <c r="C83" s="420">
        <v>2002.0</v>
      </c>
      <c r="D83" s="497">
        <v>37610.0</v>
      </c>
      <c r="E83" s="420" t="s">
        <v>13069</v>
      </c>
      <c r="F83" s="420" t="s">
        <v>3572</v>
      </c>
      <c r="G83" s="420" t="s">
        <v>650</v>
      </c>
      <c r="H83" s="420" t="s">
        <v>158</v>
      </c>
      <c r="I83" s="497">
        <v>38344.0</v>
      </c>
      <c r="J83" s="422">
        <v>12.0</v>
      </c>
      <c r="K83" s="637" t="s">
        <v>238</v>
      </c>
      <c r="L83" s="420" t="s">
        <v>256</v>
      </c>
      <c r="M83" s="316">
        <f t="shared" si="2"/>
        <v>734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41</v>
      </c>
      <c r="T83" s="395">
        <f>(S83/S85)</f>
        <v>0.4880952381</v>
      </c>
      <c r="U83" s="198"/>
      <c r="V83" s="198"/>
      <c r="W83" s="198"/>
      <c r="X83" s="198"/>
      <c r="Y83" s="198"/>
      <c r="Z83" s="198"/>
    </row>
    <row r="84" ht="14.25" customHeight="1">
      <c r="A84" s="585">
        <v>8304.0</v>
      </c>
      <c r="B84" s="426" t="s">
        <v>13070</v>
      </c>
      <c r="C84" s="426">
        <v>2003.0</v>
      </c>
      <c r="D84" s="500">
        <v>37657.0</v>
      </c>
      <c r="E84" s="426" t="s">
        <v>13071</v>
      </c>
      <c r="F84" s="426" t="s">
        <v>11552</v>
      </c>
      <c r="G84" s="426" t="s">
        <v>650</v>
      </c>
      <c r="H84" s="426" t="s">
        <v>705</v>
      </c>
      <c r="I84" s="500">
        <v>38344.0</v>
      </c>
      <c r="J84" s="428">
        <v>12.0</v>
      </c>
      <c r="K84" s="635" t="s">
        <v>228</v>
      </c>
      <c r="L84" s="428" t="s">
        <v>256</v>
      </c>
      <c r="M84" s="319">
        <f t="shared" si="2"/>
        <v>687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10</v>
      </c>
      <c r="T84" s="398">
        <f>(S84/S85)</f>
        <v>0.119047619</v>
      </c>
      <c r="U84" s="198"/>
      <c r="V84" s="198"/>
      <c r="W84" s="198"/>
      <c r="X84" s="198"/>
      <c r="Y84" s="198"/>
      <c r="Z84" s="198"/>
    </row>
    <row r="85" ht="12.75" customHeight="1">
      <c r="A85" s="578">
        <v>8404.0</v>
      </c>
      <c r="B85" s="420" t="s">
        <v>13072</v>
      </c>
      <c r="C85" s="420">
        <v>2003.0</v>
      </c>
      <c r="D85" s="497">
        <v>37929.0</v>
      </c>
      <c r="E85" s="420" t="s">
        <v>13073</v>
      </c>
      <c r="F85" s="420" t="s">
        <v>1537</v>
      </c>
      <c r="G85" s="420" t="s">
        <v>270</v>
      </c>
      <c r="H85" s="420" t="s">
        <v>2964</v>
      </c>
      <c r="I85" s="497">
        <v>38349.0</v>
      </c>
      <c r="J85" s="422">
        <v>12.0</v>
      </c>
      <c r="K85" s="635" t="s">
        <v>228</v>
      </c>
      <c r="L85" s="420" t="s">
        <v>256</v>
      </c>
      <c r="M85" s="316">
        <f t="shared" si="2"/>
        <v>420</v>
      </c>
      <c r="N85" s="198"/>
      <c r="O85" s="358" t="s">
        <v>219</v>
      </c>
      <c r="P85" s="359"/>
      <c r="Q85" s="359"/>
      <c r="R85" s="360"/>
      <c r="S85" s="388">
        <f>SUM(S81:S84)</f>
        <v>84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8504.0</v>
      </c>
      <c r="B86" s="426" t="s">
        <v>13074</v>
      </c>
      <c r="C86" s="426">
        <v>2002.0</v>
      </c>
      <c r="D86" s="500">
        <v>37607.0</v>
      </c>
      <c r="E86" s="426" t="s">
        <v>13075</v>
      </c>
      <c r="F86" s="426" t="s">
        <v>12748</v>
      </c>
      <c r="G86" s="426" t="s">
        <v>650</v>
      </c>
      <c r="H86" s="426" t="s">
        <v>705</v>
      </c>
      <c r="I86" s="500">
        <v>38349.0</v>
      </c>
      <c r="J86" s="428">
        <v>12.0</v>
      </c>
      <c r="K86" s="636" t="s">
        <v>244</v>
      </c>
      <c r="L86" s="428" t="s">
        <v>256</v>
      </c>
      <c r="M86" s="319">
        <f t="shared" si="2"/>
        <v>742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613"/>
      <c r="B87" s="613"/>
      <c r="C87" s="613"/>
      <c r="D87" s="615"/>
      <c r="E87" s="613"/>
      <c r="F87" s="613"/>
      <c r="G87" s="613"/>
      <c r="H87" s="613"/>
      <c r="I87" s="615"/>
      <c r="J87" s="613"/>
      <c r="K87" s="613"/>
      <c r="L87" s="613"/>
      <c r="M87" s="613"/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613"/>
      <c r="B88" s="613"/>
      <c r="C88" s="613"/>
      <c r="D88" s="615"/>
      <c r="E88" s="613"/>
      <c r="F88" s="613"/>
      <c r="G88" s="613"/>
      <c r="H88" s="613"/>
      <c r="I88" s="615"/>
      <c r="J88" s="613"/>
      <c r="K88" s="613"/>
      <c r="L88" s="613"/>
      <c r="M88" s="613"/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613"/>
      <c r="B89" s="613"/>
      <c r="C89" s="613"/>
      <c r="D89" s="615"/>
      <c r="E89" s="613"/>
      <c r="F89" s="613"/>
      <c r="G89" s="613"/>
      <c r="H89" s="613"/>
      <c r="I89" s="615"/>
      <c r="J89" s="613"/>
      <c r="K89" s="613"/>
      <c r="L89" s="613"/>
      <c r="M89" s="613"/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613"/>
      <c r="B90" s="613"/>
      <c r="C90" s="613"/>
      <c r="D90" s="615"/>
      <c r="E90" s="613"/>
      <c r="F90" s="613"/>
      <c r="G90" s="613"/>
      <c r="H90" s="613"/>
      <c r="I90" s="615"/>
      <c r="J90" s="613"/>
      <c r="K90" s="613"/>
      <c r="L90" s="613"/>
      <c r="M90" s="613"/>
      <c r="N90" s="198"/>
      <c r="O90" s="412" t="s">
        <v>270</v>
      </c>
      <c r="P90" s="413">
        <f>AVERAGEIF(G2:G476,"PT",M2:M476)</f>
        <v>1119.238095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613"/>
      <c r="B91" s="613"/>
      <c r="C91" s="613"/>
      <c r="D91" s="615"/>
      <c r="E91" s="613"/>
      <c r="F91" s="613"/>
      <c r="G91" s="613"/>
      <c r="H91" s="613"/>
      <c r="I91" s="615"/>
      <c r="J91" s="613"/>
      <c r="K91" s="613"/>
      <c r="L91" s="613"/>
      <c r="M91" s="613"/>
      <c r="N91" s="198"/>
      <c r="O91" s="414" t="s">
        <v>34</v>
      </c>
      <c r="P91" s="415">
        <f>AVERAGEIF(G2:G477,"PTN",M2:M477)</f>
        <v>1058.75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613"/>
      <c r="B92" s="613"/>
      <c r="C92" s="613"/>
      <c r="D92" s="615"/>
      <c r="E92" s="198"/>
      <c r="F92" s="198"/>
      <c r="G92" s="198"/>
      <c r="H92" s="198"/>
      <c r="I92" s="615"/>
      <c r="J92" s="198"/>
      <c r="K92" s="198"/>
      <c r="L92" s="198"/>
      <c r="M92" s="616"/>
      <c r="N92" s="198"/>
      <c r="O92" s="412" t="s">
        <v>17</v>
      </c>
      <c r="P92" s="413" t="str">
        <f>AVERAGEIF(G2:G476,"PTE",M2:M476)</f>
        <v>#DIV/0!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613"/>
      <c r="B93" s="613"/>
      <c r="C93" s="613"/>
      <c r="D93" s="615"/>
      <c r="E93" s="198"/>
      <c r="F93" s="198"/>
      <c r="G93" s="198"/>
      <c r="H93" s="198"/>
      <c r="I93" s="615"/>
      <c r="J93" s="198"/>
      <c r="K93" s="198"/>
      <c r="L93" s="198"/>
      <c r="M93" s="616"/>
      <c r="N93" s="198"/>
      <c r="O93" s="414" t="s">
        <v>46</v>
      </c>
      <c r="P93" s="415">
        <f>AVERAGEIF(G2:G476,"Pré-Mistura",M2:M476)</f>
        <v>930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613"/>
      <c r="B94" s="613"/>
      <c r="C94" s="613"/>
      <c r="D94" s="615"/>
      <c r="E94" s="198"/>
      <c r="F94" s="198"/>
      <c r="G94" s="198"/>
      <c r="H94" s="198"/>
      <c r="I94" s="615"/>
      <c r="J94" s="198"/>
      <c r="K94" s="198"/>
      <c r="L94" s="198"/>
      <c r="M94" s="616"/>
      <c r="N94" s="198"/>
      <c r="O94" s="412" t="s">
        <v>650</v>
      </c>
      <c r="P94" s="413">
        <f>AVERAGEIF(G2:G476,"PF",M2:M476)</f>
        <v>1073.666667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613"/>
      <c r="B95" s="613"/>
      <c r="C95" s="613"/>
      <c r="D95" s="615"/>
      <c r="E95" s="198"/>
      <c r="F95" s="198"/>
      <c r="G95" s="198"/>
      <c r="H95" s="198"/>
      <c r="I95" s="615"/>
      <c r="J95" s="198"/>
      <c r="K95" s="198"/>
      <c r="L95" s="198"/>
      <c r="M95" s="616"/>
      <c r="N95" s="198"/>
      <c r="O95" s="414" t="s">
        <v>547</v>
      </c>
      <c r="P95" s="415">
        <f>AVERAGEIF(G2:G476,"PFN",M2:M476)</f>
        <v>916.7142857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613"/>
      <c r="B96" s="613"/>
      <c r="C96" s="613"/>
      <c r="D96" s="615"/>
      <c r="E96" s="198"/>
      <c r="F96" s="198"/>
      <c r="G96" s="198"/>
      <c r="H96" s="198"/>
      <c r="I96" s="615"/>
      <c r="J96" s="198"/>
      <c r="K96" s="198"/>
      <c r="L96" s="198"/>
      <c r="M96" s="616"/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613"/>
      <c r="B97" s="613"/>
      <c r="C97" s="613"/>
      <c r="D97" s="615"/>
      <c r="E97" s="198"/>
      <c r="F97" s="198"/>
      <c r="G97" s="198"/>
      <c r="H97" s="198"/>
      <c r="I97" s="615"/>
      <c r="J97" s="198"/>
      <c r="K97" s="198"/>
      <c r="L97" s="198"/>
      <c r="M97" s="616"/>
      <c r="N97" s="198"/>
      <c r="O97" s="414" t="s">
        <v>565</v>
      </c>
      <c r="P97" s="415">
        <f>AVERAGEIF(G2:G476,"Bio",M2:M476)</f>
        <v>938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613"/>
      <c r="B98" s="613"/>
      <c r="C98" s="613"/>
      <c r="D98" s="615"/>
      <c r="E98" s="198"/>
      <c r="F98" s="198"/>
      <c r="G98" s="198"/>
      <c r="H98" s="198"/>
      <c r="I98" s="615"/>
      <c r="J98" s="198"/>
      <c r="K98" s="198"/>
      <c r="L98" s="198"/>
      <c r="M98" s="616"/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613"/>
      <c r="B99" s="613"/>
      <c r="C99" s="613"/>
      <c r="D99" s="615"/>
      <c r="E99" s="198"/>
      <c r="F99" s="198"/>
      <c r="G99" s="198"/>
      <c r="H99" s="198"/>
      <c r="I99" s="615"/>
      <c r="J99" s="198"/>
      <c r="K99" s="198"/>
      <c r="L99" s="198"/>
      <c r="M99" s="616"/>
      <c r="N99" s="198"/>
      <c r="O99" s="416" t="s">
        <v>275</v>
      </c>
      <c r="P99" s="417">
        <f>AVERAGE(M2:M494)</f>
        <v>1059.869048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613"/>
      <c r="B100" s="613"/>
      <c r="C100" s="613"/>
      <c r="D100" s="615"/>
      <c r="E100" s="198"/>
      <c r="F100" s="198"/>
      <c r="G100" s="198"/>
      <c r="H100" s="198"/>
      <c r="I100" s="615"/>
      <c r="J100" s="198"/>
      <c r="K100" s="198"/>
      <c r="L100" s="198"/>
      <c r="M100" s="616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613"/>
      <c r="B101" s="613"/>
      <c r="C101" s="613"/>
      <c r="D101" s="615"/>
      <c r="E101" s="198"/>
      <c r="F101" s="198"/>
      <c r="G101" s="198"/>
      <c r="H101" s="198"/>
      <c r="I101" s="615"/>
      <c r="J101" s="198"/>
      <c r="K101" s="198"/>
      <c r="L101" s="198"/>
      <c r="M101" s="616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613"/>
      <c r="B102" s="613"/>
      <c r="C102" s="613"/>
      <c r="D102" s="615"/>
      <c r="E102" s="198"/>
      <c r="F102" s="198"/>
      <c r="G102" s="198"/>
      <c r="H102" s="198"/>
      <c r="I102" s="615"/>
      <c r="J102" s="198"/>
      <c r="K102" s="198"/>
      <c r="L102" s="198"/>
      <c r="M102" s="616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613"/>
      <c r="B103" s="613"/>
      <c r="C103" s="613"/>
      <c r="D103" s="615"/>
      <c r="E103" s="198"/>
      <c r="F103" s="198"/>
      <c r="G103" s="198"/>
      <c r="H103" s="198"/>
      <c r="I103" s="615"/>
      <c r="J103" s="198"/>
      <c r="K103" s="198"/>
      <c r="L103" s="198"/>
      <c r="M103" s="616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613"/>
      <c r="B104" s="613"/>
      <c r="C104" s="613"/>
      <c r="D104" s="615"/>
      <c r="E104" s="198"/>
      <c r="F104" s="198"/>
      <c r="G104" s="198"/>
      <c r="H104" s="198"/>
      <c r="I104" s="615"/>
      <c r="J104" s="198"/>
      <c r="K104" s="198"/>
      <c r="L104" s="198"/>
      <c r="M104" s="61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613"/>
      <c r="B105" s="613"/>
      <c r="C105" s="613"/>
      <c r="D105" s="615"/>
      <c r="E105" s="198"/>
      <c r="F105" s="198"/>
      <c r="G105" s="198"/>
      <c r="H105" s="198"/>
      <c r="I105" s="615"/>
      <c r="J105" s="198"/>
      <c r="K105" s="198"/>
      <c r="L105" s="198"/>
      <c r="M105" s="616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613"/>
      <c r="C106" s="613"/>
      <c r="D106" s="615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613"/>
      <c r="B107" s="613"/>
      <c r="C107" s="613"/>
      <c r="D107" s="615"/>
      <c r="E107" s="198"/>
      <c r="F107" s="198"/>
      <c r="G107" s="198"/>
      <c r="H107" s="198"/>
      <c r="I107" s="615"/>
      <c r="J107" s="198"/>
      <c r="K107" s="198"/>
      <c r="L107" s="198"/>
      <c r="M107" s="61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613"/>
      <c r="B108" s="613"/>
      <c r="C108" s="613"/>
      <c r="D108" s="615"/>
      <c r="E108" s="198"/>
      <c r="F108" s="198"/>
      <c r="G108" s="198"/>
      <c r="H108" s="198"/>
      <c r="I108" s="615"/>
      <c r="J108" s="198"/>
      <c r="K108" s="198"/>
      <c r="L108" s="198"/>
      <c r="M108" s="616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613"/>
      <c r="B109" s="613"/>
      <c r="C109" s="613"/>
      <c r="D109" s="615"/>
      <c r="E109" s="198"/>
      <c r="F109" s="198"/>
      <c r="G109" s="198"/>
      <c r="H109" s="198"/>
      <c r="I109" s="615"/>
      <c r="J109" s="198"/>
      <c r="K109" s="198"/>
      <c r="L109" s="198"/>
      <c r="M109" s="616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613"/>
      <c r="B110" s="613"/>
      <c r="C110" s="613"/>
      <c r="D110" s="615"/>
      <c r="E110" s="198"/>
      <c r="F110" s="198"/>
      <c r="G110" s="198"/>
      <c r="H110" s="198"/>
      <c r="I110" s="615"/>
      <c r="J110" s="198"/>
      <c r="K110" s="198"/>
      <c r="L110" s="198"/>
      <c r="M110" s="61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613"/>
      <c r="B111" s="613"/>
      <c r="C111" s="613"/>
      <c r="D111" s="615"/>
      <c r="E111" s="198"/>
      <c r="F111" s="198"/>
      <c r="G111" s="198"/>
      <c r="H111" s="198"/>
      <c r="I111" s="615"/>
      <c r="J111" s="198"/>
      <c r="K111" s="198"/>
      <c r="L111" s="198"/>
      <c r="M111" s="616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5"/>
      <c r="E112" s="198"/>
      <c r="F112" s="198"/>
      <c r="G112" s="198"/>
      <c r="H112" s="198"/>
      <c r="I112" s="615"/>
      <c r="J112" s="198"/>
      <c r="K112" s="198"/>
      <c r="L112" s="198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613"/>
      <c r="B113" s="613"/>
      <c r="C113" s="613"/>
      <c r="D113" s="615"/>
      <c r="E113" s="198"/>
      <c r="F113" s="198"/>
      <c r="G113" s="198"/>
      <c r="H113" s="198"/>
      <c r="I113" s="615"/>
      <c r="J113" s="198"/>
      <c r="K113" s="198"/>
      <c r="L113" s="198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613"/>
      <c r="B114" s="613"/>
      <c r="C114" s="613"/>
      <c r="D114" s="615"/>
      <c r="E114" s="198"/>
      <c r="F114" s="198"/>
      <c r="G114" s="198"/>
      <c r="H114" s="198"/>
      <c r="I114" s="615"/>
      <c r="J114" s="198"/>
      <c r="K114" s="198"/>
      <c r="L114" s="198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613"/>
      <c r="B115" s="613"/>
      <c r="C115" s="613"/>
      <c r="D115" s="615"/>
      <c r="E115" s="198"/>
      <c r="F115" s="198"/>
      <c r="G115" s="198"/>
      <c r="H115" s="198"/>
      <c r="I115" s="615"/>
      <c r="J115" s="198"/>
      <c r="K115" s="198"/>
      <c r="L115" s="198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613"/>
      <c r="B116" s="613"/>
      <c r="C116" s="613"/>
      <c r="D116" s="615"/>
      <c r="E116" s="198"/>
      <c r="F116" s="198"/>
      <c r="G116" s="198"/>
      <c r="H116" s="198"/>
      <c r="I116" s="615"/>
      <c r="J116" s="198"/>
      <c r="K116" s="198"/>
      <c r="L116" s="198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613"/>
      <c r="B117" s="613"/>
      <c r="C117" s="613"/>
      <c r="D117" s="615"/>
      <c r="E117" s="198"/>
      <c r="F117" s="198"/>
      <c r="G117" s="198"/>
      <c r="H117" s="198"/>
      <c r="I117" s="615"/>
      <c r="J117" s="198"/>
      <c r="K117" s="198"/>
      <c r="L117" s="198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4.57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9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103.0</v>
      </c>
      <c r="B2" s="426" t="s">
        <v>13076</v>
      </c>
      <c r="C2" s="426">
        <v>2001.0</v>
      </c>
      <c r="D2" s="500">
        <v>37060.0</v>
      </c>
      <c r="E2" s="426" t="s">
        <v>13077</v>
      </c>
      <c r="F2" s="426" t="s">
        <v>591</v>
      </c>
      <c r="G2" s="426" t="s">
        <v>34</v>
      </c>
      <c r="H2" s="426" t="s">
        <v>601</v>
      </c>
      <c r="I2" s="500">
        <v>37628.0</v>
      </c>
      <c r="J2" s="428">
        <v>1.0</v>
      </c>
      <c r="K2" s="636" t="s">
        <v>244</v>
      </c>
      <c r="L2" s="428" t="s">
        <v>256</v>
      </c>
      <c r="M2" s="319">
        <f t="shared" ref="M2:M78" si="1">I2-D2</f>
        <v>568</v>
      </c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203.0</v>
      </c>
      <c r="B3" s="420" t="s">
        <v>13078</v>
      </c>
      <c r="C3" s="420">
        <v>2001.0</v>
      </c>
      <c r="D3" s="497">
        <v>37235.0</v>
      </c>
      <c r="E3" s="420" t="s">
        <v>13079</v>
      </c>
      <c r="F3" s="420" t="s">
        <v>963</v>
      </c>
      <c r="G3" s="420" t="s">
        <v>650</v>
      </c>
      <c r="H3" s="420" t="s">
        <v>929</v>
      </c>
      <c r="I3" s="497">
        <v>37803.0</v>
      </c>
      <c r="J3" s="422">
        <v>1.0</v>
      </c>
      <c r="K3" s="638" t="s">
        <v>234</v>
      </c>
      <c r="L3" s="420" t="s">
        <v>258</v>
      </c>
      <c r="M3" s="316">
        <f t="shared" si="1"/>
        <v>568</v>
      </c>
      <c r="N3" s="198"/>
      <c r="O3" s="320" t="s">
        <v>27</v>
      </c>
      <c r="P3" s="320">
        <f>COUNTIF($G$2:$G$476,"PT")</f>
        <v>21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303.0</v>
      </c>
      <c r="B4" s="426" t="s">
        <v>13080</v>
      </c>
      <c r="C4" s="426">
        <v>1999.0</v>
      </c>
      <c r="D4" s="500">
        <v>36525.0</v>
      </c>
      <c r="E4" s="426" t="s">
        <v>13081</v>
      </c>
      <c r="F4" s="426" t="s">
        <v>13082</v>
      </c>
      <c r="G4" s="426" t="s">
        <v>650</v>
      </c>
      <c r="H4" s="426" t="s">
        <v>573</v>
      </c>
      <c r="I4" s="500">
        <v>37634.0</v>
      </c>
      <c r="J4" s="428">
        <v>1.0</v>
      </c>
      <c r="K4" s="635" t="s">
        <v>228</v>
      </c>
      <c r="L4" s="428" t="s">
        <v>256</v>
      </c>
      <c r="M4" s="319">
        <f t="shared" si="1"/>
        <v>1109</v>
      </c>
      <c r="N4" s="198"/>
      <c r="O4" s="321" t="s">
        <v>34</v>
      </c>
      <c r="P4" s="321">
        <f>COUNTIF($G$2:$G$476,"PTN")</f>
        <v>8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403.0</v>
      </c>
      <c r="B5" s="420" t="s">
        <v>13083</v>
      </c>
      <c r="C5" s="420">
        <v>1995.0</v>
      </c>
      <c r="D5" s="497">
        <v>35047.0</v>
      </c>
      <c r="E5" s="420" t="s">
        <v>13084</v>
      </c>
      <c r="F5" s="420" t="s">
        <v>900</v>
      </c>
      <c r="G5" s="420" t="s">
        <v>650</v>
      </c>
      <c r="H5" s="420" t="s">
        <v>2964</v>
      </c>
      <c r="I5" s="497">
        <v>37641.0</v>
      </c>
      <c r="J5" s="422">
        <v>1.0</v>
      </c>
      <c r="K5" s="638" t="s">
        <v>234</v>
      </c>
      <c r="L5" s="420" t="s">
        <v>258</v>
      </c>
      <c r="M5" s="316">
        <f t="shared" si="1"/>
        <v>2594</v>
      </c>
      <c r="N5" s="198"/>
      <c r="O5" s="322" t="s">
        <v>40</v>
      </c>
      <c r="P5" s="322">
        <f>COUNTIF($G$2:$G$476,"PTE")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503.0</v>
      </c>
      <c r="B6" s="426" t="s">
        <v>13085</v>
      </c>
      <c r="C6" s="426">
        <v>2001.0</v>
      </c>
      <c r="D6" s="500">
        <v>37022.0</v>
      </c>
      <c r="E6" s="426" t="s">
        <v>13086</v>
      </c>
      <c r="F6" s="426" t="s">
        <v>719</v>
      </c>
      <c r="G6" s="426" t="s">
        <v>270</v>
      </c>
      <c r="H6" s="426" t="s">
        <v>7403</v>
      </c>
      <c r="I6" s="500">
        <v>37641.0</v>
      </c>
      <c r="J6" s="428">
        <v>1.0</v>
      </c>
      <c r="K6" s="637" t="s">
        <v>238</v>
      </c>
      <c r="L6" s="428" t="s">
        <v>258</v>
      </c>
      <c r="M6" s="319">
        <f t="shared" si="1"/>
        <v>619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603.0</v>
      </c>
      <c r="B7" s="420" t="s">
        <v>13087</v>
      </c>
      <c r="C7" s="420">
        <v>2001.0</v>
      </c>
      <c r="D7" s="497">
        <v>37092.0</v>
      </c>
      <c r="E7" s="420" t="s">
        <v>13088</v>
      </c>
      <c r="F7" s="420" t="s">
        <v>909</v>
      </c>
      <c r="G7" s="420" t="s">
        <v>34</v>
      </c>
      <c r="H7" s="420" t="s">
        <v>705</v>
      </c>
      <c r="I7" s="497">
        <v>37648.0</v>
      </c>
      <c r="J7" s="422">
        <v>1.0</v>
      </c>
      <c r="K7" s="637" t="s">
        <v>238</v>
      </c>
      <c r="L7" s="420" t="s">
        <v>258</v>
      </c>
      <c r="M7" s="316">
        <f t="shared" si="1"/>
        <v>556</v>
      </c>
      <c r="N7" s="198"/>
      <c r="O7" s="322" t="s">
        <v>553</v>
      </c>
      <c r="P7" s="322">
        <f>COUNTIF($G$2:$G$476,"PF")</f>
        <v>40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703.0</v>
      </c>
      <c r="B8" s="426" t="s">
        <v>13089</v>
      </c>
      <c r="C8" s="426">
        <v>2001.0</v>
      </c>
      <c r="D8" s="500">
        <v>37140.0</v>
      </c>
      <c r="E8" s="426" t="s">
        <v>13090</v>
      </c>
      <c r="F8" s="426" t="s">
        <v>909</v>
      </c>
      <c r="G8" s="426" t="s">
        <v>547</v>
      </c>
      <c r="H8" s="426" t="s">
        <v>705</v>
      </c>
      <c r="I8" s="500">
        <v>37648.0</v>
      </c>
      <c r="J8" s="428">
        <v>1.0</v>
      </c>
      <c r="K8" s="637" t="s">
        <v>238</v>
      </c>
      <c r="L8" s="428" t="s">
        <v>258</v>
      </c>
      <c r="M8" s="319">
        <f t="shared" si="1"/>
        <v>508</v>
      </c>
      <c r="N8" s="198"/>
      <c r="O8" s="321" t="s">
        <v>547</v>
      </c>
      <c r="P8" s="321">
        <f>COUNTIF($G$2:$G$476,"PFN")</f>
        <v>3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803.0</v>
      </c>
      <c r="B9" s="420" t="s">
        <v>13091</v>
      </c>
      <c r="C9" s="420">
        <v>2002.0</v>
      </c>
      <c r="D9" s="497">
        <v>37293.0</v>
      </c>
      <c r="E9" s="420" t="s">
        <v>13092</v>
      </c>
      <c r="F9" s="420" t="s">
        <v>13093</v>
      </c>
      <c r="G9" s="420" t="s">
        <v>565</v>
      </c>
      <c r="H9" s="420" t="s">
        <v>13094</v>
      </c>
      <c r="I9" s="497">
        <v>37659.0</v>
      </c>
      <c r="J9" s="422">
        <v>2.0</v>
      </c>
      <c r="K9" s="636" t="s">
        <v>244</v>
      </c>
      <c r="L9" s="420" t="s">
        <v>260</v>
      </c>
      <c r="M9" s="316">
        <f t="shared" si="1"/>
        <v>366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903.0</v>
      </c>
      <c r="B10" s="426" t="s">
        <v>13095</v>
      </c>
      <c r="C10" s="426">
        <v>2000.0</v>
      </c>
      <c r="D10" s="500">
        <v>36805.0</v>
      </c>
      <c r="E10" s="426" t="s">
        <v>13096</v>
      </c>
      <c r="F10" s="426" t="s">
        <v>13097</v>
      </c>
      <c r="G10" s="426" t="s">
        <v>650</v>
      </c>
      <c r="H10" s="426" t="s">
        <v>9033</v>
      </c>
      <c r="I10" s="500">
        <v>38024.0</v>
      </c>
      <c r="J10" s="428">
        <v>2.0</v>
      </c>
      <c r="K10" s="637" t="s">
        <v>238</v>
      </c>
      <c r="L10" s="428" t="s">
        <v>256</v>
      </c>
      <c r="M10" s="319">
        <f t="shared" si="1"/>
        <v>1219</v>
      </c>
      <c r="N10" s="198"/>
      <c r="O10" s="321" t="s">
        <v>565</v>
      </c>
      <c r="P10" s="321">
        <f>COUNTIF($G$2:$G$476,"Bio")</f>
        <v>5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1003.0</v>
      </c>
      <c r="B11" s="420" t="s">
        <v>13098</v>
      </c>
      <c r="C11" s="420">
        <v>2002.0</v>
      </c>
      <c r="D11" s="497">
        <v>37516.0</v>
      </c>
      <c r="E11" s="420" t="s">
        <v>13099</v>
      </c>
      <c r="F11" s="420" t="s">
        <v>963</v>
      </c>
      <c r="G11" s="420" t="s">
        <v>650</v>
      </c>
      <c r="H11" s="420" t="s">
        <v>56</v>
      </c>
      <c r="I11" s="497">
        <v>37673.0</v>
      </c>
      <c r="J11" s="422">
        <v>2.0</v>
      </c>
      <c r="K11" s="636" t="s">
        <v>244</v>
      </c>
      <c r="L11" s="420" t="s">
        <v>258</v>
      </c>
      <c r="M11" s="316">
        <f t="shared" si="1"/>
        <v>157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1103.0</v>
      </c>
      <c r="B12" s="426" t="s">
        <v>13100</v>
      </c>
      <c r="C12" s="426">
        <v>2001.0</v>
      </c>
      <c r="D12" s="500">
        <v>36923.0</v>
      </c>
      <c r="E12" s="426" t="s">
        <v>13101</v>
      </c>
      <c r="F12" s="426" t="s">
        <v>963</v>
      </c>
      <c r="G12" s="426" t="s">
        <v>650</v>
      </c>
      <c r="H12" s="426" t="s">
        <v>5016</v>
      </c>
      <c r="I12" s="500">
        <v>37673.0</v>
      </c>
      <c r="J12" s="428">
        <v>2.0</v>
      </c>
      <c r="K12" s="638" t="s">
        <v>234</v>
      </c>
      <c r="L12" s="428" t="s">
        <v>258</v>
      </c>
      <c r="M12" s="319">
        <f t="shared" si="1"/>
        <v>750</v>
      </c>
      <c r="N12" s="198"/>
      <c r="O12" s="324" t="s">
        <v>51</v>
      </c>
      <c r="P12" s="325">
        <f>SUM(P3:P11)</f>
        <v>77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1203.0</v>
      </c>
      <c r="B13" s="420" t="s">
        <v>13102</v>
      </c>
      <c r="C13" s="420">
        <v>1998.0</v>
      </c>
      <c r="D13" s="497">
        <v>35888.0</v>
      </c>
      <c r="E13" s="420" t="s">
        <v>13103</v>
      </c>
      <c r="F13" s="420" t="s">
        <v>13104</v>
      </c>
      <c r="G13" s="420" t="s">
        <v>650</v>
      </c>
      <c r="H13" s="420" t="s">
        <v>2509</v>
      </c>
      <c r="I13" s="497">
        <v>37679.0</v>
      </c>
      <c r="J13" s="422">
        <v>2.0</v>
      </c>
      <c r="K13" s="635" t="s">
        <v>228</v>
      </c>
      <c r="L13" s="420" t="s">
        <v>258</v>
      </c>
      <c r="M13" s="316">
        <f t="shared" si="1"/>
        <v>1791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1303.0</v>
      </c>
      <c r="B14" s="426" t="s">
        <v>13105</v>
      </c>
      <c r="C14" s="426">
        <v>2000.0</v>
      </c>
      <c r="D14" s="500">
        <v>36886.0</v>
      </c>
      <c r="E14" s="426" t="s">
        <v>13106</v>
      </c>
      <c r="F14" s="426" t="s">
        <v>7481</v>
      </c>
      <c r="G14" s="426" t="s">
        <v>650</v>
      </c>
      <c r="H14" s="426" t="s">
        <v>651</v>
      </c>
      <c r="I14" s="500">
        <v>37679.0</v>
      </c>
      <c r="J14" s="428">
        <v>2.0</v>
      </c>
      <c r="K14" s="637" t="s">
        <v>238</v>
      </c>
      <c r="L14" s="428" t="s">
        <v>256</v>
      </c>
      <c r="M14" s="319">
        <f t="shared" si="1"/>
        <v>793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1403.0</v>
      </c>
      <c r="B15" s="420" t="s">
        <v>13107</v>
      </c>
      <c r="C15" s="420">
        <v>2001.0</v>
      </c>
      <c r="D15" s="497">
        <v>37018.0</v>
      </c>
      <c r="E15" s="420" t="s">
        <v>13108</v>
      </c>
      <c r="F15" s="420" t="s">
        <v>3209</v>
      </c>
      <c r="G15" s="420" t="s">
        <v>34</v>
      </c>
      <c r="H15" s="420" t="s">
        <v>601</v>
      </c>
      <c r="I15" s="497">
        <v>37687.0</v>
      </c>
      <c r="J15" s="422">
        <v>3.0</v>
      </c>
      <c r="K15" s="635" t="s">
        <v>228</v>
      </c>
      <c r="L15" s="420" t="s">
        <v>258</v>
      </c>
      <c r="M15" s="316">
        <f t="shared" si="1"/>
        <v>669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1503.0</v>
      </c>
      <c r="B16" s="426" t="s">
        <v>13109</v>
      </c>
      <c r="C16" s="426">
        <v>1998.0</v>
      </c>
      <c r="D16" s="500">
        <v>36139.0</v>
      </c>
      <c r="E16" s="426" t="s">
        <v>13110</v>
      </c>
      <c r="F16" s="426" t="s">
        <v>2260</v>
      </c>
      <c r="G16" s="426" t="s">
        <v>650</v>
      </c>
      <c r="H16" s="426" t="s">
        <v>5180</v>
      </c>
      <c r="I16" s="500">
        <v>37691.0</v>
      </c>
      <c r="J16" s="428">
        <v>3.0</v>
      </c>
      <c r="K16" s="635" t="s">
        <v>228</v>
      </c>
      <c r="L16" s="428" t="s">
        <v>258</v>
      </c>
      <c r="M16" s="319">
        <f t="shared" si="1"/>
        <v>1552</v>
      </c>
      <c r="N16" s="198"/>
      <c r="O16" s="331" t="s">
        <v>13111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1603.0</v>
      </c>
      <c r="B17" s="420" t="s">
        <v>13112</v>
      </c>
      <c r="C17" s="420">
        <v>2000.0</v>
      </c>
      <c r="D17" s="497">
        <v>36657.0</v>
      </c>
      <c r="E17" s="420" t="s">
        <v>13113</v>
      </c>
      <c r="F17" s="420" t="s">
        <v>13114</v>
      </c>
      <c r="G17" s="420" t="s">
        <v>650</v>
      </c>
      <c r="H17" s="420" t="s">
        <v>651</v>
      </c>
      <c r="I17" s="497">
        <v>37698.0</v>
      </c>
      <c r="J17" s="422">
        <v>3.0</v>
      </c>
      <c r="K17" s="637" t="s">
        <v>238</v>
      </c>
      <c r="L17" s="420" t="s">
        <v>258</v>
      </c>
      <c r="M17" s="316">
        <f t="shared" si="1"/>
        <v>1041</v>
      </c>
      <c r="N17" s="198"/>
      <c r="O17" s="334" t="s">
        <v>13115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1703.0</v>
      </c>
      <c r="B18" s="426" t="s">
        <v>13116</v>
      </c>
      <c r="C18" s="426">
        <v>2001.0</v>
      </c>
      <c r="D18" s="500">
        <v>37111.0</v>
      </c>
      <c r="E18" s="426" t="s">
        <v>13117</v>
      </c>
      <c r="F18" s="426" t="s">
        <v>11692</v>
      </c>
      <c r="G18" s="426" t="s">
        <v>650</v>
      </c>
      <c r="H18" s="426" t="s">
        <v>13118</v>
      </c>
      <c r="I18" s="500">
        <v>37705.0</v>
      </c>
      <c r="J18" s="428">
        <v>3.0</v>
      </c>
      <c r="K18" s="638" t="s">
        <v>234</v>
      </c>
      <c r="L18" s="428" t="s">
        <v>256</v>
      </c>
      <c r="M18" s="319">
        <f t="shared" si="1"/>
        <v>594</v>
      </c>
      <c r="N18" s="198"/>
      <c r="O18" s="335" t="s">
        <v>13119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1803.0</v>
      </c>
      <c r="B19" s="420" t="s">
        <v>13120</v>
      </c>
      <c r="C19" s="420">
        <v>2001.0</v>
      </c>
      <c r="D19" s="497">
        <v>36923.0</v>
      </c>
      <c r="E19" s="420" t="s">
        <v>13121</v>
      </c>
      <c r="F19" s="420" t="s">
        <v>44</v>
      </c>
      <c r="G19" s="420" t="s">
        <v>650</v>
      </c>
      <c r="H19" s="420" t="s">
        <v>5016</v>
      </c>
      <c r="I19" s="497">
        <v>37705.0</v>
      </c>
      <c r="J19" s="422">
        <v>3.0</v>
      </c>
      <c r="K19" s="635" t="s">
        <v>228</v>
      </c>
      <c r="L19" s="420" t="s">
        <v>258</v>
      </c>
      <c r="M19" s="316">
        <f t="shared" si="1"/>
        <v>782</v>
      </c>
      <c r="N19" s="198"/>
      <c r="O19" s="334" t="s">
        <v>13122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1903.0</v>
      </c>
      <c r="B20" s="426" t="s">
        <v>13123</v>
      </c>
      <c r="C20" s="426">
        <v>2001.0</v>
      </c>
      <c r="D20" s="500">
        <v>36923.0</v>
      </c>
      <c r="E20" s="426" t="s">
        <v>13124</v>
      </c>
      <c r="F20" s="426" t="s">
        <v>44</v>
      </c>
      <c r="G20" s="426" t="s">
        <v>650</v>
      </c>
      <c r="H20" s="426" t="s">
        <v>5016</v>
      </c>
      <c r="I20" s="500">
        <v>37705.0</v>
      </c>
      <c r="J20" s="428">
        <v>3.0</v>
      </c>
      <c r="K20" s="635" t="s">
        <v>228</v>
      </c>
      <c r="L20" s="428" t="s">
        <v>258</v>
      </c>
      <c r="M20" s="319">
        <f t="shared" si="1"/>
        <v>782</v>
      </c>
      <c r="N20" s="198"/>
      <c r="O20" s="335" t="s">
        <v>13125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2003.0</v>
      </c>
      <c r="B21" s="420" t="s">
        <v>13126</v>
      </c>
      <c r="C21" s="420">
        <v>1998.0</v>
      </c>
      <c r="D21" s="497">
        <v>36132.0</v>
      </c>
      <c r="E21" s="420" t="s">
        <v>13127</v>
      </c>
      <c r="F21" s="420" t="s">
        <v>13128</v>
      </c>
      <c r="G21" s="420" t="s">
        <v>650</v>
      </c>
      <c r="H21" s="420" t="s">
        <v>601</v>
      </c>
      <c r="I21" s="497">
        <v>37720.0</v>
      </c>
      <c r="J21" s="422">
        <v>4.0</v>
      </c>
      <c r="K21" s="637" t="s">
        <v>238</v>
      </c>
      <c r="L21" s="420" t="s">
        <v>256</v>
      </c>
      <c r="M21" s="316">
        <f t="shared" si="1"/>
        <v>1588</v>
      </c>
      <c r="N21" s="198"/>
      <c r="O21" s="334" t="s">
        <v>13129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2103.0</v>
      </c>
      <c r="B22" s="426" t="s">
        <v>13130</v>
      </c>
      <c r="C22" s="426">
        <v>1999.0</v>
      </c>
      <c r="D22" s="500">
        <v>36272.0</v>
      </c>
      <c r="E22" s="426" t="s">
        <v>13131</v>
      </c>
      <c r="F22" s="426" t="s">
        <v>3532</v>
      </c>
      <c r="G22" s="426" t="s">
        <v>650</v>
      </c>
      <c r="H22" s="426" t="s">
        <v>1727</v>
      </c>
      <c r="I22" s="500">
        <v>37720.0</v>
      </c>
      <c r="J22" s="428">
        <v>4.0</v>
      </c>
      <c r="K22" s="637" t="s">
        <v>238</v>
      </c>
      <c r="L22" s="428" t="s">
        <v>258</v>
      </c>
      <c r="M22" s="319">
        <f t="shared" si="1"/>
        <v>1448</v>
      </c>
      <c r="N22" s="198"/>
      <c r="O22" s="335" t="s">
        <v>13132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2203.0</v>
      </c>
      <c r="B23" s="420" t="s">
        <v>13133</v>
      </c>
      <c r="C23" s="420">
        <v>1999.0</v>
      </c>
      <c r="D23" s="497">
        <v>36272.0</v>
      </c>
      <c r="E23" s="420" t="s">
        <v>13134</v>
      </c>
      <c r="F23" s="420" t="s">
        <v>3532</v>
      </c>
      <c r="G23" s="420" t="s">
        <v>650</v>
      </c>
      <c r="H23" s="420" t="s">
        <v>1727</v>
      </c>
      <c r="I23" s="497">
        <v>37727.0</v>
      </c>
      <c r="J23" s="422">
        <v>4.0</v>
      </c>
      <c r="K23" s="637" t="s">
        <v>238</v>
      </c>
      <c r="L23" s="420" t="s">
        <v>258</v>
      </c>
      <c r="M23" s="316">
        <f t="shared" si="1"/>
        <v>1455</v>
      </c>
      <c r="N23" s="198"/>
      <c r="O23" s="334" t="s">
        <v>13135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2303.0</v>
      </c>
      <c r="B24" s="426" t="s">
        <v>13136</v>
      </c>
      <c r="C24" s="426">
        <v>2001.0</v>
      </c>
      <c r="D24" s="500">
        <v>37035.0</v>
      </c>
      <c r="E24" s="426" t="s">
        <v>13137</v>
      </c>
      <c r="F24" s="426" t="s">
        <v>719</v>
      </c>
      <c r="G24" s="426" t="s">
        <v>650</v>
      </c>
      <c r="H24" s="426" t="s">
        <v>13138</v>
      </c>
      <c r="I24" s="500">
        <v>37727.0</v>
      </c>
      <c r="J24" s="428">
        <v>4.0</v>
      </c>
      <c r="K24" s="638" t="s">
        <v>234</v>
      </c>
      <c r="L24" s="428" t="s">
        <v>258</v>
      </c>
      <c r="M24" s="319">
        <f t="shared" si="1"/>
        <v>692</v>
      </c>
      <c r="N24" s="198"/>
      <c r="O24" s="336" t="s">
        <v>13139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2403.0</v>
      </c>
      <c r="B25" s="420" t="s">
        <v>13140</v>
      </c>
      <c r="C25" s="420">
        <v>2001.0</v>
      </c>
      <c r="D25" s="497">
        <v>37035.0</v>
      </c>
      <c r="E25" s="420" t="s">
        <v>13141</v>
      </c>
      <c r="F25" s="420" t="s">
        <v>13142</v>
      </c>
      <c r="G25" s="420" t="s">
        <v>565</v>
      </c>
      <c r="H25" s="420" t="s">
        <v>6534</v>
      </c>
      <c r="I25" s="497">
        <v>37770.0</v>
      </c>
      <c r="J25" s="422">
        <v>5.0</v>
      </c>
      <c r="K25" s="636" t="s">
        <v>244</v>
      </c>
      <c r="L25" s="420" t="s">
        <v>260</v>
      </c>
      <c r="M25" s="316">
        <f t="shared" si="1"/>
        <v>735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2503.0</v>
      </c>
      <c r="B26" s="426" t="s">
        <v>13143</v>
      </c>
      <c r="C26" s="426">
        <v>2000.0</v>
      </c>
      <c r="D26" s="500">
        <v>36880.0</v>
      </c>
      <c r="E26" s="426" t="s">
        <v>13144</v>
      </c>
      <c r="F26" s="426" t="s">
        <v>2071</v>
      </c>
      <c r="G26" s="426" t="s">
        <v>270</v>
      </c>
      <c r="H26" s="426" t="s">
        <v>50</v>
      </c>
      <c r="I26" s="500">
        <v>37770.0</v>
      </c>
      <c r="J26" s="428">
        <v>5.0</v>
      </c>
      <c r="K26" s="637" t="s">
        <v>238</v>
      </c>
      <c r="L26" s="428" t="s">
        <v>258</v>
      </c>
      <c r="M26" s="319">
        <f t="shared" si="1"/>
        <v>890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2603.0</v>
      </c>
      <c r="B27" s="420" t="s">
        <v>13145</v>
      </c>
      <c r="C27" s="420">
        <v>2000.0</v>
      </c>
      <c r="D27" s="497">
        <v>36847.0</v>
      </c>
      <c r="E27" s="420" t="s">
        <v>13146</v>
      </c>
      <c r="F27" s="420" t="s">
        <v>3536</v>
      </c>
      <c r="G27" s="420" t="s">
        <v>650</v>
      </c>
      <c r="H27" s="420" t="s">
        <v>13147</v>
      </c>
      <c r="I27" s="497">
        <v>37770.0</v>
      </c>
      <c r="J27" s="422">
        <v>5.0</v>
      </c>
      <c r="K27" s="637" t="s">
        <v>238</v>
      </c>
      <c r="L27" s="420" t="s">
        <v>258</v>
      </c>
      <c r="M27" s="316">
        <f t="shared" si="1"/>
        <v>923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2703.0</v>
      </c>
      <c r="B28" s="426" t="s">
        <v>13148</v>
      </c>
      <c r="C28" s="426">
        <v>2000.0</v>
      </c>
      <c r="D28" s="500">
        <v>36850.0</v>
      </c>
      <c r="E28" s="426" t="s">
        <v>10544</v>
      </c>
      <c r="F28" s="426" t="s">
        <v>44</v>
      </c>
      <c r="G28" s="426" t="s">
        <v>270</v>
      </c>
      <c r="H28" s="426" t="s">
        <v>9940</v>
      </c>
      <c r="I28" s="500">
        <v>37790.0</v>
      </c>
      <c r="J28" s="428">
        <v>6.0</v>
      </c>
      <c r="K28" s="636" t="s">
        <v>244</v>
      </c>
      <c r="L28" s="428" t="s">
        <v>258</v>
      </c>
      <c r="M28" s="319">
        <f t="shared" si="1"/>
        <v>940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2803.0</v>
      </c>
      <c r="B29" s="420" t="s">
        <v>13149</v>
      </c>
      <c r="C29" s="420">
        <v>1998.0</v>
      </c>
      <c r="D29" s="497">
        <v>36101.0</v>
      </c>
      <c r="E29" s="420" t="s">
        <v>13150</v>
      </c>
      <c r="F29" s="420" t="s">
        <v>12797</v>
      </c>
      <c r="G29" s="420" t="s">
        <v>270</v>
      </c>
      <c r="H29" s="420" t="s">
        <v>7403</v>
      </c>
      <c r="I29" s="497">
        <v>37804.0</v>
      </c>
      <c r="J29" s="422">
        <v>7.0</v>
      </c>
      <c r="K29" s="635" t="s">
        <v>228</v>
      </c>
      <c r="L29" s="420" t="s">
        <v>256</v>
      </c>
      <c r="M29" s="316">
        <f t="shared" si="1"/>
        <v>1703</v>
      </c>
      <c r="N29" s="198"/>
      <c r="O29" s="322">
        <v>1991.0</v>
      </c>
      <c r="P29" s="346">
        <f>COUNTIF($C$2:$C$503,"1991")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2903.0</v>
      </c>
      <c r="B30" s="426" t="s">
        <v>13151</v>
      </c>
      <c r="C30" s="426">
        <v>2000.0</v>
      </c>
      <c r="D30" s="500">
        <v>36871.0</v>
      </c>
      <c r="E30" s="426" t="s">
        <v>13152</v>
      </c>
      <c r="F30" s="426" t="s">
        <v>2071</v>
      </c>
      <c r="G30" s="426" t="s">
        <v>650</v>
      </c>
      <c r="H30" s="426" t="s">
        <v>50</v>
      </c>
      <c r="I30" s="500">
        <v>37811.0</v>
      </c>
      <c r="J30" s="428">
        <v>7.0</v>
      </c>
      <c r="K30" s="637" t="s">
        <v>238</v>
      </c>
      <c r="L30" s="428" t="s">
        <v>258</v>
      </c>
      <c r="M30" s="319">
        <f t="shared" si="1"/>
        <v>940</v>
      </c>
      <c r="N30" s="198"/>
      <c r="O30" s="321">
        <v>1992.0</v>
      </c>
      <c r="P30" s="344">
        <f>COUNTIF($C$2:$C$503,"1992")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3003.0</v>
      </c>
      <c r="B31" s="420" t="s">
        <v>13153</v>
      </c>
      <c r="C31" s="420">
        <v>2002.0</v>
      </c>
      <c r="D31" s="497">
        <v>37372.0</v>
      </c>
      <c r="E31" s="420" t="s">
        <v>13154</v>
      </c>
      <c r="F31" s="420" t="s">
        <v>2831</v>
      </c>
      <c r="G31" s="420" t="s">
        <v>565</v>
      </c>
      <c r="H31" s="420" t="s">
        <v>13155</v>
      </c>
      <c r="I31" s="497">
        <v>37811.0</v>
      </c>
      <c r="J31" s="422">
        <v>7.0</v>
      </c>
      <c r="K31" s="637" t="s">
        <v>238</v>
      </c>
      <c r="L31" s="420" t="s">
        <v>260</v>
      </c>
      <c r="M31" s="316">
        <f t="shared" si="1"/>
        <v>439</v>
      </c>
      <c r="N31" s="198"/>
      <c r="O31" s="322">
        <v>1993.0</v>
      </c>
      <c r="P31" s="346">
        <f>COUNTIF($C$2:$C$503,"1993")</f>
        <v>1</v>
      </c>
      <c r="Q31" s="113"/>
      <c r="R31" s="114"/>
      <c r="S31" s="343">
        <f>P31/P42</f>
        <v>0.01298701299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3103.0</v>
      </c>
      <c r="B32" s="426" t="s">
        <v>13156</v>
      </c>
      <c r="C32" s="426">
        <v>2000.0</v>
      </c>
      <c r="D32" s="500">
        <v>36707.0</v>
      </c>
      <c r="E32" s="426" t="s">
        <v>13157</v>
      </c>
      <c r="F32" s="426" t="s">
        <v>9829</v>
      </c>
      <c r="G32" s="426" t="s">
        <v>650</v>
      </c>
      <c r="H32" s="426" t="s">
        <v>7403</v>
      </c>
      <c r="I32" s="500">
        <v>37811.0</v>
      </c>
      <c r="J32" s="428">
        <v>7.0</v>
      </c>
      <c r="K32" s="637" t="s">
        <v>238</v>
      </c>
      <c r="L32" s="428" t="s">
        <v>258</v>
      </c>
      <c r="M32" s="319">
        <f t="shared" si="1"/>
        <v>1104</v>
      </c>
      <c r="N32" s="198"/>
      <c r="O32" s="321">
        <v>1994.0</v>
      </c>
      <c r="P32" s="344">
        <f>COUNTIF($C$2:$C$503,"1994")</f>
        <v>1</v>
      </c>
      <c r="Q32" s="113"/>
      <c r="R32" s="114"/>
      <c r="S32" s="345">
        <f>P32/P42</f>
        <v>0.01298701299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3203.0</v>
      </c>
      <c r="B33" s="420" t="s">
        <v>13158</v>
      </c>
      <c r="C33" s="420">
        <v>1998.0</v>
      </c>
      <c r="D33" s="497">
        <v>36130.0</v>
      </c>
      <c r="E33" s="420" t="s">
        <v>13159</v>
      </c>
      <c r="F33" s="420" t="s">
        <v>1170</v>
      </c>
      <c r="G33" s="420" t="s">
        <v>650</v>
      </c>
      <c r="H33" s="420" t="s">
        <v>2964</v>
      </c>
      <c r="I33" s="497">
        <v>37824.0</v>
      </c>
      <c r="J33" s="422">
        <v>7.0</v>
      </c>
      <c r="K33" s="637" t="s">
        <v>238</v>
      </c>
      <c r="L33" s="420" t="s">
        <v>258</v>
      </c>
      <c r="M33" s="316">
        <f t="shared" si="1"/>
        <v>1694</v>
      </c>
      <c r="N33" s="198"/>
      <c r="O33" s="322">
        <v>1995.0</v>
      </c>
      <c r="P33" s="346">
        <f>COUNTIF($C$2:$C$503,"1995")</f>
        <v>3</v>
      </c>
      <c r="Q33" s="113"/>
      <c r="R33" s="114"/>
      <c r="S33" s="343">
        <f>P33/P42</f>
        <v>0.03896103896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3303.0</v>
      </c>
      <c r="B34" s="426" t="s">
        <v>13160</v>
      </c>
      <c r="C34" s="426">
        <v>1994.0</v>
      </c>
      <c r="D34" s="500">
        <v>34680.0</v>
      </c>
      <c r="E34" s="426" t="s">
        <v>13161</v>
      </c>
      <c r="F34" s="426" t="s">
        <v>4557</v>
      </c>
      <c r="G34" s="426" t="s">
        <v>650</v>
      </c>
      <c r="H34" s="426" t="s">
        <v>6011</v>
      </c>
      <c r="I34" s="500">
        <v>37824.0</v>
      </c>
      <c r="J34" s="428">
        <v>7.0</v>
      </c>
      <c r="K34" s="636" t="s">
        <v>244</v>
      </c>
      <c r="L34" s="428" t="s">
        <v>258</v>
      </c>
      <c r="M34" s="319">
        <f t="shared" si="1"/>
        <v>3144</v>
      </c>
      <c r="N34" s="198"/>
      <c r="O34" s="321">
        <v>1996.0</v>
      </c>
      <c r="P34" s="344">
        <f>COUNTIF($C$2:$C$503,"1996")</f>
        <v>0</v>
      </c>
      <c r="Q34" s="113"/>
      <c r="R34" s="114"/>
      <c r="S34" s="345">
        <f>P34/P42</f>
        <v>0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3403.0</v>
      </c>
      <c r="B35" s="420" t="s">
        <v>13162</v>
      </c>
      <c r="C35" s="420">
        <v>2000.0</v>
      </c>
      <c r="D35" s="497">
        <v>36874.0</v>
      </c>
      <c r="E35" s="420" t="s">
        <v>13163</v>
      </c>
      <c r="F35" s="420" t="s">
        <v>12869</v>
      </c>
      <c r="G35" s="420" t="s">
        <v>34</v>
      </c>
      <c r="H35" s="420" t="s">
        <v>705</v>
      </c>
      <c r="I35" s="497">
        <v>37824.0</v>
      </c>
      <c r="J35" s="422">
        <v>7.0</v>
      </c>
      <c r="K35" s="637" t="s">
        <v>238</v>
      </c>
      <c r="L35" s="420" t="s">
        <v>258</v>
      </c>
      <c r="M35" s="316">
        <f t="shared" si="1"/>
        <v>950</v>
      </c>
      <c r="N35" s="198"/>
      <c r="O35" s="322">
        <v>1997.0</v>
      </c>
      <c r="P35" s="346">
        <f>COUNTIF($C$2:$C$503,"1997")</f>
        <v>0</v>
      </c>
      <c r="Q35" s="113"/>
      <c r="R35" s="114"/>
      <c r="S35" s="343">
        <f>P35/P42</f>
        <v>0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3503.0</v>
      </c>
      <c r="B36" s="426" t="s">
        <v>13164</v>
      </c>
      <c r="C36" s="426">
        <v>2001.0</v>
      </c>
      <c r="D36" s="500">
        <v>37113.0</v>
      </c>
      <c r="E36" s="426" t="s">
        <v>13165</v>
      </c>
      <c r="F36" s="426" t="s">
        <v>3688</v>
      </c>
      <c r="G36" s="426" t="s">
        <v>565</v>
      </c>
      <c r="H36" s="426" t="s">
        <v>13025</v>
      </c>
      <c r="I36" s="500">
        <v>37827.0</v>
      </c>
      <c r="J36" s="428">
        <v>7.0</v>
      </c>
      <c r="K36" s="636" t="s">
        <v>244</v>
      </c>
      <c r="L36" s="428" t="s">
        <v>260</v>
      </c>
      <c r="M36" s="319">
        <f t="shared" si="1"/>
        <v>714</v>
      </c>
      <c r="N36" s="198"/>
      <c r="O36" s="321">
        <v>1998.0</v>
      </c>
      <c r="P36" s="344">
        <f>COUNTIF($C$2:$C$503,"1998")</f>
        <v>6</v>
      </c>
      <c r="Q36" s="113"/>
      <c r="R36" s="114"/>
      <c r="S36" s="345">
        <f>P36/P42</f>
        <v>0.07792207792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3603.0</v>
      </c>
      <c r="B37" s="420" t="s">
        <v>13166</v>
      </c>
      <c r="C37" s="420">
        <v>1999.0</v>
      </c>
      <c r="D37" s="497">
        <v>36270.0</v>
      </c>
      <c r="E37" s="420" t="s">
        <v>13167</v>
      </c>
      <c r="F37" s="420" t="s">
        <v>963</v>
      </c>
      <c r="G37" s="420" t="s">
        <v>270</v>
      </c>
      <c r="H37" s="420" t="s">
        <v>2509</v>
      </c>
      <c r="I37" s="497">
        <v>37831.0</v>
      </c>
      <c r="J37" s="422">
        <v>7.0</v>
      </c>
      <c r="K37" s="635" t="s">
        <v>228</v>
      </c>
      <c r="L37" s="420" t="s">
        <v>258</v>
      </c>
      <c r="M37" s="316">
        <f t="shared" si="1"/>
        <v>1561</v>
      </c>
      <c r="N37" s="198"/>
      <c r="O37" s="322">
        <v>1999.0</v>
      </c>
      <c r="P37" s="346">
        <f>COUNTIF($C$2:$C$503,"1999")</f>
        <v>6</v>
      </c>
      <c r="Q37" s="113"/>
      <c r="R37" s="114"/>
      <c r="S37" s="343">
        <f>P37/P42</f>
        <v>0.07792207792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3703.0</v>
      </c>
      <c r="B38" s="426" t="s">
        <v>13168</v>
      </c>
      <c r="C38" s="426">
        <v>2000.0</v>
      </c>
      <c r="D38" s="500">
        <v>36882.0</v>
      </c>
      <c r="E38" s="426" t="s">
        <v>13169</v>
      </c>
      <c r="F38" s="426" t="s">
        <v>963</v>
      </c>
      <c r="G38" s="426" t="s">
        <v>270</v>
      </c>
      <c r="H38" s="426" t="s">
        <v>11527</v>
      </c>
      <c r="I38" s="500">
        <v>37839.0</v>
      </c>
      <c r="J38" s="428">
        <v>8.0</v>
      </c>
      <c r="K38" s="635" t="s">
        <v>228</v>
      </c>
      <c r="L38" s="428" t="s">
        <v>258</v>
      </c>
      <c r="M38" s="319">
        <f t="shared" si="1"/>
        <v>957</v>
      </c>
      <c r="N38" s="198"/>
      <c r="O38" s="321">
        <v>2000.0</v>
      </c>
      <c r="P38" s="344">
        <f>COUNTIF($C$2:$C$503,"2000")</f>
        <v>19</v>
      </c>
      <c r="Q38" s="113"/>
      <c r="R38" s="114"/>
      <c r="S38" s="345">
        <f>P38/P42</f>
        <v>0.2467532468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3803.0</v>
      </c>
      <c r="B39" s="420" t="s">
        <v>13170</v>
      </c>
      <c r="C39" s="420">
        <v>2000.0</v>
      </c>
      <c r="D39" s="497">
        <v>36880.0</v>
      </c>
      <c r="E39" s="420" t="s">
        <v>13171</v>
      </c>
      <c r="F39" s="420" t="s">
        <v>13172</v>
      </c>
      <c r="G39" s="420" t="s">
        <v>270</v>
      </c>
      <c r="H39" s="420" t="s">
        <v>50</v>
      </c>
      <c r="I39" s="497">
        <v>37839.0</v>
      </c>
      <c r="J39" s="422">
        <v>8.0</v>
      </c>
      <c r="K39" s="635" t="s">
        <v>228</v>
      </c>
      <c r="L39" s="420" t="s">
        <v>254</v>
      </c>
      <c r="M39" s="316">
        <f t="shared" si="1"/>
        <v>959</v>
      </c>
      <c r="N39" s="198"/>
      <c r="O39" s="322">
        <v>2001.0</v>
      </c>
      <c r="P39" s="346">
        <f>COUNTIF($C$2:$C$503,"2001")</f>
        <v>31</v>
      </c>
      <c r="Q39" s="113"/>
      <c r="R39" s="114"/>
      <c r="S39" s="343">
        <f>P39/P42</f>
        <v>0.4025974026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3903.0</v>
      </c>
      <c r="B40" s="426" t="s">
        <v>13173</v>
      </c>
      <c r="C40" s="426">
        <v>2001.0</v>
      </c>
      <c r="D40" s="500">
        <v>37028.0</v>
      </c>
      <c r="E40" s="426" t="s">
        <v>13174</v>
      </c>
      <c r="F40" s="426" t="s">
        <v>660</v>
      </c>
      <c r="G40" s="426" t="s">
        <v>270</v>
      </c>
      <c r="H40" s="426" t="s">
        <v>13175</v>
      </c>
      <c r="I40" s="500">
        <v>37839.0</v>
      </c>
      <c r="J40" s="428">
        <v>8.0</v>
      </c>
      <c r="K40" s="635" t="s">
        <v>228</v>
      </c>
      <c r="L40" s="428" t="s">
        <v>258</v>
      </c>
      <c r="M40" s="319">
        <f t="shared" si="1"/>
        <v>811</v>
      </c>
      <c r="N40" s="198"/>
      <c r="O40" s="321">
        <v>2002.0</v>
      </c>
      <c r="P40" s="344">
        <f>COUNTIF($C$2:$C$503,"2002")</f>
        <v>8</v>
      </c>
      <c r="Q40" s="113"/>
      <c r="R40" s="114"/>
      <c r="S40" s="345">
        <f>P40/P42</f>
        <v>0.1038961039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4003.0</v>
      </c>
      <c r="B41" s="420" t="s">
        <v>13176</v>
      </c>
      <c r="C41" s="420">
        <v>2001.0</v>
      </c>
      <c r="D41" s="497">
        <v>37161.0</v>
      </c>
      <c r="E41" s="420" t="s">
        <v>13177</v>
      </c>
      <c r="F41" s="420" t="s">
        <v>660</v>
      </c>
      <c r="G41" s="420" t="s">
        <v>270</v>
      </c>
      <c r="H41" s="420" t="s">
        <v>7403</v>
      </c>
      <c r="I41" s="497">
        <v>37839.0</v>
      </c>
      <c r="J41" s="422">
        <v>8.0</v>
      </c>
      <c r="K41" s="635" t="s">
        <v>228</v>
      </c>
      <c r="L41" s="420" t="s">
        <v>258</v>
      </c>
      <c r="M41" s="316">
        <f t="shared" si="1"/>
        <v>678</v>
      </c>
      <c r="N41" s="198"/>
      <c r="O41" s="322">
        <v>2003.0</v>
      </c>
      <c r="P41" s="346">
        <f>COUNTIF($C$2:$C$503,"2003")</f>
        <v>2</v>
      </c>
      <c r="Q41" s="113"/>
      <c r="R41" s="114"/>
      <c r="S41" s="343">
        <f>P41/P42</f>
        <v>0.02597402597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4103.0</v>
      </c>
      <c r="B42" s="426" t="s">
        <v>13178</v>
      </c>
      <c r="C42" s="426">
        <v>1995.0</v>
      </c>
      <c r="D42" s="500">
        <v>34702.0</v>
      </c>
      <c r="E42" s="426" t="s">
        <v>13179</v>
      </c>
      <c r="F42" s="426" t="s">
        <v>10829</v>
      </c>
      <c r="G42" s="426" t="s">
        <v>650</v>
      </c>
      <c r="H42" s="426" t="s">
        <v>11527</v>
      </c>
      <c r="I42" s="500">
        <v>37851.0</v>
      </c>
      <c r="J42" s="428">
        <v>8.0</v>
      </c>
      <c r="K42" s="636" t="s">
        <v>244</v>
      </c>
      <c r="L42" s="428" t="s">
        <v>258</v>
      </c>
      <c r="M42" s="319">
        <f t="shared" si="1"/>
        <v>3149</v>
      </c>
      <c r="N42" s="198"/>
      <c r="O42" s="348" t="s">
        <v>179</v>
      </c>
      <c r="P42" s="349">
        <f>SUM(P29:R41)</f>
        <v>77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4203.0</v>
      </c>
      <c r="B43" s="420" t="s">
        <v>13180</v>
      </c>
      <c r="C43" s="420">
        <v>1993.0</v>
      </c>
      <c r="D43" s="497">
        <v>34079.0</v>
      </c>
      <c r="E43" s="420" t="s">
        <v>13181</v>
      </c>
      <c r="F43" s="420" t="s">
        <v>10956</v>
      </c>
      <c r="G43" s="420" t="s">
        <v>270</v>
      </c>
      <c r="H43" s="420" t="s">
        <v>13182</v>
      </c>
      <c r="I43" s="497">
        <v>37867.0</v>
      </c>
      <c r="J43" s="422">
        <v>9.0</v>
      </c>
      <c r="K43" s="637" t="s">
        <v>238</v>
      </c>
      <c r="L43" s="420" t="s">
        <v>258</v>
      </c>
      <c r="M43" s="316">
        <f t="shared" si="1"/>
        <v>3788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4303.0</v>
      </c>
      <c r="B44" s="426" t="s">
        <v>13183</v>
      </c>
      <c r="C44" s="426">
        <v>2000.0</v>
      </c>
      <c r="D44" s="500">
        <v>36882.0</v>
      </c>
      <c r="E44" s="426" t="s">
        <v>13184</v>
      </c>
      <c r="F44" s="426" t="s">
        <v>2071</v>
      </c>
      <c r="G44" s="426" t="s">
        <v>270</v>
      </c>
      <c r="H44" s="426" t="s">
        <v>11527</v>
      </c>
      <c r="I44" s="500">
        <v>37873.0</v>
      </c>
      <c r="J44" s="428">
        <v>9.0</v>
      </c>
      <c r="K44" s="637" t="s">
        <v>238</v>
      </c>
      <c r="L44" s="428" t="s">
        <v>258</v>
      </c>
      <c r="M44" s="319">
        <f t="shared" si="1"/>
        <v>991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4403.0</v>
      </c>
      <c r="B45" s="420" t="s">
        <v>13185</v>
      </c>
      <c r="C45" s="420">
        <v>2001.0</v>
      </c>
      <c r="D45" s="497">
        <v>37189.0</v>
      </c>
      <c r="E45" s="420" t="s">
        <v>13186</v>
      </c>
      <c r="F45" s="420" t="s">
        <v>13187</v>
      </c>
      <c r="G45" s="420" t="s">
        <v>565</v>
      </c>
      <c r="H45" s="420" t="s">
        <v>13188</v>
      </c>
      <c r="I45" s="497">
        <v>37887.0</v>
      </c>
      <c r="J45" s="422">
        <v>9.0</v>
      </c>
      <c r="K45" s="636" t="s">
        <v>244</v>
      </c>
      <c r="L45" s="420" t="s">
        <v>260</v>
      </c>
      <c r="M45" s="316">
        <f t="shared" si="1"/>
        <v>698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4503.0</v>
      </c>
      <c r="B46" s="426" t="s">
        <v>13189</v>
      </c>
      <c r="C46" s="426">
        <v>2001.0</v>
      </c>
      <c r="D46" s="500">
        <v>37035.0</v>
      </c>
      <c r="E46" s="426" t="s">
        <v>13190</v>
      </c>
      <c r="F46" s="426" t="s">
        <v>13191</v>
      </c>
      <c r="G46" s="426" t="s">
        <v>650</v>
      </c>
      <c r="H46" s="426" t="s">
        <v>7403</v>
      </c>
      <c r="I46" s="500">
        <v>37887.0</v>
      </c>
      <c r="J46" s="428">
        <v>9.0</v>
      </c>
      <c r="K46" s="637" t="s">
        <v>238</v>
      </c>
      <c r="L46" s="428" t="s">
        <v>258</v>
      </c>
      <c r="M46" s="319">
        <f t="shared" si="1"/>
        <v>852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4603.0</v>
      </c>
      <c r="B47" s="420" t="s">
        <v>13192</v>
      </c>
      <c r="C47" s="420">
        <v>2000.0</v>
      </c>
      <c r="D47" s="497">
        <v>36882.0</v>
      </c>
      <c r="E47" s="420" t="s">
        <v>13193</v>
      </c>
      <c r="F47" s="420" t="s">
        <v>4263</v>
      </c>
      <c r="G47" s="420" t="s">
        <v>270</v>
      </c>
      <c r="H47" s="420" t="s">
        <v>11527</v>
      </c>
      <c r="I47" s="497">
        <v>37900.0</v>
      </c>
      <c r="J47" s="422">
        <v>10.0</v>
      </c>
      <c r="K47" s="638" t="s">
        <v>234</v>
      </c>
      <c r="L47" s="420" t="s">
        <v>256</v>
      </c>
      <c r="M47" s="316">
        <f t="shared" si="1"/>
        <v>1018</v>
      </c>
      <c r="N47" s="198"/>
      <c r="O47" s="353" t="s">
        <v>195</v>
      </c>
      <c r="P47" s="342">
        <f>COUNTIF($J$2:$J$476,"1")</f>
        <v>7</v>
      </c>
      <c r="Q47" s="332"/>
      <c r="R47" s="333"/>
      <c r="S47" s="354">
        <f>(P47/P59)</f>
        <v>0.09090909091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4703.0</v>
      </c>
      <c r="B48" s="426" t="s">
        <v>13194</v>
      </c>
      <c r="C48" s="426">
        <v>2000.0</v>
      </c>
      <c r="D48" s="500">
        <v>36882.0</v>
      </c>
      <c r="E48" s="426" t="s">
        <v>13195</v>
      </c>
      <c r="F48" s="426" t="s">
        <v>963</v>
      </c>
      <c r="G48" s="426" t="s">
        <v>270</v>
      </c>
      <c r="H48" s="426" t="s">
        <v>11527</v>
      </c>
      <c r="I48" s="500">
        <v>37903.0</v>
      </c>
      <c r="J48" s="428">
        <v>10.0</v>
      </c>
      <c r="K48" s="635" t="s">
        <v>228</v>
      </c>
      <c r="L48" s="428" t="s">
        <v>258</v>
      </c>
      <c r="M48" s="319">
        <f t="shared" si="1"/>
        <v>1021</v>
      </c>
      <c r="N48" s="198"/>
      <c r="O48" s="321" t="s">
        <v>197</v>
      </c>
      <c r="P48" s="344">
        <f>COUNTIF($J$2:$J$476,"2")</f>
        <v>6</v>
      </c>
      <c r="Q48" s="113"/>
      <c r="R48" s="114"/>
      <c r="S48" s="345">
        <f>(P48/P59)</f>
        <v>0.07792207792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4803.0</v>
      </c>
      <c r="B49" s="420" t="s">
        <v>13196</v>
      </c>
      <c r="C49" s="420">
        <v>2000.0</v>
      </c>
      <c r="D49" s="497">
        <v>36882.0</v>
      </c>
      <c r="E49" s="420" t="s">
        <v>13197</v>
      </c>
      <c r="F49" s="420" t="s">
        <v>2071</v>
      </c>
      <c r="G49" s="420" t="s">
        <v>650</v>
      </c>
      <c r="H49" s="420" t="s">
        <v>11527</v>
      </c>
      <c r="I49" s="497">
        <v>37903.0</v>
      </c>
      <c r="J49" s="422">
        <v>10.0</v>
      </c>
      <c r="K49" s="637" t="s">
        <v>238</v>
      </c>
      <c r="L49" s="420" t="s">
        <v>258</v>
      </c>
      <c r="M49" s="316">
        <f t="shared" si="1"/>
        <v>1021</v>
      </c>
      <c r="N49" s="198"/>
      <c r="O49" s="322" t="s">
        <v>199</v>
      </c>
      <c r="P49" s="346">
        <f>COUNTIF($J$2:$J$476,"3")</f>
        <v>6</v>
      </c>
      <c r="Q49" s="113"/>
      <c r="R49" s="114"/>
      <c r="S49" s="343">
        <f>(P49/P59)</f>
        <v>0.07792207792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4903.0</v>
      </c>
      <c r="B50" s="426" t="s">
        <v>13198</v>
      </c>
      <c r="C50" s="426">
        <v>2003.0</v>
      </c>
      <c r="D50" s="500">
        <v>37789.0</v>
      </c>
      <c r="E50" s="426" t="s">
        <v>13199</v>
      </c>
      <c r="F50" s="426" t="s">
        <v>13200</v>
      </c>
      <c r="G50" s="426" t="s">
        <v>650</v>
      </c>
      <c r="H50" s="426" t="s">
        <v>158</v>
      </c>
      <c r="I50" s="500">
        <v>37903.0</v>
      </c>
      <c r="J50" s="428">
        <v>10.0</v>
      </c>
      <c r="K50" s="637" t="s">
        <v>238</v>
      </c>
      <c r="L50" s="428" t="s">
        <v>256</v>
      </c>
      <c r="M50" s="319">
        <f t="shared" si="1"/>
        <v>114</v>
      </c>
      <c r="N50" s="198"/>
      <c r="O50" s="321" t="s">
        <v>201</v>
      </c>
      <c r="P50" s="344">
        <f>COUNTIF($J$2:$J$476,"4")</f>
        <v>4</v>
      </c>
      <c r="Q50" s="113"/>
      <c r="R50" s="114"/>
      <c r="S50" s="345">
        <f>(P50/P59)</f>
        <v>0.05194805195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5003.0</v>
      </c>
      <c r="B51" s="420" t="s">
        <v>13201</v>
      </c>
      <c r="C51" s="420">
        <v>2002.0</v>
      </c>
      <c r="D51" s="497">
        <v>37515.0</v>
      </c>
      <c r="E51" s="420" t="s">
        <v>13202</v>
      </c>
      <c r="F51" s="420" t="s">
        <v>13203</v>
      </c>
      <c r="G51" s="420" t="s">
        <v>650</v>
      </c>
      <c r="H51" s="420" t="s">
        <v>158</v>
      </c>
      <c r="I51" s="497">
        <v>37903.0</v>
      </c>
      <c r="J51" s="422">
        <v>10.0</v>
      </c>
      <c r="K51" s="637" t="s">
        <v>238</v>
      </c>
      <c r="L51" s="420" t="s">
        <v>256</v>
      </c>
      <c r="M51" s="316">
        <f t="shared" si="1"/>
        <v>388</v>
      </c>
      <c r="N51" s="198"/>
      <c r="O51" s="322" t="s">
        <v>203</v>
      </c>
      <c r="P51" s="346">
        <f>COUNTIF($J$2:$J$476,"5")</f>
        <v>3</v>
      </c>
      <c r="Q51" s="113"/>
      <c r="R51" s="114"/>
      <c r="S51" s="343">
        <f>(P51/P59)</f>
        <v>0.03896103896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5103.0</v>
      </c>
      <c r="B52" s="426" t="s">
        <v>13204</v>
      </c>
      <c r="C52" s="426">
        <v>2001.0</v>
      </c>
      <c r="D52" s="500">
        <v>37160.0</v>
      </c>
      <c r="E52" s="426" t="s">
        <v>13205</v>
      </c>
      <c r="F52" s="426" t="s">
        <v>947</v>
      </c>
      <c r="G52" s="426" t="s">
        <v>270</v>
      </c>
      <c r="H52" s="426" t="s">
        <v>929</v>
      </c>
      <c r="I52" s="500">
        <v>37903.0</v>
      </c>
      <c r="J52" s="428">
        <v>10.0</v>
      </c>
      <c r="K52" s="637" t="s">
        <v>238</v>
      </c>
      <c r="L52" s="428" t="s">
        <v>258</v>
      </c>
      <c r="M52" s="319">
        <f t="shared" si="1"/>
        <v>743</v>
      </c>
      <c r="N52" s="198"/>
      <c r="O52" s="321" t="s">
        <v>205</v>
      </c>
      <c r="P52" s="344">
        <f>COUNTIF($J$2:$J$476,"6")</f>
        <v>1</v>
      </c>
      <c r="Q52" s="113"/>
      <c r="R52" s="114"/>
      <c r="S52" s="345">
        <f>(P52/P59)</f>
        <v>0.01298701299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5203.0</v>
      </c>
      <c r="B53" s="420" t="s">
        <v>13206</v>
      </c>
      <c r="C53" s="420">
        <v>2001.0</v>
      </c>
      <c r="D53" s="497">
        <v>37139.0</v>
      </c>
      <c r="E53" s="420" t="s">
        <v>13207</v>
      </c>
      <c r="F53" s="420" t="s">
        <v>13208</v>
      </c>
      <c r="G53" s="420" t="s">
        <v>650</v>
      </c>
      <c r="H53" s="420" t="s">
        <v>651</v>
      </c>
      <c r="I53" s="497">
        <v>37903.0</v>
      </c>
      <c r="J53" s="422">
        <v>10.0</v>
      </c>
      <c r="K53" s="637" t="s">
        <v>238</v>
      </c>
      <c r="L53" s="420" t="s">
        <v>258</v>
      </c>
      <c r="M53" s="316">
        <f t="shared" si="1"/>
        <v>764</v>
      </c>
      <c r="N53" s="198"/>
      <c r="O53" s="322" t="s">
        <v>207</v>
      </c>
      <c r="P53" s="346">
        <f>COUNTIF($J$2:$J$476,"7")</f>
        <v>9</v>
      </c>
      <c r="Q53" s="113"/>
      <c r="R53" s="114"/>
      <c r="S53" s="343">
        <f>(P53/P59)</f>
        <v>0.1168831169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5303.0</v>
      </c>
      <c r="B54" s="426" t="s">
        <v>13209</v>
      </c>
      <c r="C54" s="426">
        <v>2001.0</v>
      </c>
      <c r="D54" s="500">
        <v>37238.0</v>
      </c>
      <c r="E54" s="426" t="s">
        <v>13210</v>
      </c>
      <c r="F54" s="426" t="s">
        <v>947</v>
      </c>
      <c r="G54" s="426" t="s">
        <v>650</v>
      </c>
      <c r="H54" s="426" t="s">
        <v>929</v>
      </c>
      <c r="I54" s="500">
        <v>37903.0</v>
      </c>
      <c r="J54" s="428">
        <v>10.0</v>
      </c>
      <c r="K54" s="637" t="s">
        <v>238</v>
      </c>
      <c r="L54" s="428" t="s">
        <v>258</v>
      </c>
      <c r="M54" s="319">
        <f t="shared" si="1"/>
        <v>665</v>
      </c>
      <c r="N54" s="198"/>
      <c r="O54" s="321" t="s">
        <v>209</v>
      </c>
      <c r="P54" s="344">
        <f>COUNTIF($J$2:$J$476,"8")</f>
        <v>5</v>
      </c>
      <c r="Q54" s="113"/>
      <c r="R54" s="114"/>
      <c r="S54" s="345">
        <f>(P54/P59)</f>
        <v>0.06493506494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5403.0</v>
      </c>
      <c r="B55" s="420" t="s">
        <v>13211</v>
      </c>
      <c r="C55" s="420">
        <v>2001.0</v>
      </c>
      <c r="D55" s="497">
        <v>37246.0</v>
      </c>
      <c r="E55" s="420" t="s">
        <v>13212</v>
      </c>
      <c r="F55" s="420" t="s">
        <v>12882</v>
      </c>
      <c r="G55" s="420" t="s">
        <v>34</v>
      </c>
      <c r="H55" s="420" t="s">
        <v>1002</v>
      </c>
      <c r="I55" s="497">
        <v>37908.0</v>
      </c>
      <c r="J55" s="422">
        <v>10.0</v>
      </c>
      <c r="K55" s="635" t="s">
        <v>228</v>
      </c>
      <c r="L55" s="420" t="s">
        <v>256</v>
      </c>
      <c r="M55" s="316">
        <f t="shared" si="1"/>
        <v>662</v>
      </c>
      <c r="N55" s="198"/>
      <c r="O55" s="322" t="s">
        <v>211</v>
      </c>
      <c r="P55" s="346">
        <f>COUNTIF($J$2:$J$476,"9")</f>
        <v>4</v>
      </c>
      <c r="Q55" s="113"/>
      <c r="R55" s="114"/>
      <c r="S55" s="343">
        <f>(P55/P59)</f>
        <v>0.05194805195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5503.0</v>
      </c>
      <c r="B56" s="426" t="s">
        <v>13213</v>
      </c>
      <c r="C56" s="426">
        <v>2001.0</v>
      </c>
      <c r="D56" s="500">
        <v>37167.0</v>
      </c>
      <c r="E56" s="426" t="s">
        <v>13214</v>
      </c>
      <c r="F56" s="426" t="s">
        <v>660</v>
      </c>
      <c r="G56" s="426" t="s">
        <v>650</v>
      </c>
      <c r="H56" s="426" t="s">
        <v>13215</v>
      </c>
      <c r="I56" s="500">
        <v>37908.0</v>
      </c>
      <c r="J56" s="428">
        <v>10.0</v>
      </c>
      <c r="K56" s="635" t="s">
        <v>228</v>
      </c>
      <c r="L56" s="428" t="s">
        <v>258</v>
      </c>
      <c r="M56" s="319">
        <f t="shared" si="1"/>
        <v>741</v>
      </c>
      <c r="N56" s="198"/>
      <c r="O56" s="321" t="s">
        <v>213</v>
      </c>
      <c r="P56" s="344">
        <f>COUNTIF($J$2:$J$476,"10")</f>
        <v>14</v>
      </c>
      <c r="Q56" s="113"/>
      <c r="R56" s="114"/>
      <c r="S56" s="345">
        <f>(P56/P59)</f>
        <v>0.1818181818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5603.0</v>
      </c>
      <c r="B57" s="420" t="s">
        <v>13216</v>
      </c>
      <c r="C57" s="420">
        <v>2000.0</v>
      </c>
      <c r="D57" s="497">
        <v>36871.0</v>
      </c>
      <c r="E57" s="420" t="s">
        <v>13217</v>
      </c>
      <c r="F57" s="420" t="s">
        <v>13172</v>
      </c>
      <c r="G57" s="420" t="s">
        <v>650</v>
      </c>
      <c r="H57" s="420" t="s">
        <v>50</v>
      </c>
      <c r="I57" s="497">
        <v>37909.0</v>
      </c>
      <c r="J57" s="422">
        <v>10.0</v>
      </c>
      <c r="K57" s="635" t="s">
        <v>228</v>
      </c>
      <c r="L57" s="420" t="s">
        <v>254</v>
      </c>
      <c r="M57" s="316">
        <f t="shared" si="1"/>
        <v>1038</v>
      </c>
      <c r="N57" s="198"/>
      <c r="O57" s="322" t="s">
        <v>215</v>
      </c>
      <c r="P57" s="346">
        <f>COUNTIF($J$2:$J$476,"11")</f>
        <v>7</v>
      </c>
      <c r="Q57" s="113"/>
      <c r="R57" s="114"/>
      <c r="S57" s="343">
        <f>(P57/P59)</f>
        <v>0.09090909091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5703.0</v>
      </c>
      <c r="B58" s="426" t="s">
        <v>13218</v>
      </c>
      <c r="C58" s="426">
        <v>1998.0</v>
      </c>
      <c r="D58" s="500">
        <v>36133.0</v>
      </c>
      <c r="E58" s="426" t="s">
        <v>13219</v>
      </c>
      <c r="F58" s="426" t="s">
        <v>31</v>
      </c>
      <c r="G58" s="426" t="s">
        <v>650</v>
      </c>
      <c r="H58" s="426" t="s">
        <v>651</v>
      </c>
      <c r="I58" s="500">
        <v>37909.0</v>
      </c>
      <c r="J58" s="428">
        <v>10.0</v>
      </c>
      <c r="K58" s="635" t="s">
        <v>228</v>
      </c>
      <c r="L58" s="428" t="s">
        <v>258</v>
      </c>
      <c r="M58" s="319">
        <f t="shared" si="1"/>
        <v>1776</v>
      </c>
      <c r="N58" s="198"/>
      <c r="O58" s="355" t="s">
        <v>217</v>
      </c>
      <c r="P58" s="344">
        <f>COUNTIF($J$2:$J$476,"12")</f>
        <v>11</v>
      </c>
      <c r="Q58" s="113"/>
      <c r="R58" s="114"/>
      <c r="S58" s="356">
        <f>(P58/P59)</f>
        <v>0.1428571429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5803.0</v>
      </c>
      <c r="B59" s="420" t="s">
        <v>13220</v>
      </c>
      <c r="C59" s="420">
        <v>2001.0</v>
      </c>
      <c r="D59" s="497">
        <v>37158.0</v>
      </c>
      <c r="E59" s="420" t="s">
        <v>13221</v>
      </c>
      <c r="F59" s="420" t="s">
        <v>660</v>
      </c>
      <c r="G59" s="420" t="s">
        <v>270</v>
      </c>
      <c r="H59" s="420" t="s">
        <v>13215</v>
      </c>
      <c r="I59" s="497">
        <v>37915.0</v>
      </c>
      <c r="J59" s="422">
        <v>10.0</v>
      </c>
      <c r="K59" s="635" t="s">
        <v>228</v>
      </c>
      <c r="L59" s="420" t="s">
        <v>258</v>
      </c>
      <c r="M59" s="316">
        <f t="shared" si="1"/>
        <v>757</v>
      </c>
      <c r="N59" s="198"/>
      <c r="O59" s="348" t="s">
        <v>219</v>
      </c>
      <c r="P59" s="349">
        <f>SUM(P47:R58)</f>
        <v>77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5903.0</v>
      </c>
      <c r="B60" s="426" t="s">
        <v>13222</v>
      </c>
      <c r="C60" s="426">
        <v>2003.0</v>
      </c>
      <c r="D60" s="500">
        <v>37798.0</v>
      </c>
      <c r="E60" s="426" t="s">
        <v>13223</v>
      </c>
      <c r="F60" s="426" t="s">
        <v>13224</v>
      </c>
      <c r="G60" s="426" t="s">
        <v>650</v>
      </c>
      <c r="H60" s="426" t="s">
        <v>705</v>
      </c>
      <c r="I60" s="500">
        <v>37915.0</v>
      </c>
      <c r="J60" s="428">
        <v>10.0</v>
      </c>
      <c r="K60" s="635" t="s">
        <v>228</v>
      </c>
      <c r="L60" s="428" t="s">
        <v>256</v>
      </c>
      <c r="M60" s="319">
        <f t="shared" si="1"/>
        <v>117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6003.0</v>
      </c>
      <c r="B61" s="420" t="s">
        <v>13225</v>
      </c>
      <c r="C61" s="420">
        <v>2002.0</v>
      </c>
      <c r="D61" s="497">
        <v>37326.0</v>
      </c>
      <c r="E61" s="420" t="s">
        <v>13226</v>
      </c>
      <c r="F61" s="420" t="s">
        <v>13227</v>
      </c>
      <c r="G61" s="420" t="s">
        <v>650</v>
      </c>
      <c r="H61" s="420" t="s">
        <v>12960</v>
      </c>
      <c r="I61" s="497">
        <v>37928.0</v>
      </c>
      <c r="J61" s="422">
        <v>11.0</v>
      </c>
      <c r="K61" s="637" t="s">
        <v>238</v>
      </c>
      <c r="L61" s="420" t="s">
        <v>260</v>
      </c>
      <c r="M61" s="316">
        <f t="shared" si="1"/>
        <v>602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6103.0</v>
      </c>
      <c r="B62" s="426" t="s">
        <v>13228</v>
      </c>
      <c r="C62" s="426">
        <v>2002.0</v>
      </c>
      <c r="D62" s="500">
        <v>37281.0</v>
      </c>
      <c r="E62" s="426" t="s">
        <v>13229</v>
      </c>
      <c r="F62" s="426" t="s">
        <v>13230</v>
      </c>
      <c r="G62" s="426" t="s">
        <v>650</v>
      </c>
      <c r="H62" s="426" t="s">
        <v>12960</v>
      </c>
      <c r="I62" s="500">
        <v>37928.0</v>
      </c>
      <c r="J62" s="428">
        <v>11.0</v>
      </c>
      <c r="K62" s="637" t="s">
        <v>238</v>
      </c>
      <c r="L62" s="428" t="s">
        <v>260</v>
      </c>
      <c r="M62" s="319">
        <f t="shared" si="1"/>
        <v>647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6203.0</v>
      </c>
      <c r="B63" s="420" t="s">
        <v>13231</v>
      </c>
      <c r="C63" s="420">
        <v>2000.0</v>
      </c>
      <c r="D63" s="497">
        <v>36882.0</v>
      </c>
      <c r="E63" s="420" t="s">
        <v>13232</v>
      </c>
      <c r="F63" s="420" t="s">
        <v>4263</v>
      </c>
      <c r="G63" s="420" t="s">
        <v>650</v>
      </c>
      <c r="H63" s="420" t="s">
        <v>11527</v>
      </c>
      <c r="I63" s="497">
        <v>37928.0</v>
      </c>
      <c r="J63" s="422">
        <v>11.0</v>
      </c>
      <c r="K63" s="638" t="s">
        <v>234</v>
      </c>
      <c r="L63" s="420" t="s">
        <v>256</v>
      </c>
      <c r="M63" s="316">
        <f t="shared" si="1"/>
        <v>1046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6303.0</v>
      </c>
      <c r="B64" s="426" t="s">
        <v>13233</v>
      </c>
      <c r="C64" s="426">
        <v>2001.0</v>
      </c>
      <c r="D64" s="500">
        <v>36955.0</v>
      </c>
      <c r="E64" s="426" t="s">
        <v>13234</v>
      </c>
      <c r="F64" s="426" t="s">
        <v>963</v>
      </c>
      <c r="G64" s="426" t="s">
        <v>270</v>
      </c>
      <c r="H64" s="426" t="s">
        <v>934</v>
      </c>
      <c r="I64" s="500">
        <v>37939.0</v>
      </c>
      <c r="J64" s="428">
        <v>11.0</v>
      </c>
      <c r="K64" s="637" t="s">
        <v>238</v>
      </c>
      <c r="L64" s="428" t="s">
        <v>258</v>
      </c>
      <c r="M64" s="319">
        <f t="shared" si="1"/>
        <v>984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21</v>
      </c>
      <c r="T64" s="366">
        <f>(S64/S76)</f>
        <v>0.2727272727</v>
      </c>
      <c r="U64" s="198"/>
      <c r="V64" s="198"/>
      <c r="W64" s="198"/>
      <c r="X64" s="198"/>
      <c r="Y64" s="198"/>
      <c r="Z64" s="198"/>
    </row>
    <row r="65" ht="12.75" customHeight="1">
      <c r="A65" s="578">
        <v>6403.0</v>
      </c>
      <c r="B65" s="420" t="s">
        <v>13235</v>
      </c>
      <c r="C65" s="420">
        <v>1995.0</v>
      </c>
      <c r="D65" s="497">
        <v>34852.0</v>
      </c>
      <c r="E65" s="420" t="s">
        <v>13236</v>
      </c>
      <c r="F65" s="420" t="s">
        <v>4557</v>
      </c>
      <c r="G65" s="420" t="s">
        <v>650</v>
      </c>
      <c r="H65" s="420" t="s">
        <v>12127</v>
      </c>
      <c r="I65" s="497">
        <v>37939.0</v>
      </c>
      <c r="J65" s="422">
        <v>11.0</v>
      </c>
      <c r="K65" s="637" t="s">
        <v>238</v>
      </c>
      <c r="L65" s="420" t="s">
        <v>258</v>
      </c>
      <c r="M65" s="316">
        <f t="shared" si="1"/>
        <v>3087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6503.0</v>
      </c>
      <c r="B66" s="426" t="s">
        <v>13237</v>
      </c>
      <c r="C66" s="426">
        <v>2000.0</v>
      </c>
      <c r="D66" s="500">
        <v>36769.0</v>
      </c>
      <c r="E66" s="426" t="s">
        <v>13238</v>
      </c>
      <c r="F66" s="426" t="s">
        <v>11636</v>
      </c>
      <c r="G66" s="426" t="s">
        <v>270</v>
      </c>
      <c r="H66" s="426" t="s">
        <v>13239</v>
      </c>
      <c r="I66" s="500">
        <v>37944.0</v>
      </c>
      <c r="J66" s="428">
        <v>11.0</v>
      </c>
      <c r="K66" s="635" t="s">
        <v>228</v>
      </c>
      <c r="L66" s="428" t="s">
        <v>258</v>
      </c>
      <c r="M66" s="319">
        <f t="shared" si="1"/>
        <v>1175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6603.0</v>
      </c>
      <c r="B67" s="420" t="s">
        <v>13240</v>
      </c>
      <c r="C67" s="420">
        <v>2001.0</v>
      </c>
      <c r="D67" s="497">
        <v>37182.0</v>
      </c>
      <c r="E67" s="420" t="s">
        <v>13241</v>
      </c>
      <c r="F67" s="420" t="s">
        <v>3141</v>
      </c>
      <c r="G67" s="420" t="s">
        <v>34</v>
      </c>
      <c r="H67" s="420" t="s">
        <v>651</v>
      </c>
      <c r="I67" s="497">
        <v>37953.0</v>
      </c>
      <c r="J67" s="422">
        <v>11.0</v>
      </c>
      <c r="K67" s="637" t="s">
        <v>238</v>
      </c>
      <c r="L67" s="420" t="s">
        <v>258</v>
      </c>
      <c r="M67" s="316">
        <f t="shared" si="1"/>
        <v>771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8</v>
      </c>
      <c r="T67" s="374">
        <f>(S67/S76)</f>
        <v>0.1038961039</v>
      </c>
      <c r="U67" s="198"/>
      <c r="V67" s="198"/>
      <c r="W67" s="198"/>
      <c r="X67" s="198"/>
      <c r="Y67" s="198"/>
      <c r="Z67" s="198"/>
    </row>
    <row r="68" ht="12.75" customHeight="1">
      <c r="A68" s="585">
        <v>6703.0</v>
      </c>
      <c r="B68" s="426" t="s">
        <v>13242</v>
      </c>
      <c r="C68" s="426">
        <v>2001.0</v>
      </c>
      <c r="D68" s="500">
        <v>37160.0</v>
      </c>
      <c r="E68" s="426" t="s">
        <v>13243</v>
      </c>
      <c r="F68" s="426" t="s">
        <v>9829</v>
      </c>
      <c r="G68" s="426" t="s">
        <v>270</v>
      </c>
      <c r="H68" s="426" t="s">
        <v>583</v>
      </c>
      <c r="I68" s="500">
        <v>37960.0</v>
      </c>
      <c r="J68" s="428">
        <v>12.0</v>
      </c>
      <c r="K68" s="637" t="s">
        <v>238</v>
      </c>
      <c r="L68" s="428" t="s">
        <v>258</v>
      </c>
      <c r="M68" s="319">
        <f t="shared" si="1"/>
        <v>800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6803.0</v>
      </c>
      <c r="B69" s="420" t="s">
        <v>13244</v>
      </c>
      <c r="C69" s="420">
        <v>2001.0</v>
      </c>
      <c r="D69" s="497">
        <v>37182.0</v>
      </c>
      <c r="E69" s="420" t="s">
        <v>13245</v>
      </c>
      <c r="F69" s="420" t="s">
        <v>3141</v>
      </c>
      <c r="G69" s="420" t="s">
        <v>34</v>
      </c>
      <c r="H69" s="420" t="s">
        <v>13064</v>
      </c>
      <c r="I69" s="497">
        <v>37960.0</v>
      </c>
      <c r="J69" s="422">
        <v>12.0</v>
      </c>
      <c r="K69" s="637" t="s">
        <v>238</v>
      </c>
      <c r="L69" s="420" t="s">
        <v>258</v>
      </c>
      <c r="M69" s="316">
        <f t="shared" si="1"/>
        <v>778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39</v>
      </c>
      <c r="T69" s="377">
        <f>(S69/S76)</f>
        <v>0.5064935065</v>
      </c>
      <c r="U69" s="198"/>
      <c r="V69" s="198"/>
      <c r="W69" s="198"/>
      <c r="X69" s="198"/>
      <c r="Y69" s="198"/>
      <c r="Z69" s="198"/>
    </row>
    <row r="70" ht="12.75" customHeight="1">
      <c r="A70" s="585">
        <v>6903.0</v>
      </c>
      <c r="B70" s="426" t="s">
        <v>13246</v>
      </c>
      <c r="C70" s="426">
        <v>2000.0</v>
      </c>
      <c r="D70" s="500">
        <v>36714.0</v>
      </c>
      <c r="E70" s="426" t="s">
        <v>13247</v>
      </c>
      <c r="F70" s="426" t="s">
        <v>947</v>
      </c>
      <c r="G70" s="426" t="s">
        <v>270</v>
      </c>
      <c r="H70" s="426" t="s">
        <v>9940</v>
      </c>
      <c r="I70" s="500">
        <v>37966.0</v>
      </c>
      <c r="J70" s="428">
        <v>12.0</v>
      </c>
      <c r="K70" s="637" t="s">
        <v>238</v>
      </c>
      <c r="L70" s="428" t="s">
        <v>256</v>
      </c>
      <c r="M70" s="319">
        <f t="shared" si="1"/>
        <v>1252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7003.0</v>
      </c>
      <c r="B71" s="420" t="s">
        <v>13248</v>
      </c>
      <c r="C71" s="420">
        <v>2002.0</v>
      </c>
      <c r="D71" s="497">
        <v>37470.0</v>
      </c>
      <c r="E71" s="420" t="s">
        <v>13249</v>
      </c>
      <c r="F71" s="420" t="s">
        <v>3141</v>
      </c>
      <c r="G71" s="420" t="s">
        <v>547</v>
      </c>
      <c r="H71" s="420" t="s">
        <v>705</v>
      </c>
      <c r="I71" s="497">
        <v>37966.0</v>
      </c>
      <c r="J71" s="422">
        <v>12.0</v>
      </c>
      <c r="K71" s="637" t="s">
        <v>238</v>
      </c>
      <c r="L71" s="420" t="s">
        <v>258</v>
      </c>
      <c r="M71" s="316">
        <f t="shared" si="1"/>
        <v>496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7103.0</v>
      </c>
      <c r="B72" s="426" t="s">
        <v>13250</v>
      </c>
      <c r="C72" s="426">
        <v>1999.0</v>
      </c>
      <c r="D72" s="500">
        <v>36234.0</v>
      </c>
      <c r="E72" s="426" t="s">
        <v>13251</v>
      </c>
      <c r="F72" s="426" t="s">
        <v>1255</v>
      </c>
      <c r="G72" s="426" t="s">
        <v>650</v>
      </c>
      <c r="H72" s="426" t="s">
        <v>7907</v>
      </c>
      <c r="I72" s="500">
        <v>37971.0</v>
      </c>
      <c r="J72" s="428">
        <v>12.0</v>
      </c>
      <c r="K72" s="637" t="s">
        <v>238</v>
      </c>
      <c r="L72" s="428" t="s">
        <v>256</v>
      </c>
      <c r="M72" s="319">
        <f t="shared" si="1"/>
        <v>1737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9</v>
      </c>
      <c r="T72" s="380">
        <f>(S72/S76)</f>
        <v>0.1168831169</v>
      </c>
      <c r="U72" s="198"/>
      <c r="V72" s="198"/>
      <c r="W72" s="198"/>
      <c r="X72" s="198"/>
      <c r="Y72" s="198"/>
      <c r="Z72" s="198"/>
    </row>
    <row r="73" ht="12.75" customHeight="1">
      <c r="A73" s="578">
        <v>7203.0</v>
      </c>
      <c r="B73" s="420" t="s">
        <v>13252</v>
      </c>
      <c r="C73" s="420">
        <v>1999.0</v>
      </c>
      <c r="D73" s="497">
        <v>36250.0</v>
      </c>
      <c r="E73" s="420" t="s">
        <v>13253</v>
      </c>
      <c r="F73" s="420" t="s">
        <v>1255</v>
      </c>
      <c r="G73" s="420" t="s">
        <v>650</v>
      </c>
      <c r="H73" s="420" t="s">
        <v>7907</v>
      </c>
      <c r="I73" s="497">
        <v>37971.0</v>
      </c>
      <c r="J73" s="422">
        <v>12.0</v>
      </c>
      <c r="K73" s="637" t="s">
        <v>238</v>
      </c>
      <c r="L73" s="420" t="s">
        <v>256</v>
      </c>
      <c r="M73" s="316">
        <f t="shared" si="1"/>
        <v>1721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7303.0</v>
      </c>
      <c r="B74" s="426" t="s">
        <v>13254</v>
      </c>
      <c r="C74" s="426">
        <v>2001.0</v>
      </c>
      <c r="D74" s="500">
        <v>37147.0</v>
      </c>
      <c r="E74" s="426" t="s">
        <v>13255</v>
      </c>
      <c r="F74" s="426" t="s">
        <v>947</v>
      </c>
      <c r="G74" s="426" t="s">
        <v>270</v>
      </c>
      <c r="H74" s="426" t="s">
        <v>5180</v>
      </c>
      <c r="I74" s="500">
        <v>37971.0</v>
      </c>
      <c r="J74" s="428">
        <v>12.0</v>
      </c>
      <c r="K74" s="637" t="s">
        <v>238</v>
      </c>
      <c r="L74" s="428" t="s">
        <v>256</v>
      </c>
      <c r="M74" s="319">
        <f t="shared" si="1"/>
        <v>824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7403.0</v>
      </c>
      <c r="B75" s="420" t="s">
        <v>13256</v>
      </c>
      <c r="C75" s="420">
        <v>2001.0</v>
      </c>
      <c r="D75" s="497">
        <v>37134.0</v>
      </c>
      <c r="E75" s="420" t="s">
        <v>13257</v>
      </c>
      <c r="F75" s="420" t="s">
        <v>124</v>
      </c>
      <c r="G75" s="420" t="s">
        <v>34</v>
      </c>
      <c r="H75" s="420" t="s">
        <v>651</v>
      </c>
      <c r="I75" s="497">
        <v>37971.0</v>
      </c>
      <c r="J75" s="422">
        <v>12.0</v>
      </c>
      <c r="K75" s="637" t="s">
        <v>238</v>
      </c>
      <c r="L75" s="420" t="s">
        <v>258</v>
      </c>
      <c r="M75" s="316">
        <f t="shared" si="1"/>
        <v>837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585">
        <v>7503.0</v>
      </c>
      <c r="B76" s="426" t="s">
        <v>13258</v>
      </c>
      <c r="C76" s="426">
        <v>2001.0</v>
      </c>
      <c r="D76" s="500">
        <v>37181.0</v>
      </c>
      <c r="E76" s="426" t="s">
        <v>13259</v>
      </c>
      <c r="F76" s="426" t="s">
        <v>124</v>
      </c>
      <c r="G76" s="426" t="s">
        <v>547</v>
      </c>
      <c r="H76" s="426" t="s">
        <v>651</v>
      </c>
      <c r="I76" s="500">
        <v>37972.0</v>
      </c>
      <c r="J76" s="428">
        <v>12.0</v>
      </c>
      <c r="K76" s="637" t="s">
        <v>238</v>
      </c>
      <c r="L76" s="428" t="s">
        <v>258</v>
      </c>
      <c r="M76" s="319">
        <f t="shared" si="1"/>
        <v>791</v>
      </c>
      <c r="N76" s="198"/>
      <c r="O76" s="386" t="s">
        <v>219</v>
      </c>
      <c r="P76" s="332"/>
      <c r="Q76" s="332"/>
      <c r="R76" s="387"/>
      <c r="S76" s="388">
        <f>SUM(S64:S75)</f>
        <v>77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7603.0</v>
      </c>
      <c r="B77" s="420" t="s">
        <v>13260</v>
      </c>
      <c r="C77" s="420">
        <v>2002.0</v>
      </c>
      <c r="D77" s="497">
        <v>37441.0</v>
      </c>
      <c r="E77" s="420" t="s">
        <v>13261</v>
      </c>
      <c r="F77" s="420" t="s">
        <v>2311</v>
      </c>
      <c r="G77" s="420" t="s">
        <v>270</v>
      </c>
      <c r="H77" s="420" t="s">
        <v>50</v>
      </c>
      <c r="I77" s="497">
        <v>37981.0</v>
      </c>
      <c r="J77" s="422">
        <v>12.0</v>
      </c>
      <c r="K77" s="638" t="s">
        <v>234</v>
      </c>
      <c r="L77" s="420" t="s">
        <v>256</v>
      </c>
      <c r="M77" s="316">
        <f t="shared" si="1"/>
        <v>540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7703.0</v>
      </c>
      <c r="B78" s="426" t="s">
        <v>13262</v>
      </c>
      <c r="C78" s="426">
        <v>2001.0</v>
      </c>
      <c r="D78" s="500">
        <v>37161.0</v>
      </c>
      <c r="E78" s="426" t="s">
        <v>13263</v>
      </c>
      <c r="F78" s="426" t="s">
        <v>660</v>
      </c>
      <c r="G78" s="426" t="s">
        <v>650</v>
      </c>
      <c r="H78" s="426" t="s">
        <v>7403</v>
      </c>
      <c r="I78" s="500">
        <v>37985.0</v>
      </c>
      <c r="J78" s="428">
        <v>12.0</v>
      </c>
      <c r="K78" s="635" t="s">
        <v>228</v>
      </c>
      <c r="L78" s="428" t="s">
        <v>256</v>
      </c>
      <c r="M78" s="319">
        <f t="shared" si="1"/>
        <v>824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613"/>
      <c r="B79" s="613"/>
      <c r="C79" s="613"/>
      <c r="D79" s="613"/>
      <c r="E79" s="613"/>
      <c r="F79" s="613"/>
      <c r="G79" s="613"/>
      <c r="H79" s="613"/>
      <c r="I79" s="615"/>
      <c r="J79" s="613"/>
      <c r="K79" s="613"/>
      <c r="L79" s="613"/>
      <c r="M79" s="613"/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613"/>
      <c r="B80" s="613"/>
      <c r="C80" s="613"/>
      <c r="D80" s="613"/>
      <c r="E80" s="613"/>
      <c r="F80" s="613"/>
      <c r="G80" s="613"/>
      <c r="H80" s="613"/>
      <c r="I80" s="615"/>
      <c r="J80" s="613"/>
      <c r="K80" s="613"/>
      <c r="L80" s="613"/>
      <c r="M80" s="613"/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613"/>
      <c r="B81" s="613"/>
      <c r="C81" s="613"/>
      <c r="D81" s="613"/>
      <c r="E81" s="613"/>
      <c r="F81" s="613"/>
      <c r="G81" s="613"/>
      <c r="H81" s="613"/>
      <c r="I81" s="615"/>
      <c r="J81" s="613"/>
      <c r="K81" s="613"/>
      <c r="L81" s="613"/>
      <c r="M81" s="613"/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2</v>
      </c>
      <c r="T81" s="395">
        <f>(S81/S85)</f>
        <v>0.02597402597</v>
      </c>
      <c r="U81" s="198"/>
      <c r="V81" s="198"/>
      <c r="W81" s="198"/>
      <c r="X81" s="198"/>
      <c r="Y81" s="198"/>
      <c r="Z81" s="198"/>
    </row>
    <row r="82" ht="13.5" customHeight="1">
      <c r="A82" s="613"/>
      <c r="B82" s="613"/>
      <c r="C82" s="613"/>
      <c r="D82" s="613"/>
      <c r="E82" s="613"/>
      <c r="F82" s="613"/>
      <c r="G82" s="613"/>
      <c r="H82" s="613"/>
      <c r="I82" s="615"/>
      <c r="J82" s="613"/>
      <c r="K82" s="613"/>
      <c r="L82" s="613"/>
      <c r="M82" s="613"/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19</v>
      </c>
      <c r="T82" s="398">
        <f>(S82/S85)</f>
        <v>0.2467532468</v>
      </c>
      <c r="U82" s="198"/>
      <c r="V82" s="198"/>
      <c r="W82" s="198"/>
      <c r="X82" s="198"/>
      <c r="Y82" s="198"/>
      <c r="Z82" s="198"/>
    </row>
    <row r="83" ht="13.5" customHeight="1">
      <c r="A83" s="613"/>
      <c r="B83" s="613"/>
      <c r="C83" s="613"/>
      <c r="D83" s="613"/>
      <c r="E83" s="613"/>
      <c r="F83" s="613"/>
      <c r="G83" s="613"/>
      <c r="H83" s="613"/>
      <c r="I83" s="615"/>
      <c r="J83" s="613"/>
      <c r="K83" s="613"/>
      <c r="L83" s="613"/>
      <c r="M83" s="613"/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49</v>
      </c>
      <c r="T83" s="395">
        <f>(S83/S85)</f>
        <v>0.6363636364</v>
      </c>
      <c r="U83" s="198"/>
      <c r="V83" s="198"/>
      <c r="W83" s="198"/>
      <c r="X83" s="198"/>
      <c r="Y83" s="198"/>
      <c r="Z83" s="198"/>
    </row>
    <row r="84" ht="14.25" customHeight="1">
      <c r="A84" s="613"/>
      <c r="B84" s="613"/>
      <c r="C84" s="613"/>
      <c r="D84" s="613"/>
      <c r="E84" s="613"/>
      <c r="F84" s="613"/>
      <c r="G84" s="613"/>
      <c r="H84" s="613"/>
      <c r="I84" s="615"/>
      <c r="J84" s="613"/>
      <c r="K84" s="613"/>
      <c r="L84" s="613"/>
      <c r="M84" s="613"/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7</v>
      </c>
      <c r="T84" s="398">
        <f>(S84/S85)</f>
        <v>0.09090909091</v>
      </c>
      <c r="U84" s="198"/>
      <c r="V84" s="198"/>
      <c r="W84" s="198"/>
      <c r="X84" s="198"/>
      <c r="Y84" s="198"/>
      <c r="Z84" s="198"/>
    </row>
    <row r="85" ht="12.75" customHeight="1">
      <c r="A85" s="613"/>
      <c r="B85" s="613"/>
      <c r="C85" s="613"/>
      <c r="D85" s="613"/>
      <c r="E85" s="613"/>
      <c r="F85" s="613"/>
      <c r="G85" s="613"/>
      <c r="H85" s="613"/>
      <c r="I85" s="615"/>
      <c r="J85" s="613"/>
      <c r="K85" s="613"/>
      <c r="L85" s="613"/>
      <c r="M85" s="613"/>
      <c r="N85" s="198"/>
      <c r="O85" s="358" t="s">
        <v>219</v>
      </c>
      <c r="P85" s="359"/>
      <c r="Q85" s="359"/>
      <c r="R85" s="360"/>
      <c r="S85" s="388">
        <f>SUM(S81:S84)</f>
        <v>77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613"/>
      <c r="B86" s="613"/>
      <c r="C86" s="613"/>
      <c r="D86" s="613"/>
      <c r="E86" s="613"/>
      <c r="F86" s="613"/>
      <c r="G86" s="613"/>
      <c r="H86" s="613"/>
      <c r="I86" s="615"/>
      <c r="J86" s="613"/>
      <c r="K86" s="613"/>
      <c r="L86" s="613"/>
      <c r="M86" s="613"/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613"/>
      <c r="B87" s="613"/>
      <c r="C87" s="613"/>
      <c r="D87" s="613"/>
      <c r="E87" s="613"/>
      <c r="F87" s="613"/>
      <c r="G87" s="613"/>
      <c r="H87" s="613"/>
      <c r="I87" s="615"/>
      <c r="J87" s="613"/>
      <c r="K87" s="613"/>
      <c r="L87" s="613"/>
      <c r="M87" s="613"/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613"/>
      <c r="B88" s="613"/>
      <c r="C88" s="613"/>
      <c r="D88" s="613"/>
      <c r="E88" s="613"/>
      <c r="F88" s="613"/>
      <c r="G88" s="613"/>
      <c r="H88" s="613"/>
      <c r="I88" s="615"/>
      <c r="J88" s="613"/>
      <c r="K88" s="613"/>
      <c r="L88" s="613"/>
      <c r="M88" s="613"/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613"/>
      <c r="B89" s="613"/>
      <c r="C89" s="613"/>
      <c r="D89" s="613"/>
      <c r="E89" s="613"/>
      <c r="F89" s="613"/>
      <c r="G89" s="613"/>
      <c r="H89" s="613"/>
      <c r="I89" s="615"/>
      <c r="J89" s="613"/>
      <c r="K89" s="613"/>
      <c r="L89" s="613"/>
      <c r="M89" s="613"/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613"/>
      <c r="B90" s="613"/>
      <c r="C90" s="613"/>
      <c r="D90" s="613"/>
      <c r="E90" s="613"/>
      <c r="F90" s="613"/>
      <c r="G90" s="613"/>
      <c r="H90" s="613"/>
      <c r="I90" s="615"/>
      <c r="J90" s="613"/>
      <c r="K90" s="613"/>
      <c r="L90" s="613"/>
      <c r="M90" s="613"/>
      <c r="N90" s="198"/>
      <c r="O90" s="412" t="s">
        <v>270</v>
      </c>
      <c r="P90" s="413">
        <f>AVERAGEIF(G2:G476,"PT",M2:M476)</f>
        <v>1095.761905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613"/>
      <c r="B91" s="613"/>
      <c r="C91" s="613"/>
      <c r="D91" s="613"/>
      <c r="E91" s="613"/>
      <c r="F91" s="613"/>
      <c r="G91" s="613"/>
      <c r="H91" s="613"/>
      <c r="I91" s="615"/>
      <c r="J91" s="613"/>
      <c r="K91" s="613"/>
      <c r="L91" s="613"/>
      <c r="M91" s="613"/>
      <c r="N91" s="198"/>
      <c r="O91" s="414" t="s">
        <v>34</v>
      </c>
      <c r="P91" s="415">
        <f>AVERAGEIF(G2:G477,"PTN",M2:M477)</f>
        <v>723.875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613"/>
      <c r="B92" s="613"/>
      <c r="C92" s="613"/>
      <c r="D92" s="613"/>
      <c r="E92" s="198"/>
      <c r="F92" s="198"/>
      <c r="G92" s="198"/>
      <c r="H92" s="198"/>
      <c r="I92" s="615"/>
      <c r="J92" s="198"/>
      <c r="K92" s="198"/>
      <c r="L92" s="198"/>
      <c r="M92" s="616"/>
      <c r="N92" s="198"/>
      <c r="O92" s="412" t="s">
        <v>17</v>
      </c>
      <c r="P92" s="413" t="str">
        <f>AVERAGEIF(G2:G476,"PTE",M2:M476)</f>
        <v>#DIV/0!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613"/>
      <c r="B93" s="613"/>
      <c r="C93" s="613"/>
      <c r="D93" s="613"/>
      <c r="E93" s="198"/>
      <c r="F93" s="198"/>
      <c r="G93" s="198"/>
      <c r="H93" s="198"/>
      <c r="I93" s="615"/>
      <c r="J93" s="198"/>
      <c r="K93" s="198"/>
      <c r="L93" s="198"/>
      <c r="M93" s="616"/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613"/>
      <c r="B94" s="613"/>
      <c r="C94" s="613"/>
      <c r="D94" s="613"/>
      <c r="E94" s="198"/>
      <c r="F94" s="198"/>
      <c r="G94" s="198"/>
      <c r="H94" s="198"/>
      <c r="I94" s="615"/>
      <c r="J94" s="198"/>
      <c r="K94" s="198"/>
      <c r="L94" s="198"/>
      <c r="M94" s="616"/>
      <c r="N94" s="198"/>
      <c r="O94" s="412" t="s">
        <v>650</v>
      </c>
      <c r="P94" s="413">
        <f>AVERAGEIF(G2:G476,"PF",M2:M476)</f>
        <v>1175.225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613"/>
      <c r="B95" s="613"/>
      <c r="C95" s="613"/>
      <c r="D95" s="613"/>
      <c r="E95" s="198"/>
      <c r="F95" s="198"/>
      <c r="G95" s="198"/>
      <c r="H95" s="198"/>
      <c r="I95" s="615"/>
      <c r="J95" s="198"/>
      <c r="K95" s="198"/>
      <c r="L95" s="198"/>
      <c r="M95" s="616"/>
      <c r="N95" s="198"/>
      <c r="O95" s="414" t="s">
        <v>547</v>
      </c>
      <c r="P95" s="415">
        <f>AVERAGEIF(G2:G476,"PFN",M2:M476)</f>
        <v>598.3333333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613"/>
      <c r="B96" s="613"/>
      <c r="C96" s="613"/>
      <c r="D96" s="613"/>
      <c r="E96" s="198"/>
      <c r="F96" s="198"/>
      <c r="G96" s="198"/>
      <c r="H96" s="198"/>
      <c r="I96" s="615"/>
      <c r="J96" s="198"/>
      <c r="K96" s="198"/>
      <c r="L96" s="198"/>
      <c r="M96" s="616"/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613"/>
      <c r="B97" s="613"/>
      <c r="C97" s="613"/>
      <c r="D97" s="613"/>
      <c r="E97" s="198"/>
      <c r="F97" s="198"/>
      <c r="G97" s="198"/>
      <c r="H97" s="198"/>
      <c r="I97" s="615"/>
      <c r="J97" s="198"/>
      <c r="K97" s="198"/>
      <c r="L97" s="198"/>
      <c r="M97" s="616"/>
      <c r="N97" s="198"/>
      <c r="O97" s="414" t="s">
        <v>565</v>
      </c>
      <c r="P97" s="415">
        <f>AVERAGEIF(G2:G476,"Bio",M2:M476)</f>
        <v>590.4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613"/>
      <c r="B98" s="613"/>
      <c r="C98" s="613"/>
      <c r="D98" s="613"/>
      <c r="E98" s="198"/>
      <c r="F98" s="198"/>
      <c r="G98" s="198"/>
      <c r="H98" s="198"/>
      <c r="I98" s="615"/>
      <c r="J98" s="198"/>
      <c r="K98" s="198"/>
      <c r="L98" s="198"/>
      <c r="M98" s="616"/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613"/>
      <c r="B99" s="613"/>
      <c r="C99" s="613"/>
      <c r="D99" s="613"/>
      <c r="E99" s="198"/>
      <c r="F99" s="198"/>
      <c r="G99" s="198"/>
      <c r="H99" s="198"/>
      <c r="I99" s="615"/>
      <c r="J99" s="198"/>
      <c r="K99" s="198"/>
      <c r="L99" s="198"/>
      <c r="M99" s="616"/>
      <c r="N99" s="198"/>
      <c r="O99" s="416" t="s">
        <v>275</v>
      </c>
      <c r="P99" s="417">
        <f>AVERAGE(M2:M494)</f>
        <v>1046.207792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613"/>
      <c r="B100" s="613"/>
      <c r="C100" s="613"/>
      <c r="D100" s="613"/>
      <c r="E100" s="198"/>
      <c r="F100" s="198"/>
      <c r="G100" s="198"/>
      <c r="H100" s="198"/>
      <c r="I100" s="615"/>
      <c r="J100" s="198"/>
      <c r="K100" s="198"/>
      <c r="L100" s="198"/>
      <c r="M100" s="616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613"/>
      <c r="B101" s="613"/>
      <c r="C101" s="613"/>
      <c r="D101" s="613"/>
      <c r="E101" s="198"/>
      <c r="F101" s="198"/>
      <c r="G101" s="198"/>
      <c r="H101" s="198"/>
      <c r="I101" s="615"/>
      <c r="J101" s="198"/>
      <c r="K101" s="198"/>
      <c r="L101" s="198"/>
      <c r="M101" s="616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613"/>
      <c r="B102" s="613"/>
      <c r="C102" s="613"/>
      <c r="D102" s="613"/>
      <c r="E102" s="198"/>
      <c r="F102" s="198"/>
      <c r="G102" s="198"/>
      <c r="H102" s="198"/>
      <c r="I102" s="615"/>
      <c r="J102" s="198"/>
      <c r="K102" s="198"/>
      <c r="L102" s="198"/>
      <c r="M102" s="616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613"/>
      <c r="B103" s="613"/>
      <c r="C103" s="613"/>
      <c r="D103" s="613"/>
      <c r="E103" s="198"/>
      <c r="F103" s="198"/>
      <c r="G103" s="198"/>
      <c r="H103" s="198"/>
      <c r="I103" s="615"/>
      <c r="J103" s="198"/>
      <c r="K103" s="198"/>
      <c r="L103" s="198"/>
      <c r="M103" s="616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613"/>
      <c r="B104" s="613"/>
      <c r="C104" s="613"/>
      <c r="D104" s="613"/>
      <c r="E104" s="198"/>
      <c r="F104" s="198"/>
      <c r="G104" s="198"/>
      <c r="H104" s="198"/>
      <c r="I104" s="615"/>
      <c r="J104" s="198"/>
      <c r="K104" s="198"/>
      <c r="L104" s="198"/>
      <c r="M104" s="61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613"/>
      <c r="B105" s="613"/>
      <c r="C105" s="613"/>
      <c r="D105" s="613"/>
      <c r="E105" s="198"/>
      <c r="F105" s="198"/>
      <c r="G105" s="198"/>
      <c r="H105" s="198"/>
      <c r="I105" s="615"/>
      <c r="J105" s="198"/>
      <c r="K105" s="198"/>
      <c r="L105" s="198"/>
      <c r="M105" s="616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613"/>
      <c r="C106" s="613"/>
      <c r="D106" s="613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613"/>
      <c r="B107" s="613"/>
      <c r="C107" s="613"/>
      <c r="D107" s="613"/>
      <c r="E107" s="198"/>
      <c r="F107" s="198"/>
      <c r="G107" s="198"/>
      <c r="H107" s="198"/>
      <c r="I107" s="615"/>
      <c r="J107" s="198"/>
      <c r="K107" s="198"/>
      <c r="L107" s="198"/>
      <c r="M107" s="61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613"/>
      <c r="B108" s="613"/>
      <c r="C108" s="613"/>
      <c r="D108" s="613"/>
      <c r="E108" s="198"/>
      <c r="F108" s="198"/>
      <c r="G108" s="198"/>
      <c r="H108" s="198"/>
      <c r="I108" s="615"/>
      <c r="J108" s="198"/>
      <c r="K108" s="198"/>
      <c r="L108" s="198"/>
      <c r="M108" s="616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613"/>
      <c r="B109" s="613"/>
      <c r="C109" s="613"/>
      <c r="D109" s="613"/>
      <c r="E109" s="198"/>
      <c r="F109" s="198"/>
      <c r="G109" s="198"/>
      <c r="H109" s="198"/>
      <c r="I109" s="615"/>
      <c r="J109" s="198"/>
      <c r="K109" s="198"/>
      <c r="L109" s="198"/>
      <c r="M109" s="616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613"/>
      <c r="B110" s="613"/>
      <c r="C110" s="613"/>
      <c r="D110" s="613"/>
      <c r="E110" s="198"/>
      <c r="F110" s="198"/>
      <c r="G110" s="198"/>
      <c r="H110" s="198"/>
      <c r="I110" s="615"/>
      <c r="J110" s="198"/>
      <c r="K110" s="198"/>
      <c r="L110" s="198"/>
      <c r="M110" s="61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613"/>
      <c r="B111" s="613"/>
      <c r="C111" s="613"/>
      <c r="D111" s="613"/>
      <c r="E111" s="198"/>
      <c r="F111" s="198"/>
      <c r="G111" s="198"/>
      <c r="H111" s="198"/>
      <c r="I111" s="615"/>
      <c r="J111" s="198"/>
      <c r="K111" s="198"/>
      <c r="L111" s="198"/>
      <c r="M111" s="616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3"/>
      <c r="E112" s="198"/>
      <c r="F112" s="198"/>
      <c r="G112" s="198"/>
      <c r="H112" s="198"/>
      <c r="I112" s="615"/>
      <c r="J112" s="198"/>
      <c r="K112" s="198"/>
      <c r="L112" s="198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613"/>
      <c r="B113" s="613"/>
      <c r="C113" s="613"/>
      <c r="D113" s="613"/>
      <c r="E113" s="198"/>
      <c r="F113" s="198"/>
      <c r="G113" s="198"/>
      <c r="H113" s="198"/>
      <c r="I113" s="615"/>
      <c r="J113" s="198"/>
      <c r="K113" s="198"/>
      <c r="L113" s="198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613"/>
      <c r="B114" s="613"/>
      <c r="C114" s="613"/>
      <c r="D114" s="613"/>
      <c r="E114" s="198"/>
      <c r="F114" s="198"/>
      <c r="G114" s="198"/>
      <c r="H114" s="198"/>
      <c r="I114" s="615"/>
      <c r="J114" s="198"/>
      <c r="K114" s="198"/>
      <c r="L114" s="198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613"/>
      <c r="B115" s="613"/>
      <c r="C115" s="613"/>
      <c r="D115" s="613"/>
      <c r="E115" s="198"/>
      <c r="F115" s="198"/>
      <c r="G115" s="198"/>
      <c r="H115" s="198"/>
      <c r="I115" s="615"/>
      <c r="J115" s="198"/>
      <c r="K115" s="198"/>
      <c r="L115" s="198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613"/>
      <c r="B116" s="613"/>
      <c r="C116" s="613"/>
      <c r="D116" s="613"/>
      <c r="E116" s="198"/>
      <c r="F116" s="198"/>
      <c r="G116" s="198"/>
      <c r="H116" s="198"/>
      <c r="I116" s="615"/>
      <c r="J116" s="198"/>
      <c r="K116" s="198"/>
      <c r="L116" s="198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613"/>
      <c r="B117" s="613"/>
      <c r="C117" s="613"/>
      <c r="D117" s="613"/>
      <c r="E117" s="198"/>
      <c r="F117" s="198"/>
      <c r="G117" s="198"/>
      <c r="H117" s="198"/>
      <c r="I117" s="615"/>
      <c r="J117" s="198"/>
      <c r="K117" s="198"/>
      <c r="L117" s="198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3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3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3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3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3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3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3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3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3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3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3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3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3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3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3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3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3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3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3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3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3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3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3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3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3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3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3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3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3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3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3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3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3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3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3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3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3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3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3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3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3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3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3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3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3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3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3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3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3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3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3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3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3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3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3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3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3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3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3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3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3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3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3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3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3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3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3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3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3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3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3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3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3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3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3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3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3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3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3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3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3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3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3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3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3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3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3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3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3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3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3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3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3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3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3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3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3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3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3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3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3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3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3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3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3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3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3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3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3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3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3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3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3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3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3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3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3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3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3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3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3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3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3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3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3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3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3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3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3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3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3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3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3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3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3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3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3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3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3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3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3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3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3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3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3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3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3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3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3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3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3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3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3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3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3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3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3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3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3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3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3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3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3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3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3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3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3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3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3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3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3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3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3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3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3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3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3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3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3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3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3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3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3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3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3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3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3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3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3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3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3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3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3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3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3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3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3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3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3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3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3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3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3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3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3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3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3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3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3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3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3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3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3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3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3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3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3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3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3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3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3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3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3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3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3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3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3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3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3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3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3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3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3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3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3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3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3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3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3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3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3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3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3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3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3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3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3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3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3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3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3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3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3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3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3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3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3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3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3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3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3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3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3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3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3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3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3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3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3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3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3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3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3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3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3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3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3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3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3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3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3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3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3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3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3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3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3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3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3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3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3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3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3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3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3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3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3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3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3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3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3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3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3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3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3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3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3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3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3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3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3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3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3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3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3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3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3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3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3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3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3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3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3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3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3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3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3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3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3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3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3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3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3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3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3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3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3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3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3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3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3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3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3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3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3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3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3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3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3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3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3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3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3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3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3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3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3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3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3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3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3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3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3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3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3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3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3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3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3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3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3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3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3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3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3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3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3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3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3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3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3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3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3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3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3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3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3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3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3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3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3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3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3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3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3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3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3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3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3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3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3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3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3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3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3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3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3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3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3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3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3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3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3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3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3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3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3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3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3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3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3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3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3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3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3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3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3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3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3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3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3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3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3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3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3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3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3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3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3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3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3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3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3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3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3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3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3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3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3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3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3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3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3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3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3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3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3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3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3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3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3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3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3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3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3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3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3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3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3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3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3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3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3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3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3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3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3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3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3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3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3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3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3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3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3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3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3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3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3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3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3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3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3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3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3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3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3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3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3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3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3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3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3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3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3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3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3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3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3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3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3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3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3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3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3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3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3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3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3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3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3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3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3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3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3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3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3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3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3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3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3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3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3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3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3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3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3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3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3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3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3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3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3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3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3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3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3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3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3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3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3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3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3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3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3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3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3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3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3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3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3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3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3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3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3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3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3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3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3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3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3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3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3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3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3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3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3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3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3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3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3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3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3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3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3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3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3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3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3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3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3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3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3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3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3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3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3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3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3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3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3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3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3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3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3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3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3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3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3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3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3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3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3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3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3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3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3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3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3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3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3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3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3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3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3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3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3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3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3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3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3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3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3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3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3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3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3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3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3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3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3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3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3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3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3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3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3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3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3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3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3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3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3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3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3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3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3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3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3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3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3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3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3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3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3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3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3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3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3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3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3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3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3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3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3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3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3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3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3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3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3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3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3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3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3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3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3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3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3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3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3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3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3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3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3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3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3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3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3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3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3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3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3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3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3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3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3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3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3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3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3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3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3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3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3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3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3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3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3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3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3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3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3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3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3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3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3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3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3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3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3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3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3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3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3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3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3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3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3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3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3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3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3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3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3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3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3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3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3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3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3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3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3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3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3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3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3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3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3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3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3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3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3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3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3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3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3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3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3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3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3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3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3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3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3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3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3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3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3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3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3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3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3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3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3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3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3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3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3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3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3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3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3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3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3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3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3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3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3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3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3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3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3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3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3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3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3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3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3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3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3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3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3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3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3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3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3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3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3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3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3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3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3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3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3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3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3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3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3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3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3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3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3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3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3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3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3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3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3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3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3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3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3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3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3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3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3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3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3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3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3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3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3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3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3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3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3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3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3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3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3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3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3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3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3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3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3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3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3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3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3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3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3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3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3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3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3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3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3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3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3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3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3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conditionalFormatting sqref="I78">
    <cfRule type="notContainsBlanks" dxfId="0" priority="1">
      <formula>LEN(TRIM(I78))&gt;0</formula>
    </cfRule>
  </conditionalFormatting>
  <printOptions/>
  <pageMargins bottom="1.0" footer="0.0" header="0.0" left="0.75" right="0.75" top="1.0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15.57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102.0</v>
      </c>
      <c r="B2" s="426" t="s">
        <v>13264</v>
      </c>
      <c r="C2" s="428">
        <v>2000.0</v>
      </c>
      <c r="D2" s="500">
        <v>36650.0</v>
      </c>
      <c r="E2" s="426" t="s">
        <v>13265</v>
      </c>
      <c r="F2" s="426" t="s">
        <v>13266</v>
      </c>
      <c r="G2" s="426" t="s">
        <v>34</v>
      </c>
      <c r="H2" s="426" t="s">
        <v>13267</v>
      </c>
      <c r="I2" s="500">
        <v>37275.0</v>
      </c>
      <c r="J2" s="428">
        <v>1.0</v>
      </c>
      <c r="K2" s="637" t="s">
        <v>238</v>
      </c>
      <c r="L2" s="428" t="s">
        <v>256</v>
      </c>
      <c r="M2" s="319">
        <f t="shared" ref="M2:M54" si="1">I2-D2</f>
        <v>625</v>
      </c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202.0</v>
      </c>
      <c r="B3" s="420" t="s">
        <v>13268</v>
      </c>
      <c r="C3" s="422">
        <v>2000.0</v>
      </c>
      <c r="D3" s="497">
        <v>36784.0</v>
      </c>
      <c r="E3" s="420" t="s">
        <v>13269</v>
      </c>
      <c r="F3" s="420" t="s">
        <v>2311</v>
      </c>
      <c r="G3" s="420" t="s">
        <v>650</v>
      </c>
      <c r="H3" s="420" t="s">
        <v>13270</v>
      </c>
      <c r="I3" s="497">
        <v>37287.0</v>
      </c>
      <c r="J3" s="422">
        <v>1.0</v>
      </c>
      <c r="K3" s="638" t="s">
        <v>234</v>
      </c>
      <c r="L3" s="420" t="s">
        <v>258</v>
      </c>
      <c r="M3" s="316">
        <f t="shared" si="1"/>
        <v>503</v>
      </c>
      <c r="N3" s="198"/>
      <c r="O3" s="320" t="s">
        <v>27</v>
      </c>
      <c r="P3" s="320">
        <f>COUNTIF($G$2:$G$476,"PT")</f>
        <v>13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302.0</v>
      </c>
      <c r="B4" s="426" t="s">
        <v>13271</v>
      </c>
      <c r="C4" s="428">
        <v>1999.0</v>
      </c>
      <c r="D4" s="500">
        <v>36494.0</v>
      </c>
      <c r="E4" s="426" t="s">
        <v>13272</v>
      </c>
      <c r="F4" s="426" t="s">
        <v>13273</v>
      </c>
      <c r="G4" s="426" t="s">
        <v>547</v>
      </c>
      <c r="H4" s="426" t="s">
        <v>705</v>
      </c>
      <c r="I4" s="500">
        <v>37295.0</v>
      </c>
      <c r="J4" s="428">
        <v>2.0</v>
      </c>
      <c r="K4" s="638" t="s">
        <v>234</v>
      </c>
      <c r="L4" s="428" t="s">
        <v>256</v>
      </c>
      <c r="M4" s="319">
        <f t="shared" si="1"/>
        <v>801</v>
      </c>
      <c r="N4" s="198"/>
      <c r="O4" s="321" t="s">
        <v>34</v>
      </c>
      <c r="P4" s="321">
        <f>COUNTIF($G$2:$G$476,"PTN")</f>
        <v>5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402.0</v>
      </c>
      <c r="B5" s="420" t="s">
        <v>13274</v>
      </c>
      <c r="C5" s="422">
        <v>2000.0</v>
      </c>
      <c r="D5" s="497">
        <v>36769.0</v>
      </c>
      <c r="E5" s="420" t="s">
        <v>13275</v>
      </c>
      <c r="F5" s="420" t="s">
        <v>13276</v>
      </c>
      <c r="G5" s="420" t="s">
        <v>547</v>
      </c>
      <c r="H5" s="420" t="s">
        <v>3788</v>
      </c>
      <c r="I5" s="497">
        <v>37313.0</v>
      </c>
      <c r="J5" s="422">
        <v>2.0</v>
      </c>
      <c r="K5" s="635" t="s">
        <v>228</v>
      </c>
      <c r="L5" s="420" t="s">
        <v>256</v>
      </c>
      <c r="M5" s="316">
        <f t="shared" si="1"/>
        <v>544</v>
      </c>
      <c r="N5" s="198"/>
      <c r="O5" s="322" t="s">
        <v>40</v>
      </c>
      <c r="P5" s="322">
        <f>COUNTIF($G$2:$G$476,"PTE")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502.0</v>
      </c>
      <c r="B6" s="426" t="s">
        <v>13277</v>
      </c>
      <c r="C6" s="428">
        <v>2000.0</v>
      </c>
      <c r="D6" s="500">
        <v>36769.0</v>
      </c>
      <c r="E6" s="426" t="s">
        <v>13278</v>
      </c>
      <c r="F6" s="426" t="s">
        <v>13276</v>
      </c>
      <c r="G6" s="426" t="s">
        <v>34</v>
      </c>
      <c r="H6" s="426" t="s">
        <v>3788</v>
      </c>
      <c r="I6" s="500">
        <v>37313.0</v>
      </c>
      <c r="J6" s="428">
        <v>2.0</v>
      </c>
      <c r="K6" s="637" t="s">
        <v>238</v>
      </c>
      <c r="L6" s="428" t="s">
        <v>256</v>
      </c>
      <c r="M6" s="319">
        <f t="shared" si="1"/>
        <v>544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602.0</v>
      </c>
      <c r="B7" s="420" t="s">
        <v>13279</v>
      </c>
      <c r="C7" s="422">
        <v>1999.0</v>
      </c>
      <c r="D7" s="497">
        <v>36234.0</v>
      </c>
      <c r="E7" s="420" t="s">
        <v>13280</v>
      </c>
      <c r="F7" s="420" t="s">
        <v>1108</v>
      </c>
      <c r="G7" s="420" t="s">
        <v>650</v>
      </c>
      <c r="H7" s="420" t="s">
        <v>7907</v>
      </c>
      <c r="I7" s="497">
        <v>36590.0</v>
      </c>
      <c r="J7" s="422">
        <v>3.0</v>
      </c>
      <c r="K7" s="637" t="s">
        <v>238</v>
      </c>
      <c r="L7" s="420" t="s">
        <v>258</v>
      </c>
      <c r="M7" s="316">
        <f t="shared" si="1"/>
        <v>356</v>
      </c>
      <c r="N7" s="198"/>
      <c r="O7" s="322" t="s">
        <v>553</v>
      </c>
      <c r="P7" s="322">
        <f>COUNTIF($G$2:$G$476,"PF")</f>
        <v>23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702.0</v>
      </c>
      <c r="B8" s="426" t="s">
        <v>13281</v>
      </c>
      <c r="C8" s="428">
        <v>2000.0</v>
      </c>
      <c r="D8" s="500">
        <v>36650.0</v>
      </c>
      <c r="E8" s="426" t="s">
        <v>13282</v>
      </c>
      <c r="F8" s="426" t="s">
        <v>13283</v>
      </c>
      <c r="G8" s="426" t="s">
        <v>34</v>
      </c>
      <c r="H8" s="426" t="s">
        <v>13267</v>
      </c>
      <c r="I8" s="500">
        <v>37329.0</v>
      </c>
      <c r="J8" s="428">
        <v>3.0</v>
      </c>
      <c r="K8" s="635" t="s">
        <v>228</v>
      </c>
      <c r="L8" s="428" t="s">
        <v>256</v>
      </c>
      <c r="M8" s="319">
        <f t="shared" si="1"/>
        <v>679</v>
      </c>
      <c r="N8" s="198"/>
      <c r="O8" s="321" t="s">
        <v>547</v>
      </c>
      <c r="P8" s="321">
        <f>COUNTIF($G$2:$G$476,"PFN")</f>
        <v>6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802.0</v>
      </c>
      <c r="B9" s="420" t="s">
        <v>13284</v>
      </c>
      <c r="C9" s="422">
        <v>2000.0</v>
      </c>
      <c r="D9" s="497">
        <v>36679.0</v>
      </c>
      <c r="E9" s="420" t="s">
        <v>13285</v>
      </c>
      <c r="F9" s="420" t="s">
        <v>13286</v>
      </c>
      <c r="G9" s="420" t="s">
        <v>34</v>
      </c>
      <c r="H9" s="420" t="s">
        <v>13267</v>
      </c>
      <c r="I9" s="497">
        <v>37331.0</v>
      </c>
      <c r="J9" s="422">
        <v>3.0</v>
      </c>
      <c r="K9" s="637" t="s">
        <v>238</v>
      </c>
      <c r="L9" s="420" t="s">
        <v>258</v>
      </c>
      <c r="M9" s="316">
        <f t="shared" si="1"/>
        <v>652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902.0</v>
      </c>
      <c r="B10" s="426" t="s">
        <v>13287</v>
      </c>
      <c r="C10" s="428">
        <v>2000.0</v>
      </c>
      <c r="D10" s="500">
        <v>36714.0</v>
      </c>
      <c r="E10" s="426" t="s">
        <v>13288</v>
      </c>
      <c r="F10" s="426" t="s">
        <v>3705</v>
      </c>
      <c r="G10" s="426" t="s">
        <v>650</v>
      </c>
      <c r="H10" s="426" t="s">
        <v>50</v>
      </c>
      <c r="I10" s="500">
        <v>37342.0</v>
      </c>
      <c r="J10" s="428">
        <v>3.0</v>
      </c>
      <c r="K10" s="636" t="s">
        <v>244</v>
      </c>
      <c r="L10" s="428" t="s">
        <v>258</v>
      </c>
      <c r="M10" s="319">
        <f t="shared" si="1"/>
        <v>628</v>
      </c>
      <c r="N10" s="198"/>
      <c r="O10" s="321" t="s">
        <v>565</v>
      </c>
      <c r="P10" s="321">
        <f>COUNTIF($G$2:$G$476,"Bio")</f>
        <v>6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1002.0</v>
      </c>
      <c r="B11" s="420" t="s">
        <v>13289</v>
      </c>
      <c r="C11" s="422">
        <v>2000.0</v>
      </c>
      <c r="D11" s="497">
        <v>36714.0</v>
      </c>
      <c r="E11" s="420" t="s">
        <v>13290</v>
      </c>
      <c r="F11" s="420" t="s">
        <v>31</v>
      </c>
      <c r="G11" s="420" t="s">
        <v>650</v>
      </c>
      <c r="H11" s="420" t="s">
        <v>50</v>
      </c>
      <c r="I11" s="497">
        <v>37349.0</v>
      </c>
      <c r="J11" s="422">
        <v>4.0</v>
      </c>
      <c r="K11" s="635" t="s">
        <v>228</v>
      </c>
      <c r="L11" s="420" t="s">
        <v>258</v>
      </c>
      <c r="M11" s="316">
        <f t="shared" si="1"/>
        <v>635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1102.0</v>
      </c>
      <c r="B12" s="426" t="s">
        <v>13291</v>
      </c>
      <c r="C12" s="428">
        <v>2000.0</v>
      </c>
      <c r="D12" s="500">
        <v>36557.0</v>
      </c>
      <c r="E12" s="426" t="s">
        <v>13292</v>
      </c>
      <c r="F12" s="426" t="s">
        <v>885</v>
      </c>
      <c r="G12" s="426" t="s">
        <v>650</v>
      </c>
      <c r="H12" s="426" t="s">
        <v>651</v>
      </c>
      <c r="I12" s="500">
        <v>37356.0</v>
      </c>
      <c r="J12" s="428">
        <v>4.0</v>
      </c>
      <c r="K12" s="637" t="s">
        <v>238</v>
      </c>
      <c r="L12" s="428" t="s">
        <v>256</v>
      </c>
      <c r="M12" s="319">
        <f t="shared" si="1"/>
        <v>799</v>
      </c>
      <c r="N12" s="198"/>
      <c r="O12" s="324" t="s">
        <v>51</v>
      </c>
      <c r="P12" s="325">
        <f>SUM(P3:P11)</f>
        <v>53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1202.0</v>
      </c>
      <c r="B13" s="420" t="s">
        <v>13293</v>
      </c>
      <c r="C13" s="422">
        <v>2000.0</v>
      </c>
      <c r="D13" s="497">
        <v>36704.0</v>
      </c>
      <c r="E13" s="420" t="s">
        <v>13294</v>
      </c>
      <c r="F13" s="420" t="s">
        <v>13295</v>
      </c>
      <c r="G13" s="420" t="s">
        <v>565</v>
      </c>
      <c r="H13" s="420" t="s">
        <v>6534</v>
      </c>
      <c r="I13" s="497">
        <v>37372.0</v>
      </c>
      <c r="J13" s="422">
        <v>4.0</v>
      </c>
      <c r="K13" s="636" t="s">
        <v>244</v>
      </c>
      <c r="L13" s="420" t="s">
        <v>260</v>
      </c>
      <c r="M13" s="316">
        <f t="shared" si="1"/>
        <v>668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1302.0</v>
      </c>
      <c r="B14" s="426" t="s">
        <v>13296</v>
      </c>
      <c r="C14" s="428">
        <v>2000.0</v>
      </c>
      <c r="D14" s="500">
        <v>36753.0</v>
      </c>
      <c r="E14" s="426" t="s">
        <v>13297</v>
      </c>
      <c r="F14" s="426" t="s">
        <v>13298</v>
      </c>
      <c r="G14" s="426" t="s">
        <v>565</v>
      </c>
      <c r="H14" s="426" t="s">
        <v>6534</v>
      </c>
      <c r="I14" s="500">
        <v>37372.0</v>
      </c>
      <c r="J14" s="428">
        <v>4.0</v>
      </c>
      <c r="K14" s="636" t="s">
        <v>244</v>
      </c>
      <c r="L14" s="428" t="s">
        <v>260</v>
      </c>
      <c r="M14" s="319">
        <f t="shared" si="1"/>
        <v>619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1402.0</v>
      </c>
      <c r="B15" s="420" t="s">
        <v>13299</v>
      </c>
      <c r="C15" s="422">
        <v>1999.0</v>
      </c>
      <c r="D15" s="497">
        <v>36460.0</v>
      </c>
      <c r="E15" s="420" t="s">
        <v>13300</v>
      </c>
      <c r="F15" s="420" t="s">
        <v>10924</v>
      </c>
      <c r="G15" s="420" t="s">
        <v>650</v>
      </c>
      <c r="H15" s="420" t="s">
        <v>13301</v>
      </c>
      <c r="I15" s="497">
        <v>37380.0</v>
      </c>
      <c r="J15" s="422">
        <v>5.0</v>
      </c>
      <c r="K15" s="636" t="s">
        <v>244</v>
      </c>
      <c r="L15" s="420" t="s">
        <v>256</v>
      </c>
      <c r="M15" s="316">
        <f t="shared" si="1"/>
        <v>920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1502.0</v>
      </c>
      <c r="B16" s="426" t="s">
        <v>13302</v>
      </c>
      <c r="C16" s="428">
        <v>1998.0</v>
      </c>
      <c r="D16" s="500">
        <v>36128.0</v>
      </c>
      <c r="E16" s="426" t="s">
        <v>13303</v>
      </c>
      <c r="F16" s="426" t="s">
        <v>963</v>
      </c>
      <c r="G16" s="426" t="s">
        <v>650</v>
      </c>
      <c r="H16" s="426" t="s">
        <v>7907</v>
      </c>
      <c r="I16" s="500">
        <v>37383.0</v>
      </c>
      <c r="J16" s="428">
        <v>5.0</v>
      </c>
      <c r="K16" s="637" t="s">
        <v>238</v>
      </c>
      <c r="L16" s="428" t="s">
        <v>258</v>
      </c>
      <c r="M16" s="319">
        <f t="shared" si="1"/>
        <v>1255</v>
      </c>
      <c r="N16" s="198"/>
      <c r="O16" s="331" t="s">
        <v>13304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1602.0</v>
      </c>
      <c r="B17" s="420" t="s">
        <v>13305</v>
      </c>
      <c r="C17" s="422">
        <v>2000.0</v>
      </c>
      <c r="D17" s="497">
        <v>36748.0</v>
      </c>
      <c r="E17" s="420" t="s">
        <v>13306</v>
      </c>
      <c r="F17" s="420" t="s">
        <v>12966</v>
      </c>
      <c r="G17" s="420" t="s">
        <v>650</v>
      </c>
      <c r="H17" s="420" t="s">
        <v>13267</v>
      </c>
      <c r="I17" s="497">
        <v>37387.0</v>
      </c>
      <c r="J17" s="422">
        <v>5.0</v>
      </c>
      <c r="K17" s="637" t="s">
        <v>238</v>
      </c>
      <c r="L17" s="420" t="s">
        <v>256</v>
      </c>
      <c r="M17" s="316">
        <f t="shared" si="1"/>
        <v>639</v>
      </c>
      <c r="N17" s="198"/>
      <c r="O17" s="334" t="s">
        <v>13307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1702.0</v>
      </c>
      <c r="B18" s="426" t="s">
        <v>13308</v>
      </c>
      <c r="C18" s="428">
        <v>1994.0</v>
      </c>
      <c r="D18" s="500">
        <v>34345.0</v>
      </c>
      <c r="E18" s="426" t="s">
        <v>13309</v>
      </c>
      <c r="F18" s="426" t="s">
        <v>781</v>
      </c>
      <c r="G18" s="426" t="s">
        <v>270</v>
      </c>
      <c r="H18" s="426" t="s">
        <v>11527</v>
      </c>
      <c r="I18" s="500">
        <v>37387.0</v>
      </c>
      <c r="J18" s="428">
        <v>5.0</v>
      </c>
      <c r="K18" s="636" t="s">
        <v>244</v>
      </c>
      <c r="L18" s="428" t="s">
        <v>256</v>
      </c>
      <c r="M18" s="319">
        <f t="shared" si="1"/>
        <v>3042</v>
      </c>
      <c r="N18" s="198"/>
      <c r="O18" s="335" t="s">
        <v>13310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1802.0</v>
      </c>
      <c r="B19" s="420" t="s">
        <v>13311</v>
      </c>
      <c r="C19" s="422">
        <v>1998.0</v>
      </c>
      <c r="D19" s="497">
        <v>36117.0</v>
      </c>
      <c r="E19" s="420" t="s">
        <v>13312</v>
      </c>
      <c r="F19" s="420" t="s">
        <v>5166</v>
      </c>
      <c r="G19" s="420" t="s">
        <v>565</v>
      </c>
      <c r="H19" s="420" t="s">
        <v>18</v>
      </c>
      <c r="I19" s="497">
        <v>37397.0</v>
      </c>
      <c r="J19" s="422">
        <v>5.0</v>
      </c>
      <c r="K19" s="637" t="s">
        <v>238</v>
      </c>
      <c r="L19" s="420" t="s">
        <v>260</v>
      </c>
      <c r="M19" s="316">
        <f t="shared" si="1"/>
        <v>1280</v>
      </c>
      <c r="N19" s="198"/>
      <c r="O19" s="334" t="s">
        <v>13313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1902.0</v>
      </c>
      <c r="B20" s="426" t="s">
        <v>13314</v>
      </c>
      <c r="C20" s="428">
        <v>1999.0</v>
      </c>
      <c r="D20" s="500">
        <v>36441.0</v>
      </c>
      <c r="E20" s="426" t="s">
        <v>13315</v>
      </c>
      <c r="F20" s="426" t="s">
        <v>6549</v>
      </c>
      <c r="G20" s="426" t="s">
        <v>650</v>
      </c>
      <c r="H20" s="426" t="s">
        <v>3788</v>
      </c>
      <c r="I20" s="500">
        <v>37413.0</v>
      </c>
      <c r="J20" s="428">
        <v>6.0</v>
      </c>
      <c r="K20" s="637" t="s">
        <v>238</v>
      </c>
      <c r="L20" s="428" t="s">
        <v>258</v>
      </c>
      <c r="M20" s="319">
        <f t="shared" si="1"/>
        <v>972</v>
      </c>
      <c r="N20" s="198"/>
      <c r="O20" s="335" t="s">
        <v>13316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2002.0</v>
      </c>
      <c r="B21" s="420" t="s">
        <v>13317</v>
      </c>
      <c r="C21" s="422">
        <v>1998.0</v>
      </c>
      <c r="D21" s="497">
        <v>36097.0</v>
      </c>
      <c r="E21" s="420" t="s">
        <v>13318</v>
      </c>
      <c r="F21" s="420" t="s">
        <v>13319</v>
      </c>
      <c r="G21" s="420" t="s">
        <v>34</v>
      </c>
      <c r="H21" s="420" t="s">
        <v>2509</v>
      </c>
      <c r="I21" s="497">
        <v>37420.0</v>
      </c>
      <c r="J21" s="422">
        <v>6.0</v>
      </c>
      <c r="K21" s="637" t="s">
        <v>238</v>
      </c>
      <c r="L21" s="420" t="s">
        <v>258</v>
      </c>
      <c r="M21" s="316">
        <f t="shared" si="1"/>
        <v>1323</v>
      </c>
      <c r="N21" s="198"/>
      <c r="O21" s="334" t="s">
        <v>13320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2102.0</v>
      </c>
      <c r="B22" s="426" t="s">
        <v>13321</v>
      </c>
      <c r="C22" s="428">
        <v>1999.0</v>
      </c>
      <c r="D22" s="500">
        <v>36514.0</v>
      </c>
      <c r="E22" s="426" t="s">
        <v>13322</v>
      </c>
      <c r="F22" s="426" t="s">
        <v>739</v>
      </c>
      <c r="G22" s="426" t="s">
        <v>650</v>
      </c>
      <c r="H22" s="426" t="s">
        <v>13064</v>
      </c>
      <c r="I22" s="500">
        <v>37427.0</v>
      </c>
      <c r="J22" s="428">
        <v>6.0</v>
      </c>
      <c r="K22" s="637" t="s">
        <v>238</v>
      </c>
      <c r="L22" s="428" t="s">
        <v>258</v>
      </c>
      <c r="M22" s="319">
        <f t="shared" si="1"/>
        <v>913</v>
      </c>
      <c r="N22" s="198"/>
      <c r="O22" s="335" t="s">
        <v>13323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2202.0</v>
      </c>
      <c r="B23" s="420" t="s">
        <v>13324</v>
      </c>
      <c r="C23" s="422">
        <v>2000.0</v>
      </c>
      <c r="D23" s="497">
        <v>36836.0</v>
      </c>
      <c r="E23" s="420" t="s">
        <v>13325</v>
      </c>
      <c r="F23" s="420" t="s">
        <v>13266</v>
      </c>
      <c r="G23" s="420" t="s">
        <v>547</v>
      </c>
      <c r="H23" s="420" t="s">
        <v>13267</v>
      </c>
      <c r="I23" s="497">
        <v>37435.0</v>
      </c>
      <c r="J23" s="422">
        <v>6.0</v>
      </c>
      <c r="K23" s="637" t="s">
        <v>238</v>
      </c>
      <c r="L23" s="420" t="s">
        <v>256</v>
      </c>
      <c r="M23" s="316">
        <f t="shared" si="1"/>
        <v>599</v>
      </c>
      <c r="N23" s="198"/>
      <c r="O23" s="334" t="s">
        <v>13326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2302.0</v>
      </c>
      <c r="B24" s="426" t="s">
        <v>13327</v>
      </c>
      <c r="C24" s="428">
        <v>1999.0</v>
      </c>
      <c r="D24" s="500">
        <v>36188.0</v>
      </c>
      <c r="E24" s="426" t="s">
        <v>13328</v>
      </c>
      <c r="F24" s="426" t="s">
        <v>44</v>
      </c>
      <c r="G24" s="426" t="s">
        <v>270</v>
      </c>
      <c r="H24" s="426" t="s">
        <v>7907</v>
      </c>
      <c r="I24" s="500">
        <v>37446.0</v>
      </c>
      <c r="J24" s="428">
        <v>7.0</v>
      </c>
      <c r="K24" s="636" t="s">
        <v>244</v>
      </c>
      <c r="L24" s="428" t="s">
        <v>258</v>
      </c>
      <c r="M24" s="319">
        <f t="shared" si="1"/>
        <v>1258</v>
      </c>
      <c r="N24" s="198"/>
      <c r="O24" s="336" t="s">
        <v>13329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2402.0</v>
      </c>
      <c r="B25" s="420" t="s">
        <v>13330</v>
      </c>
      <c r="C25" s="422">
        <v>2000.0</v>
      </c>
      <c r="D25" s="497">
        <v>36886.0</v>
      </c>
      <c r="E25" s="420" t="s">
        <v>13331</v>
      </c>
      <c r="F25" s="420" t="s">
        <v>12915</v>
      </c>
      <c r="G25" s="420" t="s">
        <v>650</v>
      </c>
      <c r="H25" s="420" t="s">
        <v>158</v>
      </c>
      <c r="I25" s="497">
        <v>37455.0</v>
      </c>
      <c r="J25" s="422">
        <v>7.0</v>
      </c>
      <c r="K25" s="637" t="s">
        <v>238</v>
      </c>
      <c r="L25" s="420" t="s">
        <v>254</v>
      </c>
      <c r="M25" s="316">
        <f t="shared" si="1"/>
        <v>569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2502.0</v>
      </c>
      <c r="B26" s="426" t="s">
        <v>13332</v>
      </c>
      <c r="C26" s="428">
        <v>2000.0</v>
      </c>
      <c r="D26" s="500">
        <v>36805.0</v>
      </c>
      <c r="E26" s="426" t="s">
        <v>13333</v>
      </c>
      <c r="F26" s="426" t="s">
        <v>963</v>
      </c>
      <c r="G26" s="426" t="s">
        <v>650</v>
      </c>
      <c r="H26" s="426" t="s">
        <v>50</v>
      </c>
      <c r="I26" s="500">
        <v>37455.0</v>
      </c>
      <c r="J26" s="428">
        <v>7.0</v>
      </c>
      <c r="K26" s="636" t="s">
        <v>244</v>
      </c>
      <c r="L26" s="428" t="s">
        <v>258</v>
      </c>
      <c r="M26" s="319">
        <f t="shared" si="1"/>
        <v>650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2602.0</v>
      </c>
      <c r="B27" s="420" t="s">
        <v>13334</v>
      </c>
      <c r="C27" s="422">
        <v>1991.0</v>
      </c>
      <c r="D27" s="497">
        <v>33272.0</v>
      </c>
      <c r="E27" s="420" t="s">
        <v>13335</v>
      </c>
      <c r="F27" s="420" t="s">
        <v>13336</v>
      </c>
      <c r="G27" s="420" t="s">
        <v>547</v>
      </c>
      <c r="H27" s="420" t="s">
        <v>13064</v>
      </c>
      <c r="I27" s="497">
        <v>37462.0</v>
      </c>
      <c r="J27" s="422">
        <v>7.0</v>
      </c>
      <c r="K27" s="636" t="s">
        <v>244</v>
      </c>
      <c r="L27" s="420" t="s">
        <v>258</v>
      </c>
      <c r="M27" s="316">
        <f t="shared" si="1"/>
        <v>4190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2702.0</v>
      </c>
      <c r="B28" s="426" t="s">
        <v>13337</v>
      </c>
      <c r="C28" s="428">
        <v>1999.0</v>
      </c>
      <c r="D28" s="500">
        <v>36512.0</v>
      </c>
      <c r="E28" s="426" t="s">
        <v>13338</v>
      </c>
      <c r="F28" s="426" t="s">
        <v>13339</v>
      </c>
      <c r="G28" s="426" t="s">
        <v>547</v>
      </c>
      <c r="H28" s="426" t="s">
        <v>13267</v>
      </c>
      <c r="I28" s="500">
        <v>37468.0</v>
      </c>
      <c r="J28" s="428">
        <v>7.0</v>
      </c>
      <c r="K28" s="635" t="s">
        <v>228</v>
      </c>
      <c r="L28" s="428" t="s">
        <v>256</v>
      </c>
      <c r="M28" s="319">
        <f t="shared" si="1"/>
        <v>956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2802.0</v>
      </c>
      <c r="B29" s="420" t="s">
        <v>13340</v>
      </c>
      <c r="C29" s="422">
        <v>1990.0</v>
      </c>
      <c r="D29" s="497">
        <v>33227.0</v>
      </c>
      <c r="E29" s="420" t="s">
        <v>13341</v>
      </c>
      <c r="F29" s="420" t="s">
        <v>13342</v>
      </c>
      <c r="G29" s="420" t="s">
        <v>650</v>
      </c>
      <c r="H29" s="420" t="s">
        <v>13343</v>
      </c>
      <c r="I29" s="497">
        <v>37468.0</v>
      </c>
      <c r="J29" s="422">
        <v>7.0</v>
      </c>
      <c r="K29" s="637" t="s">
        <v>238</v>
      </c>
      <c r="L29" s="420" t="s">
        <v>256</v>
      </c>
      <c r="M29" s="316">
        <f t="shared" si="1"/>
        <v>4241</v>
      </c>
      <c r="N29" s="198"/>
      <c r="O29" s="322">
        <v>1990.0</v>
      </c>
      <c r="P29" s="346">
        <f>COUNTIF($C$2:$C$503,"1990")</f>
        <v>1</v>
      </c>
      <c r="Q29" s="113"/>
      <c r="R29" s="114"/>
      <c r="S29" s="343">
        <f>P29/P42</f>
        <v>0.01886792453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2902.0</v>
      </c>
      <c r="B30" s="426" t="s">
        <v>13344</v>
      </c>
      <c r="C30" s="428">
        <v>1997.0</v>
      </c>
      <c r="D30" s="500">
        <v>35782.0</v>
      </c>
      <c r="E30" s="426" t="s">
        <v>13345</v>
      </c>
      <c r="F30" s="426" t="s">
        <v>13346</v>
      </c>
      <c r="G30" s="426" t="s">
        <v>650</v>
      </c>
      <c r="H30" s="426" t="s">
        <v>651</v>
      </c>
      <c r="I30" s="500">
        <v>37468.0</v>
      </c>
      <c r="J30" s="428">
        <v>7.0</v>
      </c>
      <c r="K30" s="635" t="s">
        <v>228</v>
      </c>
      <c r="L30" s="428" t="s">
        <v>258</v>
      </c>
      <c r="M30" s="319">
        <f t="shared" si="1"/>
        <v>1686</v>
      </c>
      <c r="N30" s="198"/>
      <c r="O30" s="321">
        <v>1991.0</v>
      </c>
      <c r="P30" s="344">
        <f>COUNTIF($C$2:$C$503,"1991")</f>
        <v>1</v>
      </c>
      <c r="Q30" s="113"/>
      <c r="R30" s="114"/>
      <c r="S30" s="345">
        <f>P30/P42</f>
        <v>0.01886792453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3002.0</v>
      </c>
      <c r="B31" s="420" t="s">
        <v>13347</v>
      </c>
      <c r="C31" s="422">
        <v>1994.0</v>
      </c>
      <c r="D31" s="497">
        <v>34522.0</v>
      </c>
      <c r="E31" s="420" t="s">
        <v>13348</v>
      </c>
      <c r="F31" s="420" t="s">
        <v>1255</v>
      </c>
      <c r="G31" s="420" t="s">
        <v>650</v>
      </c>
      <c r="H31" s="420" t="s">
        <v>3788</v>
      </c>
      <c r="I31" s="497">
        <v>37469.0</v>
      </c>
      <c r="J31" s="422">
        <v>8.0</v>
      </c>
      <c r="K31" s="637" t="s">
        <v>238</v>
      </c>
      <c r="L31" s="420" t="s">
        <v>256</v>
      </c>
      <c r="M31" s="316">
        <f t="shared" si="1"/>
        <v>2947</v>
      </c>
      <c r="N31" s="198"/>
      <c r="O31" s="322">
        <v>1992.0</v>
      </c>
      <c r="P31" s="346">
        <f>COUNTIF($C$2:$C$503,"1992")</f>
        <v>0</v>
      </c>
      <c r="Q31" s="113"/>
      <c r="R31" s="114"/>
      <c r="S31" s="343">
        <f>P31/P42</f>
        <v>0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3102.0</v>
      </c>
      <c r="B32" s="426" t="s">
        <v>13349</v>
      </c>
      <c r="C32" s="428">
        <v>2000.0</v>
      </c>
      <c r="D32" s="500">
        <v>36703.0</v>
      </c>
      <c r="E32" s="426" t="s">
        <v>13350</v>
      </c>
      <c r="F32" s="426" t="s">
        <v>11372</v>
      </c>
      <c r="G32" s="426" t="s">
        <v>565</v>
      </c>
      <c r="H32" s="426" t="s">
        <v>6534</v>
      </c>
      <c r="I32" s="500">
        <v>37474.0</v>
      </c>
      <c r="J32" s="428">
        <v>8.0</v>
      </c>
      <c r="K32" s="636" t="s">
        <v>244</v>
      </c>
      <c r="L32" s="428" t="s">
        <v>260</v>
      </c>
      <c r="M32" s="319">
        <f t="shared" si="1"/>
        <v>771</v>
      </c>
      <c r="N32" s="198"/>
      <c r="O32" s="321">
        <v>1993.0</v>
      </c>
      <c r="P32" s="344">
        <f>COUNTIF($C$2:$C$503,"1993")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3202.0</v>
      </c>
      <c r="B33" s="420" t="s">
        <v>13351</v>
      </c>
      <c r="C33" s="422">
        <v>1999.0</v>
      </c>
      <c r="D33" s="497">
        <v>36525.0</v>
      </c>
      <c r="E33" s="420" t="s">
        <v>13352</v>
      </c>
      <c r="F33" s="420" t="s">
        <v>11332</v>
      </c>
      <c r="G33" s="420" t="s">
        <v>650</v>
      </c>
      <c r="H33" s="420" t="s">
        <v>13215</v>
      </c>
      <c r="I33" s="497">
        <v>37476.0</v>
      </c>
      <c r="J33" s="422">
        <v>8.0</v>
      </c>
      <c r="K33" s="635" t="s">
        <v>228</v>
      </c>
      <c r="L33" s="420" t="s">
        <v>258</v>
      </c>
      <c r="M33" s="316">
        <f t="shared" si="1"/>
        <v>951</v>
      </c>
      <c r="N33" s="198"/>
      <c r="O33" s="322">
        <v>1994.0</v>
      </c>
      <c r="P33" s="346">
        <f>COUNTIF($C$2:$C$503,"1994")</f>
        <v>4</v>
      </c>
      <c r="Q33" s="113"/>
      <c r="R33" s="114"/>
      <c r="S33" s="343">
        <f>P33/P42</f>
        <v>0.07547169811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3302.0</v>
      </c>
      <c r="B34" s="426" t="s">
        <v>13353</v>
      </c>
      <c r="C34" s="428">
        <v>1994.0</v>
      </c>
      <c r="D34" s="500">
        <v>34662.0</v>
      </c>
      <c r="E34" s="426" t="s">
        <v>13354</v>
      </c>
      <c r="F34" s="426" t="s">
        <v>44</v>
      </c>
      <c r="G34" s="426" t="s">
        <v>270</v>
      </c>
      <c r="H34" s="426" t="s">
        <v>9672</v>
      </c>
      <c r="I34" s="500">
        <v>37484.0</v>
      </c>
      <c r="J34" s="428">
        <v>8.0</v>
      </c>
      <c r="K34" s="638" t="s">
        <v>234</v>
      </c>
      <c r="L34" s="428" t="s">
        <v>256</v>
      </c>
      <c r="M34" s="319">
        <f t="shared" si="1"/>
        <v>2822</v>
      </c>
      <c r="N34" s="198"/>
      <c r="O34" s="321">
        <v>1995.0</v>
      </c>
      <c r="P34" s="344">
        <f>COUNTIF($C$2:$C$503,"1995")</f>
        <v>0</v>
      </c>
      <c r="Q34" s="113"/>
      <c r="R34" s="114"/>
      <c r="S34" s="345">
        <f>P34/P42</f>
        <v>0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3402.0</v>
      </c>
      <c r="B35" s="420" t="s">
        <v>13355</v>
      </c>
      <c r="C35" s="422">
        <v>2000.0</v>
      </c>
      <c r="D35" s="497">
        <v>36866.0</v>
      </c>
      <c r="E35" s="420" t="s">
        <v>13356</v>
      </c>
      <c r="F35" s="420" t="s">
        <v>2260</v>
      </c>
      <c r="G35" s="420" t="s">
        <v>270</v>
      </c>
      <c r="H35" s="420" t="s">
        <v>13215</v>
      </c>
      <c r="I35" s="497">
        <v>37489.0</v>
      </c>
      <c r="J35" s="422">
        <v>8.0</v>
      </c>
      <c r="K35" s="637" t="s">
        <v>238</v>
      </c>
      <c r="L35" s="420" t="s">
        <v>256</v>
      </c>
      <c r="M35" s="316">
        <f t="shared" si="1"/>
        <v>623</v>
      </c>
      <c r="N35" s="198"/>
      <c r="O35" s="322">
        <v>1996.0</v>
      </c>
      <c r="P35" s="346">
        <f>COUNTIF($C$2:$C$503,"1996")</f>
        <v>0</v>
      </c>
      <c r="Q35" s="113"/>
      <c r="R35" s="114"/>
      <c r="S35" s="343">
        <f>P35/P42</f>
        <v>0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3502.0</v>
      </c>
      <c r="B36" s="426" t="s">
        <v>13357</v>
      </c>
      <c r="C36" s="428">
        <v>1998.0</v>
      </c>
      <c r="D36" s="500">
        <v>36132.0</v>
      </c>
      <c r="E36" s="426" t="s">
        <v>13358</v>
      </c>
      <c r="F36" s="426" t="s">
        <v>13359</v>
      </c>
      <c r="G36" s="426" t="s">
        <v>650</v>
      </c>
      <c r="H36" s="426" t="s">
        <v>651</v>
      </c>
      <c r="I36" s="500">
        <v>37496.0</v>
      </c>
      <c r="J36" s="428">
        <v>8.0</v>
      </c>
      <c r="K36" s="635" t="s">
        <v>228</v>
      </c>
      <c r="L36" s="428" t="s">
        <v>256</v>
      </c>
      <c r="M36" s="319">
        <f t="shared" si="1"/>
        <v>1364</v>
      </c>
      <c r="N36" s="198"/>
      <c r="O36" s="321">
        <v>1997.0</v>
      </c>
      <c r="P36" s="344">
        <f>COUNTIF($C$2:$C$503,"1997")</f>
        <v>1</v>
      </c>
      <c r="Q36" s="113"/>
      <c r="R36" s="114"/>
      <c r="S36" s="345">
        <f>P36/P42</f>
        <v>0.01886792453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3602.0</v>
      </c>
      <c r="B37" s="420" t="s">
        <v>13360</v>
      </c>
      <c r="C37" s="422">
        <v>1999.0</v>
      </c>
      <c r="D37" s="497">
        <v>36426.0</v>
      </c>
      <c r="E37" s="420" t="s">
        <v>13361</v>
      </c>
      <c r="F37" s="420" t="s">
        <v>2260</v>
      </c>
      <c r="G37" s="420" t="s">
        <v>650</v>
      </c>
      <c r="H37" s="420" t="s">
        <v>13215</v>
      </c>
      <c r="I37" s="497">
        <v>37504.0</v>
      </c>
      <c r="J37" s="422">
        <v>9.0</v>
      </c>
      <c r="K37" s="635" t="s">
        <v>228</v>
      </c>
      <c r="L37" s="420" t="s">
        <v>256</v>
      </c>
      <c r="M37" s="316">
        <f t="shared" si="1"/>
        <v>1078</v>
      </c>
      <c r="N37" s="198"/>
      <c r="O37" s="322">
        <v>1998.0</v>
      </c>
      <c r="P37" s="346">
        <f>COUNTIF($C$2:$C$503,"1998")</f>
        <v>5</v>
      </c>
      <c r="Q37" s="113"/>
      <c r="R37" s="114"/>
      <c r="S37" s="343">
        <f>P37/P42</f>
        <v>0.09433962264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3702.0</v>
      </c>
      <c r="B38" s="426" t="s">
        <v>13362</v>
      </c>
      <c r="C38" s="428">
        <v>2000.0</v>
      </c>
      <c r="D38" s="500">
        <v>36644.0</v>
      </c>
      <c r="E38" s="426" t="s">
        <v>13363</v>
      </c>
      <c r="F38" s="426" t="s">
        <v>963</v>
      </c>
      <c r="G38" s="426" t="s">
        <v>270</v>
      </c>
      <c r="H38" s="426" t="s">
        <v>3788</v>
      </c>
      <c r="I38" s="500">
        <v>37510.0</v>
      </c>
      <c r="J38" s="428">
        <v>9.0</v>
      </c>
      <c r="K38" s="636" t="s">
        <v>244</v>
      </c>
      <c r="L38" s="428" t="s">
        <v>258</v>
      </c>
      <c r="M38" s="319">
        <f t="shared" si="1"/>
        <v>866</v>
      </c>
      <c r="N38" s="198"/>
      <c r="O38" s="321">
        <v>1999.0</v>
      </c>
      <c r="P38" s="344">
        <f>COUNTIF($C$2:$C$503,"1999")</f>
        <v>12</v>
      </c>
      <c r="Q38" s="113"/>
      <c r="R38" s="114"/>
      <c r="S38" s="345">
        <f>P38/P42</f>
        <v>0.2264150943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3802.0</v>
      </c>
      <c r="B39" s="420" t="s">
        <v>13364</v>
      </c>
      <c r="C39" s="422">
        <v>2000.0</v>
      </c>
      <c r="D39" s="497">
        <v>36714.0</v>
      </c>
      <c r="E39" s="420" t="s">
        <v>13365</v>
      </c>
      <c r="F39" s="420" t="s">
        <v>12751</v>
      </c>
      <c r="G39" s="420" t="s">
        <v>650</v>
      </c>
      <c r="H39" s="420" t="s">
        <v>50</v>
      </c>
      <c r="I39" s="497">
        <v>37515.0</v>
      </c>
      <c r="J39" s="422">
        <v>9.0</v>
      </c>
      <c r="K39" s="637" t="s">
        <v>238</v>
      </c>
      <c r="L39" s="420" t="s">
        <v>258</v>
      </c>
      <c r="M39" s="316">
        <f t="shared" si="1"/>
        <v>801</v>
      </c>
      <c r="N39" s="198"/>
      <c r="O39" s="322">
        <v>2000.0</v>
      </c>
      <c r="P39" s="346">
        <f>COUNTIF($C$2:$C$503,"2000")</f>
        <v>24</v>
      </c>
      <c r="Q39" s="113"/>
      <c r="R39" s="114"/>
      <c r="S39" s="343">
        <f>P39/P42</f>
        <v>0.4528301887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3902.0</v>
      </c>
      <c r="B40" s="426" t="s">
        <v>13366</v>
      </c>
      <c r="C40" s="428">
        <v>2001.0</v>
      </c>
      <c r="D40" s="500">
        <v>36938.0</v>
      </c>
      <c r="E40" s="426" t="s">
        <v>13367</v>
      </c>
      <c r="F40" s="426" t="s">
        <v>13368</v>
      </c>
      <c r="G40" s="426" t="s">
        <v>547</v>
      </c>
      <c r="H40" s="426" t="s">
        <v>18</v>
      </c>
      <c r="I40" s="500">
        <v>37529.0</v>
      </c>
      <c r="J40" s="428">
        <v>9.0</v>
      </c>
      <c r="K40" s="638" t="s">
        <v>234</v>
      </c>
      <c r="L40" s="428" t="s">
        <v>258</v>
      </c>
      <c r="M40" s="319">
        <f t="shared" si="1"/>
        <v>591</v>
      </c>
      <c r="N40" s="198"/>
      <c r="O40" s="321">
        <v>2001.0</v>
      </c>
      <c r="P40" s="344">
        <f>COUNTIF($C$2:$C$503,"2001")</f>
        <v>4</v>
      </c>
      <c r="Q40" s="113"/>
      <c r="R40" s="114"/>
      <c r="S40" s="345">
        <f>P40/P42</f>
        <v>0.07547169811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4002.0</v>
      </c>
      <c r="B41" s="420" t="s">
        <v>13369</v>
      </c>
      <c r="C41" s="422">
        <v>2000.0</v>
      </c>
      <c r="D41" s="497">
        <v>36882.0</v>
      </c>
      <c r="E41" s="420" t="s">
        <v>13370</v>
      </c>
      <c r="F41" s="420" t="s">
        <v>947</v>
      </c>
      <c r="G41" s="420" t="s">
        <v>270</v>
      </c>
      <c r="H41" s="420" t="s">
        <v>11527</v>
      </c>
      <c r="I41" s="497">
        <v>37552.0</v>
      </c>
      <c r="J41" s="422">
        <v>10.0</v>
      </c>
      <c r="K41" s="637" t="s">
        <v>238</v>
      </c>
      <c r="L41" s="420" t="s">
        <v>258</v>
      </c>
      <c r="M41" s="316">
        <f t="shared" si="1"/>
        <v>670</v>
      </c>
      <c r="N41" s="198"/>
      <c r="O41" s="322">
        <v>2002.0</v>
      </c>
      <c r="P41" s="346">
        <f>COUNTIF($C$2:$C$503,"2002")</f>
        <v>1</v>
      </c>
      <c r="Q41" s="113"/>
      <c r="R41" s="114"/>
      <c r="S41" s="343">
        <f>P41/P42</f>
        <v>0.01886792453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4102.0</v>
      </c>
      <c r="B42" s="426" t="s">
        <v>13371</v>
      </c>
      <c r="C42" s="428">
        <v>2000.0</v>
      </c>
      <c r="D42" s="500">
        <v>36742.0</v>
      </c>
      <c r="E42" s="426" t="s">
        <v>13372</v>
      </c>
      <c r="F42" s="426" t="s">
        <v>963</v>
      </c>
      <c r="G42" s="426" t="s">
        <v>270</v>
      </c>
      <c r="H42" s="426" t="s">
        <v>5016</v>
      </c>
      <c r="I42" s="500">
        <v>37553.0</v>
      </c>
      <c r="J42" s="428">
        <v>10.0</v>
      </c>
      <c r="K42" s="636" t="s">
        <v>244</v>
      </c>
      <c r="L42" s="428" t="s">
        <v>258</v>
      </c>
      <c r="M42" s="319">
        <f t="shared" si="1"/>
        <v>811</v>
      </c>
      <c r="N42" s="198"/>
      <c r="O42" s="348" t="s">
        <v>179</v>
      </c>
      <c r="P42" s="349">
        <f>SUM(P29:R41)</f>
        <v>53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4202.0</v>
      </c>
      <c r="B43" s="420" t="s">
        <v>13373</v>
      </c>
      <c r="C43" s="422">
        <v>1994.0</v>
      </c>
      <c r="D43" s="497">
        <v>34403.0</v>
      </c>
      <c r="E43" s="420" t="s">
        <v>13374</v>
      </c>
      <c r="F43" s="420" t="s">
        <v>1203</v>
      </c>
      <c r="G43" s="420" t="s">
        <v>270</v>
      </c>
      <c r="H43" s="420" t="s">
        <v>11527</v>
      </c>
      <c r="I43" s="497">
        <v>37560.0</v>
      </c>
      <c r="J43" s="422">
        <v>10.0</v>
      </c>
      <c r="K43" s="637" t="s">
        <v>238</v>
      </c>
      <c r="L43" s="420" t="s">
        <v>256</v>
      </c>
      <c r="M43" s="316">
        <f t="shared" si="1"/>
        <v>3157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4302.0</v>
      </c>
      <c r="B44" s="426" t="s">
        <v>13375</v>
      </c>
      <c r="C44" s="428">
        <v>2001.0</v>
      </c>
      <c r="D44" s="500">
        <v>36937.0</v>
      </c>
      <c r="E44" s="426" t="s">
        <v>13376</v>
      </c>
      <c r="F44" s="426" t="s">
        <v>963</v>
      </c>
      <c r="G44" s="426" t="s">
        <v>270</v>
      </c>
      <c r="H44" s="426" t="s">
        <v>929</v>
      </c>
      <c r="I44" s="500">
        <v>37561.0</v>
      </c>
      <c r="J44" s="428">
        <v>11.0</v>
      </c>
      <c r="K44" s="636" t="s">
        <v>244</v>
      </c>
      <c r="L44" s="428" t="s">
        <v>258</v>
      </c>
      <c r="M44" s="319">
        <f t="shared" si="1"/>
        <v>624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4402.0</v>
      </c>
      <c r="B45" s="420" t="s">
        <v>13377</v>
      </c>
      <c r="C45" s="422">
        <v>1998.0</v>
      </c>
      <c r="D45" s="497">
        <v>36025.0</v>
      </c>
      <c r="E45" s="420" t="s">
        <v>13378</v>
      </c>
      <c r="F45" s="420" t="s">
        <v>11692</v>
      </c>
      <c r="G45" s="420" t="s">
        <v>270</v>
      </c>
      <c r="H45" s="420" t="s">
        <v>13379</v>
      </c>
      <c r="I45" s="497">
        <v>37567.0</v>
      </c>
      <c r="J45" s="422">
        <v>11.0</v>
      </c>
      <c r="K45" s="635" t="s">
        <v>228</v>
      </c>
      <c r="L45" s="420" t="s">
        <v>256</v>
      </c>
      <c r="M45" s="316">
        <f t="shared" si="1"/>
        <v>1542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4502.0</v>
      </c>
      <c r="B46" s="426" t="s">
        <v>13380</v>
      </c>
      <c r="C46" s="428">
        <v>2001.0</v>
      </c>
      <c r="D46" s="500">
        <v>36993.0</v>
      </c>
      <c r="E46" s="426" t="s">
        <v>13381</v>
      </c>
      <c r="F46" s="426" t="s">
        <v>3705</v>
      </c>
      <c r="G46" s="426" t="s">
        <v>270</v>
      </c>
      <c r="H46" s="426" t="s">
        <v>7403</v>
      </c>
      <c r="I46" s="500">
        <v>37573.0</v>
      </c>
      <c r="J46" s="428">
        <v>11.0</v>
      </c>
      <c r="K46" s="637" t="s">
        <v>238</v>
      </c>
      <c r="L46" s="428" t="s">
        <v>258</v>
      </c>
      <c r="M46" s="319">
        <f t="shared" si="1"/>
        <v>580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4602.0</v>
      </c>
      <c r="B47" s="420" t="s">
        <v>13382</v>
      </c>
      <c r="C47" s="422">
        <v>2000.0</v>
      </c>
      <c r="D47" s="497">
        <v>36882.0</v>
      </c>
      <c r="E47" s="420" t="s">
        <v>13383</v>
      </c>
      <c r="F47" s="420" t="s">
        <v>947</v>
      </c>
      <c r="G47" s="420" t="s">
        <v>650</v>
      </c>
      <c r="H47" s="420" t="s">
        <v>11527</v>
      </c>
      <c r="I47" s="497">
        <v>37589.0</v>
      </c>
      <c r="J47" s="422">
        <v>11.0</v>
      </c>
      <c r="K47" s="637" t="s">
        <v>238</v>
      </c>
      <c r="L47" s="420" t="s">
        <v>258</v>
      </c>
      <c r="M47" s="316">
        <f t="shared" si="1"/>
        <v>707</v>
      </c>
      <c r="N47" s="198"/>
      <c r="O47" s="353" t="s">
        <v>195</v>
      </c>
      <c r="P47" s="342">
        <f>COUNTIF($J$2:$J$476,"1")</f>
        <v>2</v>
      </c>
      <c r="Q47" s="332"/>
      <c r="R47" s="333"/>
      <c r="S47" s="354">
        <f>(P47/P59)</f>
        <v>0.03773584906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4702.0</v>
      </c>
      <c r="B48" s="426" t="s">
        <v>13384</v>
      </c>
      <c r="C48" s="428">
        <v>1999.0</v>
      </c>
      <c r="D48" s="500">
        <v>36525.0</v>
      </c>
      <c r="E48" s="426" t="s">
        <v>13385</v>
      </c>
      <c r="F48" s="426" t="s">
        <v>13082</v>
      </c>
      <c r="G48" s="426" t="s">
        <v>270</v>
      </c>
      <c r="H48" s="426" t="s">
        <v>9672</v>
      </c>
      <c r="I48" s="500">
        <v>37582.0</v>
      </c>
      <c r="J48" s="428">
        <v>11.0</v>
      </c>
      <c r="K48" s="635" t="s">
        <v>228</v>
      </c>
      <c r="L48" s="428" t="s">
        <v>256</v>
      </c>
      <c r="M48" s="319">
        <f t="shared" si="1"/>
        <v>1057</v>
      </c>
      <c r="N48" s="198"/>
      <c r="O48" s="321" t="s">
        <v>197</v>
      </c>
      <c r="P48" s="344">
        <f>COUNTIF($J$2:$J$476,"2")</f>
        <v>3</v>
      </c>
      <c r="Q48" s="113"/>
      <c r="R48" s="114"/>
      <c r="S48" s="345">
        <f>(P48/P59)</f>
        <v>0.05660377358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4802.0</v>
      </c>
      <c r="B49" s="420" t="s">
        <v>13386</v>
      </c>
      <c r="C49" s="422">
        <v>2001.0</v>
      </c>
      <c r="D49" s="497">
        <v>36993.0</v>
      </c>
      <c r="E49" s="420" t="s">
        <v>13387</v>
      </c>
      <c r="F49" s="420" t="s">
        <v>13191</v>
      </c>
      <c r="G49" s="420" t="s">
        <v>270</v>
      </c>
      <c r="H49" s="420" t="s">
        <v>7403</v>
      </c>
      <c r="I49" s="497">
        <v>37583.0</v>
      </c>
      <c r="J49" s="422">
        <v>11.0</v>
      </c>
      <c r="K49" s="638" t="s">
        <v>234</v>
      </c>
      <c r="L49" s="420" t="s">
        <v>258</v>
      </c>
      <c r="M49" s="316">
        <f t="shared" si="1"/>
        <v>590</v>
      </c>
      <c r="N49" s="198"/>
      <c r="O49" s="322" t="s">
        <v>199</v>
      </c>
      <c r="P49" s="346">
        <f>COUNTIF($J$2:$J$476,"3")</f>
        <v>4</v>
      </c>
      <c r="Q49" s="113"/>
      <c r="R49" s="114"/>
      <c r="S49" s="343">
        <f>(P49/P59)</f>
        <v>0.07547169811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4902.0</v>
      </c>
      <c r="B50" s="426" t="s">
        <v>13388</v>
      </c>
      <c r="C50" s="428">
        <v>2000.0</v>
      </c>
      <c r="D50" s="500">
        <v>36734.0</v>
      </c>
      <c r="E50" s="426" t="s">
        <v>13389</v>
      </c>
      <c r="F50" s="622" t="s">
        <v>2614</v>
      </c>
      <c r="G50" s="426" t="s">
        <v>565</v>
      </c>
      <c r="H50" s="426" t="s">
        <v>13390</v>
      </c>
      <c r="I50" s="500">
        <v>37585.0</v>
      </c>
      <c r="J50" s="428">
        <v>11.0</v>
      </c>
      <c r="K50" s="638" t="s">
        <v>234</v>
      </c>
      <c r="L50" s="428" t="s">
        <v>260</v>
      </c>
      <c r="M50" s="319">
        <f t="shared" si="1"/>
        <v>851</v>
      </c>
      <c r="N50" s="198"/>
      <c r="O50" s="321" t="s">
        <v>201</v>
      </c>
      <c r="P50" s="344">
        <f>COUNTIF($J$2:$J$476,"4")</f>
        <v>4</v>
      </c>
      <c r="Q50" s="113"/>
      <c r="R50" s="114"/>
      <c r="S50" s="345">
        <f>(P50/P59)</f>
        <v>0.07547169811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5002.0</v>
      </c>
      <c r="B51" s="420" t="s">
        <v>13391</v>
      </c>
      <c r="C51" s="422">
        <v>1999.0</v>
      </c>
      <c r="D51" s="497">
        <v>36188.0</v>
      </c>
      <c r="E51" s="420" t="s">
        <v>13392</v>
      </c>
      <c r="F51" s="420" t="s">
        <v>44</v>
      </c>
      <c r="G51" s="420" t="s">
        <v>650</v>
      </c>
      <c r="H51" s="420" t="s">
        <v>7907</v>
      </c>
      <c r="I51" s="497">
        <v>37595.0</v>
      </c>
      <c r="J51" s="422">
        <v>12.0</v>
      </c>
      <c r="K51" s="635" t="s">
        <v>228</v>
      </c>
      <c r="L51" s="420" t="s">
        <v>258</v>
      </c>
      <c r="M51" s="316">
        <f t="shared" si="1"/>
        <v>1407</v>
      </c>
      <c r="N51" s="198"/>
      <c r="O51" s="322" t="s">
        <v>203</v>
      </c>
      <c r="P51" s="346">
        <f>COUNTIF($J$2:$J$476,"5")</f>
        <v>5</v>
      </c>
      <c r="Q51" s="113"/>
      <c r="R51" s="114"/>
      <c r="S51" s="343">
        <f>(P51/P59)</f>
        <v>0.09433962264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5102.0</v>
      </c>
      <c r="B52" s="426" t="s">
        <v>13393</v>
      </c>
      <c r="C52" s="428">
        <v>2000.0</v>
      </c>
      <c r="D52" s="500">
        <v>36829.0</v>
      </c>
      <c r="E52" s="426" t="s">
        <v>13394</v>
      </c>
      <c r="F52" s="426" t="s">
        <v>2831</v>
      </c>
      <c r="G52" s="426" t="s">
        <v>565</v>
      </c>
      <c r="H52" s="426" t="s">
        <v>13155</v>
      </c>
      <c r="I52" s="500">
        <v>37603.0</v>
      </c>
      <c r="J52" s="428">
        <v>12.0</v>
      </c>
      <c r="K52" s="638" t="s">
        <v>234</v>
      </c>
      <c r="L52" s="428" t="s">
        <v>260</v>
      </c>
      <c r="M52" s="319">
        <f t="shared" si="1"/>
        <v>774</v>
      </c>
      <c r="N52" s="198"/>
      <c r="O52" s="321" t="s">
        <v>205</v>
      </c>
      <c r="P52" s="344">
        <f>COUNTIF($J$2:$J$476,"6")</f>
        <v>4</v>
      </c>
      <c r="Q52" s="113"/>
      <c r="R52" s="114"/>
      <c r="S52" s="345">
        <f>(P52/P59)</f>
        <v>0.07547169811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5202.0</v>
      </c>
      <c r="B53" s="420" t="s">
        <v>13395</v>
      </c>
      <c r="C53" s="422">
        <v>2002.0</v>
      </c>
      <c r="D53" s="497">
        <v>37469.0</v>
      </c>
      <c r="E53" s="420" t="s">
        <v>13396</v>
      </c>
      <c r="F53" s="420" t="s">
        <v>13397</v>
      </c>
      <c r="G53" s="420" t="s">
        <v>650</v>
      </c>
      <c r="H53" s="420" t="s">
        <v>9672</v>
      </c>
      <c r="I53" s="497">
        <v>37610.0</v>
      </c>
      <c r="J53" s="422">
        <v>12.0</v>
      </c>
      <c r="K53" s="638" t="s">
        <v>234</v>
      </c>
      <c r="L53" s="420" t="s">
        <v>256</v>
      </c>
      <c r="M53" s="316">
        <f t="shared" si="1"/>
        <v>141</v>
      </c>
      <c r="N53" s="198"/>
      <c r="O53" s="322" t="s">
        <v>207</v>
      </c>
      <c r="P53" s="346">
        <f>COUNTIF($J$2:$J$476,"7")</f>
        <v>7</v>
      </c>
      <c r="Q53" s="113"/>
      <c r="R53" s="114"/>
      <c r="S53" s="343">
        <f>(P53/P59)</f>
        <v>0.1320754717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5302.0</v>
      </c>
      <c r="B54" s="426" t="s">
        <v>13398</v>
      </c>
      <c r="C54" s="428">
        <v>1999.0</v>
      </c>
      <c r="D54" s="500">
        <v>36525.0</v>
      </c>
      <c r="E54" s="426" t="s">
        <v>13399</v>
      </c>
      <c r="F54" s="426" t="s">
        <v>2873</v>
      </c>
      <c r="G54" s="426" t="s">
        <v>650</v>
      </c>
      <c r="H54" s="426" t="s">
        <v>9672</v>
      </c>
      <c r="I54" s="500">
        <v>37618.0</v>
      </c>
      <c r="J54" s="428">
        <v>12.0</v>
      </c>
      <c r="K54" s="638" t="s">
        <v>234</v>
      </c>
      <c r="L54" s="428" t="s">
        <v>258</v>
      </c>
      <c r="M54" s="319">
        <f t="shared" si="1"/>
        <v>1093</v>
      </c>
      <c r="N54" s="198"/>
      <c r="O54" s="321" t="s">
        <v>209</v>
      </c>
      <c r="P54" s="344">
        <f>COUNTIF($J$2:$J$476,"8")</f>
        <v>6</v>
      </c>
      <c r="Q54" s="113"/>
      <c r="R54" s="114"/>
      <c r="S54" s="345">
        <f>(P54/P59)</f>
        <v>0.1132075472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613"/>
      <c r="B55" s="613"/>
      <c r="C55" s="613"/>
      <c r="D55" s="615"/>
      <c r="E55" s="613"/>
      <c r="F55" s="613"/>
      <c r="G55" s="613"/>
      <c r="H55" s="613"/>
      <c r="I55" s="615"/>
      <c r="J55" s="613"/>
      <c r="K55" s="613"/>
      <c r="L55" s="613"/>
      <c r="M55" s="613"/>
      <c r="N55" s="198"/>
      <c r="O55" s="322" t="s">
        <v>211</v>
      </c>
      <c r="P55" s="346">
        <f>COUNTIF($J$2:$J$476,"9")</f>
        <v>4</v>
      </c>
      <c r="Q55" s="113"/>
      <c r="R55" s="114"/>
      <c r="S55" s="343">
        <f>(P55/P59)</f>
        <v>0.07547169811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613"/>
      <c r="B56" s="613"/>
      <c r="C56" s="613"/>
      <c r="D56" s="615"/>
      <c r="E56" s="613"/>
      <c r="F56" s="613"/>
      <c r="G56" s="613"/>
      <c r="H56" s="613"/>
      <c r="I56" s="615"/>
      <c r="J56" s="613"/>
      <c r="K56" s="613"/>
      <c r="L56" s="613"/>
      <c r="M56" s="613"/>
      <c r="N56" s="198"/>
      <c r="O56" s="321" t="s">
        <v>213</v>
      </c>
      <c r="P56" s="344">
        <f>COUNTIF($J$2:$J$476,"10")</f>
        <v>3</v>
      </c>
      <c r="Q56" s="113"/>
      <c r="R56" s="114"/>
      <c r="S56" s="345">
        <f>(P56/P59)</f>
        <v>0.05660377358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613"/>
      <c r="B57" s="613"/>
      <c r="C57" s="613"/>
      <c r="D57" s="615"/>
      <c r="E57" s="613"/>
      <c r="F57" s="613"/>
      <c r="G57" s="613"/>
      <c r="H57" s="613"/>
      <c r="I57" s="615"/>
      <c r="J57" s="613"/>
      <c r="K57" s="613"/>
      <c r="L57" s="613"/>
      <c r="M57" s="613"/>
      <c r="N57" s="198"/>
      <c r="O57" s="322" t="s">
        <v>215</v>
      </c>
      <c r="P57" s="346">
        <f>COUNTIF($J$2:$J$476,"11")</f>
        <v>7</v>
      </c>
      <c r="Q57" s="113"/>
      <c r="R57" s="114"/>
      <c r="S57" s="343">
        <f>(P57/P59)</f>
        <v>0.1320754717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613"/>
      <c r="B58" s="613"/>
      <c r="C58" s="613"/>
      <c r="D58" s="615"/>
      <c r="E58" s="613"/>
      <c r="F58" s="613"/>
      <c r="G58" s="613"/>
      <c r="H58" s="613"/>
      <c r="I58" s="615"/>
      <c r="J58" s="613"/>
      <c r="K58" s="613"/>
      <c r="L58" s="613"/>
      <c r="M58" s="613"/>
      <c r="N58" s="198"/>
      <c r="O58" s="355" t="s">
        <v>217</v>
      </c>
      <c r="P58" s="344">
        <f>COUNTIF($J$2:$J$476,"12")</f>
        <v>4</v>
      </c>
      <c r="Q58" s="113"/>
      <c r="R58" s="114"/>
      <c r="S58" s="356">
        <f>(P58/P59)</f>
        <v>0.07547169811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613"/>
      <c r="B59" s="613"/>
      <c r="C59" s="613"/>
      <c r="D59" s="615"/>
      <c r="E59" s="613"/>
      <c r="F59" s="613"/>
      <c r="G59" s="613"/>
      <c r="H59" s="613"/>
      <c r="I59" s="615"/>
      <c r="J59" s="613"/>
      <c r="K59" s="613"/>
      <c r="L59" s="613"/>
      <c r="M59" s="613"/>
      <c r="N59" s="198"/>
      <c r="O59" s="348" t="s">
        <v>219</v>
      </c>
      <c r="P59" s="349">
        <f>SUM(P47:R58)</f>
        <v>53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613"/>
      <c r="B60" s="613"/>
      <c r="C60" s="613"/>
      <c r="D60" s="615"/>
      <c r="E60" s="613"/>
      <c r="F60" s="613"/>
      <c r="G60" s="613"/>
      <c r="H60" s="613"/>
      <c r="I60" s="615"/>
      <c r="J60" s="613"/>
      <c r="K60" s="613"/>
      <c r="L60" s="613"/>
      <c r="M60" s="613"/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613"/>
      <c r="B61" s="613"/>
      <c r="C61" s="613"/>
      <c r="D61" s="615"/>
      <c r="E61" s="613"/>
      <c r="F61" s="613"/>
      <c r="G61" s="613"/>
      <c r="H61" s="613"/>
      <c r="I61" s="615"/>
      <c r="J61" s="613"/>
      <c r="K61" s="613"/>
      <c r="L61" s="613"/>
      <c r="M61" s="613"/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613"/>
      <c r="B62" s="613"/>
      <c r="C62" s="613"/>
      <c r="D62" s="615"/>
      <c r="E62" s="613"/>
      <c r="F62" s="613"/>
      <c r="G62" s="613"/>
      <c r="H62" s="613"/>
      <c r="I62" s="615"/>
      <c r="J62" s="613"/>
      <c r="K62" s="613"/>
      <c r="L62" s="613"/>
      <c r="M62" s="613"/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613"/>
      <c r="B63" s="613"/>
      <c r="C63" s="613"/>
      <c r="D63" s="615"/>
      <c r="E63" s="613"/>
      <c r="F63" s="613"/>
      <c r="G63" s="613"/>
      <c r="H63" s="613"/>
      <c r="I63" s="615"/>
      <c r="J63" s="613"/>
      <c r="K63" s="613"/>
      <c r="L63" s="613"/>
      <c r="M63" s="613"/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613"/>
      <c r="B64" s="613"/>
      <c r="C64" s="613"/>
      <c r="D64" s="615"/>
      <c r="E64" s="613"/>
      <c r="F64" s="613"/>
      <c r="G64" s="613"/>
      <c r="H64" s="613"/>
      <c r="I64" s="615"/>
      <c r="J64" s="613"/>
      <c r="K64" s="613"/>
      <c r="L64" s="613"/>
      <c r="M64" s="613"/>
      <c r="N64" s="198"/>
      <c r="O64" s="522" t="s">
        <v>228</v>
      </c>
      <c r="P64" s="523"/>
      <c r="Q64" s="523"/>
      <c r="R64" s="524"/>
      <c r="S64" s="365">
        <f>COUNTIF($K$1:$K$494,"I - Extremamente tóxico")</f>
        <v>11</v>
      </c>
      <c r="T64" s="366">
        <f>(S64/S76)</f>
        <v>0.2075471698</v>
      </c>
      <c r="U64" s="198"/>
      <c r="V64" s="198"/>
      <c r="W64" s="198"/>
      <c r="X64" s="198"/>
      <c r="Y64" s="198"/>
      <c r="Z64" s="198"/>
    </row>
    <row r="65" ht="12.75" customHeight="1">
      <c r="A65" s="613"/>
      <c r="B65" s="613"/>
      <c r="C65" s="613"/>
      <c r="D65" s="615"/>
      <c r="E65" s="613"/>
      <c r="F65" s="613"/>
      <c r="G65" s="613"/>
      <c r="H65" s="613"/>
      <c r="I65" s="615"/>
      <c r="J65" s="613"/>
      <c r="K65" s="613"/>
      <c r="L65" s="613"/>
      <c r="M65" s="613"/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613"/>
      <c r="B66" s="613"/>
      <c r="C66" s="613"/>
      <c r="D66" s="615"/>
      <c r="E66" s="613"/>
      <c r="F66" s="613"/>
      <c r="G66" s="613"/>
      <c r="H66" s="613"/>
      <c r="I66" s="615"/>
      <c r="J66" s="613"/>
      <c r="K66" s="613"/>
      <c r="L66" s="613"/>
      <c r="M66" s="613"/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613"/>
      <c r="B67" s="613"/>
      <c r="C67" s="613"/>
      <c r="D67" s="615"/>
      <c r="E67" s="613"/>
      <c r="F67" s="613"/>
      <c r="G67" s="613"/>
      <c r="H67" s="613"/>
      <c r="I67" s="615"/>
      <c r="J67" s="613"/>
      <c r="K67" s="613"/>
      <c r="L67" s="613"/>
      <c r="M67" s="613"/>
      <c r="N67" s="198"/>
      <c r="O67" s="372" t="s">
        <v>234</v>
      </c>
      <c r="P67" s="368"/>
      <c r="Q67" s="368"/>
      <c r="R67" s="369"/>
      <c r="S67" s="373">
        <f>COUNTIF($K$2:$K$476,"II - Altamente tóxico")</f>
        <v>9</v>
      </c>
      <c r="T67" s="374">
        <f>(S67/S76)</f>
        <v>0.1698113208</v>
      </c>
      <c r="U67" s="198"/>
      <c r="V67" s="198"/>
      <c r="W67" s="198"/>
      <c r="X67" s="198"/>
      <c r="Y67" s="198"/>
      <c r="Z67" s="198"/>
    </row>
    <row r="68" ht="12.75" customHeight="1">
      <c r="A68" s="613"/>
      <c r="B68" s="613"/>
      <c r="C68" s="613"/>
      <c r="D68" s="615"/>
      <c r="E68" s="613"/>
      <c r="F68" s="613"/>
      <c r="G68" s="613"/>
      <c r="H68" s="613"/>
      <c r="I68" s="615"/>
      <c r="J68" s="613"/>
      <c r="K68" s="613"/>
      <c r="L68" s="613"/>
      <c r="M68" s="613"/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613"/>
      <c r="B69" s="613"/>
      <c r="C69" s="613"/>
      <c r="D69" s="615"/>
      <c r="E69" s="613"/>
      <c r="F69" s="613"/>
      <c r="G69" s="613"/>
      <c r="H69" s="613"/>
      <c r="I69" s="615"/>
      <c r="J69" s="613"/>
      <c r="K69" s="613"/>
      <c r="L69" s="613"/>
      <c r="M69" s="613"/>
      <c r="N69" s="198"/>
      <c r="O69" s="375" t="s">
        <v>238</v>
      </c>
      <c r="P69" s="368"/>
      <c r="Q69" s="368"/>
      <c r="R69" s="369"/>
      <c r="S69" s="376">
        <f>COUNTIF($K$2:$K$476,"III - Medianamente tóxico")</f>
        <v>21</v>
      </c>
      <c r="T69" s="377">
        <f>(S69/S76)</f>
        <v>0.3962264151</v>
      </c>
      <c r="U69" s="198"/>
      <c r="V69" s="198"/>
      <c r="W69" s="198"/>
      <c r="X69" s="198"/>
      <c r="Y69" s="198"/>
      <c r="Z69" s="198"/>
    </row>
    <row r="70" ht="12.75" customHeight="1">
      <c r="A70" s="613"/>
      <c r="B70" s="613"/>
      <c r="C70" s="613"/>
      <c r="D70" s="615"/>
      <c r="E70" s="613"/>
      <c r="F70" s="613"/>
      <c r="G70" s="613"/>
      <c r="H70" s="613"/>
      <c r="I70" s="615"/>
      <c r="J70" s="613"/>
      <c r="K70" s="613"/>
      <c r="L70" s="613"/>
      <c r="M70" s="613"/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613"/>
      <c r="B71" s="613"/>
      <c r="C71" s="613"/>
      <c r="D71" s="615"/>
      <c r="E71" s="613"/>
      <c r="F71" s="613"/>
      <c r="G71" s="613"/>
      <c r="H71" s="613"/>
      <c r="I71" s="615"/>
      <c r="J71" s="613"/>
      <c r="K71" s="613"/>
      <c r="L71" s="613"/>
      <c r="M71" s="613"/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613"/>
      <c r="B72" s="613"/>
      <c r="C72" s="613"/>
      <c r="D72" s="615"/>
      <c r="E72" s="613"/>
      <c r="F72" s="613"/>
      <c r="G72" s="613"/>
      <c r="H72" s="613"/>
      <c r="I72" s="615"/>
      <c r="J72" s="613"/>
      <c r="K72" s="613"/>
      <c r="L72" s="613"/>
      <c r="M72" s="613"/>
      <c r="N72" s="198"/>
      <c r="O72" s="378" t="s">
        <v>244</v>
      </c>
      <c r="P72" s="368"/>
      <c r="Q72" s="368"/>
      <c r="R72" s="369"/>
      <c r="S72" s="379">
        <f>COUNTIF($K$2:$K$476,"IV - Pouco tóxico")</f>
        <v>12</v>
      </c>
      <c r="T72" s="380">
        <f>(S72/S76)</f>
        <v>0.2264150943</v>
      </c>
      <c r="U72" s="198"/>
      <c r="V72" s="198"/>
      <c r="W72" s="198"/>
      <c r="X72" s="198"/>
      <c r="Y72" s="198"/>
      <c r="Z72" s="198"/>
    </row>
    <row r="73" ht="12.75" customHeight="1">
      <c r="A73" s="613"/>
      <c r="B73" s="613"/>
      <c r="C73" s="613"/>
      <c r="D73" s="615"/>
      <c r="E73" s="613"/>
      <c r="F73" s="613"/>
      <c r="G73" s="613"/>
      <c r="H73" s="613"/>
      <c r="I73" s="615"/>
      <c r="J73" s="613"/>
      <c r="K73" s="613"/>
      <c r="L73" s="613"/>
      <c r="M73" s="613"/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613"/>
      <c r="B74" s="613"/>
      <c r="C74" s="613"/>
      <c r="D74" s="615"/>
      <c r="E74" s="613"/>
      <c r="F74" s="613"/>
      <c r="G74" s="613"/>
      <c r="H74" s="613"/>
      <c r="I74" s="615"/>
      <c r="J74" s="613"/>
      <c r="K74" s="613"/>
      <c r="L74" s="613"/>
      <c r="M74" s="613"/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613"/>
      <c r="B75" s="613"/>
      <c r="C75" s="613"/>
      <c r="D75" s="615"/>
      <c r="E75" s="613"/>
      <c r="F75" s="613"/>
      <c r="G75" s="613"/>
      <c r="H75" s="613"/>
      <c r="I75" s="615"/>
      <c r="J75" s="613"/>
      <c r="K75" s="613"/>
      <c r="L75" s="613"/>
      <c r="M75" s="613"/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613"/>
      <c r="B76" s="613"/>
      <c r="C76" s="613"/>
      <c r="D76" s="615"/>
      <c r="E76" s="613"/>
      <c r="F76" s="613"/>
      <c r="G76" s="613"/>
      <c r="H76" s="613"/>
      <c r="I76" s="615"/>
      <c r="J76" s="613"/>
      <c r="K76" s="613"/>
      <c r="L76" s="613"/>
      <c r="M76" s="613"/>
      <c r="N76" s="198"/>
      <c r="O76" s="386" t="s">
        <v>219</v>
      </c>
      <c r="P76" s="332"/>
      <c r="Q76" s="332"/>
      <c r="R76" s="387"/>
      <c r="S76" s="388">
        <f>SUM(S64:S75)</f>
        <v>53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613"/>
      <c r="B77" s="613"/>
      <c r="C77" s="613"/>
      <c r="D77" s="615"/>
      <c r="E77" s="613"/>
      <c r="F77" s="613"/>
      <c r="G77" s="613"/>
      <c r="H77" s="613"/>
      <c r="I77" s="615"/>
      <c r="J77" s="613"/>
      <c r="K77" s="613"/>
      <c r="L77" s="613"/>
      <c r="M77" s="613"/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613"/>
      <c r="B78" s="613"/>
      <c r="C78" s="613"/>
      <c r="D78" s="615"/>
      <c r="E78" s="613"/>
      <c r="F78" s="613"/>
      <c r="G78" s="613"/>
      <c r="H78" s="613"/>
      <c r="I78" s="615"/>
      <c r="J78" s="613"/>
      <c r="K78" s="613"/>
      <c r="L78" s="613"/>
      <c r="M78" s="613"/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613"/>
      <c r="B79" s="613"/>
      <c r="C79" s="613"/>
      <c r="D79" s="615"/>
      <c r="E79" s="613"/>
      <c r="F79" s="613"/>
      <c r="G79" s="613"/>
      <c r="H79" s="613"/>
      <c r="I79" s="615"/>
      <c r="J79" s="613"/>
      <c r="K79" s="613"/>
      <c r="L79" s="613"/>
      <c r="M79" s="613"/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613"/>
      <c r="B80" s="613"/>
      <c r="C80" s="613"/>
      <c r="D80" s="615"/>
      <c r="E80" s="613"/>
      <c r="F80" s="613"/>
      <c r="G80" s="613"/>
      <c r="H80" s="613"/>
      <c r="I80" s="615"/>
      <c r="J80" s="613"/>
      <c r="K80" s="613"/>
      <c r="L80" s="613"/>
      <c r="M80" s="613"/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613"/>
      <c r="B81" s="613"/>
      <c r="C81" s="613"/>
      <c r="D81" s="615"/>
      <c r="E81" s="613"/>
      <c r="F81" s="613"/>
      <c r="G81" s="613"/>
      <c r="H81" s="613"/>
      <c r="I81" s="615"/>
      <c r="J81" s="613"/>
      <c r="K81" s="613"/>
      <c r="L81" s="613"/>
      <c r="M81" s="613"/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1</v>
      </c>
      <c r="T81" s="395">
        <f>(S81/S85)</f>
        <v>0.01886792453</v>
      </c>
      <c r="U81" s="198"/>
      <c r="V81" s="198"/>
      <c r="W81" s="198"/>
      <c r="X81" s="198"/>
      <c r="Y81" s="198"/>
      <c r="Z81" s="198"/>
    </row>
    <row r="82" ht="13.5" customHeight="1">
      <c r="A82" s="613"/>
      <c r="B82" s="613"/>
      <c r="C82" s="613"/>
      <c r="D82" s="615"/>
      <c r="E82" s="613"/>
      <c r="F82" s="613"/>
      <c r="G82" s="613"/>
      <c r="H82" s="613"/>
      <c r="I82" s="615"/>
      <c r="J82" s="613"/>
      <c r="K82" s="613"/>
      <c r="L82" s="613"/>
      <c r="M82" s="613"/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21</v>
      </c>
      <c r="T82" s="398">
        <f>(S82/S85)</f>
        <v>0.3962264151</v>
      </c>
      <c r="U82" s="198"/>
      <c r="V82" s="198"/>
      <c r="W82" s="198"/>
      <c r="X82" s="198"/>
      <c r="Y82" s="198"/>
      <c r="Z82" s="198"/>
    </row>
    <row r="83" ht="13.5" customHeight="1">
      <c r="A83" s="613"/>
      <c r="B83" s="613"/>
      <c r="C83" s="613"/>
      <c r="D83" s="615"/>
      <c r="E83" s="613"/>
      <c r="F83" s="613"/>
      <c r="G83" s="613"/>
      <c r="H83" s="613"/>
      <c r="I83" s="615"/>
      <c r="J83" s="613"/>
      <c r="K83" s="613"/>
      <c r="L83" s="613"/>
      <c r="M83" s="613"/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25</v>
      </c>
      <c r="T83" s="395">
        <f>(S83/S85)</f>
        <v>0.4716981132</v>
      </c>
      <c r="U83" s="198"/>
      <c r="V83" s="198"/>
      <c r="W83" s="198"/>
      <c r="X83" s="198"/>
      <c r="Y83" s="198"/>
      <c r="Z83" s="198"/>
    </row>
    <row r="84" ht="14.25" customHeight="1">
      <c r="A84" s="613"/>
      <c r="B84" s="613"/>
      <c r="C84" s="613"/>
      <c r="D84" s="615"/>
      <c r="E84" s="613"/>
      <c r="F84" s="613"/>
      <c r="G84" s="613"/>
      <c r="H84" s="613"/>
      <c r="I84" s="615"/>
      <c r="J84" s="613"/>
      <c r="K84" s="613"/>
      <c r="L84" s="613"/>
      <c r="M84" s="613"/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6</v>
      </c>
      <c r="T84" s="398">
        <f>(S84/S85)</f>
        <v>0.1132075472</v>
      </c>
      <c r="U84" s="198"/>
      <c r="V84" s="198"/>
      <c r="W84" s="198"/>
      <c r="X84" s="198"/>
      <c r="Y84" s="198"/>
      <c r="Z84" s="198"/>
    </row>
    <row r="85" ht="12.75" customHeight="1">
      <c r="A85" s="613"/>
      <c r="B85" s="613"/>
      <c r="C85" s="613"/>
      <c r="D85" s="615"/>
      <c r="E85" s="613"/>
      <c r="F85" s="613"/>
      <c r="G85" s="613"/>
      <c r="H85" s="613"/>
      <c r="I85" s="615"/>
      <c r="J85" s="613"/>
      <c r="K85" s="613"/>
      <c r="L85" s="613"/>
      <c r="M85" s="613"/>
      <c r="N85" s="198"/>
      <c r="O85" s="358" t="s">
        <v>219</v>
      </c>
      <c r="P85" s="359"/>
      <c r="Q85" s="359"/>
      <c r="R85" s="360"/>
      <c r="S85" s="388">
        <f>SUM(S81:S84)</f>
        <v>53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613"/>
      <c r="B86" s="613"/>
      <c r="C86" s="613"/>
      <c r="D86" s="615"/>
      <c r="E86" s="613"/>
      <c r="F86" s="613"/>
      <c r="G86" s="613"/>
      <c r="H86" s="613"/>
      <c r="I86" s="615"/>
      <c r="J86" s="613"/>
      <c r="K86" s="613"/>
      <c r="L86" s="613"/>
      <c r="M86" s="613"/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613"/>
      <c r="B87" s="613"/>
      <c r="C87" s="613"/>
      <c r="D87" s="615"/>
      <c r="E87" s="613"/>
      <c r="F87" s="613"/>
      <c r="G87" s="613"/>
      <c r="H87" s="613"/>
      <c r="I87" s="615"/>
      <c r="J87" s="613"/>
      <c r="K87" s="613"/>
      <c r="L87" s="613"/>
      <c r="M87" s="613"/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613"/>
      <c r="B88" s="613"/>
      <c r="C88" s="613"/>
      <c r="D88" s="615"/>
      <c r="E88" s="613"/>
      <c r="F88" s="613"/>
      <c r="G88" s="613"/>
      <c r="H88" s="613"/>
      <c r="I88" s="615"/>
      <c r="J88" s="613"/>
      <c r="K88" s="613"/>
      <c r="L88" s="613"/>
      <c r="M88" s="613"/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613"/>
      <c r="B89" s="613"/>
      <c r="C89" s="613"/>
      <c r="D89" s="615"/>
      <c r="E89" s="613"/>
      <c r="F89" s="613"/>
      <c r="G89" s="613"/>
      <c r="H89" s="613"/>
      <c r="I89" s="615"/>
      <c r="J89" s="613"/>
      <c r="K89" s="613"/>
      <c r="L89" s="613"/>
      <c r="M89" s="613"/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613"/>
      <c r="B90" s="613"/>
      <c r="C90" s="613"/>
      <c r="D90" s="615"/>
      <c r="E90" s="613"/>
      <c r="F90" s="613"/>
      <c r="G90" s="613"/>
      <c r="H90" s="613"/>
      <c r="I90" s="615"/>
      <c r="J90" s="613"/>
      <c r="K90" s="613"/>
      <c r="L90" s="613"/>
      <c r="M90" s="613"/>
      <c r="N90" s="198"/>
      <c r="O90" s="412" t="s">
        <v>270</v>
      </c>
      <c r="P90" s="413">
        <f>AVERAGEIF(G2:G476,"PT",M2:M476)</f>
        <v>1357.076923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613"/>
      <c r="B91" s="613"/>
      <c r="C91" s="613"/>
      <c r="D91" s="615"/>
      <c r="E91" s="613"/>
      <c r="F91" s="613"/>
      <c r="G91" s="613"/>
      <c r="H91" s="613"/>
      <c r="I91" s="615"/>
      <c r="J91" s="613"/>
      <c r="K91" s="613"/>
      <c r="L91" s="613"/>
      <c r="M91" s="613"/>
      <c r="N91" s="198"/>
      <c r="O91" s="414" t="s">
        <v>34</v>
      </c>
      <c r="P91" s="415">
        <f>AVERAGEIF(G2:G477,"PTN",M2:M477)</f>
        <v>764.6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613"/>
      <c r="B92" s="613"/>
      <c r="C92" s="613"/>
      <c r="D92" s="615"/>
      <c r="E92" s="198"/>
      <c r="F92" s="198"/>
      <c r="G92" s="198"/>
      <c r="H92" s="198"/>
      <c r="I92" s="615"/>
      <c r="J92" s="198"/>
      <c r="K92" s="198"/>
      <c r="L92" s="198"/>
      <c r="M92" s="616"/>
      <c r="N92" s="198"/>
      <c r="O92" s="412" t="s">
        <v>17</v>
      </c>
      <c r="P92" s="413" t="str">
        <f>AVERAGEIF(G2:G476,"PTE",M2:M476)</f>
        <v>#DIV/0!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613"/>
      <c r="B93" s="613"/>
      <c r="C93" s="613"/>
      <c r="D93" s="615"/>
      <c r="E93" s="198"/>
      <c r="F93" s="198"/>
      <c r="G93" s="198"/>
      <c r="H93" s="198"/>
      <c r="I93" s="615"/>
      <c r="J93" s="198"/>
      <c r="K93" s="198"/>
      <c r="L93" s="198"/>
      <c r="M93" s="616"/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613"/>
      <c r="B94" s="613"/>
      <c r="C94" s="613"/>
      <c r="D94" s="615"/>
      <c r="E94" s="198"/>
      <c r="F94" s="198"/>
      <c r="G94" s="198"/>
      <c r="H94" s="198"/>
      <c r="I94" s="615"/>
      <c r="J94" s="198"/>
      <c r="K94" s="198"/>
      <c r="L94" s="198"/>
      <c r="M94" s="616"/>
      <c r="N94" s="198"/>
      <c r="O94" s="412" t="s">
        <v>650</v>
      </c>
      <c r="P94" s="413">
        <f>AVERAGEIF(G2:G476,"PF",M2:M476)</f>
        <v>1098.043478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613"/>
      <c r="B95" s="613"/>
      <c r="C95" s="613"/>
      <c r="D95" s="615"/>
      <c r="E95" s="198"/>
      <c r="F95" s="198"/>
      <c r="G95" s="198"/>
      <c r="H95" s="198"/>
      <c r="I95" s="615"/>
      <c r="J95" s="198"/>
      <c r="K95" s="198"/>
      <c r="L95" s="198"/>
      <c r="M95" s="616"/>
      <c r="N95" s="198"/>
      <c r="O95" s="414" t="s">
        <v>547</v>
      </c>
      <c r="P95" s="415">
        <f>AVERAGEIF(G2:G476,"PFN",M2:M476)</f>
        <v>1280.166667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613"/>
      <c r="B96" s="613"/>
      <c r="C96" s="613"/>
      <c r="D96" s="615"/>
      <c r="E96" s="198"/>
      <c r="F96" s="198"/>
      <c r="G96" s="198"/>
      <c r="H96" s="198"/>
      <c r="I96" s="615"/>
      <c r="J96" s="198"/>
      <c r="K96" s="198"/>
      <c r="L96" s="198"/>
      <c r="M96" s="616"/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613"/>
      <c r="B97" s="613"/>
      <c r="C97" s="613"/>
      <c r="D97" s="615"/>
      <c r="E97" s="198"/>
      <c r="F97" s="198"/>
      <c r="G97" s="198"/>
      <c r="H97" s="198"/>
      <c r="I97" s="615"/>
      <c r="J97" s="198"/>
      <c r="K97" s="198"/>
      <c r="L97" s="198"/>
      <c r="M97" s="616"/>
      <c r="N97" s="198"/>
      <c r="O97" s="414" t="s">
        <v>565</v>
      </c>
      <c r="P97" s="415">
        <f>AVERAGEIF(G2:G476,"Bio",M2:M476)</f>
        <v>827.1666667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613"/>
      <c r="B98" s="613"/>
      <c r="C98" s="613"/>
      <c r="D98" s="615"/>
      <c r="E98" s="198"/>
      <c r="F98" s="198"/>
      <c r="G98" s="198"/>
      <c r="H98" s="198"/>
      <c r="I98" s="615"/>
      <c r="J98" s="198"/>
      <c r="K98" s="198"/>
      <c r="L98" s="198"/>
      <c r="M98" s="616"/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613"/>
      <c r="B99" s="613"/>
      <c r="C99" s="613"/>
      <c r="D99" s="615"/>
      <c r="E99" s="198"/>
      <c r="F99" s="198"/>
      <c r="G99" s="198"/>
      <c r="H99" s="198"/>
      <c r="I99" s="615"/>
      <c r="J99" s="198"/>
      <c r="K99" s="198"/>
      <c r="L99" s="198"/>
      <c r="M99" s="616"/>
      <c r="N99" s="198"/>
      <c r="O99" s="416" t="s">
        <v>275</v>
      </c>
      <c r="P99" s="417">
        <f>AVERAGE(M2:M494)</f>
        <v>1120.075472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613"/>
      <c r="B100" s="613"/>
      <c r="C100" s="613"/>
      <c r="D100" s="615"/>
      <c r="E100" s="198"/>
      <c r="F100" s="198"/>
      <c r="G100" s="198"/>
      <c r="H100" s="198"/>
      <c r="I100" s="615"/>
      <c r="J100" s="198"/>
      <c r="K100" s="198"/>
      <c r="L100" s="198"/>
      <c r="M100" s="616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613"/>
      <c r="B101" s="613"/>
      <c r="C101" s="613"/>
      <c r="D101" s="615"/>
      <c r="E101" s="198"/>
      <c r="F101" s="198"/>
      <c r="G101" s="198"/>
      <c r="H101" s="198"/>
      <c r="I101" s="615"/>
      <c r="J101" s="198"/>
      <c r="K101" s="198"/>
      <c r="L101" s="198"/>
      <c r="M101" s="616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613"/>
      <c r="B102" s="613"/>
      <c r="C102" s="613"/>
      <c r="D102" s="615"/>
      <c r="E102" s="198"/>
      <c r="F102" s="198"/>
      <c r="G102" s="198"/>
      <c r="H102" s="198"/>
      <c r="I102" s="615"/>
      <c r="J102" s="198"/>
      <c r="K102" s="198"/>
      <c r="L102" s="198"/>
      <c r="M102" s="616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613"/>
      <c r="B103" s="613"/>
      <c r="C103" s="613"/>
      <c r="D103" s="615"/>
      <c r="E103" s="198"/>
      <c r="F103" s="198"/>
      <c r="G103" s="198"/>
      <c r="H103" s="198"/>
      <c r="I103" s="615"/>
      <c r="J103" s="198"/>
      <c r="K103" s="198"/>
      <c r="L103" s="198"/>
      <c r="M103" s="616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613"/>
      <c r="B104" s="613"/>
      <c r="C104" s="613"/>
      <c r="D104" s="615"/>
      <c r="E104" s="198"/>
      <c r="F104" s="198"/>
      <c r="G104" s="198"/>
      <c r="H104" s="198"/>
      <c r="I104" s="615"/>
      <c r="J104" s="198"/>
      <c r="K104" s="198"/>
      <c r="L104" s="198"/>
      <c r="M104" s="61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613"/>
      <c r="B105" s="613"/>
      <c r="C105" s="613"/>
      <c r="D105" s="615"/>
      <c r="E105" s="198"/>
      <c r="F105" s="198"/>
      <c r="G105" s="198"/>
      <c r="H105" s="198"/>
      <c r="I105" s="615"/>
      <c r="J105" s="198"/>
      <c r="K105" s="198"/>
      <c r="L105" s="198"/>
      <c r="M105" s="616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613"/>
      <c r="C106" s="613"/>
      <c r="D106" s="615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613"/>
      <c r="B107" s="613"/>
      <c r="C107" s="613"/>
      <c r="D107" s="615"/>
      <c r="E107" s="198"/>
      <c r="F107" s="198"/>
      <c r="G107" s="198"/>
      <c r="H107" s="198"/>
      <c r="I107" s="615"/>
      <c r="J107" s="198"/>
      <c r="K107" s="198"/>
      <c r="L107" s="198"/>
      <c r="M107" s="61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613"/>
      <c r="B108" s="613"/>
      <c r="C108" s="613"/>
      <c r="D108" s="615"/>
      <c r="E108" s="198"/>
      <c r="F108" s="198"/>
      <c r="G108" s="198"/>
      <c r="H108" s="198"/>
      <c r="I108" s="615"/>
      <c r="J108" s="198"/>
      <c r="K108" s="198"/>
      <c r="L108" s="198"/>
      <c r="M108" s="616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613"/>
      <c r="B109" s="613"/>
      <c r="C109" s="613"/>
      <c r="D109" s="615"/>
      <c r="E109" s="198"/>
      <c r="F109" s="198"/>
      <c r="G109" s="198"/>
      <c r="H109" s="198"/>
      <c r="I109" s="615"/>
      <c r="J109" s="198"/>
      <c r="K109" s="198"/>
      <c r="L109" s="198"/>
      <c r="M109" s="616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613"/>
      <c r="B110" s="613"/>
      <c r="C110" s="613"/>
      <c r="D110" s="615"/>
      <c r="E110" s="198"/>
      <c r="F110" s="198"/>
      <c r="G110" s="198"/>
      <c r="H110" s="198"/>
      <c r="I110" s="615"/>
      <c r="J110" s="198"/>
      <c r="K110" s="198"/>
      <c r="L110" s="198"/>
      <c r="M110" s="61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613"/>
      <c r="B111" s="613"/>
      <c r="C111" s="613"/>
      <c r="D111" s="615"/>
      <c r="E111" s="198"/>
      <c r="F111" s="198"/>
      <c r="G111" s="198"/>
      <c r="H111" s="198"/>
      <c r="I111" s="615"/>
      <c r="J111" s="198"/>
      <c r="K111" s="198"/>
      <c r="L111" s="198"/>
      <c r="M111" s="616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5"/>
      <c r="E112" s="198"/>
      <c r="F112" s="198"/>
      <c r="G112" s="198"/>
      <c r="H112" s="198"/>
      <c r="I112" s="615"/>
      <c r="J112" s="198"/>
      <c r="K112" s="198"/>
      <c r="L112" s="198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613"/>
      <c r="B113" s="613"/>
      <c r="C113" s="613"/>
      <c r="D113" s="615"/>
      <c r="E113" s="198"/>
      <c r="F113" s="198"/>
      <c r="G113" s="198"/>
      <c r="H113" s="198"/>
      <c r="I113" s="615"/>
      <c r="J113" s="198"/>
      <c r="K113" s="198"/>
      <c r="L113" s="198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613"/>
      <c r="B114" s="613"/>
      <c r="C114" s="613"/>
      <c r="D114" s="615"/>
      <c r="E114" s="198"/>
      <c r="F114" s="198"/>
      <c r="G114" s="198"/>
      <c r="H114" s="198"/>
      <c r="I114" s="615"/>
      <c r="J114" s="198"/>
      <c r="K114" s="198"/>
      <c r="L114" s="198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613"/>
      <c r="B115" s="613"/>
      <c r="C115" s="613"/>
      <c r="D115" s="615"/>
      <c r="E115" s="198"/>
      <c r="F115" s="198"/>
      <c r="G115" s="198"/>
      <c r="H115" s="198"/>
      <c r="I115" s="615"/>
      <c r="J115" s="198"/>
      <c r="K115" s="198"/>
      <c r="L115" s="198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613"/>
      <c r="B116" s="613"/>
      <c r="C116" s="613"/>
      <c r="D116" s="615"/>
      <c r="E116" s="198"/>
      <c r="F116" s="198"/>
      <c r="G116" s="198"/>
      <c r="H116" s="198"/>
      <c r="I116" s="615"/>
      <c r="J116" s="198"/>
      <c r="K116" s="198"/>
      <c r="L116" s="198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613"/>
      <c r="B117" s="613"/>
      <c r="C117" s="613"/>
      <c r="D117" s="615"/>
      <c r="E117" s="198"/>
      <c r="F117" s="198"/>
      <c r="G117" s="198"/>
      <c r="H117" s="198"/>
      <c r="I117" s="615"/>
      <c r="J117" s="198"/>
      <c r="K117" s="198"/>
      <c r="L117" s="198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101.0</v>
      </c>
      <c r="B2" s="426" t="s">
        <v>13400</v>
      </c>
      <c r="C2" s="426">
        <v>1998.0</v>
      </c>
      <c r="D2" s="500">
        <v>35818.0</v>
      </c>
      <c r="E2" s="426" t="s">
        <v>13401</v>
      </c>
      <c r="F2" s="682" t="s">
        <v>4257</v>
      </c>
      <c r="G2" s="426" t="s">
        <v>650</v>
      </c>
      <c r="H2" s="426" t="s">
        <v>13402</v>
      </c>
      <c r="I2" s="500">
        <v>36915.0</v>
      </c>
      <c r="J2" s="428">
        <v>1.0</v>
      </c>
      <c r="K2" s="635" t="s">
        <v>228</v>
      </c>
      <c r="L2" s="428" t="s">
        <v>254</v>
      </c>
      <c r="M2" s="319">
        <f t="shared" ref="M2:M19" si="1">I2-D2</f>
        <v>1097</v>
      </c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201.0</v>
      </c>
      <c r="B3" s="420" t="s">
        <v>13403</v>
      </c>
      <c r="C3" s="420">
        <v>1998.0</v>
      </c>
      <c r="D3" s="497">
        <v>36041.0</v>
      </c>
      <c r="E3" s="420" t="s">
        <v>13404</v>
      </c>
      <c r="F3" s="683" t="s">
        <v>13405</v>
      </c>
      <c r="G3" s="420" t="s">
        <v>650</v>
      </c>
      <c r="H3" s="420" t="s">
        <v>13406</v>
      </c>
      <c r="I3" s="497">
        <v>36915.0</v>
      </c>
      <c r="J3" s="422">
        <v>1.0</v>
      </c>
      <c r="K3" s="635" t="s">
        <v>228</v>
      </c>
      <c r="L3" s="420" t="s">
        <v>256</v>
      </c>
      <c r="M3" s="316">
        <f t="shared" si="1"/>
        <v>874</v>
      </c>
      <c r="N3" s="198"/>
      <c r="O3" s="320" t="s">
        <v>27</v>
      </c>
      <c r="P3" s="320">
        <f>COUNTIF($G$2:$G$476,"PT")</f>
        <v>23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301.0</v>
      </c>
      <c r="B4" s="426" t="s">
        <v>13407</v>
      </c>
      <c r="C4" s="426">
        <v>1998.0</v>
      </c>
      <c r="D4" s="500">
        <v>35920.0</v>
      </c>
      <c r="E4" s="426" t="s">
        <v>13408</v>
      </c>
      <c r="F4" s="682" t="s">
        <v>13409</v>
      </c>
      <c r="G4" s="426" t="s">
        <v>565</v>
      </c>
      <c r="H4" s="426" t="s">
        <v>1951</v>
      </c>
      <c r="I4" s="500">
        <v>36916.0</v>
      </c>
      <c r="J4" s="428">
        <v>1.0</v>
      </c>
      <c r="K4" s="635" t="s">
        <v>228</v>
      </c>
      <c r="L4" s="428" t="s">
        <v>260</v>
      </c>
      <c r="M4" s="319">
        <f t="shared" si="1"/>
        <v>996</v>
      </c>
      <c r="N4" s="198"/>
      <c r="O4" s="321" t="s">
        <v>34</v>
      </c>
      <c r="P4" s="321">
        <f>COUNTIF($G$2:$G$476,"PTN")</f>
        <v>11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401.0</v>
      </c>
      <c r="B5" s="420" t="s">
        <v>13410</v>
      </c>
      <c r="C5" s="420">
        <v>1999.0</v>
      </c>
      <c r="D5" s="497">
        <v>36372.0</v>
      </c>
      <c r="E5" s="420" t="s">
        <v>13411</v>
      </c>
      <c r="F5" s="683" t="s">
        <v>13412</v>
      </c>
      <c r="G5" s="420" t="s">
        <v>34</v>
      </c>
      <c r="H5" s="420" t="s">
        <v>13267</v>
      </c>
      <c r="I5" s="497">
        <v>36917.0</v>
      </c>
      <c r="J5" s="422">
        <v>1.0</v>
      </c>
      <c r="K5" s="635" t="s">
        <v>228</v>
      </c>
      <c r="L5" s="420" t="s">
        <v>258</v>
      </c>
      <c r="M5" s="316">
        <f t="shared" si="1"/>
        <v>545</v>
      </c>
      <c r="N5" s="198"/>
      <c r="O5" s="322" t="s">
        <v>40</v>
      </c>
      <c r="P5" s="322">
        <f>COUNTIF($G$2:$G$476,"PTE")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501.0</v>
      </c>
      <c r="B6" s="426" t="s">
        <v>13413</v>
      </c>
      <c r="C6" s="426">
        <v>1999.0</v>
      </c>
      <c r="D6" s="500">
        <v>36521.0</v>
      </c>
      <c r="E6" s="426" t="s">
        <v>13414</v>
      </c>
      <c r="F6" s="682" t="s">
        <v>963</v>
      </c>
      <c r="G6" s="426" t="s">
        <v>46</v>
      </c>
      <c r="H6" s="426" t="s">
        <v>13415</v>
      </c>
      <c r="I6" s="500">
        <v>36920.0</v>
      </c>
      <c r="J6" s="428">
        <v>1.0</v>
      </c>
      <c r="K6" s="637" t="s">
        <v>238</v>
      </c>
      <c r="L6" s="428" t="s">
        <v>258</v>
      </c>
      <c r="M6" s="319">
        <f t="shared" si="1"/>
        <v>399</v>
      </c>
      <c r="N6" s="198"/>
      <c r="O6" s="321" t="s">
        <v>46</v>
      </c>
      <c r="P6" s="321">
        <f>COUNTIF($G$2:$G$476,"Pré-Mistura")</f>
        <v>2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601.0</v>
      </c>
      <c r="B7" s="420" t="s">
        <v>13416</v>
      </c>
      <c r="C7" s="420">
        <v>1999.0</v>
      </c>
      <c r="D7" s="497">
        <v>36513.0</v>
      </c>
      <c r="E7" s="420" t="s">
        <v>13417</v>
      </c>
      <c r="F7" s="683" t="s">
        <v>13418</v>
      </c>
      <c r="G7" s="420" t="s">
        <v>34</v>
      </c>
      <c r="H7" s="420" t="s">
        <v>13155</v>
      </c>
      <c r="I7" s="497">
        <v>36921.0</v>
      </c>
      <c r="J7" s="422">
        <v>1.0</v>
      </c>
      <c r="K7" s="637" t="s">
        <v>238</v>
      </c>
      <c r="L7" s="420" t="s">
        <v>256</v>
      </c>
      <c r="M7" s="316">
        <f t="shared" si="1"/>
        <v>408</v>
      </c>
      <c r="N7" s="198"/>
      <c r="O7" s="322" t="s">
        <v>553</v>
      </c>
      <c r="P7" s="322">
        <f>COUNTIF($G$2:$G$476,"PF")</f>
        <v>54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701.0</v>
      </c>
      <c r="B8" s="426" t="s">
        <v>13419</v>
      </c>
      <c r="C8" s="426">
        <v>1999.0</v>
      </c>
      <c r="D8" s="500">
        <v>36525.0</v>
      </c>
      <c r="E8" s="426" t="s">
        <v>13420</v>
      </c>
      <c r="F8" s="682" t="s">
        <v>2575</v>
      </c>
      <c r="G8" s="426" t="s">
        <v>270</v>
      </c>
      <c r="H8" s="426" t="s">
        <v>9672</v>
      </c>
      <c r="I8" s="500">
        <v>36922.0</v>
      </c>
      <c r="J8" s="428">
        <v>1.0</v>
      </c>
      <c r="K8" s="637" t="s">
        <v>238</v>
      </c>
      <c r="L8" s="428" t="s">
        <v>256</v>
      </c>
      <c r="M8" s="319">
        <f t="shared" si="1"/>
        <v>397</v>
      </c>
      <c r="N8" s="198"/>
      <c r="O8" s="321" t="s">
        <v>547</v>
      </c>
      <c r="P8" s="321">
        <f>COUNTIF($G$2:$G$476,"PFN")</f>
        <v>14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801.0</v>
      </c>
      <c r="B9" s="420" t="s">
        <v>13421</v>
      </c>
      <c r="C9" s="420">
        <v>1999.0</v>
      </c>
      <c r="D9" s="497">
        <v>36484.0</v>
      </c>
      <c r="E9" s="420" t="s">
        <v>13422</v>
      </c>
      <c r="F9" s="683" t="s">
        <v>13423</v>
      </c>
      <c r="G9" s="420" t="s">
        <v>650</v>
      </c>
      <c r="H9" s="420" t="s">
        <v>601</v>
      </c>
      <c r="I9" s="497">
        <v>36922.0</v>
      </c>
      <c r="J9" s="422">
        <v>1.0</v>
      </c>
      <c r="K9" s="637" t="s">
        <v>238</v>
      </c>
      <c r="L9" s="420" t="s">
        <v>258</v>
      </c>
      <c r="M9" s="316">
        <f t="shared" si="1"/>
        <v>438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901.0</v>
      </c>
      <c r="B10" s="426" t="s">
        <v>13424</v>
      </c>
      <c r="C10" s="426">
        <v>1997.0</v>
      </c>
      <c r="D10" s="500">
        <v>35728.0</v>
      </c>
      <c r="E10" s="426" t="s">
        <v>13425</v>
      </c>
      <c r="F10" s="682" t="s">
        <v>13426</v>
      </c>
      <c r="G10" s="426" t="s">
        <v>650</v>
      </c>
      <c r="H10" s="426" t="s">
        <v>705</v>
      </c>
      <c r="I10" s="500">
        <v>36923.0</v>
      </c>
      <c r="J10" s="428">
        <v>2.0</v>
      </c>
      <c r="K10" s="638" t="s">
        <v>234</v>
      </c>
      <c r="L10" s="428" t="s">
        <v>260</v>
      </c>
      <c r="M10" s="319">
        <f t="shared" si="1"/>
        <v>1195</v>
      </c>
      <c r="N10" s="198"/>
      <c r="O10" s="321" t="s">
        <v>565</v>
      </c>
      <c r="P10" s="321">
        <f>COUNTIF($G$2:$G$476,"Bio")</f>
        <v>11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1001.0</v>
      </c>
      <c r="B11" s="420" t="s">
        <v>13427</v>
      </c>
      <c r="C11" s="420">
        <v>1999.0</v>
      </c>
      <c r="D11" s="497">
        <v>36426.0</v>
      </c>
      <c r="E11" s="420" t="s">
        <v>13428</v>
      </c>
      <c r="F11" s="683" t="s">
        <v>660</v>
      </c>
      <c r="G11" s="420" t="s">
        <v>270</v>
      </c>
      <c r="H11" s="420" t="s">
        <v>50</v>
      </c>
      <c r="I11" s="497">
        <v>36930.0</v>
      </c>
      <c r="J11" s="422">
        <v>2.0</v>
      </c>
      <c r="K11" s="635" t="s">
        <v>228</v>
      </c>
      <c r="L11" s="420" t="s">
        <v>258</v>
      </c>
      <c r="M11" s="316">
        <f t="shared" si="1"/>
        <v>504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1101.0</v>
      </c>
      <c r="B12" s="426" t="s">
        <v>13429</v>
      </c>
      <c r="C12" s="426">
        <v>1999.0</v>
      </c>
      <c r="D12" s="500">
        <v>36392.0</v>
      </c>
      <c r="E12" s="426" t="s">
        <v>13430</v>
      </c>
      <c r="F12" s="682" t="s">
        <v>2311</v>
      </c>
      <c r="G12" s="426" t="s">
        <v>270</v>
      </c>
      <c r="H12" s="426" t="s">
        <v>50</v>
      </c>
      <c r="I12" s="500">
        <v>36931.0</v>
      </c>
      <c r="J12" s="428">
        <v>2.0</v>
      </c>
      <c r="K12" s="638" t="s">
        <v>234</v>
      </c>
      <c r="L12" s="428" t="s">
        <v>256</v>
      </c>
      <c r="M12" s="319">
        <f t="shared" si="1"/>
        <v>539</v>
      </c>
      <c r="N12" s="198"/>
      <c r="O12" s="324" t="s">
        <v>51</v>
      </c>
      <c r="P12" s="325">
        <f>SUM(P3:P11)</f>
        <v>115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1201.0</v>
      </c>
      <c r="B13" s="420" t="s">
        <v>13431</v>
      </c>
      <c r="C13" s="420">
        <v>1999.0</v>
      </c>
      <c r="D13" s="497">
        <v>36401.0</v>
      </c>
      <c r="E13" s="420" t="s">
        <v>13432</v>
      </c>
      <c r="F13" s="683" t="s">
        <v>1464</v>
      </c>
      <c r="G13" s="420" t="s">
        <v>650</v>
      </c>
      <c r="H13" s="420" t="s">
        <v>12127</v>
      </c>
      <c r="I13" s="497">
        <v>36934.0</v>
      </c>
      <c r="J13" s="422">
        <v>2.0</v>
      </c>
      <c r="K13" s="638" t="s">
        <v>234</v>
      </c>
      <c r="L13" s="420" t="s">
        <v>256</v>
      </c>
      <c r="M13" s="316">
        <f t="shared" si="1"/>
        <v>533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1301.0</v>
      </c>
      <c r="B14" s="426" t="s">
        <v>13433</v>
      </c>
      <c r="C14" s="426">
        <v>1995.0</v>
      </c>
      <c r="D14" s="500">
        <v>35014.0</v>
      </c>
      <c r="E14" s="426" t="s">
        <v>13434</v>
      </c>
      <c r="F14" s="682" t="s">
        <v>12409</v>
      </c>
      <c r="G14" s="426" t="s">
        <v>270</v>
      </c>
      <c r="H14" s="426" t="s">
        <v>12127</v>
      </c>
      <c r="I14" s="500">
        <v>36935.0</v>
      </c>
      <c r="J14" s="428">
        <v>2.0</v>
      </c>
      <c r="K14" s="637" t="s">
        <v>238</v>
      </c>
      <c r="L14" s="428" t="s">
        <v>256</v>
      </c>
      <c r="M14" s="319">
        <f t="shared" si="1"/>
        <v>1921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1401.0</v>
      </c>
      <c r="B15" s="420" t="s">
        <v>13435</v>
      </c>
      <c r="C15" s="420">
        <v>1998.0</v>
      </c>
      <c r="D15" s="497">
        <v>36119.0</v>
      </c>
      <c r="E15" s="420" t="s">
        <v>13436</v>
      </c>
      <c r="F15" s="683" t="s">
        <v>963</v>
      </c>
      <c r="G15" s="420" t="s">
        <v>650</v>
      </c>
      <c r="H15" s="420" t="s">
        <v>2325</v>
      </c>
      <c r="I15" s="497">
        <v>36936.0</v>
      </c>
      <c r="J15" s="422">
        <v>2.0</v>
      </c>
      <c r="K15" s="636" t="s">
        <v>244</v>
      </c>
      <c r="L15" s="420" t="s">
        <v>258</v>
      </c>
      <c r="M15" s="316">
        <f t="shared" si="1"/>
        <v>817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1501.0</v>
      </c>
      <c r="B16" s="426" t="s">
        <v>13437</v>
      </c>
      <c r="C16" s="426">
        <v>1998.0</v>
      </c>
      <c r="D16" s="500">
        <v>36119.0</v>
      </c>
      <c r="E16" s="426" t="s">
        <v>13438</v>
      </c>
      <c r="F16" s="682" t="s">
        <v>13439</v>
      </c>
      <c r="G16" s="426" t="s">
        <v>650</v>
      </c>
      <c r="H16" s="426" t="s">
        <v>7403</v>
      </c>
      <c r="I16" s="500">
        <v>36937.0</v>
      </c>
      <c r="J16" s="428">
        <v>2.0</v>
      </c>
      <c r="K16" s="638" t="s">
        <v>234</v>
      </c>
      <c r="L16" s="428" t="s">
        <v>256</v>
      </c>
      <c r="M16" s="319">
        <f t="shared" si="1"/>
        <v>818</v>
      </c>
      <c r="N16" s="198"/>
      <c r="O16" s="331" t="s">
        <v>13440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1601.0</v>
      </c>
      <c r="B17" s="420" t="s">
        <v>13441</v>
      </c>
      <c r="C17" s="420">
        <v>1998.0</v>
      </c>
      <c r="D17" s="497">
        <v>36124.0</v>
      </c>
      <c r="E17" s="420" t="s">
        <v>13442</v>
      </c>
      <c r="F17" s="683" t="s">
        <v>12785</v>
      </c>
      <c r="G17" s="420" t="s">
        <v>547</v>
      </c>
      <c r="H17" s="420" t="s">
        <v>651</v>
      </c>
      <c r="I17" s="497">
        <v>36943.0</v>
      </c>
      <c r="J17" s="422">
        <v>2.0</v>
      </c>
      <c r="K17" s="637" t="s">
        <v>238</v>
      </c>
      <c r="L17" s="420" t="s">
        <v>256</v>
      </c>
      <c r="M17" s="316">
        <f t="shared" si="1"/>
        <v>819</v>
      </c>
      <c r="N17" s="198"/>
      <c r="O17" s="334" t="s">
        <v>13443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1701.0</v>
      </c>
      <c r="B18" s="426" t="s">
        <v>13444</v>
      </c>
      <c r="C18" s="426">
        <v>1995.0</v>
      </c>
      <c r="D18" s="500">
        <v>34735.0</v>
      </c>
      <c r="E18" s="426" t="s">
        <v>13445</v>
      </c>
      <c r="F18" s="682" t="s">
        <v>13446</v>
      </c>
      <c r="G18" s="426" t="s">
        <v>270</v>
      </c>
      <c r="H18" s="426" t="s">
        <v>12127</v>
      </c>
      <c r="I18" s="500">
        <v>36945.0</v>
      </c>
      <c r="J18" s="428">
        <v>2.0</v>
      </c>
      <c r="K18" s="637" t="s">
        <v>238</v>
      </c>
      <c r="L18" s="428" t="s">
        <v>256</v>
      </c>
      <c r="M18" s="319">
        <f t="shared" si="1"/>
        <v>2210</v>
      </c>
      <c r="N18" s="198"/>
      <c r="O18" s="335" t="s">
        <v>13447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1801.0</v>
      </c>
      <c r="B19" s="420" t="s">
        <v>13448</v>
      </c>
      <c r="C19" s="420">
        <v>1998.0</v>
      </c>
      <c r="D19" s="497">
        <v>36116.0</v>
      </c>
      <c r="E19" s="420" t="s">
        <v>13449</v>
      </c>
      <c r="F19" s="683" t="s">
        <v>12785</v>
      </c>
      <c r="G19" s="420" t="s">
        <v>34</v>
      </c>
      <c r="H19" s="420" t="s">
        <v>651</v>
      </c>
      <c r="I19" s="497">
        <v>36952.0</v>
      </c>
      <c r="J19" s="422">
        <v>3.0</v>
      </c>
      <c r="K19" s="637" t="s">
        <v>238</v>
      </c>
      <c r="L19" s="420" t="s">
        <v>256</v>
      </c>
      <c r="M19" s="316">
        <f t="shared" si="1"/>
        <v>836</v>
      </c>
      <c r="N19" s="198"/>
      <c r="O19" s="334" t="s">
        <v>13450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1901.0</v>
      </c>
      <c r="B20" s="585" t="s">
        <v>3889</v>
      </c>
      <c r="C20" s="585" t="s">
        <v>3889</v>
      </c>
      <c r="D20" s="540" t="s">
        <v>3889</v>
      </c>
      <c r="E20" s="585" t="s">
        <v>3889</v>
      </c>
      <c r="F20" s="684" t="s">
        <v>3889</v>
      </c>
      <c r="G20" s="585" t="s">
        <v>3889</v>
      </c>
      <c r="H20" s="585" t="s">
        <v>3889</v>
      </c>
      <c r="I20" s="540" t="s">
        <v>3889</v>
      </c>
      <c r="J20" s="321" t="s">
        <v>3889</v>
      </c>
      <c r="K20" s="585" t="s">
        <v>3889</v>
      </c>
      <c r="L20" s="321" t="s">
        <v>3889</v>
      </c>
      <c r="M20" s="321" t="s">
        <v>3889</v>
      </c>
      <c r="N20" s="198"/>
      <c r="O20" s="335" t="s">
        <v>13451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2001.0</v>
      </c>
      <c r="B21" s="420" t="s">
        <v>13452</v>
      </c>
      <c r="C21" s="420">
        <v>2000.0</v>
      </c>
      <c r="D21" s="497">
        <v>36538.0</v>
      </c>
      <c r="E21" s="420" t="s">
        <v>13453</v>
      </c>
      <c r="F21" s="683" t="s">
        <v>2575</v>
      </c>
      <c r="G21" s="420" t="s">
        <v>650</v>
      </c>
      <c r="H21" s="420" t="s">
        <v>9672</v>
      </c>
      <c r="I21" s="497">
        <v>36952.0</v>
      </c>
      <c r="J21" s="422">
        <v>3.0</v>
      </c>
      <c r="K21" s="638" t="s">
        <v>234</v>
      </c>
      <c r="L21" s="420" t="s">
        <v>256</v>
      </c>
      <c r="M21" s="316">
        <f t="shared" ref="M21:M38" si="2">I21-D21</f>
        <v>414</v>
      </c>
      <c r="N21" s="198"/>
      <c r="O21" s="334" t="s">
        <v>13454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2101.0</v>
      </c>
      <c r="B22" s="426" t="s">
        <v>13455</v>
      </c>
      <c r="C22" s="426">
        <v>1998.0</v>
      </c>
      <c r="D22" s="500">
        <v>35986.0</v>
      </c>
      <c r="E22" s="426" t="s">
        <v>13456</v>
      </c>
      <c r="F22" s="682" t="s">
        <v>1170</v>
      </c>
      <c r="G22" s="426" t="s">
        <v>650</v>
      </c>
      <c r="H22" s="426" t="s">
        <v>3788</v>
      </c>
      <c r="I22" s="500">
        <v>36954.0</v>
      </c>
      <c r="J22" s="428">
        <v>3.0</v>
      </c>
      <c r="K22" s="637" t="s">
        <v>238</v>
      </c>
      <c r="L22" s="428" t="s">
        <v>258</v>
      </c>
      <c r="M22" s="319">
        <f t="shared" si="2"/>
        <v>968</v>
      </c>
      <c r="N22" s="198"/>
      <c r="O22" s="335" t="s">
        <v>13457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2201.0</v>
      </c>
      <c r="B23" s="420" t="s">
        <v>13458</v>
      </c>
      <c r="C23" s="420">
        <v>1999.0</v>
      </c>
      <c r="D23" s="497">
        <v>36454.0</v>
      </c>
      <c r="E23" s="420" t="s">
        <v>13459</v>
      </c>
      <c r="F23" s="683" t="s">
        <v>13460</v>
      </c>
      <c r="G23" s="420" t="s">
        <v>650</v>
      </c>
      <c r="H23" s="420" t="s">
        <v>651</v>
      </c>
      <c r="I23" s="497">
        <v>36956.0</v>
      </c>
      <c r="J23" s="422">
        <v>3.0</v>
      </c>
      <c r="K23" s="637" t="s">
        <v>238</v>
      </c>
      <c r="L23" s="420" t="s">
        <v>258</v>
      </c>
      <c r="M23" s="316">
        <f t="shared" si="2"/>
        <v>502</v>
      </c>
      <c r="N23" s="198"/>
      <c r="O23" s="334" t="s">
        <v>13461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2301.0</v>
      </c>
      <c r="B24" s="426" t="s">
        <v>13462</v>
      </c>
      <c r="C24" s="426">
        <v>1999.0</v>
      </c>
      <c r="D24" s="500">
        <v>36513.0</v>
      </c>
      <c r="E24" s="426" t="s">
        <v>13463</v>
      </c>
      <c r="F24" s="682" t="s">
        <v>13418</v>
      </c>
      <c r="G24" s="426" t="s">
        <v>547</v>
      </c>
      <c r="H24" s="426" t="s">
        <v>13155</v>
      </c>
      <c r="I24" s="500">
        <v>36959.0</v>
      </c>
      <c r="J24" s="428">
        <v>3.0</v>
      </c>
      <c r="K24" s="638" t="s">
        <v>234</v>
      </c>
      <c r="L24" s="428" t="s">
        <v>258</v>
      </c>
      <c r="M24" s="319">
        <f t="shared" si="2"/>
        <v>446</v>
      </c>
      <c r="N24" s="198"/>
      <c r="O24" s="336" t="s">
        <v>13464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2401.0</v>
      </c>
      <c r="B25" s="420" t="s">
        <v>13465</v>
      </c>
      <c r="C25" s="420">
        <v>1998.0</v>
      </c>
      <c r="D25" s="497">
        <v>36139.0</v>
      </c>
      <c r="E25" s="420" t="s">
        <v>13466</v>
      </c>
      <c r="F25" s="683" t="s">
        <v>13467</v>
      </c>
      <c r="G25" s="420" t="s">
        <v>547</v>
      </c>
      <c r="H25" s="420" t="s">
        <v>5180</v>
      </c>
      <c r="I25" s="497">
        <v>36962.0</v>
      </c>
      <c r="J25" s="422">
        <v>3.0</v>
      </c>
      <c r="K25" s="637" t="s">
        <v>238</v>
      </c>
      <c r="L25" s="420" t="s">
        <v>258</v>
      </c>
      <c r="M25" s="316">
        <f t="shared" si="2"/>
        <v>823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2501.0</v>
      </c>
      <c r="B26" s="426" t="s">
        <v>13468</v>
      </c>
      <c r="C26" s="426">
        <v>1998.0</v>
      </c>
      <c r="D26" s="500">
        <v>35903.0</v>
      </c>
      <c r="E26" s="426" t="s">
        <v>13469</v>
      </c>
      <c r="F26" s="682" t="s">
        <v>9829</v>
      </c>
      <c r="G26" s="426" t="s">
        <v>650</v>
      </c>
      <c r="H26" s="426" t="s">
        <v>9672</v>
      </c>
      <c r="I26" s="500">
        <v>36963.0</v>
      </c>
      <c r="J26" s="428">
        <v>3.0</v>
      </c>
      <c r="K26" s="637" t="s">
        <v>238</v>
      </c>
      <c r="L26" s="428" t="s">
        <v>258</v>
      </c>
      <c r="M26" s="319">
        <f t="shared" si="2"/>
        <v>1060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2601.0</v>
      </c>
      <c r="B27" s="420" t="s">
        <v>13470</v>
      </c>
      <c r="C27" s="420">
        <v>1999.0</v>
      </c>
      <c r="D27" s="497">
        <v>36247.0</v>
      </c>
      <c r="E27" s="420" t="s">
        <v>13471</v>
      </c>
      <c r="F27" s="683" t="s">
        <v>171</v>
      </c>
      <c r="G27" s="420" t="s">
        <v>650</v>
      </c>
      <c r="H27" s="420" t="s">
        <v>1002</v>
      </c>
      <c r="I27" s="497">
        <v>36965.0</v>
      </c>
      <c r="J27" s="422">
        <v>3.0</v>
      </c>
      <c r="K27" s="638" t="s">
        <v>234</v>
      </c>
      <c r="L27" s="420" t="s">
        <v>258</v>
      </c>
      <c r="M27" s="316">
        <f t="shared" si="2"/>
        <v>718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2701.0</v>
      </c>
      <c r="B28" s="426" t="s">
        <v>13472</v>
      </c>
      <c r="C28" s="426">
        <v>1995.0</v>
      </c>
      <c r="D28" s="500">
        <v>35051.0</v>
      </c>
      <c r="E28" s="426" t="s">
        <v>13473</v>
      </c>
      <c r="F28" s="682" t="s">
        <v>13474</v>
      </c>
      <c r="G28" s="426" t="s">
        <v>650</v>
      </c>
      <c r="H28" s="426" t="s">
        <v>18</v>
      </c>
      <c r="I28" s="500">
        <v>36966.0</v>
      </c>
      <c r="J28" s="428">
        <v>3.0</v>
      </c>
      <c r="K28" s="638" t="s">
        <v>234</v>
      </c>
      <c r="L28" s="428" t="s">
        <v>256</v>
      </c>
      <c r="M28" s="319">
        <f t="shared" si="2"/>
        <v>1915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2801.0</v>
      </c>
      <c r="B29" s="420" t="s">
        <v>13475</v>
      </c>
      <c r="C29" s="420">
        <v>1996.0</v>
      </c>
      <c r="D29" s="497">
        <v>35135.0</v>
      </c>
      <c r="E29" s="420" t="s">
        <v>13476</v>
      </c>
      <c r="F29" s="683" t="s">
        <v>44</v>
      </c>
      <c r="G29" s="420" t="s">
        <v>650</v>
      </c>
      <c r="H29" s="420" t="s">
        <v>13182</v>
      </c>
      <c r="I29" s="497">
        <v>36966.0</v>
      </c>
      <c r="J29" s="422">
        <v>3.0</v>
      </c>
      <c r="K29" s="635" t="s">
        <v>228</v>
      </c>
      <c r="L29" s="420" t="s">
        <v>258</v>
      </c>
      <c r="M29" s="316">
        <f t="shared" si="2"/>
        <v>1831</v>
      </c>
      <c r="N29" s="198"/>
      <c r="O29" s="322">
        <v>1989.0</v>
      </c>
      <c r="P29" s="346">
        <f>COUNTIF($C$2:$C$503,"1989")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2901.0</v>
      </c>
      <c r="B30" s="426" t="s">
        <v>13477</v>
      </c>
      <c r="C30" s="426">
        <v>1993.0</v>
      </c>
      <c r="D30" s="500">
        <v>34209.0</v>
      </c>
      <c r="E30" s="426" t="s">
        <v>13478</v>
      </c>
      <c r="F30" s="682" t="s">
        <v>1203</v>
      </c>
      <c r="G30" s="426" t="s">
        <v>650</v>
      </c>
      <c r="H30" s="426" t="s">
        <v>13182</v>
      </c>
      <c r="I30" s="500">
        <v>36966.0</v>
      </c>
      <c r="J30" s="428">
        <v>3.0</v>
      </c>
      <c r="K30" s="637" t="s">
        <v>238</v>
      </c>
      <c r="L30" s="428" t="s">
        <v>256</v>
      </c>
      <c r="M30" s="319">
        <f t="shared" si="2"/>
        <v>2757</v>
      </c>
      <c r="N30" s="198"/>
      <c r="O30" s="321">
        <v>1990.0</v>
      </c>
      <c r="P30" s="344">
        <f>COUNTIF($C$2:$C$503,"1990")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3001.0</v>
      </c>
      <c r="B31" s="420" t="s">
        <v>13479</v>
      </c>
      <c r="C31" s="420">
        <v>1996.0</v>
      </c>
      <c r="D31" s="497">
        <v>35310.0</v>
      </c>
      <c r="E31" s="420" t="s">
        <v>13480</v>
      </c>
      <c r="F31" s="683" t="s">
        <v>13405</v>
      </c>
      <c r="G31" s="420" t="s">
        <v>650</v>
      </c>
      <c r="H31" s="420" t="s">
        <v>13406</v>
      </c>
      <c r="I31" s="497">
        <v>36966.0</v>
      </c>
      <c r="J31" s="422">
        <v>3.0</v>
      </c>
      <c r="K31" s="637" t="s">
        <v>238</v>
      </c>
      <c r="L31" s="420" t="s">
        <v>258</v>
      </c>
      <c r="M31" s="316">
        <f t="shared" si="2"/>
        <v>1656</v>
      </c>
      <c r="N31" s="198"/>
      <c r="O31" s="322">
        <v>1991.0</v>
      </c>
      <c r="P31" s="346">
        <f>COUNTIF($C$2:$C$503,"1991")</f>
        <v>1</v>
      </c>
      <c r="Q31" s="113"/>
      <c r="R31" s="114"/>
      <c r="S31" s="343">
        <f>P31/P42</f>
        <v>0.008771929825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3101.0</v>
      </c>
      <c r="B32" s="426" t="s">
        <v>13481</v>
      </c>
      <c r="C32" s="426">
        <v>1999.0</v>
      </c>
      <c r="D32" s="500">
        <v>36392.0</v>
      </c>
      <c r="E32" s="426" t="s">
        <v>13482</v>
      </c>
      <c r="F32" s="682" t="s">
        <v>2311</v>
      </c>
      <c r="G32" s="426" t="s">
        <v>650</v>
      </c>
      <c r="H32" s="426" t="s">
        <v>50</v>
      </c>
      <c r="I32" s="500">
        <v>36978.0</v>
      </c>
      <c r="J32" s="428">
        <v>3.0</v>
      </c>
      <c r="K32" s="635" t="s">
        <v>228</v>
      </c>
      <c r="L32" s="428" t="s">
        <v>256</v>
      </c>
      <c r="M32" s="319">
        <f t="shared" si="2"/>
        <v>586</v>
      </c>
      <c r="N32" s="198"/>
      <c r="O32" s="321">
        <v>1992.0</v>
      </c>
      <c r="P32" s="344">
        <f>COUNTIF($C$2:$C$503,"1992")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3201.0</v>
      </c>
      <c r="B33" s="420" t="s">
        <v>13483</v>
      </c>
      <c r="C33" s="420">
        <v>1999.0</v>
      </c>
      <c r="D33" s="497">
        <v>36411.0</v>
      </c>
      <c r="E33" s="420" t="s">
        <v>13484</v>
      </c>
      <c r="F33" s="683" t="s">
        <v>13485</v>
      </c>
      <c r="G33" s="420" t="s">
        <v>565</v>
      </c>
      <c r="H33" s="420" t="s">
        <v>7556</v>
      </c>
      <c r="I33" s="497">
        <v>36978.0</v>
      </c>
      <c r="J33" s="422">
        <v>3.0</v>
      </c>
      <c r="K33" s="636" t="s">
        <v>244</v>
      </c>
      <c r="L33" s="420" t="s">
        <v>260</v>
      </c>
      <c r="M33" s="316">
        <f t="shared" si="2"/>
        <v>567</v>
      </c>
      <c r="N33" s="198"/>
      <c r="O33" s="322">
        <v>1993.0</v>
      </c>
      <c r="P33" s="346">
        <f>COUNTIF($C$2:$C$503,"1993")</f>
        <v>3</v>
      </c>
      <c r="Q33" s="113"/>
      <c r="R33" s="114"/>
      <c r="S33" s="343">
        <f>P33/P42</f>
        <v>0.02631578947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3301.0</v>
      </c>
      <c r="B34" s="426" t="s">
        <v>13486</v>
      </c>
      <c r="C34" s="426">
        <v>1999.0</v>
      </c>
      <c r="D34" s="500">
        <v>36411.0</v>
      </c>
      <c r="E34" s="426" t="s">
        <v>13487</v>
      </c>
      <c r="F34" s="682" t="s">
        <v>13488</v>
      </c>
      <c r="G34" s="426" t="s">
        <v>565</v>
      </c>
      <c r="H34" s="426" t="s">
        <v>7556</v>
      </c>
      <c r="I34" s="500">
        <v>36978.0</v>
      </c>
      <c r="J34" s="428">
        <v>3.0</v>
      </c>
      <c r="K34" s="636" t="s">
        <v>244</v>
      </c>
      <c r="L34" s="428" t="s">
        <v>260</v>
      </c>
      <c r="M34" s="319">
        <f t="shared" si="2"/>
        <v>567</v>
      </c>
      <c r="N34" s="198"/>
      <c r="O34" s="321">
        <v>1994.0</v>
      </c>
      <c r="P34" s="344">
        <f>COUNTIF($C$2:$C$503,"1994")</f>
        <v>0</v>
      </c>
      <c r="Q34" s="113"/>
      <c r="R34" s="114"/>
      <c r="S34" s="345">
        <f>P34/P42</f>
        <v>0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3401.0</v>
      </c>
      <c r="B35" s="420" t="s">
        <v>13489</v>
      </c>
      <c r="C35" s="420">
        <v>1999.0</v>
      </c>
      <c r="D35" s="497">
        <v>36263.0</v>
      </c>
      <c r="E35" s="420" t="s">
        <v>13490</v>
      </c>
      <c r="F35" s="683" t="s">
        <v>13491</v>
      </c>
      <c r="G35" s="420" t="s">
        <v>565</v>
      </c>
      <c r="H35" s="420" t="s">
        <v>6534</v>
      </c>
      <c r="I35" s="497">
        <v>36980.0</v>
      </c>
      <c r="J35" s="422">
        <v>3.0</v>
      </c>
      <c r="K35" s="636" t="s">
        <v>244</v>
      </c>
      <c r="L35" s="420" t="s">
        <v>260</v>
      </c>
      <c r="M35" s="316">
        <f t="shared" si="2"/>
        <v>717</v>
      </c>
      <c r="N35" s="198"/>
      <c r="O35" s="322">
        <v>1995.0</v>
      </c>
      <c r="P35" s="346">
        <f>COUNTIF($C$2:$C$503,"1995")</f>
        <v>9</v>
      </c>
      <c r="Q35" s="113"/>
      <c r="R35" s="114"/>
      <c r="S35" s="343">
        <f>P35/P42</f>
        <v>0.07894736842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3501.0</v>
      </c>
      <c r="B36" s="426" t="s">
        <v>13492</v>
      </c>
      <c r="C36" s="426">
        <v>1995.0</v>
      </c>
      <c r="D36" s="500">
        <v>34821.0</v>
      </c>
      <c r="E36" s="426" t="s">
        <v>13493</v>
      </c>
      <c r="F36" s="682" t="s">
        <v>9972</v>
      </c>
      <c r="G36" s="426" t="s">
        <v>650</v>
      </c>
      <c r="H36" s="426" t="s">
        <v>12127</v>
      </c>
      <c r="I36" s="500">
        <v>36984.0</v>
      </c>
      <c r="J36" s="428">
        <v>4.0</v>
      </c>
      <c r="K36" s="637" t="s">
        <v>238</v>
      </c>
      <c r="L36" s="428" t="s">
        <v>256</v>
      </c>
      <c r="M36" s="319">
        <f t="shared" si="2"/>
        <v>2163</v>
      </c>
      <c r="N36" s="198"/>
      <c r="O36" s="321">
        <v>1996.0</v>
      </c>
      <c r="P36" s="344">
        <f>COUNTIF($C$2:$C$503,"1996")</f>
        <v>5</v>
      </c>
      <c r="Q36" s="113"/>
      <c r="R36" s="114"/>
      <c r="S36" s="345">
        <f>P36/P42</f>
        <v>0.04385964912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3601.0</v>
      </c>
      <c r="B37" s="420" t="s">
        <v>13494</v>
      </c>
      <c r="C37" s="420">
        <v>1998.0</v>
      </c>
      <c r="D37" s="497">
        <v>35797.0</v>
      </c>
      <c r="E37" s="420" t="s">
        <v>13495</v>
      </c>
      <c r="F37" s="683" t="s">
        <v>3627</v>
      </c>
      <c r="G37" s="420" t="s">
        <v>565</v>
      </c>
      <c r="H37" s="420" t="s">
        <v>1951</v>
      </c>
      <c r="I37" s="497">
        <v>36986.0</v>
      </c>
      <c r="J37" s="422">
        <v>4.0</v>
      </c>
      <c r="K37" s="638" t="s">
        <v>234</v>
      </c>
      <c r="L37" s="420" t="s">
        <v>260</v>
      </c>
      <c r="M37" s="316">
        <f t="shared" si="2"/>
        <v>1189</v>
      </c>
      <c r="N37" s="198"/>
      <c r="O37" s="322">
        <v>1997.0</v>
      </c>
      <c r="P37" s="346">
        <f>COUNTIF($C$2:$C$503,"1997")</f>
        <v>2</v>
      </c>
      <c r="Q37" s="113"/>
      <c r="R37" s="114"/>
      <c r="S37" s="343">
        <f>P37/P42</f>
        <v>0.01754385965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3701.0</v>
      </c>
      <c r="B38" s="426" t="s">
        <v>13496</v>
      </c>
      <c r="C38" s="426">
        <v>1995.0</v>
      </c>
      <c r="D38" s="500">
        <v>34881.0</v>
      </c>
      <c r="E38" s="426" t="s">
        <v>13497</v>
      </c>
      <c r="F38" s="682" t="s">
        <v>1846</v>
      </c>
      <c r="G38" s="426" t="s">
        <v>270</v>
      </c>
      <c r="H38" s="426" t="s">
        <v>13379</v>
      </c>
      <c r="I38" s="500">
        <v>36990.0</v>
      </c>
      <c r="J38" s="428">
        <v>4.0</v>
      </c>
      <c r="K38" s="637" t="s">
        <v>238</v>
      </c>
      <c r="L38" s="428" t="s">
        <v>256</v>
      </c>
      <c r="M38" s="319">
        <f t="shared" si="2"/>
        <v>2109</v>
      </c>
      <c r="N38" s="198"/>
      <c r="O38" s="321">
        <v>1998.0</v>
      </c>
      <c r="P38" s="344">
        <f>COUNTIF($C$2:$C$503,"1998")</f>
        <v>21</v>
      </c>
      <c r="Q38" s="113"/>
      <c r="R38" s="114"/>
      <c r="S38" s="345">
        <f>P38/P42</f>
        <v>0.1842105263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3801.0</v>
      </c>
      <c r="B39" s="420"/>
      <c r="C39" s="420">
        <v>1999.0</v>
      </c>
      <c r="D39" s="497"/>
      <c r="E39" s="420" t="s">
        <v>13498</v>
      </c>
      <c r="F39" s="683" t="s">
        <v>660</v>
      </c>
      <c r="G39" s="420" t="s">
        <v>650</v>
      </c>
      <c r="H39" s="420" t="s">
        <v>13402</v>
      </c>
      <c r="I39" s="497">
        <v>36999.0</v>
      </c>
      <c r="J39" s="422">
        <v>4.0</v>
      </c>
      <c r="K39" s="635" t="s">
        <v>228</v>
      </c>
      <c r="L39" s="420" t="s">
        <v>258</v>
      </c>
      <c r="M39" s="316"/>
      <c r="N39" s="198"/>
      <c r="O39" s="322">
        <v>1999.0</v>
      </c>
      <c r="P39" s="346">
        <f>COUNTIF($C$2:$C$503,"1999")</f>
        <v>47</v>
      </c>
      <c r="Q39" s="113"/>
      <c r="R39" s="114"/>
      <c r="S39" s="343">
        <f>P39/P42</f>
        <v>0.4122807018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3901.0</v>
      </c>
      <c r="B40" s="426" t="s">
        <v>13499</v>
      </c>
      <c r="C40" s="426">
        <v>1999.0</v>
      </c>
      <c r="D40" s="500">
        <v>36230.0</v>
      </c>
      <c r="E40" s="426" t="s">
        <v>13500</v>
      </c>
      <c r="F40" s="682" t="s">
        <v>12845</v>
      </c>
      <c r="G40" s="426" t="s">
        <v>565</v>
      </c>
      <c r="H40" s="426" t="s">
        <v>6534</v>
      </c>
      <c r="I40" s="500">
        <v>37007.0</v>
      </c>
      <c r="J40" s="428">
        <v>4.0</v>
      </c>
      <c r="K40" s="636" t="s">
        <v>244</v>
      </c>
      <c r="L40" s="428" t="s">
        <v>260</v>
      </c>
      <c r="M40" s="319">
        <f t="shared" ref="M40:M51" si="3">I40-D40</f>
        <v>777</v>
      </c>
      <c r="N40" s="198"/>
      <c r="O40" s="321">
        <v>2000.0</v>
      </c>
      <c r="P40" s="344">
        <f>COUNTIF($C$2:$C$503,"2000")</f>
        <v>24</v>
      </c>
      <c r="Q40" s="113"/>
      <c r="R40" s="114"/>
      <c r="S40" s="345">
        <f>P40/P42</f>
        <v>0.2105263158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4001.0</v>
      </c>
      <c r="B41" s="420" t="s">
        <v>13501</v>
      </c>
      <c r="C41" s="420">
        <v>1995.0</v>
      </c>
      <c r="D41" s="497">
        <v>35051.0</v>
      </c>
      <c r="E41" s="420" t="s">
        <v>13502</v>
      </c>
      <c r="F41" s="683" t="s">
        <v>4355</v>
      </c>
      <c r="G41" s="420" t="s">
        <v>650</v>
      </c>
      <c r="H41" s="420" t="s">
        <v>18</v>
      </c>
      <c r="I41" s="497">
        <v>37015.0</v>
      </c>
      <c r="J41" s="422">
        <v>5.0</v>
      </c>
      <c r="K41" s="638" t="s">
        <v>234</v>
      </c>
      <c r="L41" s="420" t="s">
        <v>256</v>
      </c>
      <c r="M41" s="316">
        <f t="shared" si="3"/>
        <v>1964</v>
      </c>
      <c r="N41" s="198"/>
      <c r="O41" s="322">
        <v>2001.0</v>
      </c>
      <c r="P41" s="346">
        <f>COUNTIF($C$2:$C$503,"2001")</f>
        <v>2</v>
      </c>
      <c r="Q41" s="113"/>
      <c r="R41" s="114"/>
      <c r="S41" s="343">
        <f>P41/P42</f>
        <v>0.01754385965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4101.0</v>
      </c>
      <c r="B42" s="426" t="s">
        <v>13503</v>
      </c>
      <c r="C42" s="426">
        <v>1999.0</v>
      </c>
      <c r="D42" s="500">
        <v>36480.0</v>
      </c>
      <c r="E42" s="426" t="s">
        <v>13504</v>
      </c>
      <c r="F42" s="682" t="s">
        <v>1255</v>
      </c>
      <c r="G42" s="426" t="s">
        <v>270</v>
      </c>
      <c r="H42" s="426" t="s">
        <v>3788</v>
      </c>
      <c r="I42" s="500">
        <v>37015.0</v>
      </c>
      <c r="J42" s="428">
        <v>5.0</v>
      </c>
      <c r="K42" s="637" t="s">
        <v>238</v>
      </c>
      <c r="L42" s="428" t="s">
        <v>256</v>
      </c>
      <c r="M42" s="319">
        <f t="shared" si="3"/>
        <v>535</v>
      </c>
      <c r="N42" s="198"/>
      <c r="O42" s="348" t="s">
        <v>179</v>
      </c>
      <c r="P42" s="349">
        <f>SUM(P29:R41)</f>
        <v>114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4201.0</v>
      </c>
      <c r="B43" s="420" t="s">
        <v>13505</v>
      </c>
      <c r="C43" s="420">
        <v>1999.0</v>
      </c>
      <c r="D43" s="497">
        <v>36521.0</v>
      </c>
      <c r="E43" s="420" t="s">
        <v>13506</v>
      </c>
      <c r="F43" s="683" t="s">
        <v>963</v>
      </c>
      <c r="G43" s="420" t="s">
        <v>650</v>
      </c>
      <c r="H43" s="420" t="s">
        <v>13507</v>
      </c>
      <c r="I43" s="497">
        <v>37015.0</v>
      </c>
      <c r="J43" s="422">
        <v>5.0</v>
      </c>
      <c r="K43" s="636" t="s">
        <v>244</v>
      </c>
      <c r="L43" s="420" t="s">
        <v>258</v>
      </c>
      <c r="M43" s="316">
        <f t="shared" si="3"/>
        <v>494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4301.0</v>
      </c>
      <c r="B44" s="426" t="s">
        <v>13508</v>
      </c>
      <c r="C44" s="426">
        <v>1996.0</v>
      </c>
      <c r="D44" s="500">
        <v>35186.0</v>
      </c>
      <c r="E44" s="426" t="s">
        <v>8136</v>
      </c>
      <c r="F44" s="682" t="s">
        <v>5368</v>
      </c>
      <c r="G44" s="426" t="s">
        <v>650</v>
      </c>
      <c r="H44" s="426" t="s">
        <v>5180</v>
      </c>
      <c r="I44" s="500">
        <v>37019.0</v>
      </c>
      <c r="J44" s="428">
        <v>5.0</v>
      </c>
      <c r="K44" s="636" t="s">
        <v>244</v>
      </c>
      <c r="L44" s="428" t="s">
        <v>260</v>
      </c>
      <c r="M44" s="319">
        <f t="shared" si="3"/>
        <v>1833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4401.0</v>
      </c>
      <c r="B45" s="420" t="s">
        <v>13509</v>
      </c>
      <c r="C45" s="420">
        <v>2000.0</v>
      </c>
      <c r="D45" s="497">
        <v>36645.0</v>
      </c>
      <c r="E45" s="420" t="s">
        <v>13510</v>
      </c>
      <c r="F45" s="683" t="s">
        <v>13511</v>
      </c>
      <c r="G45" s="420" t="s">
        <v>34</v>
      </c>
      <c r="H45" s="420" t="s">
        <v>705</v>
      </c>
      <c r="I45" s="497">
        <v>37019.0</v>
      </c>
      <c r="J45" s="422">
        <v>5.0</v>
      </c>
      <c r="K45" s="637" t="s">
        <v>238</v>
      </c>
      <c r="L45" s="420" t="s">
        <v>258</v>
      </c>
      <c r="M45" s="316">
        <f t="shared" si="3"/>
        <v>374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4501.0</v>
      </c>
      <c r="B46" s="426" t="s">
        <v>13512</v>
      </c>
      <c r="C46" s="426">
        <v>2000.0</v>
      </c>
      <c r="D46" s="500">
        <v>36556.0</v>
      </c>
      <c r="E46" s="426" t="s">
        <v>13513</v>
      </c>
      <c r="F46" s="682" t="s">
        <v>874</v>
      </c>
      <c r="G46" s="426" t="s">
        <v>650</v>
      </c>
      <c r="H46" s="426" t="s">
        <v>13402</v>
      </c>
      <c r="I46" s="500">
        <v>37019.0</v>
      </c>
      <c r="J46" s="428">
        <v>5.0</v>
      </c>
      <c r="K46" s="637" t="s">
        <v>238</v>
      </c>
      <c r="L46" s="428" t="s">
        <v>256</v>
      </c>
      <c r="M46" s="319">
        <f t="shared" si="3"/>
        <v>463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4601.0</v>
      </c>
      <c r="B47" s="420" t="s">
        <v>13514</v>
      </c>
      <c r="C47" s="420">
        <v>1997.0</v>
      </c>
      <c r="D47" s="497">
        <v>35784.0</v>
      </c>
      <c r="E47" s="420" t="s">
        <v>13515</v>
      </c>
      <c r="F47" s="683" t="s">
        <v>13516</v>
      </c>
      <c r="G47" s="420" t="s">
        <v>547</v>
      </c>
      <c r="H47" s="420" t="s">
        <v>2509</v>
      </c>
      <c r="I47" s="497">
        <v>37021.0</v>
      </c>
      <c r="J47" s="422">
        <v>5.0</v>
      </c>
      <c r="K47" s="638" t="s">
        <v>234</v>
      </c>
      <c r="L47" s="420" t="s">
        <v>256</v>
      </c>
      <c r="M47" s="316">
        <f t="shared" si="3"/>
        <v>1237</v>
      </c>
      <c r="N47" s="198"/>
      <c r="O47" s="353" t="s">
        <v>195</v>
      </c>
      <c r="P47" s="342">
        <f>COUNTIF($J$2:$J$476,"1")</f>
        <v>8</v>
      </c>
      <c r="Q47" s="332"/>
      <c r="R47" s="333"/>
      <c r="S47" s="354">
        <f>(P47/P59)</f>
        <v>0.06956521739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4701.0</v>
      </c>
      <c r="B48" s="426" t="s">
        <v>13517</v>
      </c>
      <c r="C48" s="426">
        <v>1999.0</v>
      </c>
      <c r="D48" s="500">
        <v>36398.0</v>
      </c>
      <c r="E48" s="426" t="s">
        <v>13518</v>
      </c>
      <c r="F48" s="682" t="s">
        <v>3532</v>
      </c>
      <c r="G48" s="426" t="s">
        <v>650</v>
      </c>
      <c r="H48" s="426" t="s">
        <v>13215</v>
      </c>
      <c r="I48" s="500">
        <v>37025.0</v>
      </c>
      <c r="J48" s="428">
        <v>5.0</v>
      </c>
      <c r="K48" s="637" t="s">
        <v>238</v>
      </c>
      <c r="L48" s="428" t="s">
        <v>256</v>
      </c>
      <c r="M48" s="319">
        <f t="shared" si="3"/>
        <v>627</v>
      </c>
      <c r="N48" s="198"/>
      <c r="O48" s="321" t="s">
        <v>197</v>
      </c>
      <c r="P48" s="344">
        <f>COUNTIF($J$2:$J$476,"2")</f>
        <v>9</v>
      </c>
      <c r="Q48" s="113"/>
      <c r="R48" s="114"/>
      <c r="S48" s="345">
        <f>(P48/P59)</f>
        <v>0.07826086957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4801.0</v>
      </c>
      <c r="B49" s="420" t="s">
        <v>13519</v>
      </c>
      <c r="C49" s="420">
        <v>1999.0</v>
      </c>
      <c r="D49" s="497">
        <v>36277.0</v>
      </c>
      <c r="E49" s="420" t="s">
        <v>13520</v>
      </c>
      <c r="F49" s="683" t="s">
        <v>11522</v>
      </c>
      <c r="G49" s="420" t="s">
        <v>650</v>
      </c>
      <c r="H49" s="420" t="s">
        <v>13521</v>
      </c>
      <c r="I49" s="497">
        <v>37027.0</v>
      </c>
      <c r="J49" s="422">
        <v>5.0</v>
      </c>
      <c r="K49" s="636" t="s">
        <v>244</v>
      </c>
      <c r="L49" s="420" t="s">
        <v>260</v>
      </c>
      <c r="M49" s="316">
        <f t="shared" si="3"/>
        <v>750</v>
      </c>
      <c r="N49" s="198"/>
      <c r="O49" s="322" t="s">
        <v>199</v>
      </c>
      <c r="P49" s="346">
        <f>COUNTIF($J$2:$J$476,"3")</f>
        <v>16</v>
      </c>
      <c r="Q49" s="113"/>
      <c r="R49" s="114"/>
      <c r="S49" s="343">
        <f>(P49/P59)</f>
        <v>0.1391304348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4901.0</v>
      </c>
      <c r="B50" s="426" t="s">
        <v>13522</v>
      </c>
      <c r="C50" s="426">
        <v>1999.0</v>
      </c>
      <c r="D50" s="500">
        <v>36510.0</v>
      </c>
      <c r="E50" s="426" t="s">
        <v>13523</v>
      </c>
      <c r="F50" s="682" t="s">
        <v>44</v>
      </c>
      <c r="G50" s="426" t="s">
        <v>270</v>
      </c>
      <c r="H50" s="426" t="s">
        <v>5016</v>
      </c>
      <c r="I50" s="500">
        <v>37027.0</v>
      </c>
      <c r="J50" s="428">
        <v>5.0</v>
      </c>
      <c r="K50" s="638" t="s">
        <v>234</v>
      </c>
      <c r="L50" s="428" t="s">
        <v>258</v>
      </c>
      <c r="M50" s="319">
        <f t="shared" si="3"/>
        <v>517</v>
      </c>
      <c r="N50" s="198"/>
      <c r="O50" s="321" t="s">
        <v>201</v>
      </c>
      <c r="P50" s="344">
        <f>COUNTIF($J$2:$J$476,"4")</f>
        <v>5</v>
      </c>
      <c r="Q50" s="113"/>
      <c r="R50" s="114"/>
      <c r="S50" s="345">
        <f>(P50/P59)</f>
        <v>0.04347826087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5001.0</v>
      </c>
      <c r="B51" s="420" t="s">
        <v>13524</v>
      </c>
      <c r="C51" s="420">
        <v>1996.0</v>
      </c>
      <c r="D51" s="497">
        <v>35096.0</v>
      </c>
      <c r="E51" s="420" t="s">
        <v>13525</v>
      </c>
      <c r="F51" s="683" t="s">
        <v>13526</v>
      </c>
      <c r="G51" s="420" t="s">
        <v>270</v>
      </c>
      <c r="H51" s="420" t="s">
        <v>18</v>
      </c>
      <c r="I51" s="497">
        <v>37032.0</v>
      </c>
      <c r="J51" s="422">
        <v>5.0</v>
      </c>
      <c r="K51" s="638" t="s">
        <v>234</v>
      </c>
      <c r="L51" s="420" t="s">
        <v>256</v>
      </c>
      <c r="M51" s="316">
        <f t="shared" si="3"/>
        <v>1936</v>
      </c>
      <c r="N51" s="198"/>
      <c r="O51" s="322" t="s">
        <v>203</v>
      </c>
      <c r="P51" s="346">
        <f>COUNTIF($J$2:$J$476,"5")</f>
        <v>15</v>
      </c>
      <c r="Q51" s="113"/>
      <c r="R51" s="114"/>
      <c r="S51" s="343">
        <f>(P51/P59)</f>
        <v>0.1304347826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5101.0</v>
      </c>
      <c r="B52" s="585" t="s">
        <v>3889</v>
      </c>
      <c r="C52" s="585" t="s">
        <v>3889</v>
      </c>
      <c r="D52" s="540" t="s">
        <v>3889</v>
      </c>
      <c r="E52" s="585" t="s">
        <v>3889</v>
      </c>
      <c r="F52" s="684" t="s">
        <v>3889</v>
      </c>
      <c r="G52" s="585" t="s">
        <v>3889</v>
      </c>
      <c r="H52" s="585" t="s">
        <v>3889</v>
      </c>
      <c r="I52" s="540" t="s">
        <v>3889</v>
      </c>
      <c r="J52" s="321" t="s">
        <v>3889</v>
      </c>
      <c r="K52" s="585" t="s">
        <v>3889</v>
      </c>
      <c r="L52" s="321" t="s">
        <v>3889</v>
      </c>
      <c r="M52" s="321" t="s">
        <v>3889</v>
      </c>
      <c r="N52" s="198"/>
      <c r="O52" s="321" t="s">
        <v>205</v>
      </c>
      <c r="P52" s="344">
        <f>COUNTIF($J$2:$J$476,"6")</f>
        <v>4</v>
      </c>
      <c r="Q52" s="113"/>
      <c r="R52" s="114"/>
      <c r="S52" s="345">
        <f>(P52/P59)</f>
        <v>0.0347826087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5201.0</v>
      </c>
      <c r="B53" s="420" t="s">
        <v>13527</v>
      </c>
      <c r="C53" s="420">
        <v>1998.0</v>
      </c>
      <c r="D53" s="497">
        <v>36119.0</v>
      </c>
      <c r="E53" s="420" t="s">
        <v>13528</v>
      </c>
      <c r="F53" s="683" t="s">
        <v>963</v>
      </c>
      <c r="G53" s="420" t="s">
        <v>650</v>
      </c>
      <c r="H53" s="420" t="s">
        <v>2325</v>
      </c>
      <c r="I53" s="497">
        <v>37039.0</v>
      </c>
      <c r="J53" s="422">
        <v>5.0</v>
      </c>
      <c r="K53" s="636" t="s">
        <v>244</v>
      </c>
      <c r="L53" s="420" t="s">
        <v>258</v>
      </c>
      <c r="M53" s="316">
        <f t="shared" ref="M53:M107" si="4">I53-D53</f>
        <v>920</v>
      </c>
      <c r="N53" s="198"/>
      <c r="O53" s="322" t="s">
        <v>207</v>
      </c>
      <c r="P53" s="346">
        <f>COUNTIF($J$2:$J$476,"7")</f>
        <v>3</v>
      </c>
      <c r="Q53" s="113"/>
      <c r="R53" s="114"/>
      <c r="S53" s="343">
        <f>(P53/P59)</f>
        <v>0.02608695652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5301.0</v>
      </c>
      <c r="B54" s="426" t="s">
        <v>13529</v>
      </c>
      <c r="C54" s="426">
        <v>1998.0</v>
      </c>
      <c r="D54" s="500">
        <v>36119.0</v>
      </c>
      <c r="E54" s="426" t="s">
        <v>13530</v>
      </c>
      <c r="F54" s="682" t="s">
        <v>963</v>
      </c>
      <c r="G54" s="426" t="s">
        <v>650</v>
      </c>
      <c r="H54" s="426" t="s">
        <v>2325</v>
      </c>
      <c r="I54" s="500">
        <v>37039.0</v>
      </c>
      <c r="J54" s="428">
        <v>5.0</v>
      </c>
      <c r="K54" s="636" t="s">
        <v>244</v>
      </c>
      <c r="L54" s="428" t="s">
        <v>258</v>
      </c>
      <c r="M54" s="319">
        <f t="shared" si="4"/>
        <v>920</v>
      </c>
      <c r="N54" s="198"/>
      <c r="O54" s="321" t="s">
        <v>209</v>
      </c>
      <c r="P54" s="344">
        <f>COUNTIF($J$2:$J$476,"8")</f>
        <v>12</v>
      </c>
      <c r="Q54" s="113"/>
      <c r="R54" s="114"/>
      <c r="S54" s="345">
        <f>(P54/P59)</f>
        <v>0.1043478261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5401.0</v>
      </c>
      <c r="B55" s="420" t="s">
        <v>13531</v>
      </c>
      <c r="C55" s="420">
        <v>1998.0</v>
      </c>
      <c r="D55" s="497">
        <v>36119.0</v>
      </c>
      <c r="E55" s="420" t="s">
        <v>13532</v>
      </c>
      <c r="F55" s="683" t="s">
        <v>963</v>
      </c>
      <c r="G55" s="420" t="s">
        <v>650</v>
      </c>
      <c r="H55" s="420" t="s">
        <v>2325</v>
      </c>
      <c r="I55" s="497">
        <v>37039.0</v>
      </c>
      <c r="J55" s="422">
        <v>5.0</v>
      </c>
      <c r="K55" s="636" t="s">
        <v>244</v>
      </c>
      <c r="L55" s="420" t="s">
        <v>258</v>
      </c>
      <c r="M55" s="316">
        <f t="shared" si="4"/>
        <v>920</v>
      </c>
      <c r="N55" s="198"/>
      <c r="O55" s="322" t="s">
        <v>211</v>
      </c>
      <c r="P55" s="346">
        <f>COUNTIF($J$2:$J$476,"9")</f>
        <v>14</v>
      </c>
      <c r="Q55" s="113"/>
      <c r="R55" s="114"/>
      <c r="S55" s="343">
        <f>(P55/P59)</f>
        <v>0.1217391304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5501.0</v>
      </c>
      <c r="B56" s="426" t="s">
        <v>13533</v>
      </c>
      <c r="C56" s="426">
        <v>1999.0</v>
      </c>
      <c r="D56" s="500">
        <v>36426.0</v>
      </c>
      <c r="E56" s="426" t="s">
        <v>13534</v>
      </c>
      <c r="F56" s="682" t="s">
        <v>660</v>
      </c>
      <c r="G56" s="426" t="s">
        <v>650</v>
      </c>
      <c r="H56" s="426" t="s">
        <v>50</v>
      </c>
      <c r="I56" s="500">
        <v>37041.0</v>
      </c>
      <c r="J56" s="428">
        <v>5.0</v>
      </c>
      <c r="K56" s="637" t="s">
        <v>238</v>
      </c>
      <c r="L56" s="428" t="s">
        <v>258</v>
      </c>
      <c r="M56" s="319">
        <f t="shared" si="4"/>
        <v>615</v>
      </c>
      <c r="N56" s="198"/>
      <c r="O56" s="321" t="s">
        <v>213</v>
      </c>
      <c r="P56" s="344">
        <f>COUNTIF($J$2:$J$476,"10")</f>
        <v>6</v>
      </c>
      <c r="Q56" s="113"/>
      <c r="R56" s="114"/>
      <c r="S56" s="345">
        <f>(P56/P59)</f>
        <v>0.05217391304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5601.0</v>
      </c>
      <c r="B57" s="420" t="s">
        <v>13535</v>
      </c>
      <c r="C57" s="420">
        <v>1993.0</v>
      </c>
      <c r="D57" s="497">
        <v>34217.0</v>
      </c>
      <c r="E57" s="420" t="s">
        <v>13536</v>
      </c>
      <c r="F57" s="683" t="s">
        <v>1843</v>
      </c>
      <c r="G57" s="420" t="s">
        <v>650</v>
      </c>
      <c r="H57" s="420" t="s">
        <v>13155</v>
      </c>
      <c r="I57" s="497">
        <v>37046.0</v>
      </c>
      <c r="J57" s="422">
        <v>6.0</v>
      </c>
      <c r="K57" s="637" t="s">
        <v>238</v>
      </c>
      <c r="L57" s="420" t="s">
        <v>258</v>
      </c>
      <c r="M57" s="316">
        <f t="shared" si="4"/>
        <v>2829</v>
      </c>
      <c r="N57" s="198"/>
      <c r="O57" s="322" t="s">
        <v>215</v>
      </c>
      <c r="P57" s="346">
        <f>COUNTIF($J$2:$J$476,"11")</f>
        <v>9</v>
      </c>
      <c r="Q57" s="113"/>
      <c r="R57" s="114"/>
      <c r="S57" s="343">
        <f>(P57/P59)</f>
        <v>0.07826086957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5701.0</v>
      </c>
      <c r="B58" s="426" t="s">
        <v>13537</v>
      </c>
      <c r="C58" s="426">
        <v>1999.0</v>
      </c>
      <c r="D58" s="500">
        <v>36457.0</v>
      </c>
      <c r="E58" s="426" t="s">
        <v>13538</v>
      </c>
      <c r="F58" s="682" t="s">
        <v>13539</v>
      </c>
      <c r="G58" s="426" t="s">
        <v>34</v>
      </c>
      <c r="H58" s="426" t="s">
        <v>705</v>
      </c>
      <c r="I58" s="500">
        <v>37060.0</v>
      </c>
      <c r="J58" s="428">
        <v>6.0</v>
      </c>
      <c r="K58" s="637" t="s">
        <v>238</v>
      </c>
      <c r="L58" s="428" t="s">
        <v>258</v>
      </c>
      <c r="M58" s="319">
        <f t="shared" si="4"/>
        <v>603</v>
      </c>
      <c r="N58" s="198"/>
      <c r="O58" s="355" t="s">
        <v>217</v>
      </c>
      <c r="P58" s="344">
        <f>COUNTIF($J$2:$J$476,"12")</f>
        <v>14</v>
      </c>
      <c r="Q58" s="113"/>
      <c r="R58" s="114"/>
      <c r="S58" s="356">
        <f>(P58/P59)</f>
        <v>0.1217391304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5801.0</v>
      </c>
      <c r="B59" s="420" t="s">
        <v>13540</v>
      </c>
      <c r="C59" s="420">
        <v>1999.0</v>
      </c>
      <c r="D59" s="497">
        <v>36516.0</v>
      </c>
      <c r="E59" s="420" t="s">
        <v>13541</v>
      </c>
      <c r="F59" s="683" t="s">
        <v>13542</v>
      </c>
      <c r="G59" s="420" t="s">
        <v>547</v>
      </c>
      <c r="H59" s="420" t="s">
        <v>13543</v>
      </c>
      <c r="I59" s="497">
        <v>37068.0</v>
      </c>
      <c r="J59" s="422">
        <v>6.0</v>
      </c>
      <c r="K59" s="637" t="s">
        <v>238</v>
      </c>
      <c r="L59" s="420" t="s">
        <v>258</v>
      </c>
      <c r="M59" s="316">
        <f t="shared" si="4"/>
        <v>552</v>
      </c>
      <c r="N59" s="198"/>
      <c r="O59" s="348" t="s">
        <v>219</v>
      </c>
      <c r="P59" s="349">
        <f>SUM(P47:R58)</f>
        <v>115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5901.0</v>
      </c>
      <c r="B60" s="426" t="s">
        <v>13544</v>
      </c>
      <c r="C60" s="426">
        <v>1999.0</v>
      </c>
      <c r="D60" s="500">
        <v>36517.0</v>
      </c>
      <c r="E60" s="426" t="s">
        <v>13545</v>
      </c>
      <c r="F60" s="682" t="s">
        <v>13542</v>
      </c>
      <c r="G60" s="426" t="s">
        <v>34</v>
      </c>
      <c r="H60" s="426" t="s">
        <v>13543</v>
      </c>
      <c r="I60" s="500">
        <v>37068.0</v>
      </c>
      <c r="J60" s="428">
        <v>6.0</v>
      </c>
      <c r="K60" s="636" t="s">
        <v>244</v>
      </c>
      <c r="L60" s="428" t="s">
        <v>258</v>
      </c>
      <c r="M60" s="319">
        <f t="shared" si="4"/>
        <v>551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6001.0</v>
      </c>
      <c r="B61" s="420" t="s">
        <v>13546</v>
      </c>
      <c r="C61" s="420">
        <v>2000.0</v>
      </c>
      <c r="D61" s="497">
        <v>36790.0</v>
      </c>
      <c r="E61" s="420" t="s">
        <v>13547</v>
      </c>
      <c r="F61" s="683" t="s">
        <v>3688</v>
      </c>
      <c r="G61" s="420" t="s">
        <v>565</v>
      </c>
      <c r="H61" s="420" t="s">
        <v>6534</v>
      </c>
      <c r="I61" s="497">
        <v>37090.0</v>
      </c>
      <c r="J61" s="422">
        <v>7.0</v>
      </c>
      <c r="K61" s="636" t="s">
        <v>244</v>
      </c>
      <c r="L61" s="420" t="s">
        <v>260</v>
      </c>
      <c r="M61" s="316">
        <f t="shared" si="4"/>
        <v>300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6101.0</v>
      </c>
      <c r="B62" s="426" t="s">
        <v>13548</v>
      </c>
      <c r="C62" s="426">
        <v>1999.0</v>
      </c>
      <c r="D62" s="500">
        <v>36414.0</v>
      </c>
      <c r="E62" s="426" t="s">
        <v>13549</v>
      </c>
      <c r="F62" s="682" t="s">
        <v>2222</v>
      </c>
      <c r="G62" s="426" t="s">
        <v>270</v>
      </c>
      <c r="H62" s="426" t="s">
        <v>12127</v>
      </c>
      <c r="I62" s="500">
        <v>37103.0</v>
      </c>
      <c r="J62" s="428">
        <v>7.0</v>
      </c>
      <c r="K62" s="637" t="s">
        <v>238</v>
      </c>
      <c r="L62" s="428" t="s">
        <v>258</v>
      </c>
      <c r="M62" s="319">
        <f t="shared" si="4"/>
        <v>689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6201.0</v>
      </c>
      <c r="B63" s="420" t="s">
        <v>13550</v>
      </c>
      <c r="C63" s="420">
        <v>2000.0</v>
      </c>
      <c r="D63" s="497">
        <v>36850.0</v>
      </c>
      <c r="E63" s="420" t="s">
        <v>13551</v>
      </c>
      <c r="F63" s="683" t="s">
        <v>44</v>
      </c>
      <c r="G63" s="420" t="s">
        <v>270</v>
      </c>
      <c r="H63" s="420" t="s">
        <v>9672</v>
      </c>
      <c r="I63" s="497">
        <v>37103.0</v>
      </c>
      <c r="J63" s="422">
        <v>7.0</v>
      </c>
      <c r="K63" s="638" t="s">
        <v>234</v>
      </c>
      <c r="L63" s="420" t="s">
        <v>258</v>
      </c>
      <c r="M63" s="316">
        <f t="shared" si="4"/>
        <v>253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6301.0</v>
      </c>
      <c r="B64" s="426" t="s">
        <v>13552</v>
      </c>
      <c r="C64" s="426">
        <v>1999.0</v>
      </c>
      <c r="D64" s="500">
        <v>36280.0</v>
      </c>
      <c r="E64" s="426" t="s">
        <v>13553</v>
      </c>
      <c r="F64" s="682" t="s">
        <v>666</v>
      </c>
      <c r="G64" s="426" t="s">
        <v>650</v>
      </c>
      <c r="H64" s="426" t="s">
        <v>705</v>
      </c>
      <c r="I64" s="500">
        <v>37112.0</v>
      </c>
      <c r="J64" s="428">
        <v>8.0</v>
      </c>
      <c r="K64" s="635" t="s">
        <v>228</v>
      </c>
      <c r="L64" s="428" t="s">
        <v>256</v>
      </c>
      <c r="M64" s="319">
        <f t="shared" si="4"/>
        <v>832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17</v>
      </c>
      <c r="T64" s="366">
        <f>(S64/S76)</f>
        <v>0.147826087</v>
      </c>
      <c r="U64" s="198"/>
      <c r="V64" s="198"/>
      <c r="W64" s="198"/>
      <c r="X64" s="198"/>
      <c r="Y64" s="198"/>
      <c r="Z64" s="198"/>
    </row>
    <row r="65" ht="12.75" customHeight="1">
      <c r="A65" s="578">
        <v>6401.0</v>
      </c>
      <c r="B65" s="420" t="s">
        <v>13554</v>
      </c>
      <c r="C65" s="420">
        <v>1995.0</v>
      </c>
      <c r="D65" s="497">
        <v>35015.0</v>
      </c>
      <c r="E65" s="420" t="s">
        <v>13555</v>
      </c>
      <c r="F65" s="683" t="s">
        <v>12409</v>
      </c>
      <c r="G65" s="420" t="s">
        <v>650</v>
      </c>
      <c r="H65" s="420" t="s">
        <v>12127</v>
      </c>
      <c r="I65" s="497">
        <v>37112.0</v>
      </c>
      <c r="J65" s="422">
        <v>8.0</v>
      </c>
      <c r="K65" s="637" t="s">
        <v>238</v>
      </c>
      <c r="L65" s="420" t="s">
        <v>256</v>
      </c>
      <c r="M65" s="316">
        <f t="shared" si="4"/>
        <v>2097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6501.0</v>
      </c>
      <c r="B66" s="426" t="s">
        <v>13556</v>
      </c>
      <c r="C66" s="426">
        <v>1995.0</v>
      </c>
      <c r="D66" s="500">
        <v>34852.0</v>
      </c>
      <c r="E66" s="426" t="s">
        <v>13557</v>
      </c>
      <c r="F66" s="682" t="s">
        <v>13558</v>
      </c>
      <c r="G66" s="426" t="s">
        <v>650</v>
      </c>
      <c r="H66" s="426" t="s">
        <v>12127</v>
      </c>
      <c r="I66" s="500">
        <v>37112.0</v>
      </c>
      <c r="J66" s="428">
        <v>8.0</v>
      </c>
      <c r="K66" s="638" t="s">
        <v>234</v>
      </c>
      <c r="L66" s="428" t="s">
        <v>258</v>
      </c>
      <c r="M66" s="319">
        <f t="shared" si="4"/>
        <v>2260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6601.0</v>
      </c>
      <c r="B67" s="420" t="s">
        <v>13559</v>
      </c>
      <c r="C67" s="420">
        <v>1999.0</v>
      </c>
      <c r="D67" s="497">
        <v>36416.0</v>
      </c>
      <c r="E67" s="420" t="s">
        <v>13560</v>
      </c>
      <c r="F67" s="683" t="s">
        <v>10972</v>
      </c>
      <c r="G67" s="420" t="s">
        <v>650</v>
      </c>
      <c r="H67" s="420" t="s">
        <v>705</v>
      </c>
      <c r="I67" s="497">
        <v>37113.0</v>
      </c>
      <c r="J67" s="422">
        <v>8.0</v>
      </c>
      <c r="K67" s="638" t="s">
        <v>234</v>
      </c>
      <c r="L67" s="420" t="s">
        <v>258</v>
      </c>
      <c r="M67" s="316">
        <f t="shared" si="4"/>
        <v>697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26</v>
      </c>
      <c r="T67" s="374">
        <f>(S67/S76)</f>
        <v>0.2260869565</v>
      </c>
      <c r="U67" s="198"/>
      <c r="V67" s="198"/>
      <c r="W67" s="198"/>
      <c r="X67" s="198"/>
      <c r="Y67" s="198"/>
      <c r="Z67" s="198"/>
    </row>
    <row r="68" ht="12.75" customHeight="1">
      <c r="A68" s="585">
        <v>6701.0</v>
      </c>
      <c r="B68" s="426" t="s">
        <v>13561</v>
      </c>
      <c r="C68" s="426">
        <v>1993.0</v>
      </c>
      <c r="D68" s="500">
        <v>33989.0</v>
      </c>
      <c r="E68" s="426" t="s">
        <v>13562</v>
      </c>
      <c r="F68" s="682" t="s">
        <v>13563</v>
      </c>
      <c r="G68" s="426" t="s">
        <v>650</v>
      </c>
      <c r="H68" s="426" t="s">
        <v>12127</v>
      </c>
      <c r="I68" s="500">
        <v>37113.0</v>
      </c>
      <c r="J68" s="428">
        <v>8.0</v>
      </c>
      <c r="K68" s="637" t="s">
        <v>238</v>
      </c>
      <c r="L68" s="428" t="s">
        <v>256</v>
      </c>
      <c r="M68" s="319">
        <f t="shared" si="4"/>
        <v>3124</v>
      </c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6801.0</v>
      </c>
      <c r="B69" s="420" t="s">
        <v>13564</v>
      </c>
      <c r="C69" s="420">
        <v>1998.0</v>
      </c>
      <c r="D69" s="497">
        <v>36126.0</v>
      </c>
      <c r="E69" s="420" t="s">
        <v>13565</v>
      </c>
      <c r="F69" s="683" t="s">
        <v>11657</v>
      </c>
      <c r="G69" s="420" t="s">
        <v>270</v>
      </c>
      <c r="H69" s="420" t="s">
        <v>601</v>
      </c>
      <c r="I69" s="497">
        <v>37116.0</v>
      </c>
      <c r="J69" s="422">
        <v>8.0</v>
      </c>
      <c r="K69" s="635" t="s">
        <v>228</v>
      </c>
      <c r="L69" s="420" t="s">
        <v>256</v>
      </c>
      <c r="M69" s="316">
        <f t="shared" si="4"/>
        <v>990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49</v>
      </c>
      <c r="T69" s="377">
        <f>(S69/S76)</f>
        <v>0.4260869565</v>
      </c>
      <c r="U69" s="198"/>
      <c r="V69" s="198"/>
      <c r="W69" s="198"/>
      <c r="X69" s="198"/>
      <c r="Y69" s="198"/>
      <c r="Z69" s="198"/>
    </row>
    <row r="70" ht="12.75" customHeight="1">
      <c r="A70" s="585">
        <v>6901.0</v>
      </c>
      <c r="B70" s="426" t="s">
        <v>13566</v>
      </c>
      <c r="C70" s="426">
        <v>2000.0</v>
      </c>
      <c r="D70" s="500">
        <v>36736.0</v>
      </c>
      <c r="E70" s="426" t="s">
        <v>13567</v>
      </c>
      <c r="F70" s="682" t="s">
        <v>13568</v>
      </c>
      <c r="G70" s="426" t="s">
        <v>34</v>
      </c>
      <c r="H70" s="426" t="s">
        <v>158</v>
      </c>
      <c r="I70" s="500">
        <v>37120.0</v>
      </c>
      <c r="J70" s="428">
        <v>8.0</v>
      </c>
      <c r="K70" s="637" t="s">
        <v>238</v>
      </c>
      <c r="L70" s="428" t="s">
        <v>258</v>
      </c>
      <c r="M70" s="319">
        <f t="shared" si="4"/>
        <v>384</v>
      </c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7001.0</v>
      </c>
      <c r="B71" s="420" t="s">
        <v>13569</v>
      </c>
      <c r="C71" s="420">
        <v>2000.0</v>
      </c>
      <c r="D71" s="497">
        <v>36768.0</v>
      </c>
      <c r="E71" s="420" t="s">
        <v>13570</v>
      </c>
      <c r="F71" s="683" t="s">
        <v>13568</v>
      </c>
      <c r="G71" s="420" t="s">
        <v>547</v>
      </c>
      <c r="H71" s="420" t="s">
        <v>158</v>
      </c>
      <c r="I71" s="497">
        <v>37123.0</v>
      </c>
      <c r="J71" s="422">
        <v>8.0</v>
      </c>
      <c r="K71" s="637" t="s">
        <v>238</v>
      </c>
      <c r="L71" s="420" t="s">
        <v>258</v>
      </c>
      <c r="M71" s="316">
        <f t="shared" si="4"/>
        <v>355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7101.0</v>
      </c>
      <c r="B72" s="426" t="s">
        <v>13571</v>
      </c>
      <c r="C72" s="426">
        <v>2000.0</v>
      </c>
      <c r="D72" s="500">
        <v>36754.0</v>
      </c>
      <c r="E72" s="426" t="s">
        <v>13572</v>
      </c>
      <c r="F72" s="682" t="s">
        <v>13573</v>
      </c>
      <c r="G72" s="426" t="s">
        <v>547</v>
      </c>
      <c r="H72" s="426" t="s">
        <v>158</v>
      </c>
      <c r="I72" s="500">
        <v>37123.0</v>
      </c>
      <c r="J72" s="428">
        <v>8.0</v>
      </c>
      <c r="K72" s="638" t="s">
        <v>234</v>
      </c>
      <c r="L72" s="428" t="s">
        <v>256</v>
      </c>
      <c r="M72" s="319">
        <f t="shared" si="4"/>
        <v>369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23</v>
      </c>
      <c r="T72" s="380">
        <f>(S72/S76)</f>
        <v>0.2</v>
      </c>
      <c r="U72" s="198"/>
      <c r="V72" s="198"/>
      <c r="W72" s="198"/>
      <c r="X72" s="198"/>
      <c r="Y72" s="198"/>
      <c r="Z72" s="198"/>
    </row>
    <row r="73" ht="12.75" customHeight="1">
      <c r="A73" s="578">
        <v>7201.0</v>
      </c>
      <c r="B73" s="420" t="s">
        <v>13574</v>
      </c>
      <c r="C73" s="420">
        <v>2000.0</v>
      </c>
      <c r="D73" s="497">
        <v>36774.0</v>
      </c>
      <c r="E73" s="420" t="s">
        <v>13575</v>
      </c>
      <c r="F73" s="683" t="s">
        <v>13576</v>
      </c>
      <c r="G73" s="420" t="s">
        <v>565</v>
      </c>
      <c r="H73" s="420" t="s">
        <v>13577</v>
      </c>
      <c r="I73" s="497">
        <v>37124.0</v>
      </c>
      <c r="J73" s="422">
        <v>8.0</v>
      </c>
      <c r="K73" s="636" t="s">
        <v>244</v>
      </c>
      <c r="L73" s="420" t="s">
        <v>260</v>
      </c>
      <c r="M73" s="316">
        <f t="shared" si="4"/>
        <v>350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7301.0</v>
      </c>
      <c r="B74" s="426" t="s">
        <v>13578</v>
      </c>
      <c r="C74" s="426">
        <v>2000.0</v>
      </c>
      <c r="D74" s="500">
        <v>36850.0</v>
      </c>
      <c r="E74" s="426" t="s">
        <v>13579</v>
      </c>
      <c r="F74" s="682" t="s">
        <v>963</v>
      </c>
      <c r="G74" s="426" t="s">
        <v>270</v>
      </c>
      <c r="H74" s="426" t="s">
        <v>9672</v>
      </c>
      <c r="I74" s="500">
        <v>37131.0</v>
      </c>
      <c r="J74" s="428">
        <v>8.0</v>
      </c>
      <c r="K74" s="636" t="s">
        <v>244</v>
      </c>
      <c r="L74" s="428" t="s">
        <v>258</v>
      </c>
      <c r="M74" s="319">
        <f t="shared" si="4"/>
        <v>281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7401.0</v>
      </c>
      <c r="B75" s="420" t="s">
        <v>13580</v>
      </c>
      <c r="C75" s="420">
        <v>1999.0</v>
      </c>
      <c r="D75" s="497">
        <v>36228.0</v>
      </c>
      <c r="E75" s="420" t="s">
        <v>13581</v>
      </c>
      <c r="F75" s="683" t="s">
        <v>12797</v>
      </c>
      <c r="G75" s="420" t="s">
        <v>650</v>
      </c>
      <c r="H75" s="420" t="s">
        <v>7403</v>
      </c>
      <c r="I75" s="497">
        <v>37131.0</v>
      </c>
      <c r="J75" s="422">
        <v>8.0</v>
      </c>
      <c r="K75" s="637" t="s">
        <v>238</v>
      </c>
      <c r="L75" s="420" t="s">
        <v>258</v>
      </c>
      <c r="M75" s="316">
        <f t="shared" si="4"/>
        <v>903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585">
        <v>7501.0</v>
      </c>
      <c r="B76" s="426" t="s">
        <v>13582</v>
      </c>
      <c r="C76" s="426">
        <v>1999.0</v>
      </c>
      <c r="D76" s="500">
        <v>36246.0</v>
      </c>
      <c r="E76" s="426" t="s">
        <v>13583</v>
      </c>
      <c r="F76" s="682" t="s">
        <v>12797</v>
      </c>
      <c r="G76" s="426" t="s">
        <v>650</v>
      </c>
      <c r="H76" s="426" t="s">
        <v>705</v>
      </c>
      <c r="I76" s="500">
        <v>37137.0</v>
      </c>
      <c r="J76" s="428">
        <v>9.0</v>
      </c>
      <c r="K76" s="637" t="s">
        <v>238</v>
      </c>
      <c r="L76" s="428" t="s">
        <v>258</v>
      </c>
      <c r="M76" s="319">
        <f t="shared" si="4"/>
        <v>891</v>
      </c>
      <c r="N76" s="198"/>
      <c r="O76" s="386" t="s">
        <v>219</v>
      </c>
      <c r="P76" s="332"/>
      <c r="Q76" s="332"/>
      <c r="R76" s="387"/>
      <c r="S76" s="388">
        <f>SUM(S64:S75)</f>
        <v>115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7601.0</v>
      </c>
      <c r="B77" s="420" t="s">
        <v>13584</v>
      </c>
      <c r="C77" s="420">
        <v>1999.0</v>
      </c>
      <c r="D77" s="497">
        <v>36489.0</v>
      </c>
      <c r="E77" s="420" t="s">
        <v>13585</v>
      </c>
      <c r="F77" s="683" t="s">
        <v>13586</v>
      </c>
      <c r="G77" s="420" t="s">
        <v>650</v>
      </c>
      <c r="H77" s="420" t="s">
        <v>13587</v>
      </c>
      <c r="I77" s="497">
        <v>37140.0</v>
      </c>
      <c r="J77" s="422">
        <v>9.0</v>
      </c>
      <c r="K77" s="635" t="s">
        <v>228</v>
      </c>
      <c r="L77" s="420" t="s">
        <v>256</v>
      </c>
      <c r="M77" s="316">
        <f t="shared" si="4"/>
        <v>651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7701.0</v>
      </c>
      <c r="B78" s="426" t="s">
        <v>13588</v>
      </c>
      <c r="C78" s="426">
        <v>2000.0</v>
      </c>
      <c r="D78" s="500">
        <v>36850.0</v>
      </c>
      <c r="E78" s="426" t="s">
        <v>13589</v>
      </c>
      <c r="F78" s="682" t="s">
        <v>963</v>
      </c>
      <c r="G78" s="426" t="s">
        <v>650</v>
      </c>
      <c r="H78" s="426" t="s">
        <v>9672</v>
      </c>
      <c r="I78" s="500">
        <v>37147.0</v>
      </c>
      <c r="J78" s="428">
        <v>9.0</v>
      </c>
      <c r="K78" s="636" t="s">
        <v>244</v>
      </c>
      <c r="L78" s="428" t="s">
        <v>258</v>
      </c>
      <c r="M78" s="319">
        <f t="shared" si="4"/>
        <v>297</v>
      </c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7801.0</v>
      </c>
      <c r="B79" s="420" t="s">
        <v>13590</v>
      </c>
      <c r="C79" s="420">
        <v>1999.0</v>
      </c>
      <c r="D79" s="497">
        <v>36340.0</v>
      </c>
      <c r="E79" s="420" t="s">
        <v>13591</v>
      </c>
      <c r="F79" s="683" t="s">
        <v>13592</v>
      </c>
      <c r="G79" s="420" t="s">
        <v>650</v>
      </c>
      <c r="H79" s="420" t="s">
        <v>13155</v>
      </c>
      <c r="I79" s="497">
        <v>37152.0</v>
      </c>
      <c r="J79" s="422">
        <v>9.0</v>
      </c>
      <c r="K79" s="635" t="s">
        <v>228</v>
      </c>
      <c r="L79" s="420" t="s">
        <v>254</v>
      </c>
      <c r="M79" s="316">
        <f t="shared" si="4"/>
        <v>812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7901.0</v>
      </c>
      <c r="B80" s="426" t="s">
        <v>13593</v>
      </c>
      <c r="C80" s="426">
        <v>1991.0</v>
      </c>
      <c r="D80" s="500">
        <v>33453.0</v>
      </c>
      <c r="E80" s="426" t="s">
        <v>13594</v>
      </c>
      <c r="F80" s="682" t="s">
        <v>13336</v>
      </c>
      <c r="G80" s="426" t="s">
        <v>34</v>
      </c>
      <c r="H80" s="426" t="s">
        <v>13064</v>
      </c>
      <c r="I80" s="500">
        <v>37152.0</v>
      </c>
      <c r="J80" s="428">
        <v>9.0</v>
      </c>
      <c r="K80" s="636" t="s">
        <v>244</v>
      </c>
      <c r="L80" s="428" t="s">
        <v>258</v>
      </c>
      <c r="M80" s="319">
        <f t="shared" si="4"/>
        <v>3699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8001.0</v>
      </c>
      <c r="B81" s="420" t="s">
        <v>13595</v>
      </c>
      <c r="C81" s="420">
        <v>1999.0</v>
      </c>
      <c r="D81" s="497">
        <v>36250.0</v>
      </c>
      <c r="E81" s="420" t="s">
        <v>13596</v>
      </c>
      <c r="F81" s="683" t="s">
        <v>13597</v>
      </c>
      <c r="G81" s="420" t="s">
        <v>565</v>
      </c>
      <c r="H81" s="420" t="s">
        <v>6534</v>
      </c>
      <c r="I81" s="497">
        <v>37155.0</v>
      </c>
      <c r="J81" s="422">
        <v>9.0</v>
      </c>
      <c r="K81" s="685" t="s">
        <v>244</v>
      </c>
      <c r="L81" s="420" t="s">
        <v>260</v>
      </c>
      <c r="M81" s="316">
        <f t="shared" si="4"/>
        <v>905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2</v>
      </c>
      <c r="T81" s="395">
        <f>(S81/S85)</f>
        <v>0.01739130435</v>
      </c>
      <c r="U81" s="198"/>
      <c r="V81" s="198"/>
      <c r="W81" s="198"/>
      <c r="X81" s="198"/>
      <c r="Y81" s="198"/>
      <c r="Z81" s="198"/>
    </row>
    <row r="82" ht="13.5" customHeight="1">
      <c r="A82" s="585">
        <v>8101.0</v>
      </c>
      <c r="B82" s="426" t="s">
        <v>13598</v>
      </c>
      <c r="C82" s="426">
        <v>1998.0</v>
      </c>
      <c r="D82" s="500">
        <v>36078.0</v>
      </c>
      <c r="E82" s="426" t="s">
        <v>13599</v>
      </c>
      <c r="F82" s="682" t="s">
        <v>13600</v>
      </c>
      <c r="G82" s="426" t="s">
        <v>650</v>
      </c>
      <c r="H82" s="426" t="s">
        <v>705</v>
      </c>
      <c r="I82" s="500">
        <v>37155.0</v>
      </c>
      <c r="J82" s="428">
        <v>9.0</v>
      </c>
      <c r="K82" s="635" t="s">
        <v>228</v>
      </c>
      <c r="L82" s="428" t="s">
        <v>256</v>
      </c>
      <c r="M82" s="319">
        <f t="shared" si="4"/>
        <v>1077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48</v>
      </c>
      <c r="T82" s="398">
        <f>(S82/S85)</f>
        <v>0.4173913043</v>
      </c>
      <c r="U82" s="198"/>
      <c r="V82" s="198"/>
      <c r="W82" s="198"/>
      <c r="X82" s="198"/>
      <c r="Y82" s="198"/>
      <c r="Z82" s="198"/>
    </row>
    <row r="83" ht="13.5" customHeight="1">
      <c r="A83" s="578">
        <v>8201.0</v>
      </c>
      <c r="B83" s="420" t="s">
        <v>13601</v>
      </c>
      <c r="C83" s="420">
        <v>1998.0</v>
      </c>
      <c r="D83" s="497">
        <v>36125.0</v>
      </c>
      <c r="E83" s="420" t="s">
        <v>13602</v>
      </c>
      <c r="F83" s="683" t="s">
        <v>13603</v>
      </c>
      <c r="G83" s="420" t="s">
        <v>650</v>
      </c>
      <c r="H83" s="420" t="s">
        <v>651</v>
      </c>
      <c r="I83" s="497">
        <v>37155.0</v>
      </c>
      <c r="J83" s="422">
        <v>9.0</v>
      </c>
      <c r="K83" s="636" t="s">
        <v>244</v>
      </c>
      <c r="L83" s="420" t="s">
        <v>258</v>
      </c>
      <c r="M83" s="316">
        <f t="shared" si="4"/>
        <v>1030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51</v>
      </c>
      <c r="T83" s="395">
        <f>(S83/S85)</f>
        <v>0.4434782609</v>
      </c>
      <c r="U83" s="198"/>
      <c r="V83" s="198"/>
      <c r="W83" s="198"/>
      <c r="X83" s="198"/>
      <c r="Y83" s="198"/>
      <c r="Z83" s="198"/>
    </row>
    <row r="84" ht="14.25" customHeight="1">
      <c r="A84" s="585">
        <v>8301.0</v>
      </c>
      <c r="B84" s="426" t="s">
        <v>13604</v>
      </c>
      <c r="C84" s="426">
        <v>1999.0</v>
      </c>
      <c r="D84" s="500">
        <v>36180.0</v>
      </c>
      <c r="E84" s="426" t="s">
        <v>13605</v>
      </c>
      <c r="F84" s="682" t="s">
        <v>13606</v>
      </c>
      <c r="G84" s="426" t="s">
        <v>650</v>
      </c>
      <c r="H84" s="426" t="s">
        <v>651</v>
      </c>
      <c r="I84" s="500">
        <v>37155.0</v>
      </c>
      <c r="J84" s="428">
        <v>9.0</v>
      </c>
      <c r="K84" s="635" t="s">
        <v>228</v>
      </c>
      <c r="L84" s="428" t="s">
        <v>258</v>
      </c>
      <c r="M84" s="319">
        <f t="shared" si="4"/>
        <v>975</v>
      </c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14</v>
      </c>
      <c r="T84" s="398">
        <f>(S84/S85)</f>
        <v>0.1217391304</v>
      </c>
      <c r="U84" s="198"/>
      <c r="V84" s="198"/>
      <c r="W84" s="198"/>
      <c r="X84" s="198"/>
      <c r="Y84" s="198"/>
      <c r="Z84" s="198"/>
    </row>
    <row r="85" ht="12.75" customHeight="1">
      <c r="A85" s="578">
        <v>8401.0</v>
      </c>
      <c r="B85" s="420" t="s">
        <v>13607</v>
      </c>
      <c r="C85" s="420">
        <v>2000.0</v>
      </c>
      <c r="D85" s="497">
        <v>36531.0</v>
      </c>
      <c r="E85" s="420" t="s">
        <v>13608</v>
      </c>
      <c r="F85" s="683" t="s">
        <v>5120</v>
      </c>
      <c r="G85" s="420" t="s">
        <v>270</v>
      </c>
      <c r="H85" s="420" t="s">
        <v>3788</v>
      </c>
      <c r="I85" s="497">
        <v>37155.0</v>
      </c>
      <c r="J85" s="422">
        <v>9.0</v>
      </c>
      <c r="K85" s="637" t="s">
        <v>238</v>
      </c>
      <c r="L85" s="420" t="s">
        <v>258</v>
      </c>
      <c r="M85" s="316">
        <f t="shared" si="4"/>
        <v>624</v>
      </c>
      <c r="N85" s="198"/>
      <c r="O85" s="358" t="s">
        <v>219</v>
      </c>
      <c r="P85" s="359"/>
      <c r="Q85" s="359"/>
      <c r="R85" s="360"/>
      <c r="S85" s="388">
        <f>SUM(S81:S84)</f>
        <v>115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585">
        <v>8501.0</v>
      </c>
      <c r="B86" s="426" t="s">
        <v>13609</v>
      </c>
      <c r="C86" s="426">
        <v>2000.0</v>
      </c>
      <c r="D86" s="500">
        <v>36800.0</v>
      </c>
      <c r="E86" s="426" t="s">
        <v>13610</v>
      </c>
      <c r="F86" s="682" t="s">
        <v>167</v>
      </c>
      <c r="G86" s="426" t="s">
        <v>34</v>
      </c>
      <c r="H86" s="426" t="s">
        <v>651</v>
      </c>
      <c r="I86" s="500">
        <v>37161.0</v>
      </c>
      <c r="J86" s="428">
        <v>9.0</v>
      </c>
      <c r="K86" s="638" t="s">
        <v>234</v>
      </c>
      <c r="L86" s="428" t="s">
        <v>256</v>
      </c>
      <c r="M86" s="319">
        <f t="shared" si="4"/>
        <v>361</v>
      </c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578">
        <v>8601.0</v>
      </c>
      <c r="B87" s="420" t="s">
        <v>13611</v>
      </c>
      <c r="C87" s="420">
        <v>2000.0</v>
      </c>
      <c r="D87" s="497">
        <v>36800.0</v>
      </c>
      <c r="E87" s="420" t="s">
        <v>13612</v>
      </c>
      <c r="F87" s="683" t="s">
        <v>11251</v>
      </c>
      <c r="G87" s="420" t="s">
        <v>547</v>
      </c>
      <c r="H87" s="420" t="s">
        <v>651</v>
      </c>
      <c r="I87" s="497">
        <v>37161.0</v>
      </c>
      <c r="J87" s="422">
        <v>9.0</v>
      </c>
      <c r="K87" s="638" t="s">
        <v>234</v>
      </c>
      <c r="L87" s="420" t="s">
        <v>256</v>
      </c>
      <c r="M87" s="316">
        <f t="shared" si="4"/>
        <v>361</v>
      </c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585">
        <v>8701.0</v>
      </c>
      <c r="B88" s="426" t="s">
        <v>13613</v>
      </c>
      <c r="C88" s="426">
        <v>1999.0</v>
      </c>
      <c r="D88" s="500">
        <v>36234.0</v>
      </c>
      <c r="E88" s="426" t="s">
        <v>13614</v>
      </c>
      <c r="F88" s="682" t="s">
        <v>1108</v>
      </c>
      <c r="G88" s="426" t="s">
        <v>270</v>
      </c>
      <c r="H88" s="426" t="s">
        <v>7907</v>
      </c>
      <c r="I88" s="500">
        <v>37162.0</v>
      </c>
      <c r="J88" s="428">
        <v>9.0</v>
      </c>
      <c r="K88" s="637" t="s">
        <v>238</v>
      </c>
      <c r="L88" s="428" t="s">
        <v>258</v>
      </c>
      <c r="M88" s="319">
        <f t="shared" si="4"/>
        <v>928</v>
      </c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578">
        <v>8801.0</v>
      </c>
      <c r="B89" s="420" t="s">
        <v>13615</v>
      </c>
      <c r="C89" s="420">
        <v>2000.0</v>
      </c>
      <c r="D89" s="497">
        <v>36800.0</v>
      </c>
      <c r="E89" s="420" t="s">
        <v>13616</v>
      </c>
      <c r="F89" s="683" t="s">
        <v>167</v>
      </c>
      <c r="G89" s="420" t="s">
        <v>547</v>
      </c>
      <c r="H89" s="420" t="s">
        <v>651</v>
      </c>
      <c r="I89" s="497">
        <v>37162.0</v>
      </c>
      <c r="J89" s="422">
        <v>9.0</v>
      </c>
      <c r="K89" s="638" t="s">
        <v>234</v>
      </c>
      <c r="L89" s="420" t="s">
        <v>256</v>
      </c>
      <c r="M89" s="316">
        <f t="shared" si="4"/>
        <v>362</v>
      </c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585">
        <v>8901.0</v>
      </c>
      <c r="B90" s="426" t="s">
        <v>13617</v>
      </c>
      <c r="C90" s="426">
        <v>1999.0</v>
      </c>
      <c r="D90" s="500">
        <v>36513.0</v>
      </c>
      <c r="E90" s="426" t="s">
        <v>13618</v>
      </c>
      <c r="F90" s="682" t="s">
        <v>13619</v>
      </c>
      <c r="G90" s="426" t="s">
        <v>547</v>
      </c>
      <c r="H90" s="426" t="s">
        <v>705</v>
      </c>
      <c r="I90" s="500">
        <v>37166.0</v>
      </c>
      <c r="J90" s="428">
        <v>10.0</v>
      </c>
      <c r="K90" s="637" t="s">
        <v>238</v>
      </c>
      <c r="L90" s="428" t="s">
        <v>256</v>
      </c>
      <c r="M90" s="319">
        <f t="shared" si="4"/>
        <v>653</v>
      </c>
      <c r="N90" s="198"/>
      <c r="O90" s="412" t="s">
        <v>270</v>
      </c>
      <c r="P90" s="413">
        <f>AVERAGEIF(G2:G476,"PT",M2:M476)</f>
        <v>951.6521739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578">
        <v>9001.0</v>
      </c>
      <c r="B91" s="420" t="s">
        <v>13620</v>
      </c>
      <c r="C91" s="420">
        <v>1999.0</v>
      </c>
      <c r="D91" s="497">
        <v>36338.0</v>
      </c>
      <c r="E91" s="420" t="s">
        <v>13621</v>
      </c>
      <c r="F91" s="683" t="s">
        <v>13622</v>
      </c>
      <c r="G91" s="420" t="s">
        <v>270</v>
      </c>
      <c r="H91" s="420" t="s">
        <v>158</v>
      </c>
      <c r="I91" s="497">
        <v>37168.0</v>
      </c>
      <c r="J91" s="422">
        <v>10.0</v>
      </c>
      <c r="K91" s="637" t="s">
        <v>238</v>
      </c>
      <c r="L91" s="420" t="s">
        <v>258</v>
      </c>
      <c r="M91" s="316">
        <f t="shared" si="4"/>
        <v>830</v>
      </c>
      <c r="N91" s="198"/>
      <c r="O91" s="414" t="s">
        <v>34</v>
      </c>
      <c r="P91" s="415">
        <f>AVERAGEIF(G2:G477,"PTN",M2:M477)</f>
        <v>825.2727273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585">
        <v>9101.0</v>
      </c>
      <c r="B92" s="426" t="s">
        <v>13623</v>
      </c>
      <c r="C92" s="426">
        <v>1996.0</v>
      </c>
      <c r="D92" s="500">
        <v>35247.0</v>
      </c>
      <c r="E92" s="426" t="s">
        <v>13624</v>
      </c>
      <c r="F92" s="682" t="s">
        <v>13625</v>
      </c>
      <c r="G92" s="426" t="s">
        <v>565</v>
      </c>
      <c r="H92" s="426" t="s">
        <v>13626</v>
      </c>
      <c r="I92" s="500">
        <v>37173.0</v>
      </c>
      <c r="J92" s="428">
        <v>10.0</v>
      </c>
      <c r="K92" s="637" t="s">
        <v>238</v>
      </c>
      <c r="L92" s="428" t="s">
        <v>260</v>
      </c>
      <c r="M92" s="319">
        <f t="shared" si="4"/>
        <v>1926</v>
      </c>
      <c r="N92" s="198"/>
      <c r="O92" s="412" t="s">
        <v>17</v>
      </c>
      <c r="P92" s="413" t="str">
        <f>AVERAGEIF(G2:G476,"PTE",M2:M476)</f>
        <v>#DIV/0!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578">
        <v>9201.0</v>
      </c>
      <c r="B93" s="420" t="s">
        <v>13627</v>
      </c>
      <c r="C93" s="420">
        <v>1999.0</v>
      </c>
      <c r="D93" s="497">
        <v>36415.0</v>
      </c>
      <c r="E93" s="420" t="s">
        <v>13628</v>
      </c>
      <c r="F93" s="683" t="s">
        <v>2222</v>
      </c>
      <c r="G93" s="420" t="s">
        <v>650</v>
      </c>
      <c r="H93" s="420" t="s">
        <v>12127</v>
      </c>
      <c r="I93" s="497">
        <v>37175.0</v>
      </c>
      <c r="J93" s="422">
        <v>10.0</v>
      </c>
      <c r="K93" s="635" t="s">
        <v>228</v>
      </c>
      <c r="L93" s="420" t="s">
        <v>256</v>
      </c>
      <c r="M93" s="316">
        <f t="shared" si="4"/>
        <v>760</v>
      </c>
      <c r="N93" s="198"/>
      <c r="O93" s="414" t="s">
        <v>46</v>
      </c>
      <c r="P93" s="415">
        <f>AVERAGEIF(G2:G476,"Pré-Mistura",M2:M476)</f>
        <v>762.5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585">
        <v>9301.0</v>
      </c>
      <c r="B94" s="426" t="s">
        <v>13629</v>
      </c>
      <c r="C94" s="426">
        <v>2001.0</v>
      </c>
      <c r="D94" s="500">
        <v>36980.0</v>
      </c>
      <c r="E94" s="426" t="s">
        <v>13630</v>
      </c>
      <c r="F94" s="682" t="s">
        <v>171</v>
      </c>
      <c r="G94" s="426" t="s">
        <v>650</v>
      </c>
      <c r="H94" s="426" t="s">
        <v>1002</v>
      </c>
      <c r="I94" s="500">
        <v>37181.0</v>
      </c>
      <c r="J94" s="428">
        <v>10.0</v>
      </c>
      <c r="K94" s="637" t="s">
        <v>238</v>
      </c>
      <c r="L94" s="428" t="s">
        <v>256</v>
      </c>
      <c r="M94" s="319">
        <f t="shared" si="4"/>
        <v>201</v>
      </c>
      <c r="N94" s="198"/>
      <c r="O94" s="412" t="s">
        <v>650</v>
      </c>
      <c r="P94" s="413">
        <f>AVERAGEIF(G2:G476,"PF",M2:M476)</f>
        <v>1072.647059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578">
        <v>9401.0</v>
      </c>
      <c r="B95" s="420" t="s">
        <v>13631</v>
      </c>
      <c r="C95" s="420">
        <v>1999.0</v>
      </c>
      <c r="D95" s="497">
        <v>36520.0</v>
      </c>
      <c r="E95" s="420" t="s">
        <v>13632</v>
      </c>
      <c r="F95" s="683" t="s">
        <v>12989</v>
      </c>
      <c r="G95" s="420" t="s">
        <v>565</v>
      </c>
      <c r="H95" s="420" t="s">
        <v>6534</v>
      </c>
      <c r="I95" s="497">
        <v>37181.0</v>
      </c>
      <c r="J95" s="422">
        <v>10.0</v>
      </c>
      <c r="K95" s="685" t="s">
        <v>244</v>
      </c>
      <c r="L95" s="420" t="s">
        <v>260</v>
      </c>
      <c r="M95" s="316">
        <f t="shared" si="4"/>
        <v>661</v>
      </c>
      <c r="N95" s="198"/>
      <c r="O95" s="414" t="s">
        <v>547</v>
      </c>
      <c r="P95" s="415">
        <f>AVERAGEIF(G2:G476,"PFN",M2:M476)</f>
        <v>612.8571429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585">
        <v>9501.0</v>
      </c>
      <c r="B96" s="426" t="s">
        <v>13633</v>
      </c>
      <c r="C96" s="426">
        <v>1998.0</v>
      </c>
      <c r="D96" s="500">
        <v>35933.0</v>
      </c>
      <c r="E96" s="426" t="s">
        <v>13634</v>
      </c>
      <c r="F96" s="682" t="s">
        <v>13635</v>
      </c>
      <c r="G96" s="426" t="s">
        <v>270</v>
      </c>
      <c r="H96" s="426" t="s">
        <v>13636</v>
      </c>
      <c r="I96" s="500">
        <v>37201.0</v>
      </c>
      <c r="J96" s="428">
        <v>11.0</v>
      </c>
      <c r="K96" s="637" t="s">
        <v>238</v>
      </c>
      <c r="L96" s="428" t="s">
        <v>258</v>
      </c>
      <c r="M96" s="319">
        <f t="shared" si="4"/>
        <v>1268</v>
      </c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578">
        <v>9601.0</v>
      </c>
      <c r="B97" s="420" t="s">
        <v>13637</v>
      </c>
      <c r="C97" s="420">
        <v>2001.0</v>
      </c>
      <c r="D97" s="497">
        <v>36969.0</v>
      </c>
      <c r="E97" s="420" t="s">
        <v>13638</v>
      </c>
      <c r="F97" s="683" t="s">
        <v>13639</v>
      </c>
      <c r="G97" s="420" t="s">
        <v>650</v>
      </c>
      <c r="H97" s="420" t="s">
        <v>705</v>
      </c>
      <c r="I97" s="497">
        <v>37203.0</v>
      </c>
      <c r="J97" s="422">
        <v>11.0</v>
      </c>
      <c r="K97" s="637" t="s">
        <v>238</v>
      </c>
      <c r="L97" s="420" t="s">
        <v>258</v>
      </c>
      <c r="M97" s="316">
        <f t="shared" si="4"/>
        <v>234</v>
      </c>
      <c r="N97" s="198"/>
      <c r="O97" s="414" t="s">
        <v>565</v>
      </c>
      <c r="P97" s="415">
        <f>AVERAGEIF(G2:G476,"Bio",M2:M476)</f>
        <v>814.0909091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585">
        <v>9701.0</v>
      </c>
      <c r="B98" s="426" t="s">
        <v>13640</v>
      </c>
      <c r="C98" s="426">
        <v>2000.0</v>
      </c>
      <c r="D98" s="500">
        <v>36596.0</v>
      </c>
      <c r="E98" s="426" t="s">
        <v>8991</v>
      </c>
      <c r="F98" s="682" t="s">
        <v>885</v>
      </c>
      <c r="G98" s="426" t="s">
        <v>650</v>
      </c>
      <c r="H98" s="426" t="s">
        <v>651</v>
      </c>
      <c r="I98" s="500">
        <v>37207.0</v>
      </c>
      <c r="J98" s="428">
        <v>11.0</v>
      </c>
      <c r="K98" s="635" t="s">
        <v>228</v>
      </c>
      <c r="L98" s="428" t="s">
        <v>256</v>
      </c>
      <c r="M98" s="319">
        <f t="shared" si="4"/>
        <v>611</v>
      </c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578">
        <v>9801.0</v>
      </c>
      <c r="B99" s="420" t="s">
        <v>13641</v>
      </c>
      <c r="C99" s="420">
        <v>1999.0</v>
      </c>
      <c r="D99" s="497">
        <v>36493.0</v>
      </c>
      <c r="E99" s="420" t="s">
        <v>13642</v>
      </c>
      <c r="F99" s="683" t="s">
        <v>928</v>
      </c>
      <c r="G99" s="420" t="s">
        <v>34</v>
      </c>
      <c r="H99" s="420" t="s">
        <v>705</v>
      </c>
      <c r="I99" s="497">
        <v>37209.0</v>
      </c>
      <c r="J99" s="422">
        <v>11.0</v>
      </c>
      <c r="K99" s="638" t="s">
        <v>234</v>
      </c>
      <c r="L99" s="420" t="s">
        <v>256</v>
      </c>
      <c r="M99" s="316">
        <f t="shared" si="4"/>
        <v>716</v>
      </c>
      <c r="N99" s="198"/>
      <c r="O99" s="416" t="s">
        <v>275</v>
      </c>
      <c r="P99" s="417">
        <f>AVERAGE(M2:M494)</f>
        <v>935.0982143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585">
        <v>9901.0</v>
      </c>
      <c r="B100" s="426" t="s">
        <v>13643</v>
      </c>
      <c r="C100" s="426">
        <v>1998.0</v>
      </c>
      <c r="D100" s="500">
        <v>36128.0</v>
      </c>
      <c r="E100" s="426" t="s">
        <v>13644</v>
      </c>
      <c r="F100" s="682" t="s">
        <v>963</v>
      </c>
      <c r="G100" s="426" t="s">
        <v>270</v>
      </c>
      <c r="H100" s="426" t="s">
        <v>7907</v>
      </c>
      <c r="I100" s="500">
        <v>37217.0</v>
      </c>
      <c r="J100" s="428">
        <v>11.0</v>
      </c>
      <c r="K100" s="685" t="s">
        <v>244</v>
      </c>
      <c r="L100" s="428" t="s">
        <v>258</v>
      </c>
      <c r="M100" s="319">
        <f t="shared" si="4"/>
        <v>1089</v>
      </c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578">
        <v>10001.0</v>
      </c>
      <c r="B101" s="420" t="s">
        <v>13645</v>
      </c>
      <c r="C101" s="420">
        <v>2000.0</v>
      </c>
      <c r="D101" s="497">
        <v>36663.0</v>
      </c>
      <c r="E101" s="420" t="s">
        <v>13646</v>
      </c>
      <c r="F101" s="683" t="s">
        <v>31</v>
      </c>
      <c r="G101" s="420" t="s">
        <v>270</v>
      </c>
      <c r="H101" s="420" t="s">
        <v>50</v>
      </c>
      <c r="I101" s="497">
        <v>37223.0</v>
      </c>
      <c r="J101" s="422">
        <v>11.0</v>
      </c>
      <c r="K101" s="637" t="s">
        <v>238</v>
      </c>
      <c r="L101" s="420" t="s">
        <v>258</v>
      </c>
      <c r="M101" s="316">
        <f t="shared" si="4"/>
        <v>560</v>
      </c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585">
        <v>10101.0</v>
      </c>
      <c r="B102" s="426" t="s">
        <v>13647</v>
      </c>
      <c r="C102" s="426">
        <v>1999.0</v>
      </c>
      <c r="D102" s="500">
        <v>36241.0</v>
      </c>
      <c r="E102" s="426" t="s">
        <v>13648</v>
      </c>
      <c r="F102" s="682" t="s">
        <v>10721</v>
      </c>
      <c r="G102" s="426" t="s">
        <v>650</v>
      </c>
      <c r="H102" s="426" t="s">
        <v>651</v>
      </c>
      <c r="I102" s="500">
        <v>37223.0</v>
      </c>
      <c r="J102" s="428">
        <v>11.0</v>
      </c>
      <c r="K102" s="637" t="s">
        <v>238</v>
      </c>
      <c r="L102" s="428" t="s">
        <v>256</v>
      </c>
      <c r="M102" s="319">
        <f t="shared" si="4"/>
        <v>982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578">
        <v>10201.0</v>
      </c>
      <c r="B103" s="420" t="s">
        <v>13649</v>
      </c>
      <c r="C103" s="420">
        <v>2000.0</v>
      </c>
      <c r="D103" s="497">
        <v>36663.0</v>
      </c>
      <c r="E103" s="420" t="s">
        <v>13650</v>
      </c>
      <c r="F103" s="683" t="s">
        <v>9829</v>
      </c>
      <c r="G103" s="420" t="s">
        <v>270</v>
      </c>
      <c r="H103" s="420" t="s">
        <v>50</v>
      </c>
      <c r="I103" s="497">
        <v>37223.0</v>
      </c>
      <c r="J103" s="422">
        <v>11.0</v>
      </c>
      <c r="K103" s="637" t="s">
        <v>238</v>
      </c>
      <c r="L103" s="420" t="s">
        <v>258</v>
      </c>
      <c r="M103" s="316">
        <f t="shared" si="4"/>
        <v>560</v>
      </c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585">
        <v>10301.0</v>
      </c>
      <c r="B104" s="426" t="s">
        <v>13651</v>
      </c>
      <c r="C104" s="426">
        <v>2000.0</v>
      </c>
      <c r="D104" s="500">
        <v>36663.0</v>
      </c>
      <c r="E104" s="426" t="s">
        <v>13652</v>
      </c>
      <c r="F104" s="682" t="s">
        <v>12751</v>
      </c>
      <c r="G104" s="426" t="s">
        <v>270</v>
      </c>
      <c r="H104" s="426" t="s">
        <v>50</v>
      </c>
      <c r="I104" s="500">
        <v>37223.0</v>
      </c>
      <c r="J104" s="428">
        <v>11.0</v>
      </c>
      <c r="K104" s="637" t="s">
        <v>238</v>
      </c>
      <c r="L104" s="428" t="s">
        <v>258</v>
      </c>
      <c r="M104" s="319">
        <f t="shared" si="4"/>
        <v>560</v>
      </c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578">
        <v>10401.0</v>
      </c>
      <c r="B105" s="420" t="s">
        <v>13653</v>
      </c>
      <c r="C105" s="420">
        <v>1999.0</v>
      </c>
      <c r="D105" s="497">
        <v>36456.0</v>
      </c>
      <c r="E105" s="420" t="s">
        <v>13654</v>
      </c>
      <c r="F105" s="683" t="s">
        <v>11657</v>
      </c>
      <c r="G105" s="420" t="s">
        <v>650</v>
      </c>
      <c r="H105" s="420" t="s">
        <v>601</v>
      </c>
      <c r="I105" s="497">
        <v>37228.0</v>
      </c>
      <c r="J105" s="422">
        <v>12.0</v>
      </c>
      <c r="K105" s="638" t="s">
        <v>234</v>
      </c>
      <c r="L105" s="420" t="s">
        <v>256</v>
      </c>
      <c r="M105" s="316">
        <f t="shared" si="4"/>
        <v>772</v>
      </c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585">
        <v>10501.0</v>
      </c>
      <c r="B106" s="426" t="s">
        <v>13655</v>
      </c>
      <c r="C106" s="426">
        <v>2000.0</v>
      </c>
      <c r="D106" s="500">
        <v>36629.0</v>
      </c>
      <c r="E106" s="426" t="s">
        <v>13656</v>
      </c>
      <c r="F106" s="682" t="s">
        <v>178</v>
      </c>
      <c r="G106" s="426" t="s">
        <v>34</v>
      </c>
      <c r="H106" s="426" t="s">
        <v>705</v>
      </c>
      <c r="I106" s="500">
        <v>37230.0</v>
      </c>
      <c r="J106" s="428">
        <v>12.0</v>
      </c>
      <c r="K106" s="637" t="s">
        <v>238</v>
      </c>
      <c r="L106" s="428" t="s">
        <v>256</v>
      </c>
      <c r="M106" s="319">
        <f t="shared" si="4"/>
        <v>601</v>
      </c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578">
        <v>10601.0</v>
      </c>
      <c r="B107" s="420" t="s">
        <v>13657</v>
      </c>
      <c r="C107" s="420">
        <v>2000.0</v>
      </c>
      <c r="D107" s="497">
        <v>36682.0</v>
      </c>
      <c r="E107" s="420" t="s">
        <v>13658</v>
      </c>
      <c r="F107" s="683" t="s">
        <v>178</v>
      </c>
      <c r="G107" s="420" t="s">
        <v>547</v>
      </c>
      <c r="H107" s="420" t="s">
        <v>705</v>
      </c>
      <c r="I107" s="497">
        <v>37231.0</v>
      </c>
      <c r="J107" s="422">
        <v>12.0</v>
      </c>
      <c r="K107" s="638" t="s">
        <v>234</v>
      </c>
      <c r="L107" s="420" t="s">
        <v>256</v>
      </c>
      <c r="M107" s="316">
        <f t="shared" si="4"/>
        <v>549</v>
      </c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585">
        <v>10701.0</v>
      </c>
      <c r="B108" s="426"/>
      <c r="C108" s="426"/>
      <c r="D108" s="500"/>
      <c r="E108" s="426" t="s">
        <v>13659</v>
      </c>
      <c r="F108" s="682" t="s">
        <v>2222</v>
      </c>
      <c r="G108" s="426" t="s">
        <v>650</v>
      </c>
      <c r="H108" s="426" t="s">
        <v>13660</v>
      </c>
      <c r="I108" s="500">
        <v>37235.0</v>
      </c>
      <c r="J108" s="428">
        <v>12.0</v>
      </c>
      <c r="K108" s="638" t="s">
        <v>234</v>
      </c>
      <c r="L108" s="428" t="s">
        <v>256</v>
      </c>
      <c r="M108" s="319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578">
        <v>10801.0</v>
      </c>
      <c r="B109" s="420" t="s">
        <v>13661</v>
      </c>
      <c r="C109" s="420">
        <v>2000.0</v>
      </c>
      <c r="D109" s="497">
        <v>36624.0</v>
      </c>
      <c r="E109" s="420" t="s">
        <v>13662</v>
      </c>
      <c r="F109" s="683" t="s">
        <v>2324</v>
      </c>
      <c r="G109" s="420" t="s">
        <v>650</v>
      </c>
      <c r="H109" s="420" t="s">
        <v>2325</v>
      </c>
      <c r="I109" s="497">
        <v>37236.0</v>
      </c>
      <c r="J109" s="422">
        <v>12.0</v>
      </c>
      <c r="K109" s="638" t="s">
        <v>234</v>
      </c>
      <c r="L109" s="420" t="s">
        <v>256</v>
      </c>
      <c r="M109" s="316">
        <f t="shared" ref="M109:M111" si="5">I109-D109</f>
        <v>612</v>
      </c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585">
        <v>10901.0</v>
      </c>
      <c r="B110" s="426" t="s">
        <v>13663</v>
      </c>
      <c r="C110" s="426">
        <v>1998.0</v>
      </c>
      <c r="D110" s="500">
        <v>36112.0</v>
      </c>
      <c r="E110" s="426" t="s">
        <v>13664</v>
      </c>
      <c r="F110" s="682" t="s">
        <v>963</v>
      </c>
      <c r="G110" s="426" t="s">
        <v>46</v>
      </c>
      <c r="H110" s="426" t="s">
        <v>2325</v>
      </c>
      <c r="I110" s="500">
        <v>37238.0</v>
      </c>
      <c r="J110" s="428">
        <v>12.0</v>
      </c>
      <c r="K110" s="637" t="s">
        <v>238</v>
      </c>
      <c r="L110" s="428" t="s">
        <v>258</v>
      </c>
      <c r="M110" s="319">
        <f t="shared" si="5"/>
        <v>1126</v>
      </c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578">
        <v>11001.0</v>
      </c>
      <c r="B111" s="420" t="s">
        <v>13665</v>
      </c>
      <c r="C111" s="420">
        <v>2000.0</v>
      </c>
      <c r="D111" s="497">
        <v>36886.0</v>
      </c>
      <c r="E111" s="420" t="s">
        <v>13666</v>
      </c>
      <c r="F111" s="683" t="s">
        <v>963</v>
      </c>
      <c r="G111" s="420" t="s">
        <v>270</v>
      </c>
      <c r="H111" s="420" t="s">
        <v>158</v>
      </c>
      <c r="I111" s="497">
        <v>37239.0</v>
      </c>
      <c r="J111" s="422">
        <v>12.0</v>
      </c>
      <c r="K111" s="685" t="s">
        <v>244</v>
      </c>
      <c r="L111" s="420" t="s">
        <v>258</v>
      </c>
      <c r="M111" s="316">
        <f t="shared" si="5"/>
        <v>353</v>
      </c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585">
        <v>11101.0</v>
      </c>
      <c r="B112" s="426"/>
      <c r="C112" s="426">
        <v>1999.0</v>
      </c>
      <c r="D112" s="500"/>
      <c r="E112" s="426" t="s">
        <v>13667</v>
      </c>
      <c r="F112" s="682" t="s">
        <v>25</v>
      </c>
      <c r="G112" s="426" t="s">
        <v>650</v>
      </c>
      <c r="H112" s="426" t="s">
        <v>705</v>
      </c>
      <c r="I112" s="500">
        <v>37242.0</v>
      </c>
      <c r="J112" s="428">
        <v>12.0</v>
      </c>
      <c r="K112" s="685" t="s">
        <v>244</v>
      </c>
      <c r="L112" s="428" t="s">
        <v>258</v>
      </c>
      <c r="M112" s="319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578">
        <v>11201.0</v>
      </c>
      <c r="B113" s="420" t="s">
        <v>13668</v>
      </c>
      <c r="C113" s="420">
        <v>1999.0</v>
      </c>
      <c r="D113" s="497">
        <v>36467.0</v>
      </c>
      <c r="E113" s="420" t="s">
        <v>13669</v>
      </c>
      <c r="F113" s="683" t="s">
        <v>1150</v>
      </c>
      <c r="G113" s="420" t="s">
        <v>650</v>
      </c>
      <c r="H113" s="420" t="s">
        <v>5180</v>
      </c>
      <c r="I113" s="497">
        <v>37245.0</v>
      </c>
      <c r="J113" s="422">
        <v>12.0</v>
      </c>
      <c r="K113" s="638" t="s">
        <v>234</v>
      </c>
      <c r="L113" s="420" t="s">
        <v>256</v>
      </c>
      <c r="M113" s="316">
        <f t="shared" ref="M113:M118" si="6">I113-D113</f>
        <v>778</v>
      </c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585">
        <v>11301.0</v>
      </c>
      <c r="B114" s="426" t="s">
        <v>13670</v>
      </c>
      <c r="C114" s="426">
        <v>1999.0</v>
      </c>
      <c r="D114" s="500">
        <v>36494.0</v>
      </c>
      <c r="E114" s="426" t="s">
        <v>13671</v>
      </c>
      <c r="F114" s="682" t="s">
        <v>928</v>
      </c>
      <c r="G114" s="426" t="s">
        <v>547</v>
      </c>
      <c r="H114" s="426" t="s">
        <v>705</v>
      </c>
      <c r="I114" s="500">
        <v>37246.0</v>
      </c>
      <c r="J114" s="428">
        <v>12.0</v>
      </c>
      <c r="K114" s="637" t="s">
        <v>238</v>
      </c>
      <c r="L114" s="428" t="s">
        <v>256</v>
      </c>
      <c r="M114" s="319">
        <f t="shared" si="6"/>
        <v>752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578">
        <v>11401.0</v>
      </c>
      <c r="B115" s="420" t="s">
        <v>13672</v>
      </c>
      <c r="C115" s="420">
        <v>2000.0</v>
      </c>
      <c r="D115" s="497">
        <v>36823.0</v>
      </c>
      <c r="E115" s="420" t="s">
        <v>13673</v>
      </c>
      <c r="F115" s="683" t="s">
        <v>13674</v>
      </c>
      <c r="G115" s="420" t="s">
        <v>547</v>
      </c>
      <c r="H115" s="420" t="s">
        <v>13267</v>
      </c>
      <c r="I115" s="497">
        <v>37249.0</v>
      </c>
      <c r="J115" s="422">
        <v>12.0</v>
      </c>
      <c r="K115" s="637" t="s">
        <v>238</v>
      </c>
      <c r="L115" s="420" t="s">
        <v>258</v>
      </c>
      <c r="M115" s="316">
        <f t="shared" si="6"/>
        <v>426</v>
      </c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585">
        <v>11501.0</v>
      </c>
      <c r="B116" s="426" t="s">
        <v>13675</v>
      </c>
      <c r="C116" s="426">
        <v>1999.0</v>
      </c>
      <c r="D116" s="500">
        <v>36375.0</v>
      </c>
      <c r="E116" s="426" t="s">
        <v>13676</v>
      </c>
      <c r="F116" s="682" t="s">
        <v>12879</v>
      </c>
      <c r="G116" s="426" t="s">
        <v>547</v>
      </c>
      <c r="H116" s="426" t="s">
        <v>13155</v>
      </c>
      <c r="I116" s="500">
        <v>37251.0</v>
      </c>
      <c r="J116" s="428">
        <v>12.0</v>
      </c>
      <c r="K116" s="637" t="s">
        <v>238</v>
      </c>
      <c r="L116" s="428" t="s">
        <v>256</v>
      </c>
      <c r="M116" s="319">
        <f t="shared" si="6"/>
        <v>876</v>
      </c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578">
        <v>11601.0</v>
      </c>
      <c r="B117" s="420" t="s">
        <v>13677</v>
      </c>
      <c r="C117" s="420">
        <v>1998.0</v>
      </c>
      <c r="D117" s="497">
        <v>35820.0</v>
      </c>
      <c r="E117" s="420" t="s">
        <v>13678</v>
      </c>
      <c r="F117" s="683" t="s">
        <v>13679</v>
      </c>
      <c r="G117" s="420" t="s">
        <v>650</v>
      </c>
      <c r="H117" s="420" t="s">
        <v>50</v>
      </c>
      <c r="I117" s="497">
        <v>37252.0</v>
      </c>
      <c r="J117" s="422">
        <v>12.0</v>
      </c>
      <c r="K117" s="635" t="s">
        <v>228</v>
      </c>
      <c r="L117" s="420" t="s">
        <v>256</v>
      </c>
      <c r="M117" s="316">
        <f t="shared" si="6"/>
        <v>1432</v>
      </c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585">
        <v>11701.0</v>
      </c>
      <c r="B118" s="426" t="s">
        <v>13680</v>
      </c>
      <c r="C118" s="426">
        <v>1995.0</v>
      </c>
      <c r="D118" s="500">
        <v>35018.0</v>
      </c>
      <c r="E118" s="426" t="s">
        <v>13681</v>
      </c>
      <c r="F118" s="682" t="s">
        <v>947</v>
      </c>
      <c r="G118" s="426" t="s">
        <v>270</v>
      </c>
      <c r="H118" s="426" t="s">
        <v>9672</v>
      </c>
      <c r="I118" s="500">
        <v>37253.0</v>
      </c>
      <c r="J118" s="428">
        <v>12.0</v>
      </c>
      <c r="K118" s="637" t="s">
        <v>238</v>
      </c>
      <c r="L118" s="428" t="s">
        <v>256</v>
      </c>
      <c r="M118" s="319">
        <f t="shared" si="6"/>
        <v>2235</v>
      </c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9" t="s">
        <v>0</v>
      </c>
      <c r="B1" s="569" t="s">
        <v>1</v>
      </c>
      <c r="C1" s="569" t="s">
        <v>2</v>
      </c>
      <c r="D1" s="568" t="s">
        <v>3</v>
      </c>
      <c r="E1" s="569" t="s">
        <v>4</v>
      </c>
      <c r="F1" s="569" t="s">
        <v>5</v>
      </c>
      <c r="G1" s="569" t="s">
        <v>6</v>
      </c>
      <c r="H1" s="569" t="s">
        <v>7</v>
      </c>
      <c r="I1" s="568" t="s">
        <v>8</v>
      </c>
      <c r="J1" s="569" t="s">
        <v>193</v>
      </c>
      <c r="K1" s="570" t="s">
        <v>10</v>
      </c>
      <c r="L1" s="570" t="s">
        <v>11</v>
      </c>
      <c r="M1" s="315" t="s">
        <v>12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ht="12.75" customHeight="1">
      <c r="A2" s="585">
        <v>100.0</v>
      </c>
      <c r="B2" s="428"/>
      <c r="C2" s="428">
        <v>1998.0</v>
      </c>
      <c r="D2" s="500"/>
      <c r="E2" s="426" t="s">
        <v>13682</v>
      </c>
      <c r="F2" s="426" t="s">
        <v>1464</v>
      </c>
      <c r="G2" s="426" t="s">
        <v>650</v>
      </c>
      <c r="H2" s="676" t="s">
        <v>7403</v>
      </c>
      <c r="I2" s="500">
        <v>36551.0</v>
      </c>
      <c r="J2" s="428">
        <v>1.0</v>
      </c>
      <c r="K2" s="635" t="s">
        <v>228</v>
      </c>
      <c r="L2" s="428" t="s">
        <v>256</v>
      </c>
      <c r="M2" s="319"/>
      <c r="N2" s="198"/>
      <c r="O2" s="545" t="s">
        <v>12653</v>
      </c>
      <c r="P2" s="318"/>
      <c r="Q2" s="15"/>
      <c r="R2" s="15"/>
      <c r="S2" s="15"/>
      <c r="T2" s="15"/>
      <c r="U2" s="198"/>
      <c r="V2" s="198"/>
      <c r="W2" s="198"/>
      <c r="X2" s="198"/>
      <c r="Y2" s="198"/>
      <c r="Z2" s="198"/>
    </row>
    <row r="3" ht="12.75" customHeight="1">
      <c r="A3" s="578">
        <v>200.0</v>
      </c>
      <c r="B3" s="422" t="s">
        <v>13683</v>
      </c>
      <c r="C3" s="422">
        <v>1998.0</v>
      </c>
      <c r="D3" s="497">
        <v>36129.0</v>
      </c>
      <c r="E3" s="420" t="s">
        <v>13684</v>
      </c>
      <c r="F3" s="420" t="s">
        <v>13685</v>
      </c>
      <c r="G3" s="420" t="s">
        <v>650</v>
      </c>
      <c r="H3" s="677" t="s">
        <v>13543</v>
      </c>
      <c r="I3" s="497">
        <v>36560.0</v>
      </c>
      <c r="J3" s="422">
        <v>2.0</v>
      </c>
      <c r="K3" s="635" t="s">
        <v>228</v>
      </c>
      <c r="L3" s="420" t="s">
        <v>256</v>
      </c>
      <c r="M3" s="316">
        <f t="shared" ref="M3:M19" si="1">I3-D3</f>
        <v>431</v>
      </c>
      <c r="N3" s="198"/>
      <c r="O3" s="320" t="s">
        <v>27</v>
      </c>
      <c r="P3" s="320">
        <f>COUNTIF($G$2:$G$476,"PT")</f>
        <v>20</v>
      </c>
      <c r="Q3" s="15"/>
      <c r="R3" s="15"/>
      <c r="S3" s="15"/>
      <c r="T3" s="15"/>
      <c r="U3" s="198"/>
      <c r="V3" s="198"/>
      <c r="W3" s="198"/>
      <c r="X3" s="198"/>
      <c r="Y3" s="198"/>
      <c r="Z3" s="198"/>
    </row>
    <row r="4" ht="12.75" customHeight="1">
      <c r="A4" s="585">
        <v>300.0</v>
      </c>
      <c r="B4" s="428" t="s">
        <v>13686</v>
      </c>
      <c r="C4" s="428">
        <v>1997.0</v>
      </c>
      <c r="D4" s="500">
        <v>35792.0</v>
      </c>
      <c r="E4" s="426" t="s">
        <v>13687</v>
      </c>
      <c r="F4" s="426" t="s">
        <v>13688</v>
      </c>
      <c r="G4" s="426" t="s">
        <v>270</v>
      </c>
      <c r="H4" s="676" t="s">
        <v>5180</v>
      </c>
      <c r="I4" s="500">
        <v>36565.0</v>
      </c>
      <c r="J4" s="428">
        <v>2.0</v>
      </c>
      <c r="K4" s="637" t="s">
        <v>238</v>
      </c>
      <c r="L4" s="428" t="s">
        <v>258</v>
      </c>
      <c r="M4" s="319">
        <f t="shared" si="1"/>
        <v>773</v>
      </c>
      <c r="N4" s="198"/>
      <c r="O4" s="321" t="s">
        <v>34</v>
      </c>
      <c r="P4" s="321">
        <f>COUNTIF($G$2:$G$476,"PTN")</f>
        <v>9</v>
      </c>
      <c r="Q4" s="25"/>
      <c r="R4" s="25"/>
      <c r="S4" s="25"/>
      <c r="T4" s="25"/>
      <c r="U4" s="198"/>
      <c r="V4" s="198"/>
      <c r="W4" s="198"/>
      <c r="X4" s="198"/>
      <c r="Y4" s="198"/>
      <c r="Z4" s="198"/>
    </row>
    <row r="5" ht="12.75" customHeight="1">
      <c r="A5" s="578">
        <v>400.0</v>
      </c>
      <c r="B5" s="422" t="s">
        <v>13689</v>
      </c>
      <c r="C5" s="422">
        <v>1998.0</v>
      </c>
      <c r="D5" s="497">
        <v>36071.0</v>
      </c>
      <c r="E5" s="420" t="s">
        <v>13690</v>
      </c>
      <c r="F5" s="420" t="s">
        <v>31</v>
      </c>
      <c r="G5" s="420" t="s">
        <v>650</v>
      </c>
      <c r="H5" s="677" t="s">
        <v>7403</v>
      </c>
      <c r="I5" s="497">
        <v>36571.0</v>
      </c>
      <c r="J5" s="422">
        <v>2.0</v>
      </c>
      <c r="K5" s="637" t="s">
        <v>238</v>
      </c>
      <c r="L5" s="420" t="s">
        <v>258</v>
      </c>
      <c r="M5" s="316">
        <f t="shared" si="1"/>
        <v>500</v>
      </c>
      <c r="N5" s="198"/>
      <c r="O5" s="322" t="s">
        <v>40</v>
      </c>
      <c r="P5" s="322">
        <f>COUNTIF($G$2:$G$476,"PTE")</f>
        <v>0</v>
      </c>
      <c r="Q5" s="25"/>
      <c r="R5" s="25"/>
      <c r="S5" s="25"/>
      <c r="T5" s="25"/>
      <c r="U5" s="198"/>
      <c r="V5" s="198"/>
      <c r="W5" s="198"/>
      <c r="X5" s="198"/>
      <c r="Y5" s="198"/>
      <c r="Z5" s="198"/>
    </row>
    <row r="6" ht="12.75" customHeight="1">
      <c r="A6" s="585">
        <v>500.0</v>
      </c>
      <c r="B6" s="428" t="s">
        <v>13691</v>
      </c>
      <c r="C6" s="428">
        <v>1998.0</v>
      </c>
      <c r="D6" s="500">
        <v>35905.0</v>
      </c>
      <c r="E6" s="426" t="s">
        <v>13692</v>
      </c>
      <c r="F6" s="426" t="s">
        <v>1464</v>
      </c>
      <c r="G6" s="426" t="s">
        <v>270</v>
      </c>
      <c r="H6" s="676" t="s">
        <v>7403</v>
      </c>
      <c r="I6" s="500">
        <v>36574.0</v>
      </c>
      <c r="J6" s="428">
        <v>2.0</v>
      </c>
      <c r="K6" s="638" t="s">
        <v>234</v>
      </c>
      <c r="L6" s="428" t="s">
        <v>256</v>
      </c>
      <c r="M6" s="319">
        <f t="shared" si="1"/>
        <v>669</v>
      </c>
      <c r="N6" s="198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198"/>
      <c r="V6" s="198"/>
      <c r="W6" s="198"/>
      <c r="X6" s="198"/>
      <c r="Y6" s="198"/>
      <c r="Z6" s="198"/>
    </row>
    <row r="7" ht="12.75" customHeight="1">
      <c r="A7" s="578">
        <v>600.0</v>
      </c>
      <c r="B7" s="422" t="s">
        <v>13693</v>
      </c>
      <c r="C7" s="422">
        <v>1999.0</v>
      </c>
      <c r="D7" s="497">
        <v>36194.0</v>
      </c>
      <c r="E7" s="420" t="s">
        <v>13694</v>
      </c>
      <c r="F7" s="420" t="s">
        <v>2644</v>
      </c>
      <c r="G7" s="420" t="s">
        <v>650</v>
      </c>
      <c r="H7" s="677" t="s">
        <v>13695</v>
      </c>
      <c r="I7" s="497">
        <v>36578.0</v>
      </c>
      <c r="J7" s="422">
        <v>2.0</v>
      </c>
      <c r="K7" s="685" t="s">
        <v>244</v>
      </c>
      <c r="L7" s="420" t="s">
        <v>260</v>
      </c>
      <c r="M7" s="316">
        <f t="shared" si="1"/>
        <v>384</v>
      </c>
      <c r="N7" s="198"/>
      <c r="O7" s="322" t="s">
        <v>553</v>
      </c>
      <c r="P7" s="322">
        <f>COUNTIF($G$2:$G$476,"PF")</f>
        <v>38</v>
      </c>
      <c r="Q7" s="25"/>
      <c r="R7" s="25"/>
      <c r="S7" s="25"/>
      <c r="T7" s="25"/>
      <c r="U7" s="198"/>
      <c r="V7" s="198"/>
      <c r="W7" s="198"/>
      <c r="X7" s="198"/>
      <c r="Y7" s="198"/>
      <c r="Z7" s="198"/>
    </row>
    <row r="8" ht="12.75" customHeight="1">
      <c r="A8" s="585">
        <v>700.0</v>
      </c>
      <c r="B8" s="428" t="s">
        <v>13696</v>
      </c>
      <c r="C8" s="428">
        <v>1999.0</v>
      </c>
      <c r="D8" s="500">
        <v>36255.0</v>
      </c>
      <c r="E8" s="426" t="s">
        <v>13697</v>
      </c>
      <c r="F8" s="426" t="s">
        <v>13698</v>
      </c>
      <c r="G8" s="426" t="s">
        <v>650</v>
      </c>
      <c r="H8" s="676" t="s">
        <v>13543</v>
      </c>
      <c r="I8" s="500">
        <v>36578.0</v>
      </c>
      <c r="J8" s="428">
        <v>2.0</v>
      </c>
      <c r="K8" s="635" t="s">
        <v>228</v>
      </c>
      <c r="L8" s="428" t="s">
        <v>256</v>
      </c>
      <c r="M8" s="319">
        <f t="shared" si="1"/>
        <v>323</v>
      </c>
      <c r="N8" s="198"/>
      <c r="O8" s="321" t="s">
        <v>547</v>
      </c>
      <c r="P8" s="321">
        <f>COUNTIF($G$2:$G$476,"PFN")</f>
        <v>13</v>
      </c>
      <c r="Q8" s="25"/>
      <c r="R8" s="25"/>
      <c r="S8" s="25"/>
      <c r="T8" s="25"/>
      <c r="U8" s="198"/>
      <c r="V8" s="198"/>
      <c r="W8" s="198"/>
      <c r="X8" s="198"/>
      <c r="Y8" s="198"/>
      <c r="Z8" s="198"/>
    </row>
    <row r="9" ht="12.75" customHeight="1">
      <c r="A9" s="578">
        <v>800.0</v>
      </c>
      <c r="B9" s="422" t="s">
        <v>13699</v>
      </c>
      <c r="C9" s="422">
        <v>1998.0</v>
      </c>
      <c r="D9" s="497">
        <v>36129.0</v>
      </c>
      <c r="E9" s="420" t="s">
        <v>13700</v>
      </c>
      <c r="F9" s="420" t="s">
        <v>13698</v>
      </c>
      <c r="G9" s="420" t="s">
        <v>650</v>
      </c>
      <c r="H9" s="677" t="s">
        <v>13543</v>
      </c>
      <c r="I9" s="497">
        <v>36578.0</v>
      </c>
      <c r="J9" s="422">
        <v>2.0</v>
      </c>
      <c r="K9" s="635" t="s">
        <v>228</v>
      </c>
      <c r="L9" s="420" t="s">
        <v>256</v>
      </c>
      <c r="M9" s="316">
        <f t="shared" si="1"/>
        <v>449</v>
      </c>
      <c r="N9" s="198"/>
      <c r="O9" s="322" t="s">
        <v>560</v>
      </c>
      <c r="P9" s="322">
        <f>COUNTIF($G$2:$G$476,"PF/PTE")</f>
        <v>0</v>
      </c>
      <c r="Q9" s="25"/>
      <c r="R9" s="25"/>
      <c r="S9" s="25"/>
      <c r="T9" s="25"/>
      <c r="U9" s="198"/>
      <c r="V9" s="198"/>
      <c r="W9" s="198"/>
      <c r="X9" s="198"/>
      <c r="Y9" s="198"/>
      <c r="Z9" s="198"/>
    </row>
    <row r="10" ht="12.75" customHeight="1">
      <c r="A10" s="585">
        <v>900.0</v>
      </c>
      <c r="B10" s="428" t="s">
        <v>13701</v>
      </c>
      <c r="C10" s="428">
        <v>1996.0</v>
      </c>
      <c r="D10" s="500">
        <v>35376.0</v>
      </c>
      <c r="E10" s="426" t="s">
        <v>13702</v>
      </c>
      <c r="F10" s="426" t="s">
        <v>963</v>
      </c>
      <c r="G10" s="426" t="s">
        <v>270</v>
      </c>
      <c r="H10" s="676" t="s">
        <v>934</v>
      </c>
      <c r="I10" s="500">
        <v>36578.0</v>
      </c>
      <c r="J10" s="428">
        <v>2.0</v>
      </c>
      <c r="K10" s="685" t="s">
        <v>244</v>
      </c>
      <c r="L10" s="428" t="s">
        <v>258</v>
      </c>
      <c r="M10" s="319">
        <f t="shared" si="1"/>
        <v>1202</v>
      </c>
      <c r="N10" s="198"/>
      <c r="O10" s="321" t="s">
        <v>565</v>
      </c>
      <c r="P10" s="321">
        <f>COUNTIF($G$2:$G$476,"Bio")</f>
        <v>2</v>
      </c>
      <c r="Q10" s="25"/>
      <c r="R10" s="25"/>
      <c r="S10" s="25"/>
      <c r="T10" s="25"/>
      <c r="U10" s="198"/>
      <c r="V10" s="198"/>
      <c r="W10" s="198"/>
      <c r="X10" s="198"/>
      <c r="Y10" s="198"/>
      <c r="Z10" s="198"/>
    </row>
    <row r="11" ht="12.75" customHeight="1">
      <c r="A11" s="578">
        <v>1000.0</v>
      </c>
      <c r="B11" s="422" t="s">
        <v>13703</v>
      </c>
      <c r="C11" s="422">
        <v>1992.0</v>
      </c>
      <c r="D11" s="497">
        <v>33765.0</v>
      </c>
      <c r="E11" s="420" t="s">
        <v>13704</v>
      </c>
      <c r="F11" s="420" t="s">
        <v>4561</v>
      </c>
      <c r="G11" s="420" t="s">
        <v>270</v>
      </c>
      <c r="H11" s="677" t="s">
        <v>2509</v>
      </c>
      <c r="I11" s="497">
        <v>36579.0</v>
      </c>
      <c r="J11" s="422">
        <v>2.0</v>
      </c>
      <c r="K11" s="637" t="s">
        <v>238</v>
      </c>
      <c r="L11" s="420" t="s">
        <v>256</v>
      </c>
      <c r="M11" s="316">
        <f t="shared" si="1"/>
        <v>2814</v>
      </c>
      <c r="N11" s="198"/>
      <c r="O11" s="323" t="s">
        <v>569</v>
      </c>
      <c r="P11" s="323">
        <f>COUNTIF($G$2:$G$476,"Bio/Org")</f>
        <v>0</v>
      </c>
      <c r="Q11" s="25"/>
      <c r="R11" s="25"/>
      <c r="S11" s="25"/>
      <c r="T11" s="25"/>
      <c r="U11" s="198"/>
      <c r="V11" s="198"/>
      <c r="W11" s="198"/>
      <c r="X11" s="198"/>
      <c r="Y11" s="198"/>
      <c r="Z11" s="198"/>
    </row>
    <row r="12" ht="12.75" customHeight="1">
      <c r="A12" s="585">
        <v>1100.0</v>
      </c>
      <c r="B12" s="428" t="s">
        <v>13705</v>
      </c>
      <c r="C12" s="428">
        <v>1997.0</v>
      </c>
      <c r="D12" s="500">
        <v>35792.0</v>
      </c>
      <c r="E12" s="426" t="s">
        <v>13706</v>
      </c>
      <c r="F12" s="426" t="s">
        <v>2873</v>
      </c>
      <c r="G12" s="426" t="s">
        <v>650</v>
      </c>
      <c r="H12" s="676" t="s">
        <v>5180</v>
      </c>
      <c r="I12" s="500">
        <v>36599.0</v>
      </c>
      <c r="J12" s="428">
        <v>3.0</v>
      </c>
      <c r="K12" s="635" t="s">
        <v>228</v>
      </c>
      <c r="L12" s="428" t="s">
        <v>258</v>
      </c>
      <c r="M12" s="319">
        <f t="shared" si="1"/>
        <v>807</v>
      </c>
      <c r="N12" s="198"/>
      <c r="O12" s="324" t="s">
        <v>51</v>
      </c>
      <c r="P12" s="325">
        <f>SUM(P3:P11)</f>
        <v>82</v>
      </c>
      <c r="Q12" s="25"/>
      <c r="R12" s="25"/>
      <c r="S12" s="25"/>
      <c r="T12" s="25"/>
      <c r="U12" s="198"/>
      <c r="V12" s="198"/>
      <c r="W12" s="198"/>
      <c r="X12" s="198"/>
      <c r="Y12" s="198"/>
      <c r="Z12" s="198"/>
    </row>
    <row r="13" ht="12.75" customHeight="1">
      <c r="A13" s="578">
        <v>1200.0</v>
      </c>
      <c r="B13" s="422" t="s">
        <v>13707</v>
      </c>
      <c r="C13" s="422">
        <v>1992.0</v>
      </c>
      <c r="D13" s="497">
        <v>33938.0</v>
      </c>
      <c r="E13" s="420" t="s">
        <v>13708</v>
      </c>
      <c r="F13" s="420" t="s">
        <v>13709</v>
      </c>
      <c r="G13" s="420" t="s">
        <v>270</v>
      </c>
      <c r="H13" s="677" t="s">
        <v>13710</v>
      </c>
      <c r="I13" s="497">
        <v>36640.0</v>
      </c>
      <c r="J13" s="422">
        <v>4.0</v>
      </c>
      <c r="K13" s="638" t="s">
        <v>234</v>
      </c>
      <c r="L13" s="420" t="s">
        <v>260</v>
      </c>
      <c r="M13" s="316">
        <f t="shared" si="1"/>
        <v>2702</v>
      </c>
      <c r="N13" s="198"/>
      <c r="O13" s="25"/>
      <c r="P13" s="25"/>
      <c r="Q13" s="25"/>
      <c r="R13" s="326"/>
      <c r="S13" s="326"/>
      <c r="T13" s="25"/>
      <c r="U13" s="198"/>
      <c r="V13" s="198"/>
      <c r="W13" s="198"/>
      <c r="X13" s="198"/>
      <c r="Y13" s="198"/>
      <c r="Z13" s="198"/>
    </row>
    <row r="14" ht="13.5" customHeight="1">
      <c r="A14" s="585">
        <v>1300.0</v>
      </c>
      <c r="B14" s="428" t="s">
        <v>13711</v>
      </c>
      <c r="C14" s="428">
        <v>1996.0</v>
      </c>
      <c r="D14" s="500">
        <v>35190.0</v>
      </c>
      <c r="E14" s="426" t="s">
        <v>13712</v>
      </c>
      <c r="F14" s="426" t="s">
        <v>13709</v>
      </c>
      <c r="G14" s="426" t="s">
        <v>270</v>
      </c>
      <c r="H14" s="676" t="s">
        <v>13710</v>
      </c>
      <c r="I14" s="500">
        <v>36640.0</v>
      </c>
      <c r="J14" s="428">
        <v>4.0</v>
      </c>
      <c r="K14" s="638" t="s">
        <v>234</v>
      </c>
      <c r="L14" s="428" t="s">
        <v>260</v>
      </c>
      <c r="M14" s="319">
        <f t="shared" si="1"/>
        <v>1450</v>
      </c>
      <c r="N14" s="198"/>
      <c r="O14" s="327" t="s">
        <v>61</v>
      </c>
      <c r="P14" s="102"/>
      <c r="Q14" s="102"/>
      <c r="R14" s="102"/>
      <c r="S14" s="103"/>
      <c r="T14" s="25"/>
      <c r="U14" s="198"/>
      <c r="V14" s="198"/>
      <c r="W14" s="198"/>
      <c r="X14" s="198"/>
      <c r="Y14" s="198"/>
      <c r="Z14" s="198"/>
    </row>
    <row r="15" ht="14.25" customHeight="1">
      <c r="A15" s="578">
        <v>1400.0</v>
      </c>
      <c r="B15" s="422" t="s">
        <v>13713</v>
      </c>
      <c r="C15" s="422">
        <v>1998.0</v>
      </c>
      <c r="D15" s="497">
        <v>36043.0</v>
      </c>
      <c r="E15" s="420" t="s">
        <v>13714</v>
      </c>
      <c r="F15" s="420" t="s">
        <v>2453</v>
      </c>
      <c r="G15" s="420" t="s">
        <v>270</v>
      </c>
      <c r="H15" s="677" t="s">
        <v>2509</v>
      </c>
      <c r="I15" s="497">
        <v>36641.0</v>
      </c>
      <c r="J15" s="422">
        <v>4.0</v>
      </c>
      <c r="K15" s="637" t="s">
        <v>238</v>
      </c>
      <c r="L15" s="420" t="s">
        <v>258</v>
      </c>
      <c r="M15" s="316">
        <f t="shared" si="1"/>
        <v>598</v>
      </c>
      <c r="N15" s="198"/>
      <c r="O15" s="328"/>
      <c r="P15" s="329"/>
      <c r="Q15" s="329"/>
      <c r="R15" s="329"/>
      <c r="S15" s="330"/>
      <c r="T15" s="25"/>
      <c r="U15" s="198"/>
      <c r="V15" s="198"/>
      <c r="W15" s="198"/>
      <c r="X15" s="198"/>
      <c r="Y15" s="198"/>
      <c r="Z15" s="198"/>
    </row>
    <row r="16" ht="12.75" customHeight="1">
      <c r="A16" s="585">
        <v>1500.0</v>
      </c>
      <c r="B16" s="428" t="s">
        <v>13715</v>
      </c>
      <c r="C16" s="428">
        <v>1998.0</v>
      </c>
      <c r="D16" s="500">
        <v>36044.0</v>
      </c>
      <c r="E16" s="426" t="s">
        <v>13716</v>
      </c>
      <c r="F16" s="426" t="s">
        <v>719</v>
      </c>
      <c r="G16" s="426" t="s">
        <v>270</v>
      </c>
      <c r="H16" s="676" t="s">
        <v>2509</v>
      </c>
      <c r="I16" s="500">
        <v>36641.0</v>
      </c>
      <c r="J16" s="428">
        <v>4.0</v>
      </c>
      <c r="K16" s="637" t="s">
        <v>238</v>
      </c>
      <c r="L16" s="428" t="s">
        <v>258</v>
      </c>
      <c r="M16" s="319">
        <f t="shared" si="1"/>
        <v>597</v>
      </c>
      <c r="N16" s="198"/>
      <c r="O16" s="331" t="s">
        <v>13717</v>
      </c>
      <c r="P16" s="332"/>
      <c r="Q16" s="332"/>
      <c r="R16" s="332"/>
      <c r="S16" s="333"/>
      <c r="T16" s="25"/>
      <c r="U16" s="198"/>
      <c r="V16" s="198"/>
      <c r="W16" s="198"/>
      <c r="X16" s="198"/>
      <c r="Y16" s="198"/>
      <c r="Z16" s="198"/>
    </row>
    <row r="17" ht="12.75" customHeight="1">
      <c r="A17" s="578">
        <v>1600.0</v>
      </c>
      <c r="B17" s="422" t="s">
        <v>13718</v>
      </c>
      <c r="C17" s="422">
        <v>1998.0</v>
      </c>
      <c r="D17" s="497">
        <v>36132.0</v>
      </c>
      <c r="E17" s="420" t="s">
        <v>13719</v>
      </c>
      <c r="F17" s="420" t="s">
        <v>2225</v>
      </c>
      <c r="G17" s="420" t="s">
        <v>34</v>
      </c>
      <c r="H17" s="677" t="s">
        <v>705</v>
      </c>
      <c r="I17" s="497">
        <v>36649.0</v>
      </c>
      <c r="J17" s="422">
        <v>5.0</v>
      </c>
      <c r="K17" s="638" t="s">
        <v>234</v>
      </c>
      <c r="L17" s="420" t="s">
        <v>258</v>
      </c>
      <c r="M17" s="316">
        <f t="shared" si="1"/>
        <v>517</v>
      </c>
      <c r="N17" s="198"/>
      <c r="O17" s="334" t="s">
        <v>13720</v>
      </c>
      <c r="P17" s="113"/>
      <c r="Q17" s="113"/>
      <c r="R17" s="113"/>
      <c r="S17" s="114"/>
      <c r="T17" s="25"/>
      <c r="U17" s="198"/>
      <c r="V17" s="198"/>
      <c r="W17" s="198"/>
      <c r="X17" s="198"/>
      <c r="Y17" s="198"/>
      <c r="Z17" s="198"/>
    </row>
    <row r="18" ht="12.75" customHeight="1">
      <c r="A18" s="585">
        <v>1700.0</v>
      </c>
      <c r="B18" s="428" t="s">
        <v>13721</v>
      </c>
      <c r="C18" s="428">
        <v>1998.0</v>
      </c>
      <c r="D18" s="500">
        <v>36091.0</v>
      </c>
      <c r="E18" s="426" t="s">
        <v>13722</v>
      </c>
      <c r="F18" s="426" t="s">
        <v>595</v>
      </c>
      <c r="G18" s="426" t="s">
        <v>650</v>
      </c>
      <c r="H18" s="676" t="s">
        <v>13415</v>
      </c>
      <c r="I18" s="500">
        <v>36649.0</v>
      </c>
      <c r="J18" s="428">
        <v>5.0</v>
      </c>
      <c r="K18" s="637" t="s">
        <v>238</v>
      </c>
      <c r="L18" s="428" t="s">
        <v>256</v>
      </c>
      <c r="M18" s="319">
        <f t="shared" si="1"/>
        <v>558</v>
      </c>
      <c r="N18" s="198"/>
      <c r="O18" s="335" t="s">
        <v>13723</v>
      </c>
      <c r="P18" s="113"/>
      <c r="Q18" s="113"/>
      <c r="R18" s="113"/>
      <c r="S18" s="114"/>
      <c r="T18" s="25"/>
      <c r="U18" s="198"/>
      <c r="V18" s="198"/>
      <c r="W18" s="198"/>
      <c r="X18" s="198"/>
      <c r="Y18" s="198"/>
      <c r="Z18" s="198"/>
    </row>
    <row r="19" ht="12.75" customHeight="1">
      <c r="A19" s="578">
        <v>1800.0</v>
      </c>
      <c r="B19" s="422" t="s">
        <v>13724</v>
      </c>
      <c r="C19" s="422">
        <v>1999.0</v>
      </c>
      <c r="D19" s="497">
        <v>36232.0</v>
      </c>
      <c r="E19" s="420" t="s">
        <v>13725</v>
      </c>
      <c r="F19" s="420" t="s">
        <v>2225</v>
      </c>
      <c r="G19" s="420" t="s">
        <v>547</v>
      </c>
      <c r="H19" s="677" t="s">
        <v>705</v>
      </c>
      <c r="I19" s="497">
        <v>36651.0</v>
      </c>
      <c r="J19" s="422">
        <v>5.0</v>
      </c>
      <c r="K19" s="637" t="s">
        <v>238</v>
      </c>
      <c r="L19" s="420" t="s">
        <v>258</v>
      </c>
      <c r="M19" s="316">
        <f t="shared" si="1"/>
        <v>419</v>
      </c>
      <c r="N19" s="198"/>
      <c r="O19" s="334" t="s">
        <v>13726</v>
      </c>
      <c r="P19" s="113"/>
      <c r="Q19" s="113"/>
      <c r="R19" s="113"/>
      <c r="S19" s="114"/>
      <c r="T19" s="25"/>
      <c r="U19" s="198"/>
      <c r="V19" s="198"/>
      <c r="W19" s="198"/>
      <c r="X19" s="198"/>
      <c r="Y19" s="198"/>
      <c r="Z19" s="198"/>
    </row>
    <row r="20" ht="12.75" customHeight="1">
      <c r="A20" s="585">
        <v>1900.0</v>
      </c>
      <c r="B20" s="428" t="s">
        <v>13727</v>
      </c>
      <c r="C20" s="428">
        <v>1995.0</v>
      </c>
      <c r="D20" s="500">
        <v>35054.0</v>
      </c>
      <c r="E20" s="426" t="s">
        <v>13728</v>
      </c>
      <c r="F20" s="426" t="s">
        <v>13729</v>
      </c>
      <c r="G20" s="426" t="s">
        <v>270</v>
      </c>
      <c r="H20" s="676" t="s">
        <v>12127</v>
      </c>
      <c r="I20" s="500">
        <v>36661.0</v>
      </c>
      <c r="J20" s="428">
        <v>5.0</v>
      </c>
      <c r="K20" s="637" t="s">
        <v>238</v>
      </c>
      <c r="L20" s="428" t="s">
        <v>258</v>
      </c>
      <c r="M20" s="321" t="s">
        <v>3889</v>
      </c>
      <c r="N20" s="198"/>
      <c r="O20" s="335" t="s">
        <v>13730</v>
      </c>
      <c r="P20" s="113"/>
      <c r="Q20" s="113"/>
      <c r="R20" s="113"/>
      <c r="S20" s="114"/>
      <c r="T20" s="25"/>
      <c r="U20" s="198"/>
      <c r="V20" s="198"/>
      <c r="W20" s="198"/>
      <c r="X20" s="198"/>
      <c r="Y20" s="198"/>
      <c r="Z20" s="198"/>
    </row>
    <row r="21" ht="12.75" customHeight="1">
      <c r="A21" s="578">
        <v>2000.0</v>
      </c>
      <c r="B21" s="422" t="s">
        <v>13731</v>
      </c>
      <c r="C21" s="422">
        <v>1997.0</v>
      </c>
      <c r="D21" s="497">
        <v>35791.0</v>
      </c>
      <c r="E21" s="420" t="s">
        <v>13732</v>
      </c>
      <c r="F21" s="420" t="s">
        <v>13733</v>
      </c>
      <c r="G21" s="420" t="s">
        <v>34</v>
      </c>
      <c r="H21" s="677" t="s">
        <v>13064</v>
      </c>
      <c r="I21" s="497">
        <v>36661.0</v>
      </c>
      <c r="J21" s="422">
        <v>5.0</v>
      </c>
      <c r="K21" s="638" t="s">
        <v>234</v>
      </c>
      <c r="L21" s="420" t="s">
        <v>258</v>
      </c>
      <c r="M21" s="316">
        <f t="shared" ref="M21:M30" si="2">I21-D21</f>
        <v>870</v>
      </c>
      <c r="N21" s="198"/>
      <c r="O21" s="334" t="s">
        <v>13734</v>
      </c>
      <c r="P21" s="113"/>
      <c r="Q21" s="113"/>
      <c r="R21" s="113"/>
      <c r="S21" s="114"/>
      <c r="T21" s="25"/>
      <c r="U21" s="198"/>
      <c r="V21" s="198"/>
      <c r="W21" s="198"/>
      <c r="X21" s="198"/>
      <c r="Y21" s="198"/>
      <c r="Z21" s="198"/>
    </row>
    <row r="22" ht="12.75" customHeight="1">
      <c r="A22" s="585">
        <v>2100.0</v>
      </c>
      <c r="B22" s="428" t="s">
        <v>13735</v>
      </c>
      <c r="C22" s="428">
        <v>1998.0</v>
      </c>
      <c r="D22" s="500">
        <v>36037.0</v>
      </c>
      <c r="E22" s="426" t="s">
        <v>13736</v>
      </c>
      <c r="F22" s="426" t="s">
        <v>2667</v>
      </c>
      <c r="G22" s="426" t="s">
        <v>34</v>
      </c>
      <c r="H22" s="676" t="s">
        <v>5180</v>
      </c>
      <c r="I22" s="500">
        <v>36661.0</v>
      </c>
      <c r="J22" s="428">
        <v>5.0</v>
      </c>
      <c r="K22" s="635" t="s">
        <v>228</v>
      </c>
      <c r="L22" s="428" t="s">
        <v>258</v>
      </c>
      <c r="M22" s="319">
        <f t="shared" si="2"/>
        <v>624</v>
      </c>
      <c r="N22" s="198"/>
      <c r="O22" s="335" t="s">
        <v>13737</v>
      </c>
      <c r="P22" s="113"/>
      <c r="Q22" s="113"/>
      <c r="R22" s="113"/>
      <c r="S22" s="114"/>
      <c r="T22" s="25"/>
      <c r="U22" s="198"/>
      <c r="V22" s="198"/>
      <c r="W22" s="198"/>
      <c r="X22" s="198"/>
      <c r="Y22" s="198"/>
      <c r="Z22" s="198"/>
    </row>
    <row r="23" ht="12.75" customHeight="1">
      <c r="A23" s="578">
        <v>2200.0</v>
      </c>
      <c r="B23" s="422" t="s">
        <v>13738</v>
      </c>
      <c r="C23" s="422">
        <v>1998.0</v>
      </c>
      <c r="D23" s="497">
        <v>36030.0</v>
      </c>
      <c r="E23" s="420" t="s">
        <v>13739</v>
      </c>
      <c r="F23" s="420" t="s">
        <v>13049</v>
      </c>
      <c r="G23" s="420" t="s">
        <v>547</v>
      </c>
      <c r="H23" s="677" t="s">
        <v>651</v>
      </c>
      <c r="I23" s="497">
        <v>36661.0</v>
      </c>
      <c r="J23" s="422">
        <v>5.0</v>
      </c>
      <c r="K23" s="635" t="s">
        <v>228</v>
      </c>
      <c r="L23" s="420" t="s">
        <v>258</v>
      </c>
      <c r="M23" s="316">
        <f t="shared" si="2"/>
        <v>631</v>
      </c>
      <c r="N23" s="198"/>
      <c r="O23" s="334" t="s">
        <v>13740</v>
      </c>
      <c r="P23" s="113"/>
      <c r="Q23" s="113"/>
      <c r="R23" s="113"/>
      <c r="S23" s="114"/>
      <c r="T23" s="25"/>
      <c r="U23" s="198"/>
      <c r="V23" s="198"/>
      <c r="W23" s="198"/>
      <c r="X23" s="198"/>
      <c r="Y23" s="198"/>
      <c r="Z23" s="198"/>
    </row>
    <row r="24" ht="12.75" customHeight="1">
      <c r="A24" s="585">
        <v>2300.0</v>
      </c>
      <c r="B24" s="428" t="s">
        <v>13741</v>
      </c>
      <c r="C24" s="428">
        <v>1996.0</v>
      </c>
      <c r="D24" s="500">
        <v>35230.0</v>
      </c>
      <c r="E24" s="426" t="s">
        <v>13742</v>
      </c>
      <c r="F24" s="426" t="s">
        <v>1834</v>
      </c>
      <c r="G24" s="426" t="s">
        <v>650</v>
      </c>
      <c r="H24" s="676" t="s">
        <v>3788</v>
      </c>
      <c r="I24" s="500">
        <v>36676.0</v>
      </c>
      <c r="J24" s="428">
        <v>5.0</v>
      </c>
      <c r="K24" s="638" t="s">
        <v>234</v>
      </c>
      <c r="L24" s="428" t="s">
        <v>258</v>
      </c>
      <c r="M24" s="319">
        <f t="shared" si="2"/>
        <v>1446</v>
      </c>
      <c r="N24" s="198"/>
      <c r="O24" s="336" t="s">
        <v>13743</v>
      </c>
      <c r="P24" s="118"/>
      <c r="Q24" s="118"/>
      <c r="R24" s="118"/>
      <c r="S24" s="119"/>
      <c r="T24" s="25"/>
      <c r="U24" s="198"/>
      <c r="V24" s="198"/>
      <c r="W24" s="198"/>
      <c r="X24" s="198"/>
      <c r="Y24" s="198"/>
      <c r="Z24" s="198"/>
    </row>
    <row r="25" ht="12.75" customHeight="1">
      <c r="A25" s="578">
        <v>2400.0</v>
      </c>
      <c r="B25" s="422" t="s">
        <v>13744</v>
      </c>
      <c r="C25" s="422">
        <v>1998.0</v>
      </c>
      <c r="D25" s="497">
        <v>36078.0</v>
      </c>
      <c r="E25" s="420" t="s">
        <v>13745</v>
      </c>
      <c r="F25" s="420" t="s">
        <v>11767</v>
      </c>
      <c r="G25" s="420" t="s">
        <v>650</v>
      </c>
      <c r="H25" s="677" t="s">
        <v>13215</v>
      </c>
      <c r="I25" s="497">
        <v>36676.0</v>
      </c>
      <c r="J25" s="422">
        <v>5.0</v>
      </c>
      <c r="K25" s="637" t="s">
        <v>238</v>
      </c>
      <c r="L25" s="420" t="s">
        <v>256</v>
      </c>
      <c r="M25" s="316">
        <f t="shared" si="2"/>
        <v>598</v>
      </c>
      <c r="N25" s="198"/>
      <c r="O25" s="25"/>
      <c r="P25" s="25"/>
      <c r="Q25" s="25"/>
      <c r="R25" s="25"/>
      <c r="S25" s="25"/>
      <c r="T25" s="25"/>
      <c r="U25" s="198"/>
      <c r="V25" s="198"/>
      <c r="W25" s="198"/>
      <c r="X25" s="198"/>
      <c r="Y25" s="198"/>
      <c r="Z25" s="198"/>
    </row>
    <row r="26" ht="13.5" customHeight="1">
      <c r="A26" s="585">
        <v>2500.0</v>
      </c>
      <c r="B26" s="428" t="s">
        <v>13746</v>
      </c>
      <c r="C26" s="428">
        <v>1998.0</v>
      </c>
      <c r="D26" s="500">
        <v>36105.0</v>
      </c>
      <c r="E26" s="426" t="s">
        <v>13747</v>
      </c>
      <c r="F26" s="426" t="s">
        <v>963</v>
      </c>
      <c r="G26" s="426" t="s">
        <v>650</v>
      </c>
      <c r="H26" s="676" t="s">
        <v>934</v>
      </c>
      <c r="I26" s="500">
        <v>36686.0</v>
      </c>
      <c r="J26" s="428">
        <v>6.0</v>
      </c>
      <c r="K26" s="637" t="s">
        <v>238</v>
      </c>
      <c r="L26" s="428" t="s">
        <v>258</v>
      </c>
      <c r="M26" s="319">
        <f t="shared" si="2"/>
        <v>581</v>
      </c>
      <c r="N26" s="198"/>
      <c r="O26" s="327" t="s">
        <v>617</v>
      </c>
      <c r="P26" s="102"/>
      <c r="Q26" s="102"/>
      <c r="R26" s="102"/>
      <c r="S26" s="103"/>
      <c r="T26" s="25"/>
      <c r="U26" s="198"/>
      <c r="V26" s="198"/>
      <c r="W26" s="198"/>
      <c r="X26" s="198"/>
      <c r="Y26" s="198"/>
      <c r="Z26" s="198"/>
    </row>
    <row r="27" ht="13.5" customHeight="1">
      <c r="A27" s="578">
        <v>2600.0</v>
      </c>
      <c r="B27" s="422" t="s">
        <v>13748</v>
      </c>
      <c r="C27" s="422">
        <v>1999.0</v>
      </c>
      <c r="D27" s="497">
        <v>36323.0</v>
      </c>
      <c r="E27" s="420" t="s">
        <v>13749</v>
      </c>
      <c r="F27" s="420" t="s">
        <v>4263</v>
      </c>
      <c r="G27" s="420" t="s">
        <v>650</v>
      </c>
      <c r="H27" s="677" t="s">
        <v>705</v>
      </c>
      <c r="I27" s="497">
        <v>36686.0</v>
      </c>
      <c r="J27" s="422">
        <v>6.0</v>
      </c>
      <c r="K27" s="637" t="s">
        <v>238</v>
      </c>
      <c r="L27" s="420" t="s">
        <v>256</v>
      </c>
      <c r="M27" s="316">
        <f t="shared" si="2"/>
        <v>363</v>
      </c>
      <c r="N27" s="198"/>
      <c r="O27" s="104"/>
      <c r="P27" s="105"/>
      <c r="Q27" s="105"/>
      <c r="R27" s="105"/>
      <c r="S27" s="106"/>
      <c r="T27" s="25"/>
      <c r="U27" s="198"/>
      <c r="V27" s="198"/>
      <c r="W27" s="198"/>
      <c r="X27" s="198"/>
      <c r="Y27" s="198"/>
      <c r="Z27" s="198"/>
    </row>
    <row r="28" ht="12.75" customHeight="1">
      <c r="A28" s="585">
        <v>2700.0</v>
      </c>
      <c r="B28" s="428" t="s">
        <v>13750</v>
      </c>
      <c r="C28" s="428">
        <v>1999.0</v>
      </c>
      <c r="D28" s="500">
        <v>36377.0</v>
      </c>
      <c r="E28" s="426" t="s">
        <v>13751</v>
      </c>
      <c r="F28" s="426" t="s">
        <v>666</v>
      </c>
      <c r="G28" s="426" t="s">
        <v>650</v>
      </c>
      <c r="H28" s="676" t="s">
        <v>705</v>
      </c>
      <c r="I28" s="500">
        <v>36686.0</v>
      </c>
      <c r="J28" s="428">
        <v>6.0</v>
      </c>
      <c r="K28" s="685" t="s">
        <v>244</v>
      </c>
      <c r="L28" s="428" t="s">
        <v>258</v>
      </c>
      <c r="M28" s="319">
        <f t="shared" si="2"/>
        <v>309</v>
      </c>
      <c r="N28" s="198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198"/>
      <c r="V28" s="198"/>
      <c r="W28" s="198"/>
      <c r="X28" s="198"/>
      <c r="Y28" s="198"/>
      <c r="Z28" s="198"/>
    </row>
    <row r="29" ht="12.75" customHeight="1">
      <c r="A29" s="578">
        <v>2800.0</v>
      </c>
      <c r="B29" s="422" t="s">
        <v>13752</v>
      </c>
      <c r="C29" s="422">
        <v>1997.0</v>
      </c>
      <c r="D29" s="497">
        <v>35792.0</v>
      </c>
      <c r="E29" s="420" t="s">
        <v>13753</v>
      </c>
      <c r="F29" s="420" t="s">
        <v>13754</v>
      </c>
      <c r="G29" s="420" t="s">
        <v>650</v>
      </c>
      <c r="H29" s="677" t="s">
        <v>5180</v>
      </c>
      <c r="I29" s="497">
        <v>36697.0</v>
      </c>
      <c r="J29" s="422">
        <v>6.0</v>
      </c>
      <c r="K29" s="638" t="s">
        <v>234</v>
      </c>
      <c r="L29" s="420" t="s">
        <v>258</v>
      </c>
      <c r="M29" s="316">
        <f t="shared" si="2"/>
        <v>905</v>
      </c>
      <c r="N29" s="198"/>
      <c r="O29" s="322">
        <v>1988.0</v>
      </c>
      <c r="P29" s="346">
        <f>COUNTIF($C$2:$C$503,"1988")</f>
        <v>0</v>
      </c>
      <c r="Q29" s="113"/>
      <c r="R29" s="114"/>
      <c r="S29" s="343">
        <f>P29/P42</f>
        <v>0</v>
      </c>
      <c r="T29" s="25"/>
      <c r="U29" s="198"/>
      <c r="V29" s="198"/>
      <c r="W29" s="198"/>
      <c r="X29" s="198"/>
      <c r="Y29" s="198"/>
      <c r="Z29" s="198"/>
    </row>
    <row r="30" ht="12.75" customHeight="1">
      <c r="A30" s="585">
        <v>2900.0</v>
      </c>
      <c r="B30" s="428" t="s">
        <v>13755</v>
      </c>
      <c r="C30" s="428">
        <v>1998.0</v>
      </c>
      <c r="D30" s="500">
        <v>36139.0</v>
      </c>
      <c r="E30" s="426" t="s">
        <v>13756</v>
      </c>
      <c r="F30" s="426" t="s">
        <v>13688</v>
      </c>
      <c r="G30" s="426" t="s">
        <v>547</v>
      </c>
      <c r="H30" s="676" t="s">
        <v>5180</v>
      </c>
      <c r="I30" s="500">
        <v>36700.0</v>
      </c>
      <c r="J30" s="428">
        <v>6.0</v>
      </c>
      <c r="K30" s="637" t="s">
        <v>238</v>
      </c>
      <c r="L30" s="428" t="s">
        <v>258</v>
      </c>
      <c r="M30" s="319">
        <f t="shared" si="2"/>
        <v>561</v>
      </c>
      <c r="N30" s="198"/>
      <c r="O30" s="321">
        <v>1989.0</v>
      </c>
      <c r="P30" s="344">
        <f>COUNTIF($C$2:$C$503,"1989")</f>
        <v>0</v>
      </c>
      <c r="Q30" s="113"/>
      <c r="R30" s="114"/>
      <c r="S30" s="345">
        <f>P30/P42</f>
        <v>0</v>
      </c>
      <c r="T30" s="25"/>
      <c r="U30" s="198"/>
      <c r="V30" s="198"/>
      <c r="W30" s="198"/>
      <c r="X30" s="198"/>
      <c r="Y30" s="198"/>
      <c r="Z30" s="198"/>
    </row>
    <row r="31" ht="12.75" customHeight="1">
      <c r="A31" s="578">
        <v>3000.0</v>
      </c>
      <c r="B31" s="322"/>
      <c r="C31" s="422">
        <v>1998.0</v>
      </c>
      <c r="D31" s="579"/>
      <c r="E31" s="422" t="s">
        <v>12404</v>
      </c>
      <c r="F31" s="422" t="s">
        <v>13688</v>
      </c>
      <c r="G31" s="422" t="s">
        <v>547</v>
      </c>
      <c r="H31" s="677" t="s">
        <v>5180</v>
      </c>
      <c r="I31" s="497">
        <v>36700.0</v>
      </c>
      <c r="J31" s="422">
        <v>6.0</v>
      </c>
      <c r="K31" s="637" t="s">
        <v>238</v>
      </c>
      <c r="L31" s="420" t="s">
        <v>258</v>
      </c>
      <c r="M31" s="316"/>
      <c r="N31" s="198"/>
      <c r="O31" s="322">
        <v>1990.0</v>
      </c>
      <c r="P31" s="346">
        <f>COUNTIF($C$2:$C$503,"1990")</f>
        <v>1</v>
      </c>
      <c r="Q31" s="113"/>
      <c r="R31" s="114"/>
      <c r="S31" s="343">
        <f>P31/P42</f>
        <v>0.01234567901</v>
      </c>
      <c r="T31" s="25"/>
      <c r="U31" s="198"/>
      <c r="V31" s="198"/>
      <c r="W31" s="198"/>
      <c r="X31" s="198"/>
      <c r="Y31" s="198"/>
      <c r="Z31" s="198"/>
    </row>
    <row r="32" ht="12.75" customHeight="1">
      <c r="A32" s="585">
        <v>3100.0</v>
      </c>
      <c r="B32" s="428" t="s">
        <v>13757</v>
      </c>
      <c r="C32" s="428">
        <v>1995.0</v>
      </c>
      <c r="D32" s="500">
        <v>34747.0</v>
      </c>
      <c r="E32" s="426" t="s">
        <v>13758</v>
      </c>
      <c r="F32" s="426" t="s">
        <v>12466</v>
      </c>
      <c r="G32" s="426" t="s">
        <v>270</v>
      </c>
      <c r="H32" s="676" t="s">
        <v>13343</v>
      </c>
      <c r="I32" s="500">
        <v>36706.0</v>
      </c>
      <c r="J32" s="428">
        <v>6.0</v>
      </c>
      <c r="K32" s="637" t="s">
        <v>238</v>
      </c>
      <c r="L32" s="428" t="s">
        <v>258</v>
      </c>
      <c r="M32" s="319">
        <f t="shared" ref="M32:M67" si="3">I32-D32</f>
        <v>1959</v>
      </c>
      <c r="N32" s="198"/>
      <c r="O32" s="321">
        <v>1991.0</v>
      </c>
      <c r="P32" s="344">
        <f>COUNTIF($C$2:$C$503,"1991")</f>
        <v>0</v>
      </c>
      <c r="Q32" s="113"/>
      <c r="R32" s="114"/>
      <c r="S32" s="345">
        <f>P32/P42</f>
        <v>0</v>
      </c>
      <c r="T32" s="25"/>
      <c r="U32" s="198"/>
      <c r="V32" s="198"/>
      <c r="W32" s="198"/>
      <c r="X32" s="198"/>
      <c r="Y32" s="198"/>
      <c r="Z32" s="198"/>
    </row>
    <row r="33" ht="12.75" customHeight="1">
      <c r="A33" s="578">
        <v>3200.0</v>
      </c>
      <c r="B33" s="422" t="s">
        <v>13759</v>
      </c>
      <c r="C33" s="422">
        <v>1999.0</v>
      </c>
      <c r="D33" s="497">
        <v>36490.0</v>
      </c>
      <c r="E33" s="420" t="s">
        <v>13760</v>
      </c>
      <c r="F33" s="420" t="s">
        <v>102</v>
      </c>
      <c r="G33" s="420" t="s">
        <v>650</v>
      </c>
      <c r="H33" s="677" t="s">
        <v>13543</v>
      </c>
      <c r="I33" s="497">
        <v>36710.0</v>
      </c>
      <c r="J33" s="422">
        <v>7.0</v>
      </c>
      <c r="K33" s="637" t="s">
        <v>238</v>
      </c>
      <c r="L33" s="420" t="s">
        <v>258</v>
      </c>
      <c r="M33" s="316">
        <f t="shared" si="3"/>
        <v>220</v>
      </c>
      <c r="N33" s="198"/>
      <c r="O33" s="322">
        <v>1992.0</v>
      </c>
      <c r="P33" s="346">
        <f>COUNTIF($C$2:$C$503,"1992")</f>
        <v>4</v>
      </c>
      <c r="Q33" s="113"/>
      <c r="R33" s="114"/>
      <c r="S33" s="343">
        <f>P33/P42</f>
        <v>0.04938271605</v>
      </c>
      <c r="T33" s="25"/>
      <c r="U33" s="198"/>
      <c r="V33" s="198"/>
      <c r="W33" s="198"/>
      <c r="X33" s="198"/>
      <c r="Y33" s="198"/>
      <c r="Z33" s="198"/>
    </row>
    <row r="34" ht="12.75" customHeight="1">
      <c r="A34" s="585">
        <v>3300.0</v>
      </c>
      <c r="B34" s="428" t="s">
        <v>13761</v>
      </c>
      <c r="C34" s="428">
        <v>1999.0</v>
      </c>
      <c r="D34" s="500">
        <v>36477.0</v>
      </c>
      <c r="E34" s="426" t="s">
        <v>13762</v>
      </c>
      <c r="F34" s="426" t="s">
        <v>13203</v>
      </c>
      <c r="G34" s="426" t="s">
        <v>650</v>
      </c>
      <c r="H34" s="676" t="s">
        <v>13543</v>
      </c>
      <c r="I34" s="500">
        <v>36711.0</v>
      </c>
      <c r="J34" s="428">
        <v>7.0</v>
      </c>
      <c r="K34" s="685" t="s">
        <v>244</v>
      </c>
      <c r="L34" s="428" t="s">
        <v>256</v>
      </c>
      <c r="M34" s="319">
        <f t="shared" si="3"/>
        <v>234</v>
      </c>
      <c r="N34" s="198"/>
      <c r="O34" s="321">
        <v>1993.0</v>
      </c>
      <c r="P34" s="344">
        <f>COUNTIF($C$2:$C$503,"1993")</f>
        <v>1</v>
      </c>
      <c r="Q34" s="113"/>
      <c r="R34" s="114"/>
      <c r="S34" s="345">
        <f>P34/P42</f>
        <v>0.01234567901</v>
      </c>
      <c r="T34" s="25"/>
      <c r="U34" s="198"/>
      <c r="V34" s="198"/>
      <c r="W34" s="198"/>
      <c r="X34" s="198"/>
      <c r="Y34" s="198"/>
      <c r="Z34" s="198"/>
    </row>
    <row r="35" ht="12.75" customHeight="1">
      <c r="A35" s="578">
        <v>3400.0</v>
      </c>
      <c r="B35" s="422" t="s">
        <v>13763</v>
      </c>
      <c r="C35" s="422">
        <v>1997.0</v>
      </c>
      <c r="D35" s="497">
        <v>35792.0</v>
      </c>
      <c r="E35" s="420" t="s">
        <v>13764</v>
      </c>
      <c r="F35" s="420" t="s">
        <v>2667</v>
      </c>
      <c r="G35" s="420" t="s">
        <v>547</v>
      </c>
      <c r="H35" s="677" t="s">
        <v>5180</v>
      </c>
      <c r="I35" s="497">
        <v>36714.0</v>
      </c>
      <c r="J35" s="422">
        <v>7.0</v>
      </c>
      <c r="K35" s="638" t="s">
        <v>234</v>
      </c>
      <c r="L35" s="420" t="s">
        <v>258</v>
      </c>
      <c r="M35" s="316">
        <f t="shared" si="3"/>
        <v>922</v>
      </c>
      <c r="N35" s="198"/>
      <c r="O35" s="322">
        <v>1994.0</v>
      </c>
      <c r="P35" s="346">
        <f>COUNTIF($C$2:$C$503,"1994")</f>
        <v>1</v>
      </c>
      <c r="Q35" s="113"/>
      <c r="R35" s="114"/>
      <c r="S35" s="343">
        <f>P35/P42</f>
        <v>0.01234567901</v>
      </c>
      <c r="T35" s="25"/>
      <c r="U35" s="198"/>
      <c r="V35" s="198"/>
      <c r="W35" s="198"/>
      <c r="X35" s="198"/>
      <c r="Y35" s="198"/>
      <c r="Z35" s="198"/>
    </row>
    <row r="36" ht="12.75" customHeight="1">
      <c r="A36" s="585">
        <v>3500.0</v>
      </c>
      <c r="B36" s="428" t="s">
        <v>13765</v>
      </c>
      <c r="C36" s="428">
        <v>1997.0</v>
      </c>
      <c r="D36" s="500">
        <v>35792.0</v>
      </c>
      <c r="E36" s="426" t="s">
        <v>13766</v>
      </c>
      <c r="F36" s="426" t="s">
        <v>2667</v>
      </c>
      <c r="G36" s="426" t="s">
        <v>547</v>
      </c>
      <c r="H36" s="676" t="s">
        <v>5180</v>
      </c>
      <c r="I36" s="500">
        <v>36714.0</v>
      </c>
      <c r="J36" s="428">
        <v>7.0</v>
      </c>
      <c r="K36" s="638" t="s">
        <v>234</v>
      </c>
      <c r="L36" s="428" t="s">
        <v>258</v>
      </c>
      <c r="M36" s="319">
        <f t="shared" si="3"/>
        <v>922</v>
      </c>
      <c r="N36" s="198"/>
      <c r="O36" s="321">
        <v>1995.0</v>
      </c>
      <c r="P36" s="344">
        <f>COUNTIF($C$2:$C$503,"1995")</f>
        <v>4</v>
      </c>
      <c r="Q36" s="113"/>
      <c r="R36" s="114"/>
      <c r="S36" s="345">
        <f>P36/P42</f>
        <v>0.04938271605</v>
      </c>
      <c r="T36" s="25"/>
      <c r="U36" s="198"/>
      <c r="V36" s="198"/>
      <c r="W36" s="198"/>
      <c r="X36" s="198"/>
      <c r="Y36" s="198"/>
      <c r="Z36" s="198"/>
    </row>
    <row r="37" ht="15.0" customHeight="1">
      <c r="A37" s="578">
        <v>3600.0</v>
      </c>
      <c r="B37" s="422" t="s">
        <v>13767</v>
      </c>
      <c r="C37" s="422">
        <v>1995.0</v>
      </c>
      <c r="D37" s="497">
        <v>35049.0</v>
      </c>
      <c r="E37" s="420" t="s">
        <v>13768</v>
      </c>
      <c r="F37" s="420" t="s">
        <v>71</v>
      </c>
      <c r="G37" s="420" t="s">
        <v>650</v>
      </c>
      <c r="H37" s="677" t="s">
        <v>18</v>
      </c>
      <c r="I37" s="497">
        <v>36727.0</v>
      </c>
      <c r="J37" s="422">
        <v>7.0</v>
      </c>
      <c r="K37" s="637" t="s">
        <v>238</v>
      </c>
      <c r="L37" s="420" t="s">
        <v>258</v>
      </c>
      <c r="M37" s="316">
        <f t="shared" si="3"/>
        <v>1678</v>
      </c>
      <c r="N37" s="198"/>
      <c r="O37" s="322">
        <v>1996.0</v>
      </c>
      <c r="P37" s="346">
        <f>COUNTIF($C$2:$C$503,"1996")</f>
        <v>5</v>
      </c>
      <c r="Q37" s="113"/>
      <c r="R37" s="114"/>
      <c r="S37" s="343">
        <f>P37/P42</f>
        <v>0.06172839506</v>
      </c>
      <c r="T37" s="25"/>
      <c r="U37" s="198"/>
      <c r="V37" s="198"/>
      <c r="W37" s="198"/>
      <c r="X37" s="198"/>
      <c r="Y37" s="198"/>
      <c r="Z37" s="198"/>
    </row>
    <row r="38" ht="12.75" customHeight="1">
      <c r="A38" s="585">
        <v>3700.0</v>
      </c>
      <c r="B38" s="428" t="s">
        <v>13769</v>
      </c>
      <c r="C38" s="428">
        <v>1995.0</v>
      </c>
      <c r="D38" s="500">
        <v>35051.0</v>
      </c>
      <c r="E38" s="426" t="s">
        <v>13770</v>
      </c>
      <c r="F38" s="426" t="s">
        <v>13771</v>
      </c>
      <c r="G38" s="426" t="s">
        <v>650</v>
      </c>
      <c r="H38" s="676" t="s">
        <v>18</v>
      </c>
      <c r="I38" s="500">
        <v>36727.0</v>
      </c>
      <c r="J38" s="428">
        <v>7.0</v>
      </c>
      <c r="K38" s="635" t="s">
        <v>228</v>
      </c>
      <c r="L38" s="428" t="s">
        <v>256</v>
      </c>
      <c r="M38" s="319">
        <f t="shared" si="3"/>
        <v>1676</v>
      </c>
      <c r="N38" s="198"/>
      <c r="O38" s="321">
        <v>1997.0</v>
      </c>
      <c r="P38" s="344">
        <f>COUNTIF($C$2:$C$503,"1997")</f>
        <v>11</v>
      </c>
      <c r="Q38" s="113"/>
      <c r="R38" s="114"/>
      <c r="S38" s="345">
        <f>P38/P42</f>
        <v>0.1358024691</v>
      </c>
      <c r="T38" s="25"/>
      <c r="U38" s="198"/>
      <c r="V38" s="198"/>
      <c r="W38" s="198"/>
      <c r="X38" s="198"/>
      <c r="Y38" s="198"/>
      <c r="Z38" s="198"/>
    </row>
    <row r="39" ht="12.75" customHeight="1">
      <c r="A39" s="578">
        <v>3800.0</v>
      </c>
      <c r="B39" s="422" t="s">
        <v>13772</v>
      </c>
      <c r="C39" s="422">
        <v>1999.0</v>
      </c>
      <c r="D39" s="497">
        <v>36463.0</v>
      </c>
      <c r="E39" s="420" t="s">
        <v>13773</v>
      </c>
      <c r="F39" s="420" t="s">
        <v>551</v>
      </c>
      <c r="G39" s="420" t="s">
        <v>34</v>
      </c>
      <c r="H39" s="677" t="s">
        <v>12127</v>
      </c>
      <c r="I39" s="497">
        <v>36733.0</v>
      </c>
      <c r="J39" s="422">
        <v>7.0</v>
      </c>
      <c r="K39" s="685" t="s">
        <v>244</v>
      </c>
      <c r="L39" s="420" t="s">
        <v>256</v>
      </c>
      <c r="M39" s="316">
        <f t="shared" si="3"/>
        <v>270</v>
      </c>
      <c r="N39" s="198"/>
      <c r="O39" s="322">
        <v>1998.0</v>
      </c>
      <c r="P39" s="346">
        <f>COUNTIF($C$2:$C$503,"1998")</f>
        <v>24</v>
      </c>
      <c r="Q39" s="113"/>
      <c r="R39" s="114"/>
      <c r="S39" s="343">
        <f>P39/P42</f>
        <v>0.2962962963</v>
      </c>
      <c r="T39" s="25"/>
      <c r="U39" s="198"/>
      <c r="V39" s="198"/>
      <c r="W39" s="198"/>
      <c r="X39" s="198"/>
      <c r="Y39" s="198"/>
      <c r="Z39" s="198"/>
    </row>
    <row r="40" ht="12.75" customHeight="1">
      <c r="A40" s="585">
        <v>3900.0</v>
      </c>
      <c r="B40" s="428" t="s">
        <v>13774</v>
      </c>
      <c r="C40" s="428">
        <v>1999.0</v>
      </c>
      <c r="D40" s="500">
        <v>36463.0</v>
      </c>
      <c r="E40" s="426" t="s">
        <v>13775</v>
      </c>
      <c r="F40" s="426" t="s">
        <v>551</v>
      </c>
      <c r="G40" s="426" t="s">
        <v>547</v>
      </c>
      <c r="H40" s="676" t="s">
        <v>12127</v>
      </c>
      <c r="I40" s="500">
        <v>36733.0</v>
      </c>
      <c r="J40" s="428">
        <v>7.0</v>
      </c>
      <c r="K40" s="685" t="s">
        <v>244</v>
      </c>
      <c r="L40" s="428" t="s">
        <v>256</v>
      </c>
      <c r="M40" s="319">
        <f t="shared" si="3"/>
        <v>270</v>
      </c>
      <c r="N40" s="198"/>
      <c r="O40" s="321">
        <v>1999.0</v>
      </c>
      <c r="P40" s="344">
        <f>COUNTIF($C$2:$C$503,"1999")</f>
        <v>29</v>
      </c>
      <c r="Q40" s="113"/>
      <c r="R40" s="114"/>
      <c r="S40" s="345">
        <f>P40/P42</f>
        <v>0.3580246914</v>
      </c>
      <c r="T40" s="25"/>
      <c r="U40" s="198"/>
      <c r="V40" s="198"/>
      <c r="W40" s="198"/>
      <c r="X40" s="198"/>
      <c r="Y40" s="198"/>
      <c r="Z40" s="198"/>
    </row>
    <row r="41" ht="12.75" customHeight="1">
      <c r="A41" s="578">
        <v>4000.0</v>
      </c>
      <c r="B41" s="422" t="s">
        <v>13776</v>
      </c>
      <c r="C41" s="422">
        <v>1999.0</v>
      </c>
      <c r="D41" s="497">
        <v>36463.0</v>
      </c>
      <c r="E41" s="420" t="s">
        <v>13777</v>
      </c>
      <c r="F41" s="420" t="s">
        <v>551</v>
      </c>
      <c r="G41" s="420" t="s">
        <v>547</v>
      </c>
      <c r="H41" s="677" t="s">
        <v>12127</v>
      </c>
      <c r="I41" s="497">
        <v>36733.0</v>
      </c>
      <c r="J41" s="422">
        <v>7.0</v>
      </c>
      <c r="K41" s="685" t="s">
        <v>244</v>
      </c>
      <c r="L41" s="420" t="s">
        <v>256</v>
      </c>
      <c r="M41" s="316">
        <f t="shared" si="3"/>
        <v>270</v>
      </c>
      <c r="N41" s="198"/>
      <c r="O41" s="322">
        <v>2000.0</v>
      </c>
      <c r="P41" s="346">
        <f>COUNTIF($C$2:$C$503,"2000")</f>
        <v>1</v>
      </c>
      <c r="Q41" s="113"/>
      <c r="R41" s="114"/>
      <c r="S41" s="343">
        <f>P41/P42</f>
        <v>0.01234567901</v>
      </c>
      <c r="T41" s="25"/>
      <c r="U41" s="198"/>
      <c r="V41" s="198"/>
      <c r="W41" s="198"/>
      <c r="X41" s="198"/>
      <c r="Y41" s="198"/>
      <c r="Z41" s="198"/>
    </row>
    <row r="42" ht="12.75" customHeight="1">
      <c r="A42" s="585">
        <v>4100.0</v>
      </c>
      <c r="B42" s="428" t="s">
        <v>13778</v>
      </c>
      <c r="C42" s="428">
        <v>1998.0</v>
      </c>
      <c r="D42" s="500">
        <v>36139.0</v>
      </c>
      <c r="E42" s="426" t="s">
        <v>13779</v>
      </c>
      <c r="F42" s="426" t="s">
        <v>13780</v>
      </c>
      <c r="G42" s="426" t="s">
        <v>34</v>
      </c>
      <c r="H42" s="676" t="s">
        <v>5180</v>
      </c>
      <c r="I42" s="500">
        <v>36739.0</v>
      </c>
      <c r="J42" s="428">
        <v>8.0</v>
      </c>
      <c r="K42" s="637" t="s">
        <v>238</v>
      </c>
      <c r="L42" s="428" t="s">
        <v>258</v>
      </c>
      <c r="M42" s="319">
        <f t="shared" si="3"/>
        <v>600</v>
      </c>
      <c r="N42" s="198"/>
      <c r="O42" s="348" t="s">
        <v>179</v>
      </c>
      <c r="P42" s="349">
        <f>SUM(P29:R41)</f>
        <v>81</v>
      </c>
      <c r="Q42" s="350"/>
      <c r="R42" s="351"/>
      <c r="S42" s="352">
        <f>SUM(S29:S41)</f>
        <v>1</v>
      </c>
      <c r="T42" s="25"/>
      <c r="U42" s="198"/>
      <c r="V42" s="198"/>
      <c r="W42" s="198"/>
      <c r="X42" s="198"/>
      <c r="Y42" s="198"/>
      <c r="Z42" s="198"/>
    </row>
    <row r="43" ht="15.0" customHeight="1">
      <c r="A43" s="578">
        <v>4200.0</v>
      </c>
      <c r="B43" s="422" t="s">
        <v>13781</v>
      </c>
      <c r="C43" s="422">
        <v>1999.0</v>
      </c>
      <c r="D43" s="497">
        <v>36298.0</v>
      </c>
      <c r="E43" s="420" t="s">
        <v>13782</v>
      </c>
      <c r="F43" s="420" t="s">
        <v>12879</v>
      </c>
      <c r="G43" s="420" t="s">
        <v>34</v>
      </c>
      <c r="H43" s="677" t="s">
        <v>13155</v>
      </c>
      <c r="I43" s="497">
        <v>36739.0</v>
      </c>
      <c r="J43" s="422">
        <v>8.0</v>
      </c>
      <c r="K43" s="638" t="s">
        <v>234</v>
      </c>
      <c r="L43" s="420" t="s">
        <v>258</v>
      </c>
      <c r="M43" s="316">
        <f t="shared" si="3"/>
        <v>441</v>
      </c>
      <c r="N43" s="198"/>
      <c r="O43" s="25"/>
      <c r="P43" s="25"/>
      <c r="Q43" s="25"/>
      <c r="R43" s="25"/>
      <c r="S43" s="25"/>
      <c r="T43" s="25"/>
      <c r="U43" s="198"/>
      <c r="V43" s="198"/>
      <c r="W43" s="198"/>
      <c r="X43" s="198"/>
      <c r="Y43" s="198"/>
      <c r="Z43" s="198"/>
    </row>
    <row r="44" ht="15.0" customHeight="1">
      <c r="A44" s="585">
        <v>4300.0</v>
      </c>
      <c r="B44" s="428" t="s">
        <v>13783</v>
      </c>
      <c r="C44" s="428">
        <v>1998.0</v>
      </c>
      <c r="D44" s="500">
        <v>36119.0</v>
      </c>
      <c r="E44" s="426" t="s">
        <v>13784</v>
      </c>
      <c r="F44" s="426" t="s">
        <v>13785</v>
      </c>
      <c r="G44" s="426" t="s">
        <v>34</v>
      </c>
      <c r="H44" s="676" t="s">
        <v>601</v>
      </c>
      <c r="I44" s="500">
        <v>36739.0</v>
      </c>
      <c r="J44" s="428">
        <v>8.0</v>
      </c>
      <c r="K44" s="685" t="s">
        <v>244</v>
      </c>
      <c r="L44" s="428" t="s">
        <v>258</v>
      </c>
      <c r="M44" s="319">
        <f t="shared" si="3"/>
        <v>620</v>
      </c>
      <c r="N44" s="198"/>
      <c r="O44" s="327" t="s">
        <v>692</v>
      </c>
      <c r="P44" s="102"/>
      <c r="Q44" s="102"/>
      <c r="R44" s="102"/>
      <c r="S44" s="103"/>
      <c r="T44" s="25"/>
      <c r="U44" s="198"/>
      <c r="V44" s="198"/>
      <c r="W44" s="198"/>
      <c r="X44" s="198"/>
      <c r="Y44" s="198"/>
      <c r="Z44" s="198"/>
    </row>
    <row r="45" ht="13.5" customHeight="1">
      <c r="A45" s="578">
        <v>4400.0</v>
      </c>
      <c r="B45" s="422" t="s">
        <v>13786</v>
      </c>
      <c r="C45" s="422">
        <v>1999.0</v>
      </c>
      <c r="D45" s="497">
        <v>36175.0</v>
      </c>
      <c r="E45" s="420" t="s">
        <v>13787</v>
      </c>
      <c r="F45" s="420" t="s">
        <v>874</v>
      </c>
      <c r="G45" s="420" t="s">
        <v>650</v>
      </c>
      <c r="H45" s="677" t="s">
        <v>13402</v>
      </c>
      <c r="I45" s="497">
        <v>36746.0</v>
      </c>
      <c r="J45" s="422">
        <v>8.0</v>
      </c>
      <c r="K45" s="637" t="s">
        <v>238</v>
      </c>
      <c r="L45" s="420" t="s">
        <v>256</v>
      </c>
      <c r="M45" s="316">
        <f t="shared" si="3"/>
        <v>571</v>
      </c>
      <c r="N45" s="198"/>
      <c r="O45" s="104"/>
      <c r="P45" s="105"/>
      <c r="Q45" s="105"/>
      <c r="R45" s="105"/>
      <c r="S45" s="106"/>
      <c r="T45" s="25"/>
      <c r="U45" s="198"/>
      <c r="V45" s="198"/>
      <c r="W45" s="198"/>
      <c r="X45" s="198"/>
      <c r="Y45" s="198"/>
      <c r="Z45" s="198"/>
    </row>
    <row r="46" ht="12.75" customHeight="1">
      <c r="A46" s="585">
        <v>4500.0</v>
      </c>
      <c r="B46" s="428" t="s">
        <v>13788</v>
      </c>
      <c r="C46" s="428">
        <v>1992.0</v>
      </c>
      <c r="D46" s="500">
        <v>33916.0</v>
      </c>
      <c r="E46" s="426" t="s">
        <v>13789</v>
      </c>
      <c r="F46" s="426" t="s">
        <v>13563</v>
      </c>
      <c r="G46" s="426" t="s">
        <v>270</v>
      </c>
      <c r="H46" s="676" t="s">
        <v>12127</v>
      </c>
      <c r="I46" s="500">
        <v>36748.0</v>
      </c>
      <c r="J46" s="428">
        <v>8.0</v>
      </c>
      <c r="K46" s="637" t="s">
        <v>238</v>
      </c>
      <c r="L46" s="428" t="s">
        <v>256</v>
      </c>
      <c r="M46" s="319">
        <f t="shared" si="3"/>
        <v>2832</v>
      </c>
      <c r="N46" s="198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198"/>
      <c r="V46" s="198"/>
      <c r="W46" s="198"/>
      <c r="X46" s="198"/>
      <c r="Y46" s="198"/>
      <c r="Z46" s="198"/>
    </row>
    <row r="47" ht="12.75" customHeight="1">
      <c r="A47" s="578">
        <v>4600.0</v>
      </c>
      <c r="B47" s="422" t="s">
        <v>13790</v>
      </c>
      <c r="C47" s="422">
        <v>1997.0</v>
      </c>
      <c r="D47" s="497">
        <v>35783.0</v>
      </c>
      <c r="E47" s="420" t="s">
        <v>13791</v>
      </c>
      <c r="F47" s="420" t="s">
        <v>13516</v>
      </c>
      <c r="G47" s="420" t="s">
        <v>34</v>
      </c>
      <c r="H47" s="677" t="s">
        <v>2509</v>
      </c>
      <c r="I47" s="497">
        <v>36759.0</v>
      </c>
      <c r="J47" s="422">
        <v>8.0</v>
      </c>
      <c r="K47" s="637" t="s">
        <v>238</v>
      </c>
      <c r="L47" s="420" t="s">
        <v>258</v>
      </c>
      <c r="M47" s="316">
        <f t="shared" si="3"/>
        <v>976</v>
      </c>
      <c r="N47" s="198"/>
      <c r="O47" s="353" t="s">
        <v>195</v>
      </c>
      <c r="P47" s="342">
        <f>COUNTIF($J$2:$J$476,"1")</f>
        <v>1</v>
      </c>
      <c r="Q47" s="332"/>
      <c r="R47" s="333"/>
      <c r="S47" s="354">
        <f>(P47/P59)</f>
        <v>0.01219512195</v>
      </c>
      <c r="T47" s="25"/>
      <c r="U47" s="198"/>
      <c r="V47" s="198"/>
      <c r="W47" s="198"/>
      <c r="X47" s="198"/>
      <c r="Y47" s="198"/>
      <c r="Z47" s="198"/>
    </row>
    <row r="48" ht="12.75" customHeight="1">
      <c r="A48" s="585">
        <v>4700.0</v>
      </c>
      <c r="B48" s="428" t="s">
        <v>13792</v>
      </c>
      <c r="C48" s="428">
        <v>1998.0</v>
      </c>
      <c r="D48" s="500">
        <v>36126.0</v>
      </c>
      <c r="E48" s="426" t="s">
        <v>13793</v>
      </c>
      <c r="F48" s="426" t="s">
        <v>781</v>
      </c>
      <c r="G48" s="426" t="s">
        <v>650</v>
      </c>
      <c r="H48" s="676" t="s">
        <v>651</v>
      </c>
      <c r="I48" s="500">
        <v>36774.0</v>
      </c>
      <c r="J48" s="428">
        <v>9.0</v>
      </c>
      <c r="K48" s="685" t="s">
        <v>244</v>
      </c>
      <c r="L48" s="428" t="s">
        <v>258</v>
      </c>
      <c r="M48" s="319">
        <f t="shared" si="3"/>
        <v>648</v>
      </c>
      <c r="N48" s="198"/>
      <c r="O48" s="321" t="s">
        <v>197</v>
      </c>
      <c r="P48" s="344">
        <f>COUNTIF($J$2:$J$476,"2")</f>
        <v>9</v>
      </c>
      <c r="Q48" s="113"/>
      <c r="R48" s="114"/>
      <c r="S48" s="345">
        <f>(P48/P59)</f>
        <v>0.1097560976</v>
      </c>
      <c r="T48" s="25"/>
      <c r="U48" s="198"/>
      <c r="V48" s="198"/>
      <c r="W48" s="198"/>
      <c r="X48" s="198"/>
      <c r="Y48" s="198"/>
      <c r="Z48" s="198"/>
    </row>
    <row r="49" ht="12.75" customHeight="1">
      <c r="A49" s="578">
        <v>4800.0</v>
      </c>
      <c r="B49" s="422" t="s">
        <v>13794</v>
      </c>
      <c r="C49" s="422">
        <v>1992.0</v>
      </c>
      <c r="D49" s="497">
        <v>33948.0</v>
      </c>
      <c r="E49" s="420" t="s">
        <v>13795</v>
      </c>
      <c r="F49" s="420" t="s">
        <v>13796</v>
      </c>
      <c r="G49" s="420" t="s">
        <v>270</v>
      </c>
      <c r="H49" s="677" t="s">
        <v>13415</v>
      </c>
      <c r="I49" s="497">
        <v>36788.0</v>
      </c>
      <c r="J49" s="422">
        <v>9.0</v>
      </c>
      <c r="K49" s="685" t="s">
        <v>244</v>
      </c>
      <c r="L49" s="420" t="s">
        <v>256</v>
      </c>
      <c r="M49" s="316">
        <f t="shared" si="3"/>
        <v>2840</v>
      </c>
      <c r="N49" s="198"/>
      <c r="O49" s="322" t="s">
        <v>199</v>
      </c>
      <c r="P49" s="346">
        <f>COUNTIF($J$2:$J$476,"3")</f>
        <v>1</v>
      </c>
      <c r="Q49" s="113"/>
      <c r="R49" s="114"/>
      <c r="S49" s="343">
        <f>(P49/P59)</f>
        <v>0.01219512195</v>
      </c>
      <c r="T49" s="25"/>
      <c r="U49" s="198"/>
      <c r="V49" s="198"/>
      <c r="W49" s="198"/>
      <c r="X49" s="198"/>
      <c r="Y49" s="198"/>
      <c r="Z49" s="198"/>
    </row>
    <row r="50" ht="12.75" customHeight="1">
      <c r="A50" s="585">
        <v>4900.0</v>
      </c>
      <c r="B50" s="428" t="s">
        <v>13797</v>
      </c>
      <c r="C50" s="428">
        <v>1999.0</v>
      </c>
      <c r="D50" s="500">
        <v>36459.0</v>
      </c>
      <c r="E50" s="426" t="s">
        <v>13798</v>
      </c>
      <c r="F50" s="426" t="s">
        <v>13785</v>
      </c>
      <c r="G50" s="426" t="s">
        <v>547</v>
      </c>
      <c r="H50" s="676" t="s">
        <v>601</v>
      </c>
      <c r="I50" s="500">
        <v>36790.0</v>
      </c>
      <c r="J50" s="428">
        <v>9.0</v>
      </c>
      <c r="K50" s="638" t="s">
        <v>234</v>
      </c>
      <c r="L50" s="428" t="s">
        <v>256</v>
      </c>
      <c r="M50" s="319">
        <f t="shared" si="3"/>
        <v>331</v>
      </c>
      <c r="N50" s="198"/>
      <c r="O50" s="321" t="s">
        <v>201</v>
      </c>
      <c r="P50" s="344">
        <f>COUNTIF($J$2:$J$476,"4")</f>
        <v>4</v>
      </c>
      <c r="Q50" s="113"/>
      <c r="R50" s="114"/>
      <c r="S50" s="345">
        <f>(P50/P59)</f>
        <v>0.0487804878</v>
      </c>
      <c r="T50" s="25"/>
      <c r="U50" s="198"/>
      <c r="V50" s="198"/>
      <c r="W50" s="198"/>
      <c r="X50" s="198"/>
      <c r="Y50" s="198"/>
      <c r="Z50" s="198"/>
    </row>
    <row r="51" ht="12.75" customHeight="1">
      <c r="A51" s="578">
        <v>5000.0</v>
      </c>
      <c r="B51" s="422" t="s">
        <v>13799</v>
      </c>
      <c r="C51" s="422">
        <v>1998.0</v>
      </c>
      <c r="D51" s="497">
        <v>36035.0</v>
      </c>
      <c r="E51" s="420" t="s">
        <v>13800</v>
      </c>
      <c r="F51" s="420" t="s">
        <v>13801</v>
      </c>
      <c r="G51" s="420" t="s">
        <v>547</v>
      </c>
      <c r="H51" s="677" t="s">
        <v>705</v>
      </c>
      <c r="I51" s="497">
        <v>36794.0</v>
      </c>
      <c r="J51" s="422">
        <v>9.0</v>
      </c>
      <c r="K51" s="685" t="s">
        <v>244</v>
      </c>
      <c r="L51" s="420" t="s">
        <v>258</v>
      </c>
      <c r="M51" s="316">
        <f t="shared" si="3"/>
        <v>759</v>
      </c>
      <c r="N51" s="198"/>
      <c r="O51" s="322" t="s">
        <v>203</v>
      </c>
      <c r="P51" s="346">
        <f>COUNTIF($J$2:$J$476,"5")</f>
        <v>9</v>
      </c>
      <c r="Q51" s="113"/>
      <c r="R51" s="114"/>
      <c r="S51" s="343">
        <f>(P51/P59)</f>
        <v>0.1097560976</v>
      </c>
      <c r="T51" s="25"/>
      <c r="U51" s="198"/>
      <c r="V51" s="198"/>
      <c r="W51" s="198"/>
      <c r="X51" s="198"/>
      <c r="Y51" s="198"/>
      <c r="Z51" s="198"/>
    </row>
    <row r="52" ht="12.75" customHeight="1">
      <c r="A52" s="585">
        <v>5100.0</v>
      </c>
      <c r="B52" s="428" t="s">
        <v>13802</v>
      </c>
      <c r="C52" s="428">
        <v>1999.0</v>
      </c>
      <c r="D52" s="500">
        <v>36191.0</v>
      </c>
      <c r="E52" s="426" t="s">
        <v>13803</v>
      </c>
      <c r="F52" s="426" t="s">
        <v>11522</v>
      </c>
      <c r="G52" s="426" t="s">
        <v>650</v>
      </c>
      <c r="H52" s="676" t="s">
        <v>11523</v>
      </c>
      <c r="I52" s="500">
        <v>36805.0</v>
      </c>
      <c r="J52" s="428">
        <v>10.0</v>
      </c>
      <c r="K52" s="685" t="s">
        <v>244</v>
      </c>
      <c r="L52" s="428" t="s">
        <v>260</v>
      </c>
      <c r="M52" s="319">
        <f t="shared" si="3"/>
        <v>614</v>
      </c>
      <c r="N52" s="198"/>
      <c r="O52" s="321" t="s">
        <v>205</v>
      </c>
      <c r="P52" s="344">
        <f>COUNTIF($J$2:$J$476,"6")</f>
        <v>7</v>
      </c>
      <c r="Q52" s="113"/>
      <c r="R52" s="114"/>
      <c r="S52" s="345">
        <f>(P52/P59)</f>
        <v>0.08536585366</v>
      </c>
      <c r="T52" s="25"/>
      <c r="U52" s="198"/>
      <c r="V52" s="198"/>
      <c r="W52" s="198"/>
      <c r="X52" s="198"/>
      <c r="Y52" s="198"/>
      <c r="Z52" s="198"/>
    </row>
    <row r="53" ht="12.75" customHeight="1">
      <c r="A53" s="578">
        <v>5200.0</v>
      </c>
      <c r="B53" s="422" t="s">
        <v>13804</v>
      </c>
      <c r="C53" s="422">
        <v>1999.0</v>
      </c>
      <c r="D53" s="497">
        <v>36448.0</v>
      </c>
      <c r="E53" s="420" t="s">
        <v>13805</v>
      </c>
      <c r="F53" s="420" t="s">
        <v>13806</v>
      </c>
      <c r="G53" s="420" t="s">
        <v>650</v>
      </c>
      <c r="H53" s="677" t="s">
        <v>651</v>
      </c>
      <c r="I53" s="497">
        <v>36808.0</v>
      </c>
      <c r="J53" s="422">
        <v>10.0</v>
      </c>
      <c r="K53" s="635" t="s">
        <v>228</v>
      </c>
      <c r="L53" s="420" t="s">
        <v>256</v>
      </c>
      <c r="M53" s="316">
        <f t="shared" si="3"/>
        <v>360</v>
      </c>
      <c r="N53" s="198"/>
      <c r="O53" s="322" t="s">
        <v>207</v>
      </c>
      <c r="P53" s="346">
        <f>COUNTIF($J$2:$J$476,"7")</f>
        <v>9</v>
      </c>
      <c r="Q53" s="113"/>
      <c r="R53" s="114"/>
      <c r="S53" s="343">
        <f>(P53/P59)</f>
        <v>0.1097560976</v>
      </c>
      <c r="T53" s="25"/>
      <c r="U53" s="198"/>
      <c r="V53" s="198"/>
      <c r="W53" s="198"/>
      <c r="X53" s="198"/>
      <c r="Y53" s="198"/>
      <c r="Z53" s="198"/>
    </row>
    <row r="54" ht="12.75" customHeight="1">
      <c r="A54" s="585">
        <v>5300.0</v>
      </c>
      <c r="B54" s="428" t="s">
        <v>13807</v>
      </c>
      <c r="C54" s="428">
        <v>1999.0</v>
      </c>
      <c r="D54" s="500">
        <v>36311.0</v>
      </c>
      <c r="E54" s="426" t="s">
        <v>13808</v>
      </c>
      <c r="F54" s="426" t="s">
        <v>2453</v>
      </c>
      <c r="G54" s="426" t="s">
        <v>650</v>
      </c>
      <c r="H54" s="676" t="s">
        <v>1002</v>
      </c>
      <c r="I54" s="500">
        <v>36809.0</v>
      </c>
      <c r="J54" s="428">
        <v>10.0</v>
      </c>
      <c r="K54" s="685" t="s">
        <v>244</v>
      </c>
      <c r="L54" s="428" t="s">
        <v>258</v>
      </c>
      <c r="M54" s="319">
        <f t="shared" si="3"/>
        <v>498</v>
      </c>
      <c r="N54" s="198"/>
      <c r="O54" s="321" t="s">
        <v>209</v>
      </c>
      <c r="P54" s="344">
        <f>COUNTIF($J$2:$J$476,"8")</f>
        <v>6</v>
      </c>
      <c r="Q54" s="113"/>
      <c r="R54" s="114"/>
      <c r="S54" s="345">
        <f>(P54/P59)</f>
        <v>0.07317073171</v>
      </c>
      <c r="T54" s="25"/>
      <c r="U54" s="198"/>
      <c r="V54" s="198"/>
      <c r="W54" s="198"/>
      <c r="X54" s="198"/>
      <c r="Y54" s="198"/>
      <c r="Z54" s="198"/>
    </row>
    <row r="55" ht="12.75" customHeight="1">
      <c r="A55" s="578">
        <v>5400.0</v>
      </c>
      <c r="B55" s="422" t="s">
        <v>13809</v>
      </c>
      <c r="C55" s="422">
        <v>1997.0</v>
      </c>
      <c r="D55" s="497">
        <v>35764.0</v>
      </c>
      <c r="E55" s="420" t="s">
        <v>13810</v>
      </c>
      <c r="F55" s="420" t="s">
        <v>11494</v>
      </c>
      <c r="G55" s="420" t="s">
        <v>650</v>
      </c>
      <c r="H55" s="677" t="s">
        <v>6011</v>
      </c>
      <c r="I55" s="497">
        <v>36812.0</v>
      </c>
      <c r="J55" s="422">
        <v>10.0</v>
      </c>
      <c r="K55" s="685" t="s">
        <v>244</v>
      </c>
      <c r="L55" s="420" t="s">
        <v>258</v>
      </c>
      <c r="M55" s="316">
        <f t="shared" si="3"/>
        <v>1048</v>
      </c>
      <c r="N55" s="198"/>
      <c r="O55" s="322" t="s">
        <v>211</v>
      </c>
      <c r="P55" s="346">
        <f>COUNTIF($J$2:$J$476,"9")</f>
        <v>4</v>
      </c>
      <c r="Q55" s="113"/>
      <c r="R55" s="114"/>
      <c r="S55" s="343">
        <f>(P55/P59)</f>
        <v>0.0487804878</v>
      </c>
      <c r="T55" s="25"/>
      <c r="U55" s="198"/>
      <c r="V55" s="198"/>
      <c r="W55" s="198"/>
      <c r="X55" s="198"/>
      <c r="Y55" s="198"/>
      <c r="Z55" s="198"/>
    </row>
    <row r="56" ht="12.75" customHeight="1">
      <c r="A56" s="585">
        <v>5500.0</v>
      </c>
      <c r="B56" s="428" t="s">
        <v>13811</v>
      </c>
      <c r="C56" s="428">
        <v>1999.0</v>
      </c>
      <c r="D56" s="500">
        <v>36287.0</v>
      </c>
      <c r="E56" s="426" t="s">
        <v>13812</v>
      </c>
      <c r="F56" s="426" t="s">
        <v>2268</v>
      </c>
      <c r="G56" s="426" t="s">
        <v>270</v>
      </c>
      <c r="H56" s="676" t="s">
        <v>13267</v>
      </c>
      <c r="I56" s="500">
        <v>36823.0</v>
      </c>
      <c r="J56" s="428">
        <v>10.0</v>
      </c>
      <c r="K56" s="637" t="s">
        <v>238</v>
      </c>
      <c r="L56" s="428" t="s">
        <v>258</v>
      </c>
      <c r="M56" s="319">
        <f t="shared" si="3"/>
        <v>536</v>
      </c>
      <c r="N56" s="198"/>
      <c r="O56" s="321" t="s">
        <v>213</v>
      </c>
      <c r="P56" s="344">
        <f>COUNTIF($J$2:$J$476,"10")</f>
        <v>10</v>
      </c>
      <c r="Q56" s="113"/>
      <c r="R56" s="114"/>
      <c r="S56" s="345">
        <f>(P56/P59)</f>
        <v>0.1219512195</v>
      </c>
      <c r="T56" s="25"/>
      <c r="U56" s="198"/>
      <c r="V56" s="198"/>
      <c r="W56" s="198"/>
      <c r="X56" s="198"/>
      <c r="Y56" s="198"/>
      <c r="Z56" s="198"/>
    </row>
    <row r="57" ht="12.75" customHeight="1">
      <c r="A57" s="578">
        <v>5600.0</v>
      </c>
      <c r="B57" s="422" t="s">
        <v>13813</v>
      </c>
      <c r="C57" s="422">
        <v>1996.0</v>
      </c>
      <c r="D57" s="497">
        <v>35095.0</v>
      </c>
      <c r="E57" s="420" t="s">
        <v>13814</v>
      </c>
      <c r="F57" s="420" t="s">
        <v>13474</v>
      </c>
      <c r="G57" s="420" t="s">
        <v>270</v>
      </c>
      <c r="H57" s="677" t="s">
        <v>18</v>
      </c>
      <c r="I57" s="497">
        <v>36823.0</v>
      </c>
      <c r="J57" s="422">
        <v>10.0</v>
      </c>
      <c r="K57" s="638" t="s">
        <v>234</v>
      </c>
      <c r="L57" s="420" t="s">
        <v>256</v>
      </c>
      <c r="M57" s="316">
        <f t="shared" si="3"/>
        <v>1728</v>
      </c>
      <c r="N57" s="198"/>
      <c r="O57" s="322" t="s">
        <v>215</v>
      </c>
      <c r="P57" s="346">
        <f>COUNTIF($J$2:$J$476,"11")</f>
        <v>9</v>
      </c>
      <c r="Q57" s="113"/>
      <c r="R57" s="114"/>
      <c r="S57" s="343">
        <f>(P57/P59)</f>
        <v>0.1097560976</v>
      </c>
      <c r="T57" s="25"/>
      <c r="U57" s="198"/>
      <c r="V57" s="198"/>
      <c r="W57" s="198"/>
      <c r="X57" s="198"/>
      <c r="Y57" s="198"/>
      <c r="Z57" s="198"/>
    </row>
    <row r="58" ht="12.75" customHeight="1">
      <c r="A58" s="585">
        <v>5700.0</v>
      </c>
      <c r="B58" s="428" t="s">
        <v>13815</v>
      </c>
      <c r="C58" s="428">
        <v>1997.0</v>
      </c>
      <c r="D58" s="500">
        <v>35791.0</v>
      </c>
      <c r="E58" s="426" t="s">
        <v>13816</v>
      </c>
      <c r="F58" s="426" t="s">
        <v>13733</v>
      </c>
      <c r="G58" s="426" t="s">
        <v>547</v>
      </c>
      <c r="H58" s="676" t="s">
        <v>13064</v>
      </c>
      <c r="I58" s="500">
        <v>36824.0</v>
      </c>
      <c r="J58" s="428">
        <v>10.0</v>
      </c>
      <c r="K58" s="638" t="s">
        <v>234</v>
      </c>
      <c r="L58" s="428" t="s">
        <v>258</v>
      </c>
      <c r="M58" s="319">
        <f t="shared" si="3"/>
        <v>1033</v>
      </c>
      <c r="N58" s="198"/>
      <c r="O58" s="355" t="s">
        <v>217</v>
      </c>
      <c r="P58" s="344">
        <f>COUNTIF($J$2:$J$476,"12")</f>
        <v>13</v>
      </c>
      <c r="Q58" s="113"/>
      <c r="R58" s="114"/>
      <c r="S58" s="356">
        <f>(P58/P59)</f>
        <v>0.1585365854</v>
      </c>
      <c r="T58" s="25"/>
      <c r="U58" s="198"/>
      <c r="V58" s="198"/>
      <c r="W58" s="198"/>
      <c r="X58" s="198"/>
      <c r="Y58" s="198"/>
      <c r="Z58" s="198"/>
    </row>
    <row r="59" ht="12.75" customHeight="1">
      <c r="A59" s="578">
        <v>5800.0</v>
      </c>
      <c r="B59" s="422" t="s">
        <v>13817</v>
      </c>
      <c r="C59" s="422">
        <v>1998.0</v>
      </c>
      <c r="D59" s="497">
        <v>35856.0</v>
      </c>
      <c r="E59" s="420" t="s">
        <v>13818</v>
      </c>
      <c r="F59" s="420" t="s">
        <v>9707</v>
      </c>
      <c r="G59" s="420" t="s">
        <v>270</v>
      </c>
      <c r="H59" s="677" t="s">
        <v>9940</v>
      </c>
      <c r="I59" s="497">
        <v>36825.0</v>
      </c>
      <c r="J59" s="422">
        <v>10.0</v>
      </c>
      <c r="K59" s="637" t="s">
        <v>238</v>
      </c>
      <c r="L59" s="420" t="s">
        <v>258</v>
      </c>
      <c r="M59" s="316">
        <f t="shared" si="3"/>
        <v>969</v>
      </c>
      <c r="N59" s="198"/>
      <c r="O59" s="348" t="s">
        <v>219</v>
      </c>
      <c r="P59" s="349">
        <f>SUM(P47:R58)</f>
        <v>82</v>
      </c>
      <c r="Q59" s="350"/>
      <c r="R59" s="351"/>
      <c r="S59" s="352">
        <f>SUM(S47:S58)</f>
        <v>1</v>
      </c>
      <c r="T59" s="25"/>
      <c r="U59" s="198"/>
      <c r="V59" s="198"/>
      <c r="W59" s="198"/>
      <c r="X59" s="198"/>
      <c r="Y59" s="198"/>
      <c r="Z59" s="198"/>
    </row>
    <row r="60" ht="12.75" customHeight="1">
      <c r="A60" s="585">
        <v>5900.0</v>
      </c>
      <c r="B60" s="428" t="s">
        <v>13819</v>
      </c>
      <c r="C60" s="428">
        <v>1999.0</v>
      </c>
      <c r="D60" s="500">
        <v>36268.0</v>
      </c>
      <c r="E60" s="426" t="s">
        <v>13820</v>
      </c>
      <c r="F60" s="426" t="s">
        <v>13821</v>
      </c>
      <c r="G60" s="426" t="s">
        <v>270</v>
      </c>
      <c r="H60" s="676" t="s">
        <v>13822</v>
      </c>
      <c r="I60" s="500">
        <v>36825.0</v>
      </c>
      <c r="J60" s="428">
        <v>10.0</v>
      </c>
      <c r="K60" s="637" t="s">
        <v>238</v>
      </c>
      <c r="L60" s="428" t="s">
        <v>256</v>
      </c>
      <c r="M60" s="319">
        <f t="shared" si="3"/>
        <v>557</v>
      </c>
      <c r="N60" s="198"/>
      <c r="O60" s="25"/>
      <c r="P60" s="25"/>
      <c r="Q60" s="25"/>
      <c r="R60" s="25"/>
      <c r="S60" s="25"/>
      <c r="T60" s="25"/>
      <c r="U60" s="198"/>
      <c r="V60" s="198"/>
      <c r="W60" s="198"/>
      <c r="X60" s="198"/>
      <c r="Y60" s="198"/>
      <c r="Z60" s="198"/>
    </row>
    <row r="61" ht="13.5" customHeight="1">
      <c r="A61" s="578">
        <v>6000.0</v>
      </c>
      <c r="B61" s="422" t="s">
        <v>13823</v>
      </c>
      <c r="C61" s="422">
        <v>1998.0</v>
      </c>
      <c r="D61" s="497">
        <v>35921.0</v>
      </c>
      <c r="E61" s="420" t="s">
        <v>13824</v>
      </c>
      <c r="F61" s="420" t="s">
        <v>13825</v>
      </c>
      <c r="G61" s="420" t="s">
        <v>270</v>
      </c>
      <c r="H61" s="677" t="s">
        <v>1951</v>
      </c>
      <c r="I61" s="497">
        <v>36825.0</v>
      </c>
      <c r="J61" s="422">
        <v>10.0</v>
      </c>
      <c r="K61" s="685" t="s">
        <v>244</v>
      </c>
      <c r="L61" s="420" t="s">
        <v>260</v>
      </c>
      <c r="M61" s="316">
        <f t="shared" si="3"/>
        <v>904</v>
      </c>
      <c r="N61" s="198"/>
      <c r="O61" s="357" t="s">
        <v>222</v>
      </c>
      <c r="P61" s="102"/>
      <c r="Q61" s="102"/>
      <c r="R61" s="102"/>
      <c r="S61" s="102"/>
      <c r="T61" s="103"/>
      <c r="U61" s="198"/>
      <c r="V61" s="198"/>
      <c r="W61" s="198"/>
      <c r="X61" s="198"/>
      <c r="Y61" s="198"/>
      <c r="Z61" s="198"/>
    </row>
    <row r="62" ht="12.75" customHeight="1">
      <c r="A62" s="585">
        <v>6100.0</v>
      </c>
      <c r="B62" s="428" t="s">
        <v>13826</v>
      </c>
      <c r="C62" s="428">
        <v>1999.0</v>
      </c>
      <c r="D62" s="500">
        <v>36168.0</v>
      </c>
      <c r="E62" s="426" t="s">
        <v>13827</v>
      </c>
      <c r="F62" s="426" t="s">
        <v>5247</v>
      </c>
      <c r="G62" s="426" t="s">
        <v>34</v>
      </c>
      <c r="H62" s="676" t="s">
        <v>13415</v>
      </c>
      <c r="I62" s="500">
        <v>36838.0</v>
      </c>
      <c r="J62" s="428">
        <v>11.0</v>
      </c>
      <c r="K62" s="637" t="s">
        <v>238</v>
      </c>
      <c r="L62" s="428" t="s">
        <v>256</v>
      </c>
      <c r="M62" s="319">
        <f t="shared" si="3"/>
        <v>670</v>
      </c>
      <c r="N62" s="198"/>
      <c r="O62" s="104"/>
      <c r="P62" s="105"/>
      <c r="Q62" s="105"/>
      <c r="R62" s="105"/>
      <c r="S62" s="105"/>
      <c r="T62" s="106"/>
      <c r="U62" s="198"/>
      <c r="V62" s="198"/>
      <c r="W62" s="198"/>
      <c r="X62" s="198"/>
      <c r="Y62" s="198"/>
      <c r="Z62" s="198"/>
    </row>
    <row r="63" ht="12.75" customHeight="1">
      <c r="A63" s="578">
        <v>6200.0</v>
      </c>
      <c r="B63" s="422" t="s">
        <v>13828</v>
      </c>
      <c r="C63" s="422">
        <v>1997.0</v>
      </c>
      <c r="D63" s="497">
        <v>35795.0</v>
      </c>
      <c r="E63" s="420" t="s">
        <v>13829</v>
      </c>
      <c r="F63" s="420" t="s">
        <v>13426</v>
      </c>
      <c r="G63" s="420" t="s">
        <v>270</v>
      </c>
      <c r="H63" s="677" t="s">
        <v>705</v>
      </c>
      <c r="I63" s="497">
        <v>36838.0</v>
      </c>
      <c r="J63" s="422">
        <v>11.0</v>
      </c>
      <c r="K63" s="637" t="s">
        <v>238</v>
      </c>
      <c r="L63" s="420" t="s">
        <v>260</v>
      </c>
      <c r="M63" s="316">
        <f t="shared" si="3"/>
        <v>1043</v>
      </c>
      <c r="N63" s="198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198"/>
      <c r="V63" s="198"/>
      <c r="W63" s="198"/>
      <c r="X63" s="198"/>
      <c r="Y63" s="198"/>
      <c r="Z63" s="198"/>
    </row>
    <row r="64" ht="12.75" customHeight="1">
      <c r="A64" s="585">
        <v>6300.0</v>
      </c>
      <c r="B64" s="428" t="s">
        <v>13830</v>
      </c>
      <c r="C64" s="428">
        <v>1997.0</v>
      </c>
      <c r="D64" s="500">
        <v>35521.0</v>
      </c>
      <c r="E64" s="426" t="s">
        <v>13831</v>
      </c>
      <c r="F64" s="426" t="s">
        <v>1823</v>
      </c>
      <c r="G64" s="426" t="s">
        <v>650</v>
      </c>
      <c r="H64" s="676" t="s">
        <v>13415</v>
      </c>
      <c r="I64" s="500">
        <v>36847.0</v>
      </c>
      <c r="J64" s="428">
        <v>11.0</v>
      </c>
      <c r="K64" s="638" t="s">
        <v>234</v>
      </c>
      <c r="L64" s="428" t="s">
        <v>256</v>
      </c>
      <c r="M64" s="319">
        <f t="shared" si="3"/>
        <v>1326</v>
      </c>
      <c r="N64" s="198"/>
      <c r="O64" s="522" t="s">
        <v>228</v>
      </c>
      <c r="P64" s="523"/>
      <c r="Q64" s="523"/>
      <c r="R64" s="524"/>
      <c r="S64" s="365">
        <f>COUNTIF($K$1:$K$494,"I - Extremamente tóxico")</f>
        <v>9</v>
      </c>
      <c r="T64" s="366">
        <f>(S64/S76)</f>
        <v>0.1097560976</v>
      </c>
      <c r="U64" s="198"/>
      <c r="V64" s="198"/>
      <c r="W64" s="198"/>
      <c r="X64" s="198"/>
      <c r="Y64" s="198"/>
      <c r="Z64" s="198"/>
    </row>
    <row r="65" ht="12.75" customHeight="1">
      <c r="A65" s="578">
        <v>6400.0</v>
      </c>
      <c r="B65" s="422" t="s">
        <v>13832</v>
      </c>
      <c r="C65" s="422">
        <v>1999.0</v>
      </c>
      <c r="D65" s="497">
        <v>36453.0</v>
      </c>
      <c r="E65" s="420" t="s">
        <v>13833</v>
      </c>
      <c r="F65" s="420" t="s">
        <v>3810</v>
      </c>
      <c r="G65" s="420" t="s">
        <v>650</v>
      </c>
      <c r="H65" s="677" t="s">
        <v>651</v>
      </c>
      <c r="I65" s="497">
        <v>36850.0</v>
      </c>
      <c r="J65" s="422">
        <v>11.0</v>
      </c>
      <c r="K65" s="637" t="s">
        <v>238</v>
      </c>
      <c r="L65" s="420" t="s">
        <v>258</v>
      </c>
      <c r="M65" s="316">
        <f t="shared" si="3"/>
        <v>397</v>
      </c>
      <c r="N65" s="198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198"/>
      <c r="V65" s="198"/>
      <c r="W65" s="198"/>
      <c r="X65" s="198"/>
      <c r="Y65" s="198"/>
      <c r="Z65" s="198"/>
    </row>
    <row r="66" ht="12.75" customHeight="1">
      <c r="A66" s="585">
        <v>6500.0</v>
      </c>
      <c r="B66" s="428" t="s">
        <v>13834</v>
      </c>
      <c r="C66" s="428">
        <v>1996.0</v>
      </c>
      <c r="D66" s="500">
        <v>35339.0</v>
      </c>
      <c r="E66" s="426" t="s">
        <v>13835</v>
      </c>
      <c r="F66" s="426" t="s">
        <v>1401</v>
      </c>
      <c r="G66" s="426" t="s">
        <v>650</v>
      </c>
      <c r="H66" s="676" t="s">
        <v>7403</v>
      </c>
      <c r="I66" s="500">
        <v>36850.0</v>
      </c>
      <c r="J66" s="428">
        <v>11.0</v>
      </c>
      <c r="K66" s="637" t="s">
        <v>238</v>
      </c>
      <c r="L66" s="428" t="s">
        <v>258</v>
      </c>
      <c r="M66" s="319">
        <f t="shared" si="3"/>
        <v>1511</v>
      </c>
      <c r="N66" s="198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198"/>
      <c r="V66" s="198"/>
      <c r="W66" s="198"/>
      <c r="X66" s="198"/>
      <c r="Y66" s="198"/>
      <c r="Z66" s="198"/>
    </row>
    <row r="67" ht="12.75" customHeight="1">
      <c r="A67" s="578">
        <v>6600.0</v>
      </c>
      <c r="B67" s="422" t="s">
        <v>13836</v>
      </c>
      <c r="C67" s="422">
        <v>1999.0</v>
      </c>
      <c r="D67" s="497">
        <v>36374.0</v>
      </c>
      <c r="E67" s="420" t="s">
        <v>13837</v>
      </c>
      <c r="F67" s="420" t="s">
        <v>13838</v>
      </c>
      <c r="G67" s="420" t="s">
        <v>565</v>
      </c>
      <c r="H67" s="677" t="s">
        <v>7556</v>
      </c>
      <c r="I67" s="497">
        <v>36851.0</v>
      </c>
      <c r="J67" s="422">
        <v>11.0</v>
      </c>
      <c r="K67" s="685" t="s">
        <v>244</v>
      </c>
      <c r="L67" s="420" t="s">
        <v>260</v>
      </c>
      <c r="M67" s="316">
        <f t="shared" si="3"/>
        <v>477</v>
      </c>
      <c r="N67" s="198"/>
      <c r="O67" s="372" t="s">
        <v>234</v>
      </c>
      <c r="P67" s="368"/>
      <c r="Q67" s="368"/>
      <c r="R67" s="369"/>
      <c r="S67" s="373">
        <f>COUNTIF($K$2:$K$476,"II - Altamente tóxico")</f>
        <v>17</v>
      </c>
      <c r="T67" s="374">
        <f>(S67/S76)</f>
        <v>0.2073170732</v>
      </c>
      <c r="U67" s="198"/>
      <c r="V67" s="198"/>
      <c r="W67" s="198"/>
      <c r="X67" s="198"/>
      <c r="Y67" s="198"/>
      <c r="Z67" s="198"/>
    </row>
    <row r="68" ht="12.75" customHeight="1">
      <c r="A68" s="585">
        <v>6700.0</v>
      </c>
      <c r="B68" s="428"/>
      <c r="C68" s="428">
        <v>2000.0</v>
      </c>
      <c r="D68" s="500"/>
      <c r="E68" s="426" t="s">
        <v>13839</v>
      </c>
      <c r="F68" s="426" t="s">
        <v>3810</v>
      </c>
      <c r="G68" s="426" t="s">
        <v>650</v>
      </c>
      <c r="H68" s="676" t="s">
        <v>651</v>
      </c>
      <c r="I68" s="500">
        <v>36852.0</v>
      </c>
      <c r="J68" s="428">
        <v>11.0</v>
      </c>
      <c r="K68" s="637" t="s">
        <v>238</v>
      </c>
      <c r="L68" s="428" t="s">
        <v>258</v>
      </c>
      <c r="M68" s="319"/>
      <c r="N68" s="198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198"/>
      <c r="V68" s="198"/>
      <c r="W68" s="198"/>
      <c r="X68" s="198"/>
      <c r="Y68" s="198"/>
      <c r="Z68" s="198"/>
    </row>
    <row r="69" ht="12.75" customHeight="1">
      <c r="A69" s="578">
        <v>6800.0</v>
      </c>
      <c r="B69" s="422" t="s">
        <v>13840</v>
      </c>
      <c r="C69" s="422">
        <v>1994.0</v>
      </c>
      <c r="D69" s="497">
        <v>34638.0</v>
      </c>
      <c r="E69" s="420" t="s">
        <v>13841</v>
      </c>
      <c r="F69" s="420" t="s">
        <v>3536</v>
      </c>
      <c r="G69" s="420" t="s">
        <v>650</v>
      </c>
      <c r="H69" s="677" t="s">
        <v>11527</v>
      </c>
      <c r="I69" s="497">
        <v>36853.0</v>
      </c>
      <c r="J69" s="422">
        <v>11.0</v>
      </c>
      <c r="K69" s="685" t="s">
        <v>244</v>
      </c>
      <c r="L69" s="420" t="s">
        <v>258</v>
      </c>
      <c r="M69" s="316">
        <f>I69-D69</f>
        <v>2215</v>
      </c>
      <c r="N69" s="198"/>
      <c r="O69" s="375" t="s">
        <v>238</v>
      </c>
      <c r="P69" s="368"/>
      <c r="Q69" s="368"/>
      <c r="R69" s="369"/>
      <c r="S69" s="376">
        <f>COUNTIF($K$2:$K$476,"III - Medianamente tóxico")</f>
        <v>34</v>
      </c>
      <c r="T69" s="377">
        <f>(S69/S76)</f>
        <v>0.4146341463</v>
      </c>
      <c r="U69" s="198"/>
      <c r="V69" s="198"/>
      <c r="W69" s="198"/>
      <c r="X69" s="198"/>
      <c r="Y69" s="198"/>
      <c r="Z69" s="198"/>
    </row>
    <row r="70" ht="12.75" customHeight="1">
      <c r="A70" s="585">
        <v>6900.0</v>
      </c>
      <c r="B70" s="428"/>
      <c r="C70" s="428"/>
      <c r="D70" s="500"/>
      <c r="E70" s="426" t="s">
        <v>13842</v>
      </c>
      <c r="F70" s="426" t="s">
        <v>12409</v>
      </c>
      <c r="G70" s="426" t="s">
        <v>650</v>
      </c>
      <c r="H70" s="676" t="s">
        <v>705</v>
      </c>
      <c r="I70" s="500">
        <v>36853.0</v>
      </c>
      <c r="J70" s="428">
        <v>11.0</v>
      </c>
      <c r="K70" s="685" t="s">
        <v>244</v>
      </c>
      <c r="L70" s="428" t="s">
        <v>256</v>
      </c>
      <c r="M70" s="319"/>
      <c r="N70" s="198"/>
      <c r="O70" s="375" t="s">
        <v>240</v>
      </c>
      <c r="P70" s="368"/>
      <c r="Q70" s="368"/>
      <c r="R70" s="369"/>
      <c r="S70" s="376">
        <f>COUNTIF($K$2:$K$476,"Categoria 4 - Produto Pouco Tóxico")</f>
        <v>0</v>
      </c>
      <c r="T70" s="377">
        <f>(S70/S76)</f>
        <v>0</v>
      </c>
      <c r="U70" s="198"/>
      <c r="V70" s="198"/>
      <c r="W70" s="198"/>
      <c r="X70" s="198"/>
      <c r="Y70" s="198"/>
      <c r="Z70" s="198"/>
    </row>
    <row r="71" ht="12.75" customHeight="1">
      <c r="A71" s="578">
        <v>7000.0</v>
      </c>
      <c r="B71" s="422" t="s">
        <v>13843</v>
      </c>
      <c r="C71" s="422">
        <v>1999.0</v>
      </c>
      <c r="D71" s="497">
        <v>36309.0</v>
      </c>
      <c r="E71" s="420" t="s">
        <v>13844</v>
      </c>
      <c r="F71" s="420" t="s">
        <v>13845</v>
      </c>
      <c r="G71" s="420" t="s">
        <v>270</v>
      </c>
      <c r="H71" s="677" t="s">
        <v>705</v>
      </c>
      <c r="I71" s="497">
        <v>36868.0</v>
      </c>
      <c r="J71" s="422">
        <v>12.0</v>
      </c>
      <c r="K71" s="637" t="s">
        <v>238</v>
      </c>
      <c r="L71" s="420" t="s">
        <v>256</v>
      </c>
      <c r="M71" s="316">
        <f t="shared" ref="M71:M77" si="4">I71-D71</f>
        <v>559</v>
      </c>
      <c r="N71" s="198"/>
      <c r="O71" s="375" t="s">
        <v>242</v>
      </c>
      <c r="P71" s="368"/>
      <c r="Q71" s="368"/>
      <c r="R71" s="369"/>
      <c r="S71" s="376">
        <f>COUNTIF($K$2:$K$476,"Categoria 5 - Produto Improvável de Causar Dano Agudo")</f>
        <v>0</v>
      </c>
      <c r="T71" s="377">
        <f>(S71/S76)</f>
        <v>0</v>
      </c>
      <c r="U71" s="198"/>
      <c r="V71" s="198"/>
      <c r="W71" s="198"/>
      <c r="X71" s="198"/>
      <c r="Y71" s="198"/>
      <c r="Z71" s="198"/>
    </row>
    <row r="72" ht="12.75" customHeight="1">
      <c r="A72" s="585">
        <v>7100.0</v>
      </c>
      <c r="B72" s="428" t="s">
        <v>13846</v>
      </c>
      <c r="C72" s="428">
        <v>1999.0</v>
      </c>
      <c r="D72" s="500">
        <v>36333.0</v>
      </c>
      <c r="E72" s="426" t="s">
        <v>13847</v>
      </c>
      <c r="F72" s="426" t="s">
        <v>874</v>
      </c>
      <c r="G72" s="426" t="s">
        <v>650</v>
      </c>
      <c r="H72" s="676" t="s">
        <v>601</v>
      </c>
      <c r="I72" s="500">
        <v>36868.0</v>
      </c>
      <c r="J72" s="428">
        <v>12.0</v>
      </c>
      <c r="K72" s="637" t="s">
        <v>238</v>
      </c>
      <c r="L72" s="428" t="s">
        <v>256</v>
      </c>
      <c r="M72" s="319">
        <f t="shared" si="4"/>
        <v>535</v>
      </c>
      <c r="N72" s="198"/>
      <c r="O72" s="378" t="s">
        <v>244</v>
      </c>
      <c r="P72" s="368"/>
      <c r="Q72" s="368"/>
      <c r="R72" s="369"/>
      <c r="S72" s="379">
        <f>COUNTIF($K$2:$K$476,"IV - Pouco tóxico")</f>
        <v>22</v>
      </c>
      <c r="T72" s="380">
        <f>(S72/S76)</f>
        <v>0.2682926829</v>
      </c>
      <c r="U72" s="198"/>
      <c r="V72" s="198"/>
      <c r="W72" s="198"/>
      <c r="X72" s="198"/>
      <c r="Y72" s="198"/>
      <c r="Z72" s="198"/>
    </row>
    <row r="73" ht="12.75" customHeight="1">
      <c r="A73" s="578">
        <v>7200.0</v>
      </c>
      <c r="B73" s="422" t="s">
        <v>13848</v>
      </c>
      <c r="C73" s="422">
        <v>1990.0</v>
      </c>
      <c r="D73" s="497">
        <v>33025.0</v>
      </c>
      <c r="E73" s="420" t="s">
        <v>13849</v>
      </c>
      <c r="F73" s="420" t="s">
        <v>13342</v>
      </c>
      <c r="G73" s="420" t="s">
        <v>270</v>
      </c>
      <c r="H73" s="677" t="s">
        <v>13343</v>
      </c>
      <c r="I73" s="497">
        <v>36871.0</v>
      </c>
      <c r="J73" s="422">
        <v>12.0</v>
      </c>
      <c r="K73" s="685" t="s">
        <v>244</v>
      </c>
      <c r="L73" s="420" t="s">
        <v>256</v>
      </c>
      <c r="M73" s="316">
        <f t="shared" si="4"/>
        <v>3846</v>
      </c>
      <c r="N73" s="198"/>
      <c r="O73" s="378" t="s">
        <v>822</v>
      </c>
      <c r="P73" s="368"/>
      <c r="Q73" s="368"/>
      <c r="R73" s="369"/>
      <c r="S73" s="379">
        <f>COUNTIF($K$2:$K$476,"Não classificado - Produto não classificado")</f>
        <v>0</v>
      </c>
      <c r="T73" s="380">
        <f>(S73/S76)</f>
        <v>0</v>
      </c>
      <c r="U73" s="198"/>
      <c r="V73" s="198"/>
      <c r="W73" s="198"/>
      <c r="X73" s="198"/>
      <c r="Y73" s="198"/>
      <c r="Z73" s="198"/>
    </row>
    <row r="74" ht="12.75" customHeight="1">
      <c r="A74" s="585">
        <v>7300.0</v>
      </c>
      <c r="B74" s="428" t="s">
        <v>13850</v>
      </c>
      <c r="C74" s="428">
        <v>1998.0</v>
      </c>
      <c r="D74" s="500">
        <v>36127.0</v>
      </c>
      <c r="E74" s="426" t="s">
        <v>13851</v>
      </c>
      <c r="F74" s="426" t="s">
        <v>13852</v>
      </c>
      <c r="G74" s="426" t="s">
        <v>650</v>
      </c>
      <c r="H74" s="676" t="s">
        <v>705</v>
      </c>
      <c r="I74" s="500">
        <v>36871.0</v>
      </c>
      <c r="J74" s="428">
        <v>12.0</v>
      </c>
      <c r="K74" s="638" t="s">
        <v>234</v>
      </c>
      <c r="L74" s="428" t="s">
        <v>256</v>
      </c>
      <c r="M74" s="319">
        <f t="shared" si="4"/>
        <v>744</v>
      </c>
      <c r="N74" s="198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0</v>
      </c>
      <c r="T74" s="380">
        <f>(S74/S76)</f>
        <v>0</v>
      </c>
      <c r="U74" s="198"/>
      <c r="V74" s="198"/>
      <c r="W74" s="198"/>
      <c r="X74" s="198"/>
      <c r="Y74" s="198"/>
      <c r="Z74" s="198"/>
    </row>
    <row r="75" ht="12.75" customHeight="1">
      <c r="A75" s="578">
        <v>7400.0</v>
      </c>
      <c r="B75" s="422" t="s">
        <v>13853</v>
      </c>
      <c r="C75" s="422">
        <v>1999.0</v>
      </c>
      <c r="D75" s="497">
        <v>36393.0</v>
      </c>
      <c r="E75" s="420" t="s">
        <v>13854</v>
      </c>
      <c r="F75" s="420" t="s">
        <v>25</v>
      </c>
      <c r="G75" s="420" t="s">
        <v>650</v>
      </c>
      <c r="H75" s="677" t="s">
        <v>705</v>
      </c>
      <c r="I75" s="497">
        <v>36875.0</v>
      </c>
      <c r="J75" s="422">
        <v>12.0</v>
      </c>
      <c r="K75" s="636" t="s">
        <v>244</v>
      </c>
      <c r="L75" s="420" t="s">
        <v>258</v>
      </c>
      <c r="M75" s="316">
        <f t="shared" si="4"/>
        <v>482</v>
      </c>
      <c r="N75" s="198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0</v>
      </c>
      <c r="T75" s="385">
        <f>(S75/S76)</f>
        <v>0</v>
      </c>
      <c r="U75" s="198"/>
      <c r="V75" s="198"/>
      <c r="W75" s="198"/>
      <c r="X75" s="198"/>
      <c r="Y75" s="198"/>
      <c r="Z75" s="198"/>
    </row>
    <row r="76" ht="15.0" customHeight="1">
      <c r="A76" s="585">
        <v>7500.0</v>
      </c>
      <c r="B76" s="428" t="s">
        <v>13855</v>
      </c>
      <c r="C76" s="428">
        <v>1999.0</v>
      </c>
      <c r="D76" s="500">
        <v>36404.0</v>
      </c>
      <c r="E76" s="426" t="s">
        <v>13856</v>
      </c>
      <c r="F76" s="426" t="s">
        <v>12989</v>
      </c>
      <c r="G76" s="426" t="s">
        <v>565</v>
      </c>
      <c r="H76" s="676" t="s">
        <v>1002</v>
      </c>
      <c r="I76" s="500">
        <v>36875.0</v>
      </c>
      <c r="J76" s="428">
        <v>12.0</v>
      </c>
      <c r="K76" s="636" t="s">
        <v>244</v>
      </c>
      <c r="L76" s="428" t="s">
        <v>260</v>
      </c>
      <c r="M76" s="319">
        <f t="shared" si="4"/>
        <v>471</v>
      </c>
      <c r="N76" s="198"/>
      <c r="O76" s="386" t="s">
        <v>219</v>
      </c>
      <c r="P76" s="332"/>
      <c r="Q76" s="332"/>
      <c r="R76" s="387"/>
      <c r="S76" s="388">
        <f>SUM(S64:S75)</f>
        <v>82</v>
      </c>
      <c r="T76" s="389">
        <f>(S76/S76)</f>
        <v>1</v>
      </c>
      <c r="U76" s="198"/>
      <c r="V76" s="198"/>
      <c r="W76" s="198"/>
      <c r="X76" s="198"/>
      <c r="Y76" s="198"/>
      <c r="Z76" s="198"/>
    </row>
    <row r="77" ht="12.75" customHeight="1">
      <c r="A77" s="578">
        <v>7600.0</v>
      </c>
      <c r="B77" s="422" t="s">
        <v>13857</v>
      </c>
      <c r="C77" s="422">
        <v>1993.0</v>
      </c>
      <c r="D77" s="497">
        <v>34177.0</v>
      </c>
      <c r="E77" s="420" t="s">
        <v>13858</v>
      </c>
      <c r="F77" s="420" t="s">
        <v>13679</v>
      </c>
      <c r="G77" s="420" t="s">
        <v>650</v>
      </c>
      <c r="H77" s="677" t="s">
        <v>12127</v>
      </c>
      <c r="I77" s="497">
        <v>36878.0</v>
      </c>
      <c r="J77" s="422">
        <v>12.0</v>
      </c>
      <c r="K77" s="637" t="s">
        <v>238</v>
      </c>
      <c r="L77" s="420" t="s">
        <v>256</v>
      </c>
      <c r="M77" s="316">
        <f t="shared" si="4"/>
        <v>2701</v>
      </c>
      <c r="N77" s="198"/>
      <c r="O77" s="25"/>
      <c r="P77" s="25"/>
      <c r="Q77" s="25"/>
      <c r="R77" s="25"/>
      <c r="S77" s="25"/>
      <c r="T77" s="25"/>
      <c r="U77" s="198"/>
      <c r="V77" s="198"/>
      <c r="W77" s="198"/>
      <c r="X77" s="198"/>
      <c r="Y77" s="198"/>
      <c r="Z77" s="198"/>
    </row>
    <row r="78" ht="13.5" customHeight="1">
      <c r="A78" s="585">
        <v>7700.0</v>
      </c>
      <c r="B78" s="428"/>
      <c r="C78" s="428">
        <v>1999.0</v>
      </c>
      <c r="D78" s="500"/>
      <c r="E78" s="426" t="s">
        <v>13859</v>
      </c>
      <c r="F78" s="426" t="s">
        <v>12936</v>
      </c>
      <c r="G78" s="426" t="s">
        <v>650</v>
      </c>
      <c r="H78" s="676" t="s">
        <v>705</v>
      </c>
      <c r="I78" s="500">
        <v>36878.0</v>
      </c>
      <c r="J78" s="428">
        <v>12.0</v>
      </c>
      <c r="K78" s="637" t="s">
        <v>238</v>
      </c>
      <c r="L78" s="428" t="s">
        <v>256</v>
      </c>
      <c r="M78" s="319"/>
      <c r="N78" s="198"/>
      <c r="O78" s="357" t="s">
        <v>11</v>
      </c>
      <c r="P78" s="102"/>
      <c r="Q78" s="102"/>
      <c r="R78" s="102"/>
      <c r="S78" s="102"/>
      <c r="T78" s="103"/>
      <c r="U78" s="198"/>
      <c r="V78" s="198"/>
      <c r="W78" s="198"/>
      <c r="X78" s="198"/>
      <c r="Y78" s="198"/>
      <c r="Z78" s="198"/>
    </row>
    <row r="79" ht="12.75" customHeight="1">
      <c r="A79" s="578">
        <v>7800.0</v>
      </c>
      <c r="B79" s="422" t="s">
        <v>13860</v>
      </c>
      <c r="C79" s="422">
        <v>1999.0</v>
      </c>
      <c r="D79" s="497">
        <v>36376.0</v>
      </c>
      <c r="E79" s="420" t="s">
        <v>13861</v>
      </c>
      <c r="F79" s="420" t="s">
        <v>13862</v>
      </c>
      <c r="G79" s="420" t="s">
        <v>547</v>
      </c>
      <c r="H79" s="677" t="s">
        <v>13155</v>
      </c>
      <c r="I79" s="497">
        <v>36878.0</v>
      </c>
      <c r="J79" s="422">
        <v>12.0</v>
      </c>
      <c r="K79" s="637" t="s">
        <v>238</v>
      </c>
      <c r="L79" s="420" t="s">
        <v>256</v>
      </c>
      <c r="M79" s="316">
        <f t="shared" ref="M79:M83" si="5">I79-D79</f>
        <v>502</v>
      </c>
      <c r="N79" s="198"/>
      <c r="O79" s="104"/>
      <c r="P79" s="105"/>
      <c r="Q79" s="105"/>
      <c r="R79" s="105"/>
      <c r="S79" s="105"/>
      <c r="T79" s="106"/>
      <c r="U79" s="198"/>
      <c r="V79" s="198"/>
      <c r="W79" s="198"/>
      <c r="X79" s="198"/>
      <c r="Y79" s="198"/>
      <c r="Z79" s="198"/>
    </row>
    <row r="80" ht="12.75" customHeight="1">
      <c r="A80" s="585">
        <v>7900.0</v>
      </c>
      <c r="B80" s="428" t="s">
        <v>13863</v>
      </c>
      <c r="C80" s="428">
        <v>1999.0</v>
      </c>
      <c r="D80" s="500">
        <v>36195.0</v>
      </c>
      <c r="E80" s="426" t="s">
        <v>13864</v>
      </c>
      <c r="F80" s="426" t="s">
        <v>5247</v>
      </c>
      <c r="G80" s="426" t="s">
        <v>547</v>
      </c>
      <c r="H80" s="676" t="s">
        <v>13415</v>
      </c>
      <c r="I80" s="500">
        <v>36882.0</v>
      </c>
      <c r="J80" s="428">
        <v>12.0</v>
      </c>
      <c r="K80" s="636" t="s">
        <v>244</v>
      </c>
      <c r="L80" s="428" t="s">
        <v>258</v>
      </c>
      <c r="M80" s="319">
        <f t="shared" si="5"/>
        <v>687</v>
      </c>
      <c r="N80" s="198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198"/>
      <c r="V80" s="198"/>
      <c r="W80" s="198"/>
      <c r="X80" s="198"/>
      <c r="Y80" s="198"/>
      <c r="Z80" s="198"/>
    </row>
    <row r="81" ht="13.5" customHeight="1">
      <c r="A81" s="578">
        <v>8000.0</v>
      </c>
      <c r="B81" s="422" t="s">
        <v>13865</v>
      </c>
      <c r="C81" s="422">
        <v>1998.0</v>
      </c>
      <c r="D81" s="497">
        <v>36068.0</v>
      </c>
      <c r="E81" s="420" t="s">
        <v>13866</v>
      </c>
      <c r="F81" s="420" t="s">
        <v>134</v>
      </c>
      <c r="G81" s="420" t="s">
        <v>650</v>
      </c>
      <c r="H81" s="677" t="s">
        <v>12467</v>
      </c>
      <c r="I81" s="497">
        <v>36882.0</v>
      </c>
      <c r="J81" s="422">
        <v>12.0</v>
      </c>
      <c r="K81" s="637" t="s">
        <v>238</v>
      </c>
      <c r="L81" s="420" t="s">
        <v>258</v>
      </c>
      <c r="M81" s="316">
        <f t="shared" si="5"/>
        <v>814</v>
      </c>
      <c r="N81" s="198"/>
      <c r="O81" s="527" t="s">
        <v>254</v>
      </c>
      <c r="P81" s="332"/>
      <c r="Q81" s="332"/>
      <c r="R81" s="333"/>
      <c r="S81" s="394">
        <f>COUNTIF($L$2:$L$476,"I - Produto altamente perigoso ao meio ambiente")</f>
        <v>0</v>
      </c>
      <c r="T81" s="395">
        <f>(S81/S85)</f>
        <v>0</v>
      </c>
      <c r="U81" s="198"/>
      <c r="V81" s="198"/>
      <c r="W81" s="198"/>
      <c r="X81" s="198"/>
      <c r="Y81" s="198"/>
      <c r="Z81" s="198"/>
    </row>
    <row r="82" ht="13.5" customHeight="1">
      <c r="A82" s="585">
        <v>8100.0</v>
      </c>
      <c r="B82" s="428" t="s">
        <v>13867</v>
      </c>
      <c r="C82" s="428">
        <v>1999.0</v>
      </c>
      <c r="D82" s="500">
        <v>36504.0</v>
      </c>
      <c r="E82" s="426" t="s">
        <v>13868</v>
      </c>
      <c r="F82" s="426" t="s">
        <v>9486</v>
      </c>
      <c r="G82" s="426" t="s">
        <v>650</v>
      </c>
      <c r="H82" s="676" t="s">
        <v>13415</v>
      </c>
      <c r="I82" s="500">
        <v>36882.0</v>
      </c>
      <c r="J82" s="428">
        <v>12.0</v>
      </c>
      <c r="K82" s="638" t="s">
        <v>234</v>
      </c>
      <c r="L82" s="428" t="s">
        <v>256</v>
      </c>
      <c r="M82" s="319">
        <f t="shared" si="5"/>
        <v>378</v>
      </c>
      <c r="N82" s="198"/>
      <c r="O82" s="396" t="s">
        <v>256</v>
      </c>
      <c r="P82" s="113"/>
      <c r="Q82" s="113"/>
      <c r="R82" s="114"/>
      <c r="S82" s="397">
        <f>COUNTIF($L$2:$L$476,"II - Produto muito perigoso ao meio ambiente")</f>
        <v>33</v>
      </c>
      <c r="T82" s="398">
        <f>(S82/S85)</f>
        <v>0.4024390244</v>
      </c>
      <c r="U82" s="198"/>
      <c r="V82" s="198"/>
      <c r="W82" s="198"/>
      <c r="X82" s="198"/>
      <c r="Y82" s="198"/>
      <c r="Z82" s="198"/>
    </row>
    <row r="83" ht="13.5" customHeight="1">
      <c r="A83" s="578">
        <v>8200.0</v>
      </c>
      <c r="B83" s="422" t="s">
        <v>13869</v>
      </c>
      <c r="C83" s="422">
        <v>1998.0</v>
      </c>
      <c r="D83" s="497">
        <v>36119.0</v>
      </c>
      <c r="E83" s="420" t="s">
        <v>13870</v>
      </c>
      <c r="F83" s="420" t="s">
        <v>13871</v>
      </c>
      <c r="G83" s="420" t="s">
        <v>650</v>
      </c>
      <c r="H83" s="677" t="s">
        <v>705</v>
      </c>
      <c r="I83" s="497">
        <v>36889.0</v>
      </c>
      <c r="J83" s="422">
        <v>12.0</v>
      </c>
      <c r="K83" s="638" t="s">
        <v>234</v>
      </c>
      <c r="L83" s="420" t="s">
        <v>256</v>
      </c>
      <c r="M83" s="316">
        <f t="shared" si="5"/>
        <v>770</v>
      </c>
      <c r="N83" s="198"/>
      <c r="O83" s="399" t="s">
        <v>258</v>
      </c>
      <c r="P83" s="113"/>
      <c r="Q83" s="113"/>
      <c r="R83" s="114"/>
      <c r="S83" s="394">
        <f>COUNTIF($L$2:$L$476,"III - Produto perigoso ao meio ambiente")</f>
        <v>41</v>
      </c>
      <c r="T83" s="395">
        <f>(S83/S85)</f>
        <v>0.5</v>
      </c>
      <c r="U83" s="198"/>
      <c r="V83" s="198"/>
      <c r="W83" s="198"/>
      <c r="X83" s="198"/>
      <c r="Y83" s="198"/>
      <c r="Z83" s="198"/>
    </row>
    <row r="84" ht="14.25" customHeight="1">
      <c r="A84" s="198"/>
      <c r="B84" s="198"/>
      <c r="C84" s="198"/>
      <c r="D84" s="615"/>
      <c r="E84" s="198"/>
      <c r="F84" s="198"/>
      <c r="G84" s="198"/>
      <c r="H84" s="198"/>
      <c r="I84" s="615"/>
      <c r="J84" s="198"/>
      <c r="K84" s="198"/>
      <c r="L84" s="198"/>
      <c r="M84" s="198"/>
      <c r="N84" s="198"/>
      <c r="O84" s="396" t="s">
        <v>260</v>
      </c>
      <c r="P84" s="113"/>
      <c r="Q84" s="113"/>
      <c r="R84" s="114"/>
      <c r="S84" s="397">
        <f>COUNTIF($L$2:$L$476,"IV - Produto pouco perigoso ao meio ambiente")</f>
        <v>8</v>
      </c>
      <c r="T84" s="398">
        <f>(S84/S85)</f>
        <v>0.09756097561</v>
      </c>
      <c r="U84" s="198"/>
      <c r="V84" s="198"/>
      <c r="W84" s="198"/>
      <c r="X84" s="198"/>
      <c r="Y84" s="198"/>
      <c r="Z84" s="198"/>
    </row>
    <row r="85" ht="12.75" customHeight="1">
      <c r="A85" s="198"/>
      <c r="B85" s="198"/>
      <c r="C85" s="198"/>
      <c r="D85" s="615"/>
      <c r="E85" s="198"/>
      <c r="F85" s="198"/>
      <c r="G85" s="198"/>
      <c r="H85" s="198"/>
      <c r="I85" s="615"/>
      <c r="J85" s="198"/>
      <c r="K85" s="198"/>
      <c r="L85" s="198"/>
      <c r="M85" s="198"/>
      <c r="N85" s="198"/>
      <c r="O85" s="358" t="s">
        <v>219</v>
      </c>
      <c r="P85" s="359"/>
      <c r="Q85" s="359"/>
      <c r="R85" s="360"/>
      <c r="S85" s="388">
        <f>SUM(S81:S84)</f>
        <v>82</v>
      </c>
      <c r="T85" s="389">
        <f>(S85/S85)</f>
        <v>1</v>
      </c>
      <c r="U85" s="198"/>
      <c r="V85" s="198"/>
      <c r="W85" s="198"/>
      <c r="X85" s="198"/>
      <c r="Y85" s="198"/>
      <c r="Z85" s="198"/>
    </row>
    <row r="86" ht="12.75" customHeight="1">
      <c r="A86" s="198"/>
      <c r="B86" s="198"/>
      <c r="C86" s="198"/>
      <c r="D86" s="615"/>
      <c r="E86" s="198"/>
      <c r="F86" s="198"/>
      <c r="G86" s="198"/>
      <c r="H86" s="198"/>
      <c r="I86" s="615"/>
      <c r="J86" s="198"/>
      <c r="K86" s="198"/>
      <c r="L86" s="198"/>
      <c r="M86" s="198"/>
      <c r="N86" s="198"/>
      <c r="O86" s="25"/>
      <c r="P86" s="25"/>
      <c r="Q86" s="25"/>
      <c r="R86" s="25"/>
      <c r="S86" s="25"/>
      <c r="T86" s="25"/>
      <c r="U86" s="198"/>
      <c r="V86" s="198"/>
      <c r="W86" s="198"/>
      <c r="X86" s="198"/>
      <c r="Y86" s="198"/>
      <c r="Z86" s="198"/>
    </row>
    <row r="87" ht="13.5" customHeight="1">
      <c r="A87" s="198"/>
      <c r="B87" s="198"/>
      <c r="C87" s="198"/>
      <c r="D87" s="615"/>
      <c r="E87" s="198"/>
      <c r="F87" s="198"/>
      <c r="G87" s="198"/>
      <c r="H87" s="198"/>
      <c r="I87" s="615"/>
      <c r="J87" s="198"/>
      <c r="K87" s="198"/>
      <c r="L87" s="198"/>
      <c r="M87" s="198"/>
      <c r="N87" s="198"/>
      <c r="O87" s="403" t="s">
        <v>264</v>
      </c>
      <c r="P87" s="404"/>
      <c r="Q87" s="404"/>
      <c r="R87" s="405"/>
      <c r="S87" s="25"/>
      <c r="T87" s="25"/>
      <c r="U87" s="198"/>
      <c r="V87" s="198"/>
      <c r="W87" s="198"/>
      <c r="X87" s="198"/>
      <c r="Y87" s="198"/>
      <c r="Z87" s="198"/>
    </row>
    <row r="88" ht="12.75" customHeight="1">
      <c r="A88" s="198"/>
      <c r="B88" s="198"/>
      <c r="C88" s="198"/>
      <c r="D88" s="615"/>
      <c r="E88" s="198"/>
      <c r="F88" s="198"/>
      <c r="G88" s="198"/>
      <c r="H88" s="198"/>
      <c r="I88" s="615"/>
      <c r="J88" s="198"/>
      <c r="K88" s="198"/>
      <c r="L88" s="198"/>
      <c r="M88" s="198"/>
      <c r="N88" s="198"/>
      <c r="O88" s="406"/>
      <c r="P88" s="105"/>
      <c r="Q88" s="105"/>
      <c r="R88" s="407"/>
      <c r="S88" s="25"/>
      <c r="T88" s="25"/>
      <c r="U88" s="198"/>
      <c r="V88" s="198"/>
      <c r="W88" s="198"/>
      <c r="X88" s="198"/>
      <c r="Y88" s="198"/>
      <c r="Z88" s="198"/>
    </row>
    <row r="89" ht="12.75" customHeight="1">
      <c r="A89" s="198"/>
      <c r="B89" s="198"/>
      <c r="C89" s="198"/>
      <c r="D89" s="615"/>
      <c r="E89" s="198"/>
      <c r="F89" s="198"/>
      <c r="G89" s="198"/>
      <c r="H89" s="198"/>
      <c r="I89" s="615"/>
      <c r="J89" s="198"/>
      <c r="K89" s="198"/>
      <c r="L89" s="198"/>
      <c r="M89" s="198"/>
      <c r="N89" s="198"/>
      <c r="O89" s="408" t="s">
        <v>267</v>
      </c>
      <c r="P89" s="409" t="s">
        <v>268</v>
      </c>
      <c r="Q89" s="410"/>
      <c r="R89" s="411"/>
      <c r="S89" s="25"/>
      <c r="T89" s="25"/>
      <c r="U89" s="198"/>
      <c r="V89" s="198"/>
      <c r="W89" s="198"/>
      <c r="X89" s="198"/>
      <c r="Y89" s="198"/>
      <c r="Z89" s="198"/>
    </row>
    <row r="90" ht="12.75" customHeight="1">
      <c r="A90" s="198"/>
      <c r="B90" s="198"/>
      <c r="C90" s="198"/>
      <c r="D90" s="615"/>
      <c r="E90" s="198"/>
      <c r="F90" s="198"/>
      <c r="G90" s="198"/>
      <c r="H90" s="198"/>
      <c r="I90" s="615"/>
      <c r="J90" s="198"/>
      <c r="K90" s="198"/>
      <c r="L90" s="198"/>
      <c r="M90" s="198"/>
      <c r="N90" s="198"/>
      <c r="O90" s="412" t="s">
        <v>270</v>
      </c>
      <c r="P90" s="413">
        <f>AVERAGEIF(G2:G476,"PT",M2:M476)</f>
        <v>1504.105263</v>
      </c>
      <c r="Q90" s="368"/>
      <c r="R90" s="369"/>
      <c r="S90" s="25"/>
      <c r="T90" s="25"/>
      <c r="U90" s="198"/>
      <c r="V90" s="198"/>
      <c r="W90" s="198"/>
      <c r="X90" s="198"/>
      <c r="Y90" s="198"/>
      <c r="Z90" s="198"/>
    </row>
    <row r="91" ht="12.75" customHeight="1">
      <c r="A91" s="198"/>
      <c r="B91" s="198"/>
      <c r="C91" s="198"/>
      <c r="D91" s="615"/>
      <c r="E91" s="198"/>
      <c r="F91" s="198"/>
      <c r="G91" s="198"/>
      <c r="H91" s="198"/>
      <c r="I91" s="615"/>
      <c r="J91" s="198"/>
      <c r="K91" s="198"/>
      <c r="L91" s="198"/>
      <c r="M91" s="198"/>
      <c r="N91" s="198"/>
      <c r="O91" s="414" t="s">
        <v>34</v>
      </c>
      <c r="P91" s="415">
        <f>AVERAGEIF(G2:G477,"PTN",M2:M477)</f>
        <v>620.8888889</v>
      </c>
      <c r="Q91" s="368"/>
      <c r="R91" s="369"/>
      <c r="S91" s="25"/>
      <c r="T91" s="25"/>
      <c r="U91" s="198"/>
      <c r="V91" s="198"/>
      <c r="W91" s="198"/>
      <c r="X91" s="198"/>
      <c r="Y91" s="198"/>
      <c r="Z91" s="198"/>
    </row>
    <row r="92" ht="12.75" customHeight="1">
      <c r="A92" s="613"/>
      <c r="B92" s="613"/>
      <c r="C92" s="613"/>
      <c r="D92" s="615"/>
      <c r="E92" s="198"/>
      <c r="F92" s="198"/>
      <c r="G92" s="198"/>
      <c r="H92" s="198"/>
      <c r="I92" s="615"/>
      <c r="J92" s="198"/>
      <c r="K92" s="198"/>
      <c r="L92" s="198"/>
      <c r="M92" s="616"/>
      <c r="N92" s="198"/>
      <c r="O92" s="412" t="s">
        <v>17</v>
      </c>
      <c r="P92" s="413" t="str">
        <f>AVERAGEIF(G2:G476,"PTE",M2:M476)</f>
        <v>#DIV/0!</v>
      </c>
      <c r="Q92" s="368"/>
      <c r="R92" s="369"/>
      <c r="S92" s="25"/>
      <c r="T92" s="25"/>
      <c r="U92" s="198"/>
      <c r="V92" s="198"/>
      <c r="W92" s="198"/>
      <c r="X92" s="198"/>
      <c r="Y92" s="198"/>
      <c r="Z92" s="198"/>
    </row>
    <row r="93" ht="12.75" customHeight="1">
      <c r="A93" s="613"/>
      <c r="B93" s="613"/>
      <c r="C93" s="613"/>
      <c r="D93" s="615"/>
      <c r="E93" s="198"/>
      <c r="F93" s="198"/>
      <c r="G93" s="198"/>
      <c r="H93" s="198"/>
      <c r="I93" s="615"/>
      <c r="J93" s="198"/>
      <c r="K93" s="198"/>
      <c r="L93" s="198"/>
      <c r="M93" s="616"/>
      <c r="N93" s="198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198"/>
      <c r="V93" s="198"/>
      <c r="W93" s="198"/>
      <c r="X93" s="198"/>
      <c r="Y93" s="198"/>
      <c r="Z93" s="198"/>
    </row>
    <row r="94" ht="12.75" customHeight="1">
      <c r="A94" s="613"/>
      <c r="B94" s="613"/>
      <c r="C94" s="613"/>
      <c r="D94" s="615"/>
      <c r="E94" s="198"/>
      <c r="F94" s="198"/>
      <c r="G94" s="198"/>
      <c r="H94" s="198"/>
      <c r="I94" s="615"/>
      <c r="J94" s="198"/>
      <c r="K94" s="198"/>
      <c r="L94" s="198"/>
      <c r="M94" s="616"/>
      <c r="N94" s="198"/>
      <c r="O94" s="412" t="s">
        <v>650</v>
      </c>
      <c r="P94" s="413">
        <f>AVERAGEIF(G2:G476,"PF",M2:M476)</f>
        <v>796.2941176</v>
      </c>
      <c r="Q94" s="368"/>
      <c r="R94" s="369"/>
      <c r="S94" s="25"/>
      <c r="T94" s="25"/>
      <c r="U94" s="198"/>
      <c r="V94" s="198"/>
      <c r="W94" s="198"/>
      <c r="X94" s="198"/>
      <c r="Y94" s="198"/>
      <c r="Z94" s="198"/>
    </row>
    <row r="95" ht="12.75" customHeight="1">
      <c r="A95" s="613"/>
      <c r="B95" s="613"/>
      <c r="C95" s="613"/>
      <c r="D95" s="615"/>
      <c r="E95" s="198"/>
      <c r="F95" s="198"/>
      <c r="G95" s="198"/>
      <c r="H95" s="198"/>
      <c r="I95" s="615"/>
      <c r="J95" s="198"/>
      <c r="K95" s="198"/>
      <c r="L95" s="198"/>
      <c r="M95" s="616"/>
      <c r="N95" s="198"/>
      <c r="O95" s="414" t="s">
        <v>547</v>
      </c>
      <c r="P95" s="415">
        <f>AVERAGEIF(G2:G476,"PFN",M2:M476)</f>
        <v>608.9166667</v>
      </c>
      <c r="Q95" s="368"/>
      <c r="R95" s="369"/>
      <c r="S95" s="25"/>
      <c r="T95" s="25"/>
      <c r="U95" s="198"/>
      <c r="V95" s="198"/>
      <c r="W95" s="198"/>
      <c r="X95" s="198"/>
      <c r="Y95" s="198"/>
      <c r="Z95" s="198"/>
    </row>
    <row r="96" ht="12.75" customHeight="1">
      <c r="A96" s="613"/>
      <c r="B96" s="613"/>
      <c r="C96" s="613"/>
      <c r="D96" s="615"/>
      <c r="E96" s="198"/>
      <c r="F96" s="198"/>
      <c r="G96" s="198"/>
      <c r="H96" s="198"/>
      <c r="I96" s="615"/>
      <c r="J96" s="198"/>
      <c r="K96" s="198"/>
      <c r="L96" s="198"/>
      <c r="M96" s="616"/>
      <c r="N96" s="198"/>
      <c r="O96" s="412" t="s">
        <v>552</v>
      </c>
      <c r="P96" s="413" t="str">
        <f>AVERAGEIF(G2:G476,"PF/PTE",M2:M476)</f>
        <v>#DIV/0!</v>
      </c>
      <c r="Q96" s="368"/>
      <c r="R96" s="369"/>
      <c r="S96" s="25"/>
      <c r="T96" s="25"/>
      <c r="U96" s="198"/>
      <c r="V96" s="198"/>
      <c r="W96" s="198"/>
      <c r="X96" s="198"/>
      <c r="Y96" s="198"/>
      <c r="Z96" s="198"/>
    </row>
    <row r="97" ht="12.75" customHeight="1">
      <c r="A97" s="613"/>
      <c r="B97" s="613"/>
      <c r="C97" s="613"/>
      <c r="D97" s="615"/>
      <c r="E97" s="198"/>
      <c r="F97" s="198"/>
      <c r="G97" s="198"/>
      <c r="H97" s="198"/>
      <c r="I97" s="615"/>
      <c r="J97" s="198"/>
      <c r="K97" s="198"/>
      <c r="L97" s="198"/>
      <c r="M97" s="616"/>
      <c r="N97" s="198"/>
      <c r="O97" s="414" t="s">
        <v>565</v>
      </c>
      <c r="P97" s="415">
        <f>AVERAGEIF(G2:G476,"Bio",M2:M476)</f>
        <v>474</v>
      </c>
      <c r="Q97" s="368"/>
      <c r="R97" s="369"/>
      <c r="S97" s="25"/>
      <c r="T97" s="25"/>
      <c r="U97" s="198"/>
      <c r="V97" s="198"/>
      <c r="W97" s="198"/>
      <c r="X97" s="198"/>
      <c r="Y97" s="198"/>
      <c r="Z97" s="198"/>
    </row>
    <row r="98" ht="12.75" customHeight="1">
      <c r="A98" s="613"/>
      <c r="B98" s="613"/>
      <c r="C98" s="613"/>
      <c r="D98" s="615"/>
      <c r="E98" s="198"/>
      <c r="F98" s="198"/>
      <c r="G98" s="198"/>
      <c r="H98" s="198"/>
      <c r="I98" s="615"/>
      <c r="J98" s="198"/>
      <c r="K98" s="198"/>
      <c r="L98" s="198"/>
      <c r="M98" s="616"/>
      <c r="N98" s="198"/>
      <c r="O98" s="412" t="s">
        <v>569</v>
      </c>
      <c r="P98" s="413" t="str">
        <f>AVERAGEIF(G2:G476,"Bio/Org",M2:M476)</f>
        <v>#DIV/0!</v>
      </c>
      <c r="Q98" s="368"/>
      <c r="R98" s="369"/>
      <c r="S98" s="25"/>
      <c r="T98" s="25"/>
      <c r="U98" s="198"/>
      <c r="V98" s="198"/>
      <c r="W98" s="198"/>
      <c r="X98" s="198"/>
      <c r="Y98" s="198"/>
      <c r="Z98" s="198"/>
    </row>
    <row r="99" ht="12.75" customHeight="1">
      <c r="A99" s="613"/>
      <c r="B99" s="613"/>
      <c r="C99" s="613"/>
      <c r="D99" s="615"/>
      <c r="E99" s="198"/>
      <c r="F99" s="198"/>
      <c r="G99" s="198"/>
      <c r="H99" s="198"/>
      <c r="I99" s="615"/>
      <c r="J99" s="198"/>
      <c r="K99" s="198"/>
      <c r="L99" s="198"/>
      <c r="M99" s="616"/>
      <c r="N99" s="198"/>
      <c r="O99" s="416" t="s">
        <v>275</v>
      </c>
      <c r="P99" s="417">
        <f>AVERAGE(M2:M494)</f>
        <v>914.4078947</v>
      </c>
      <c r="Q99" s="418"/>
      <c r="R99" s="318"/>
      <c r="S99" s="25"/>
      <c r="T99" s="25"/>
      <c r="U99" s="198"/>
      <c r="V99" s="198"/>
      <c r="W99" s="198"/>
      <c r="X99" s="198"/>
      <c r="Y99" s="198"/>
      <c r="Z99" s="198"/>
    </row>
    <row r="100" ht="12.75" customHeight="1">
      <c r="A100" s="613"/>
      <c r="B100" s="613"/>
      <c r="C100" s="613"/>
      <c r="D100" s="615"/>
      <c r="E100" s="198"/>
      <c r="F100" s="198"/>
      <c r="G100" s="198"/>
      <c r="H100" s="198"/>
      <c r="I100" s="615"/>
      <c r="J100" s="198"/>
      <c r="K100" s="198"/>
      <c r="L100" s="198"/>
      <c r="M100" s="616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ht="12.75" customHeight="1">
      <c r="A101" s="613"/>
      <c r="B101" s="613"/>
      <c r="C101" s="613"/>
      <c r="D101" s="615"/>
      <c r="E101" s="198"/>
      <c r="F101" s="198"/>
      <c r="G101" s="198"/>
      <c r="H101" s="198"/>
      <c r="I101" s="615"/>
      <c r="J101" s="198"/>
      <c r="K101" s="198"/>
      <c r="L101" s="198"/>
      <c r="M101" s="616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ht="12.75" customHeight="1">
      <c r="A102" s="613"/>
      <c r="B102" s="613"/>
      <c r="C102" s="613"/>
      <c r="D102" s="615"/>
      <c r="E102" s="198"/>
      <c r="F102" s="198"/>
      <c r="G102" s="198"/>
      <c r="H102" s="198"/>
      <c r="I102" s="615"/>
      <c r="J102" s="198"/>
      <c r="K102" s="198"/>
      <c r="L102" s="198"/>
      <c r="M102" s="616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ht="12.75" customHeight="1">
      <c r="A103" s="613"/>
      <c r="B103" s="613"/>
      <c r="C103" s="613"/>
      <c r="D103" s="615"/>
      <c r="E103" s="198"/>
      <c r="F103" s="198"/>
      <c r="G103" s="198"/>
      <c r="H103" s="198"/>
      <c r="I103" s="615"/>
      <c r="J103" s="198"/>
      <c r="K103" s="198"/>
      <c r="L103" s="198"/>
      <c r="M103" s="616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ht="12.75" customHeight="1">
      <c r="A104" s="613"/>
      <c r="B104" s="613"/>
      <c r="C104" s="613"/>
      <c r="D104" s="615"/>
      <c r="E104" s="198"/>
      <c r="F104" s="198"/>
      <c r="G104" s="198"/>
      <c r="H104" s="198"/>
      <c r="I104" s="615"/>
      <c r="J104" s="198"/>
      <c r="K104" s="198"/>
      <c r="L104" s="198"/>
      <c r="M104" s="61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ht="12.75" customHeight="1">
      <c r="A105" s="613"/>
      <c r="B105" s="613"/>
      <c r="C105" s="613"/>
      <c r="D105" s="615"/>
      <c r="E105" s="198"/>
      <c r="F105" s="198"/>
      <c r="G105" s="198"/>
      <c r="H105" s="198"/>
      <c r="I105" s="615"/>
      <c r="J105" s="198"/>
      <c r="K105" s="198"/>
      <c r="L105" s="198"/>
      <c r="M105" s="616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ht="12.75" customHeight="1">
      <c r="A106" s="613"/>
      <c r="B106" s="613"/>
      <c r="C106" s="613"/>
      <c r="D106" s="615"/>
      <c r="E106" s="198"/>
      <c r="F106" s="198"/>
      <c r="G106" s="198"/>
      <c r="H106" s="198"/>
      <c r="I106" s="615"/>
      <c r="J106" s="198"/>
      <c r="K106" s="198"/>
      <c r="L106" s="198"/>
      <c r="M106" s="616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ht="12.75" customHeight="1">
      <c r="A107" s="613"/>
      <c r="B107" s="613"/>
      <c r="C107" s="613"/>
      <c r="D107" s="615"/>
      <c r="E107" s="198"/>
      <c r="F107" s="198"/>
      <c r="G107" s="198"/>
      <c r="H107" s="198"/>
      <c r="I107" s="615"/>
      <c r="J107" s="198"/>
      <c r="K107" s="198"/>
      <c r="L107" s="198"/>
      <c r="M107" s="61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ht="12.75" customHeight="1">
      <c r="A108" s="613"/>
      <c r="B108" s="613"/>
      <c r="C108" s="613"/>
      <c r="D108" s="615"/>
      <c r="E108" s="198"/>
      <c r="F108" s="198"/>
      <c r="G108" s="198"/>
      <c r="H108" s="198"/>
      <c r="I108" s="615"/>
      <c r="J108" s="198"/>
      <c r="K108" s="198"/>
      <c r="L108" s="198"/>
      <c r="M108" s="616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ht="12.75" customHeight="1">
      <c r="A109" s="613"/>
      <c r="B109" s="613"/>
      <c r="C109" s="613"/>
      <c r="D109" s="615"/>
      <c r="E109" s="198"/>
      <c r="F109" s="198"/>
      <c r="G109" s="198"/>
      <c r="H109" s="198"/>
      <c r="I109" s="615"/>
      <c r="J109" s="198"/>
      <c r="K109" s="198"/>
      <c r="L109" s="198"/>
      <c r="M109" s="616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ht="12.75" customHeight="1">
      <c r="A110" s="613"/>
      <c r="B110" s="613"/>
      <c r="C110" s="613"/>
      <c r="D110" s="615"/>
      <c r="E110" s="198"/>
      <c r="F110" s="198"/>
      <c r="G110" s="198"/>
      <c r="H110" s="198"/>
      <c r="I110" s="615"/>
      <c r="J110" s="198"/>
      <c r="K110" s="198"/>
      <c r="L110" s="198"/>
      <c r="M110" s="61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ht="12.75" customHeight="1">
      <c r="A111" s="613"/>
      <c r="B111" s="613"/>
      <c r="C111" s="613"/>
      <c r="D111" s="615"/>
      <c r="E111" s="198"/>
      <c r="F111" s="198"/>
      <c r="G111" s="198"/>
      <c r="H111" s="198"/>
      <c r="I111" s="615"/>
      <c r="J111" s="198"/>
      <c r="K111" s="198"/>
      <c r="L111" s="198"/>
      <c r="M111" s="616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ht="12.75" customHeight="1">
      <c r="A112" s="613"/>
      <c r="B112" s="613"/>
      <c r="C112" s="613"/>
      <c r="D112" s="615"/>
      <c r="E112" s="198"/>
      <c r="F112" s="198"/>
      <c r="G112" s="198"/>
      <c r="H112" s="198"/>
      <c r="I112" s="615"/>
      <c r="J112" s="198"/>
      <c r="K112" s="198"/>
      <c r="L112" s="198"/>
      <c r="M112" s="616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ht="12.75" customHeight="1">
      <c r="A113" s="613"/>
      <c r="B113" s="613"/>
      <c r="C113" s="613"/>
      <c r="D113" s="615"/>
      <c r="E113" s="198"/>
      <c r="F113" s="198"/>
      <c r="G113" s="198"/>
      <c r="H113" s="198"/>
      <c r="I113" s="615"/>
      <c r="J113" s="198"/>
      <c r="K113" s="198"/>
      <c r="L113" s="198"/>
      <c r="M113" s="61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ht="12.75" customHeight="1">
      <c r="A114" s="613"/>
      <c r="B114" s="613"/>
      <c r="C114" s="613"/>
      <c r="D114" s="615"/>
      <c r="E114" s="198"/>
      <c r="F114" s="198"/>
      <c r="G114" s="198"/>
      <c r="H114" s="198"/>
      <c r="I114" s="615"/>
      <c r="J114" s="198"/>
      <c r="K114" s="198"/>
      <c r="L114" s="198"/>
      <c r="M114" s="616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ht="12.75" customHeight="1">
      <c r="A115" s="613"/>
      <c r="B115" s="613"/>
      <c r="C115" s="613"/>
      <c r="D115" s="615"/>
      <c r="E115" s="198"/>
      <c r="F115" s="198"/>
      <c r="G115" s="198"/>
      <c r="H115" s="198"/>
      <c r="I115" s="615"/>
      <c r="J115" s="198"/>
      <c r="K115" s="198"/>
      <c r="L115" s="198"/>
      <c r="M115" s="61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ht="12.75" customHeight="1">
      <c r="A116" s="613"/>
      <c r="B116" s="613"/>
      <c r="C116" s="613"/>
      <c r="D116" s="615"/>
      <c r="E116" s="198"/>
      <c r="F116" s="198"/>
      <c r="G116" s="198"/>
      <c r="H116" s="198"/>
      <c r="I116" s="615"/>
      <c r="J116" s="198"/>
      <c r="K116" s="198"/>
      <c r="L116" s="198"/>
      <c r="M116" s="616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ht="12.75" customHeight="1">
      <c r="A117" s="613"/>
      <c r="B117" s="613"/>
      <c r="C117" s="613"/>
      <c r="D117" s="615"/>
      <c r="E117" s="198"/>
      <c r="F117" s="198"/>
      <c r="G117" s="198"/>
      <c r="H117" s="198"/>
      <c r="I117" s="615"/>
      <c r="J117" s="198"/>
      <c r="K117" s="198"/>
      <c r="L117" s="198"/>
      <c r="M117" s="616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ht="12.75" customHeight="1">
      <c r="A118" s="613"/>
      <c r="B118" s="613"/>
      <c r="C118" s="613"/>
      <c r="D118" s="615"/>
      <c r="E118" s="198"/>
      <c r="F118" s="198"/>
      <c r="G118" s="198"/>
      <c r="H118" s="198"/>
      <c r="I118" s="615"/>
      <c r="J118" s="198"/>
      <c r="K118" s="198"/>
      <c r="L118" s="198"/>
      <c r="M118" s="616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ht="12.75" customHeight="1">
      <c r="A119" s="613"/>
      <c r="B119" s="613"/>
      <c r="C119" s="613"/>
      <c r="D119" s="615"/>
      <c r="E119" s="198"/>
      <c r="F119" s="198"/>
      <c r="G119" s="198"/>
      <c r="H119" s="198"/>
      <c r="I119" s="615"/>
      <c r="J119" s="198"/>
      <c r="K119" s="198"/>
      <c r="L119" s="198"/>
      <c r="M119" s="616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ht="12.75" customHeight="1">
      <c r="A120" s="613"/>
      <c r="B120" s="613"/>
      <c r="C120" s="613"/>
      <c r="D120" s="615"/>
      <c r="E120" s="198"/>
      <c r="F120" s="198"/>
      <c r="G120" s="198"/>
      <c r="H120" s="198"/>
      <c r="I120" s="615"/>
      <c r="J120" s="198"/>
      <c r="K120" s="198"/>
      <c r="L120" s="198"/>
      <c r="M120" s="616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ht="12.75" customHeight="1">
      <c r="A121" s="613"/>
      <c r="B121" s="613"/>
      <c r="C121" s="613"/>
      <c r="D121" s="615"/>
      <c r="E121" s="198"/>
      <c r="F121" s="198"/>
      <c r="G121" s="198"/>
      <c r="H121" s="198"/>
      <c r="I121" s="615"/>
      <c r="J121" s="198"/>
      <c r="K121" s="198"/>
      <c r="L121" s="198"/>
      <c r="M121" s="616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ht="12.75" customHeight="1">
      <c r="A122" s="613"/>
      <c r="B122" s="613"/>
      <c r="C122" s="613"/>
      <c r="D122" s="615"/>
      <c r="E122" s="198"/>
      <c r="F122" s="198"/>
      <c r="G122" s="198"/>
      <c r="H122" s="198"/>
      <c r="I122" s="615"/>
      <c r="J122" s="198"/>
      <c r="K122" s="198"/>
      <c r="L122" s="198"/>
      <c r="M122" s="616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ht="12.75" customHeight="1">
      <c r="A123" s="613"/>
      <c r="B123" s="613"/>
      <c r="C123" s="613"/>
      <c r="D123" s="615"/>
      <c r="E123" s="198"/>
      <c r="F123" s="198"/>
      <c r="G123" s="198"/>
      <c r="H123" s="198"/>
      <c r="I123" s="615"/>
      <c r="J123" s="198"/>
      <c r="K123" s="198"/>
      <c r="L123" s="198"/>
      <c r="M123" s="616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ht="12.75" customHeight="1">
      <c r="A124" s="613"/>
      <c r="B124" s="613"/>
      <c r="C124" s="613"/>
      <c r="D124" s="615"/>
      <c r="E124" s="198"/>
      <c r="F124" s="198"/>
      <c r="G124" s="198"/>
      <c r="H124" s="198"/>
      <c r="I124" s="615"/>
      <c r="J124" s="198"/>
      <c r="K124" s="198"/>
      <c r="L124" s="198"/>
      <c r="M124" s="616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ht="12.75" customHeight="1">
      <c r="A125" s="613"/>
      <c r="B125" s="613"/>
      <c r="C125" s="613"/>
      <c r="D125" s="615"/>
      <c r="E125" s="198"/>
      <c r="F125" s="198"/>
      <c r="G125" s="198"/>
      <c r="H125" s="198"/>
      <c r="I125" s="615"/>
      <c r="J125" s="198"/>
      <c r="K125" s="198"/>
      <c r="L125" s="198"/>
      <c r="M125" s="616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ht="12.75" customHeight="1">
      <c r="A126" s="613"/>
      <c r="B126" s="613"/>
      <c r="C126" s="613"/>
      <c r="D126" s="615"/>
      <c r="E126" s="198"/>
      <c r="F126" s="198"/>
      <c r="G126" s="198"/>
      <c r="H126" s="198"/>
      <c r="I126" s="615"/>
      <c r="J126" s="198"/>
      <c r="K126" s="198"/>
      <c r="L126" s="198"/>
      <c r="M126" s="616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ht="12.75" customHeight="1">
      <c r="A127" s="613"/>
      <c r="B127" s="613"/>
      <c r="C127" s="613"/>
      <c r="D127" s="615"/>
      <c r="E127" s="198"/>
      <c r="F127" s="198"/>
      <c r="G127" s="198"/>
      <c r="H127" s="198"/>
      <c r="I127" s="615"/>
      <c r="J127" s="198"/>
      <c r="K127" s="198"/>
      <c r="L127" s="198"/>
      <c r="M127" s="616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ht="12.75" customHeight="1">
      <c r="A128" s="613"/>
      <c r="B128" s="613"/>
      <c r="C128" s="613"/>
      <c r="D128" s="615"/>
      <c r="E128" s="198"/>
      <c r="F128" s="198"/>
      <c r="G128" s="198"/>
      <c r="H128" s="198"/>
      <c r="I128" s="615"/>
      <c r="J128" s="198"/>
      <c r="K128" s="198"/>
      <c r="L128" s="198"/>
      <c r="M128" s="616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ht="12.75" customHeight="1">
      <c r="A129" s="613"/>
      <c r="B129" s="613"/>
      <c r="C129" s="613"/>
      <c r="D129" s="615"/>
      <c r="E129" s="198"/>
      <c r="F129" s="198"/>
      <c r="G129" s="198"/>
      <c r="H129" s="198"/>
      <c r="I129" s="615"/>
      <c r="J129" s="198"/>
      <c r="K129" s="198"/>
      <c r="L129" s="198"/>
      <c r="M129" s="616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ht="12.75" customHeight="1">
      <c r="A130" s="613"/>
      <c r="B130" s="613"/>
      <c r="C130" s="613"/>
      <c r="D130" s="615"/>
      <c r="E130" s="198"/>
      <c r="F130" s="198"/>
      <c r="G130" s="198"/>
      <c r="H130" s="198"/>
      <c r="I130" s="615"/>
      <c r="J130" s="198"/>
      <c r="K130" s="198"/>
      <c r="L130" s="198"/>
      <c r="M130" s="616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ht="12.75" customHeight="1">
      <c r="A131" s="613"/>
      <c r="B131" s="613"/>
      <c r="C131" s="613"/>
      <c r="D131" s="615"/>
      <c r="E131" s="198"/>
      <c r="F131" s="198"/>
      <c r="G131" s="198"/>
      <c r="H131" s="198"/>
      <c r="I131" s="615"/>
      <c r="J131" s="198"/>
      <c r="K131" s="198"/>
      <c r="L131" s="198"/>
      <c r="M131" s="616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ht="12.75" customHeight="1">
      <c r="A132" s="613"/>
      <c r="B132" s="613"/>
      <c r="C132" s="613"/>
      <c r="D132" s="615"/>
      <c r="E132" s="198"/>
      <c r="F132" s="198"/>
      <c r="G132" s="198"/>
      <c r="H132" s="198"/>
      <c r="I132" s="615"/>
      <c r="J132" s="198"/>
      <c r="K132" s="198"/>
      <c r="L132" s="198"/>
      <c r="M132" s="616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ht="12.75" customHeight="1">
      <c r="A133" s="613"/>
      <c r="B133" s="613"/>
      <c r="C133" s="613"/>
      <c r="D133" s="615"/>
      <c r="E133" s="198"/>
      <c r="F133" s="198"/>
      <c r="G133" s="198"/>
      <c r="H133" s="198"/>
      <c r="I133" s="615"/>
      <c r="J133" s="198"/>
      <c r="K133" s="198"/>
      <c r="L133" s="198"/>
      <c r="M133" s="616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ht="12.75" customHeight="1">
      <c r="A134" s="613"/>
      <c r="B134" s="613"/>
      <c r="C134" s="613"/>
      <c r="D134" s="615"/>
      <c r="E134" s="198"/>
      <c r="F134" s="198"/>
      <c r="G134" s="198"/>
      <c r="H134" s="198"/>
      <c r="I134" s="615"/>
      <c r="J134" s="198"/>
      <c r="K134" s="198"/>
      <c r="L134" s="198"/>
      <c r="M134" s="616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ht="12.75" customHeight="1">
      <c r="A135" s="613"/>
      <c r="B135" s="613"/>
      <c r="C135" s="613"/>
      <c r="D135" s="615"/>
      <c r="E135" s="198"/>
      <c r="F135" s="198"/>
      <c r="G135" s="198"/>
      <c r="H135" s="198"/>
      <c r="I135" s="615"/>
      <c r="J135" s="198"/>
      <c r="K135" s="198"/>
      <c r="L135" s="198"/>
      <c r="M135" s="616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ht="12.75" customHeight="1">
      <c r="A136" s="613"/>
      <c r="B136" s="613"/>
      <c r="C136" s="613"/>
      <c r="D136" s="615"/>
      <c r="E136" s="198"/>
      <c r="F136" s="198"/>
      <c r="G136" s="198"/>
      <c r="H136" s="198"/>
      <c r="I136" s="615"/>
      <c r="J136" s="198"/>
      <c r="K136" s="198"/>
      <c r="L136" s="198"/>
      <c r="M136" s="616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ht="12.75" customHeight="1">
      <c r="A137" s="613"/>
      <c r="B137" s="613"/>
      <c r="C137" s="613"/>
      <c r="D137" s="615"/>
      <c r="E137" s="198"/>
      <c r="F137" s="198"/>
      <c r="G137" s="198"/>
      <c r="H137" s="198"/>
      <c r="I137" s="615"/>
      <c r="J137" s="198"/>
      <c r="K137" s="198"/>
      <c r="L137" s="198"/>
      <c r="M137" s="616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ht="12.75" customHeight="1">
      <c r="A138" s="613"/>
      <c r="B138" s="613"/>
      <c r="C138" s="613"/>
      <c r="D138" s="615"/>
      <c r="E138" s="198"/>
      <c r="F138" s="198"/>
      <c r="G138" s="198"/>
      <c r="H138" s="198"/>
      <c r="I138" s="615"/>
      <c r="J138" s="198"/>
      <c r="K138" s="198"/>
      <c r="L138" s="198"/>
      <c r="M138" s="616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ht="12.75" customHeight="1">
      <c r="A139" s="613"/>
      <c r="B139" s="613"/>
      <c r="C139" s="613"/>
      <c r="D139" s="615"/>
      <c r="E139" s="198"/>
      <c r="F139" s="198"/>
      <c r="G139" s="198"/>
      <c r="H139" s="198"/>
      <c r="I139" s="615"/>
      <c r="J139" s="198"/>
      <c r="K139" s="198"/>
      <c r="L139" s="198"/>
      <c r="M139" s="616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ht="12.75" customHeight="1">
      <c r="A140" s="613"/>
      <c r="B140" s="613"/>
      <c r="C140" s="613"/>
      <c r="D140" s="615"/>
      <c r="E140" s="198"/>
      <c r="F140" s="198"/>
      <c r="G140" s="198"/>
      <c r="H140" s="198"/>
      <c r="I140" s="615"/>
      <c r="J140" s="198"/>
      <c r="K140" s="198"/>
      <c r="L140" s="198"/>
      <c r="M140" s="616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ht="12.75" customHeight="1">
      <c r="A141" s="613"/>
      <c r="B141" s="613"/>
      <c r="C141" s="613"/>
      <c r="D141" s="615"/>
      <c r="E141" s="198"/>
      <c r="F141" s="198"/>
      <c r="G141" s="198"/>
      <c r="H141" s="198"/>
      <c r="I141" s="615"/>
      <c r="J141" s="198"/>
      <c r="K141" s="198"/>
      <c r="L141" s="198"/>
      <c r="M141" s="616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ht="12.75" customHeight="1">
      <c r="A142" s="613"/>
      <c r="B142" s="613"/>
      <c r="C142" s="613"/>
      <c r="D142" s="615"/>
      <c r="E142" s="198"/>
      <c r="F142" s="198"/>
      <c r="G142" s="198"/>
      <c r="H142" s="198"/>
      <c r="I142" s="615"/>
      <c r="J142" s="198"/>
      <c r="K142" s="198"/>
      <c r="L142" s="198"/>
      <c r="M142" s="616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ht="12.75" customHeight="1">
      <c r="A143" s="613"/>
      <c r="B143" s="613"/>
      <c r="C143" s="613"/>
      <c r="D143" s="615"/>
      <c r="E143" s="198"/>
      <c r="F143" s="198"/>
      <c r="G143" s="198"/>
      <c r="H143" s="198"/>
      <c r="I143" s="615"/>
      <c r="J143" s="198"/>
      <c r="K143" s="198"/>
      <c r="L143" s="198"/>
      <c r="M143" s="616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ht="12.75" customHeight="1">
      <c r="A144" s="613"/>
      <c r="B144" s="613"/>
      <c r="C144" s="613"/>
      <c r="D144" s="615"/>
      <c r="E144" s="198"/>
      <c r="F144" s="198"/>
      <c r="G144" s="198"/>
      <c r="H144" s="198"/>
      <c r="I144" s="615"/>
      <c r="J144" s="198"/>
      <c r="K144" s="198"/>
      <c r="L144" s="198"/>
      <c r="M144" s="616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ht="12.75" customHeight="1">
      <c r="A145" s="613"/>
      <c r="B145" s="613"/>
      <c r="C145" s="613"/>
      <c r="D145" s="615"/>
      <c r="E145" s="198"/>
      <c r="F145" s="198"/>
      <c r="G145" s="198"/>
      <c r="H145" s="198"/>
      <c r="I145" s="615"/>
      <c r="J145" s="198"/>
      <c r="K145" s="198"/>
      <c r="L145" s="198"/>
      <c r="M145" s="616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ht="12.75" customHeight="1">
      <c r="A146" s="613"/>
      <c r="B146" s="613"/>
      <c r="C146" s="613"/>
      <c r="D146" s="615"/>
      <c r="E146" s="198"/>
      <c r="F146" s="198"/>
      <c r="G146" s="198"/>
      <c r="H146" s="198"/>
      <c r="I146" s="615"/>
      <c r="J146" s="198"/>
      <c r="K146" s="198"/>
      <c r="L146" s="198"/>
      <c r="M146" s="616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ht="12.75" customHeight="1">
      <c r="A147" s="613"/>
      <c r="B147" s="613"/>
      <c r="C147" s="613"/>
      <c r="D147" s="615"/>
      <c r="E147" s="198"/>
      <c r="F147" s="198"/>
      <c r="G147" s="198"/>
      <c r="H147" s="198"/>
      <c r="I147" s="615"/>
      <c r="J147" s="198"/>
      <c r="K147" s="198"/>
      <c r="L147" s="198"/>
      <c r="M147" s="616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ht="12.75" customHeight="1">
      <c r="A148" s="613"/>
      <c r="B148" s="613"/>
      <c r="C148" s="613"/>
      <c r="D148" s="615"/>
      <c r="E148" s="198"/>
      <c r="F148" s="198"/>
      <c r="G148" s="198"/>
      <c r="H148" s="198"/>
      <c r="I148" s="615"/>
      <c r="J148" s="198"/>
      <c r="K148" s="198"/>
      <c r="L148" s="198"/>
      <c r="M148" s="616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ht="12.75" customHeight="1">
      <c r="A149" s="613"/>
      <c r="B149" s="613"/>
      <c r="C149" s="613"/>
      <c r="D149" s="615"/>
      <c r="E149" s="198"/>
      <c r="F149" s="198"/>
      <c r="G149" s="198"/>
      <c r="H149" s="198"/>
      <c r="I149" s="615"/>
      <c r="J149" s="198"/>
      <c r="K149" s="198"/>
      <c r="L149" s="198"/>
      <c r="M149" s="616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ht="12.75" customHeight="1">
      <c r="A150" s="613"/>
      <c r="B150" s="613"/>
      <c r="C150" s="613"/>
      <c r="D150" s="615"/>
      <c r="E150" s="198"/>
      <c r="F150" s="198"/>
      <c r="G150" s="198"/>
      <c r="H150" s="198"/>
      <c r="I150" s="615"/>
      <c r="J150" s="198"/>
      <c r="K150" s="198"/>
      <c r="L150" s="198"/>
      <c r="M150" s="616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ht="12.75" customHeight="1">
      <c r="A151" s="613"/>
      <c r="B151" s="613"/>
      <c r="C151" s="613"/>
      <c r="D151" s="615"/>
      <c r="E151" s="198"/>
      <c r="F151" s="198"/>
      <c r="G151" s="198"/>
      <c r="H151" s="198"/>
      <c r="I151" s="615"/>
      <c r="J151" s="198"/>
      <c r="K151" s="198"/>
      <c r="L151" s="198"/>
      <c r="M151" s="616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ht="12.75" customHeight="1">
      <c r="A152" s="613"/>
      <c r="B152" s="613"/>
      <c r="C152" s="613"/>
      <c r="D152" s="615"/>
      <c r="E152" s="198"/>
      <c r="F152" s="198"/>
      <c r="G152" s="198"/>
      <c r="H152" s="198"/>
      <c r="I152" s="615"/>
      <c r="J152" s="198"/>
      <c r="K152" s="198"/>
      <c r="L152" s="198"/>
      <c r="M152" s="616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ht="12.75" customHeight="1">
      <c r="A153" s="613"/>
      <c r="B153" s="613"/>
      <c r="C153" s="613"/>
      <c r="D153" s="615"/>
      <c r="E153" s="198"/>
      <c r="F153" s="198"/>
      <c r="G153" s="198"/>
      <c r="H153" s="198"/>
      <c r="I153" s="615"/>
      <c r="J153" s="198"/>
      <c r="K153" s="198"/>
      <c r="L153" s="198"/>
      <c r="M153" s="616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ht="12.75" customHeight="1">
      <c r="A154" s="613"/>
      <c r="B154" s="613"/>
      <c r="C154" s="613"/>
      <c r="D154" s="615"/>
      <c r="E154" s="198"/>
      <c r="F154" s="198"/>
      <c r="G154" s="198"/>
      <c r="H154" s="198"/>
      <c r="I154" s="615"/>
      <c r="J154" s="198"/>
      <c r="K154" s="198"/>
      <c r="L154" s="198"/>
      <c r="M154" s="616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ht="12.75" customHeight="1">
      <c r="A155" s="613"/>
      <c r="B155" s="613"/>
      <c r="C155" s="613"/>
      <c r="D155" s="615"/>
      <c r="E155" s="198"/>
      <c r="F155" s="198"/>
      <c r="G155" s="198"/>
      <c r="H155" s="198"/>
      <c r="I155" s="615"/>
      <c r="J155" s="198"/>
      <c r="K155" s="198"/>
      <c r="L155" s="198"/>
      <c r="M155" s="616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ht="12.75" customHeight="1">
      <c r="A156" s="613"/>
      <c r="B156" s="613"/>
      <c r="C156" s="613"/>
      <c r="D156" s="615"/>
      <c r="E156" s="198"/>
      <c r="F156" s="198"/>
      <c r="G156" s="198"/>
      <c r="H156" s="198"/>
      <c r="I156" s="615"/>
      <c r="J156" s="198"/>
      <c r="K156" s="198"/>
      <c r="L156" s="198"/>
      <c r="M156" s="616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ht="12.75" customHeight="1">
      <c r="A157" s="613"/>
      <c r="B157" s="613"/>
      <c r="C157" s="613"/>
      <c r="D157" s="615"/>
      <c r="E157" s="198"/>
      <c r="F157" s="198"/>
      <c r="G157" s="198"/>
      <c r="H157" s="198"/>
      <c r="I157" s="615"/>
      <c r="J157" s="198"/>
      <c r="K157" s="198"/>
      <c r="L157" s="198"/>
      <c r="M157" s="616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ht="12.75" customHeight="1">
      <c r="A158" s="613"/>
      <c r="B158" s="613"/>
      <c r="C158" s="613"/>
      <c r="D158" s="615"/>
      <c r="E158" s="198"/>
      <c r="F158" s="198"/>
      <c r="G158" s="198"/>
      <c r="H158" s="198"/>
      <c r="I158" s="615"/>
      <c r="J158" s="198"/>
      <c r="K158" s="198"/>
      <c r="L158" s="198"/>
      <c r="M158" s="616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ht="12.75" customHeight="1">
      <c r="A159" s="613"/>
      <c r="B159" s="613"/>
      <c r="C159" s="613"/>
      <c r="D159" s="615"/>
      <c r="E159" s="198"/>
      <c r="F159" s="198"/>
      <c r="G159" s="198"/>
      <c r="H159" s="198"/>
      <c r="I159" s="615"/>
      <c r="J159" s="198"/>
      <c r="K159" s="198"/>
      <c r="L159" s="198"/>
      <c r="M159" s="616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ht="12.75" customHeight="1">
      <c r="A160" s="613"/>
      <c r="B160" s="613"/>
      <c r="C160" s="613"/>
      <c r="D160" s="615"/>
      <c r="E160" s="198"/>
      <c r="F160" s="198"/>
      <c r="G160" s="198"/>
      <c r="H160" s="198"/>
      <c r="I160" s="615"/>
      <c r="J160" s="198"/>
      <c r="K160" s="198"/>
      <c r="L160" s="198"/>
      <c r="M160" s="616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ht="12.75" customHeight="1">
      <c r="A161" s="613"/>
      <c r="B161" s="613"/>
      <c r="C161" s="613"/>
      <c r="D161" s="615"/>
      <c r="E161" s="198"/>
      <c r="F161" s="198"/>
      <c r="G161" s="198"/>
      <c r="H161" s="198"/>
      <c r="I161" s="615"/>
      <c r="J161" s="198"/>
      <c r="K161" s="198"/>
      <c r="L161" s="198"/>
      <c r="M161" s="616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ht="12.75" customHeight="1">
      <c r="A162" s="613"/>
      <c r="B162" s="613"/>
      <c r="C162" s="613"/>
      <c r="D162" s="615"/>
      <c r="E162" s="198"/>
      <c r="F162" s="198"/>
      <c r="G162" s="198"/>
      <c r="H162" s="198"/>
      <c r="I162" s="615"/>
      <c r="J162" s="198"/>
      <c r="K162" s="198"/>
      <c r="L162" s="198"/>
      <c r="M162" s="616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ht="12.75" customHeight="1">
      <c r="A163" s="613"/>
      <c r="B163" s="613"/>
      <c r="C163" s="613"/>
      <c r="D163" s="615"/>
      <c r="E163" s="198"/>
      <c r="F163" s="198"/>
      <c r="G163" s="198"/>
      <c r="H163" s="198"/>
      <c r="I163" s="615"/>
      <c r="J163" s="198"/>
      <c r="K163" s="198"/>
      <c r="L163" s="198"/>
      <c r="M163" s="616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ht="12.75" customHeight="1">
      <c r="A164" s="613"/>
      <c r="B164" s="613"/>
      <c r="C164" s="613"/>
      <c r="D164" s="615"/>
      <c r="E164" s="198"/>
      <c r="F164" s="198"/>
      <c r="G164" s="198"/>
      <c r="H164" s="198"/>
      <c r="I164" s="615"/>
      <c r="J164" s="198"/>
      <c r="K164" s="198"/>
      <c r="L164" s="198"/>
      <c r="M164" s="616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ht="12.75" customHeight="1">
      <c r="A165" s="613"/>
      <c r="B165" s="613"/>
      <c r="C165" s="613"/>
      <c r="D165" s="615"/>
      <c r="E165" s="198"/>
      <c r="F165" s="198"/>
      <c r="G165" s="198"/>
      <c r="H165" s="198"/>
      <c r="I165" s="615"/>
      <c r="J165" s="198"/>
      <c r="K165" s="198"/>
      <c r="L165" s="198"/>
      <c r="M165" s="616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ht="12.75" customHeight="1">
      <c r="A166" s="613"/>
      <c r="B166" s="613"/>
      <c r="C166" s="613"/>
      <c r="D166" s="615"/>
      <c r="E166" s="198"/>
      <c r="F166" s="198"/>
      <c r="G166" s="198"/>
      <c r="H166" s="198"/>
      <c r="I166" s="615"/>
      <c r="J166" s="198"/>
      <c r="K166" s="198"/>
      <c r="L166" s="198"/>
      <c r="M166" s="616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ht="12.75" customHeight="1">
      <c r="A167" s="613"/>
      <c r="B167" s="613"/>
      <c r="C167" s="613"/>
      <c r="D167" s="615"/>
      <c r="E167" s="198"/>
      <c r="F167" s="198"/>
      <c r="G167" s="198"/>
      <c r="H167" s="198"/>
      <c r="I167" s="615"/>
      <c r="J167" s="198"/>
      <c r="K167" s="198"/>
      <c r="L167" s="198"/>
      <c r="M167" s="616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ht="12.75" customHeight="1">
      <c r="A168" s="613"/>
      <c r="B168" s="613"/>
      <c r="C168" s="613"/>
      <c r="D168" s="615"/>
      <c r="E168" s="198"/>
      <c r="F168" s="198"/>
      <c r="G168" s="198"/>
      <c r="H168" s="198"/>
      <c r="I168" s="615"/>
      <c r="J168" s="198"/>
      <c r="K168" s="198"/>
      <c r="L168" s="198"/>
      <c r="M168" s="616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ht="12.75" customHeight="1">
      <c r="A169" s="613"/>
      <c r="B169" s="613"/>
      <c r="C169" s="613"/>
      <c r="D169" s="615"/>
      <c r="E169" s="198"/>
      <c r="F169" s="198"/>
      <c r="G169" s="198"/>
      <c r="H169" s="198"/>
      <c r="I169" s="615"/>
      <c r="J169" s="198"/>
      <c r="K169" s="198"/>
      <c r="L169" s="198"/>
      <c r="M169" s="616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ht="12.75" customHeight="1">
      <c r="A170" s="613"/>
      <c r="B170" s="613"/>
      <c r="C170" s="613"/>
      <c r="D170" s="615"/>
      <c r="E170" s="198"/>
      <c r="F170" s="198"/>
      <c r="G170" s="198"/>
      <c r="H170" s="198"/>
      <c r="I170" s="615"/>
      <c r="J170" s="198"/>
      <c r="K170" s="198"/>
      <c r="L170" s="198"/>
      <c r="M170" s="616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ht="12.75" customHeight="1">
      <c r="A171" s="613"/>
      <c r="B171" s="613"/>
      <c r="C171" s="613"/>
      <c r="D171" s="615"/>
      <c r="E171" s="198"/>
      <c r="F171" s="198"/>
      <c r="G171" s="198"/>
      <c r="H171" s="198"/>
      <c r="I171" s="615"/>
      <c r="J171" s="198"/>
      <c r="K171" s="198"/>
      <c r="L171" s="198"/>
      <c r="M171" s="616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ht="12.75" customHeight="1">
      <c r="A172" s="613"/>
      <c r="B172" s="613"/>
      <c r="C172" s="613"/>
      <c r="D172" s="615"/>
      <c r="E172" s="198"/>
      <c r="F172" s="198"/>
      <c r="G172" s="198"/>
      <c r="H172" s="198"/>
      <c r="I172" s="615"/>
      <c r="J172" s="198"/>
      <c r="K172" s="198"/>
      <c r="L172" s="198"/>
      <c r="M172" s="616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ht="12.75" customHeight="1">
      <c r="A173" s="613"/>
      <c r="B173" s="613"/>
      <c r="C173" s="613"/>
      <c r="D173" s="615"/>
      <c r="E173" s="198"/>
      <c r="F173" s="198"/>
      <c r="G173" s="198"/>
      <c r="H173" s="198"/>
      <c r="I173" s="615"/>
      <c r="J173" s="198"/>
      <c r="K173" s="198"/>
      <c r="L173" s="198"/>
      <c r="M173" s="616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ht="12.75" customHeight="1">
      <c r="A174" s="613"/>
      <c r="B174" s="613"/>
      <c r="C174" s="613"/>
      <c r="D174" s="615"/>
      <c r="E174" s="198"/>
      <c r="F174" s="198"/>
      <c r="G174" s="198"/>
      <c r="H174" s="198"/>
      <c r="I174" s="615"/>
      <c r="J174" s="198"/>
      <c r="K174" s="198"/>
      <c r="L174" s="198"/>
      <c r="M174" s="616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ht="12.75" customHeight="1">
      <c r="A175" s="613"/>
      <c r="B175" s="613"/>
      <c r="C175" s="613"/>
      <c r="D175" s="615"/>
      <c r="E175" s="198"/>
      <c r="F175" s="198"/>
      <c r="G175" s="198"/>
      <c r="H175" s="198"/>
      <c r="I175" s="615"/>
      <c r="J175" s="198"/>
      <c r="K175" s="198"/>
      <c r="L175" s="198"/>
      <c r="M175" s="616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ht="12.75" customHeight="1">
      <c r="A176" s="613"/>
      <c r="B176" s="613"/>
      <c r="C176" s="613"/>
      <c r="D176" s="615"/>
      <c r="E176" s="198"/>
      <c r="F176" s="198"/>
      <c r="G176" s="198"/>
      <c r="H176" s="198"/>
      <c r="I176" s="615"/>
      <c r="J176" s="198"/>
      <c r="K176" s="198"/>
      <c r="L176" s="198"/>
      <c r="M176" s="616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ht="12.75" customHeight="1">
      <c r="A177" s="613"/>
      <c r="B177" s="613"/>
      <c r="C177" s="613"/>
      <c r="D177" s="615"/>
      <c r="E177" s="198"/>
      <c r="F177" s="198"/>
      <c r="G177" s="198"/>
      <c r="H177" s="198"/>
      <c r="I177" s="615"/>
      <c r="J177" s="198"/>
      <c r="K177" s="198"/>
      <c r="L177" s="198"/>
      <c r="M177" s="616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ht="12.75" customHeight="1">
      <c r="A178" s="613"/>
      <c r="B178" s="613"/>
      <c r="C178" s="613"/>
      <c r="D178" s="615"/>
      <c r="E178" s="198"/>
      <c r="F178" s="198"/>
      <c r="G178" s="198"/>
      <c r="H178" s="198"/>
      <c r="I178" s="615"/>
      <c r="J178" s="198"/>
      <c r="K178" s="198"/>
      <c r="L178" s="198"/>
      <c r="M178" s="616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ht="12.75" customHeight="1">
      <c r="A179" s="613"/>
      <c r="B179" s="613"/>
      <c r="C179" s="613"/>
      <c r="D179" s="615"/>
      <c r="E179" s="198"/>
      <c r="F179" s="198"/>
      <c r="G179" s="198"/>
      <c r="H179" s="198"/>
      <c r="I179" s="615"/>
      <c r="J179" s="198"/>
      <c r="K179" s="198"/>
      <c r="L179" s="198"/>
      <c r="M179" s="616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ht="12.75" customHeight="1">
      <c r="A180" s="613"/>
      <c r="B180" s="613"/>
      <c r="C180" s="613"/>
      <c r="D180" s="615"/>
      <c r="E180" s="198"/>
      <c r="F180" s="198"/>
      <c r="G180" s="198"/>
      <c r="H180" s="198"/>
      <c r="I180" s="615"/>
      <c r="J180" s="198"/>
      <c r="K180" s="198"/>
      <c r="L180" s="198"/>
      <c r="M180" s="616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ht="12.75" customHeight="1">
      <c r="A181" s="613"/>
      <c r="B181" s="613"/>
      <c r="C181" s="613"/>
      <c r="D181" s="615"/>
      <c r="E181" s="198"/>
      <c r="F181" s="198"/>
      <c r="G181" s="198"/>
      <c r="H181" s="198"/>
      <c r="I181" s="615"/>
      <c r="J181" s="198"/>
      <c r="K181" s="198"/>
      <c r="L181" s="198"/>
      <c r="M181" s="616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ht="12.75" customHeight="1">
      <c r="A182" s="613"/>
      <c r="B182" s="613"/>
      <c r="C182" s="613"/>
      <c r="D182" s="615"/>
      <c r="E182" s="198"/>
      <c r="F182" s="198"/>
      <c r="G182" s="198"/>
      <c r="H182" s="198"/>
      <c r="I182" s="615"/>
      <c r="J182" s="198"/>
      <c r="K182" s="198"/>
      <c r="L182" s="198"/>
      <c r="M182" s="616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ht="12.75" customHeight="1">
      <c r="A183" s="613"/>
      <c r="B183" s="613"/>
      <c r="C183" s="613"/>
      <c r="D183" s="615"/>
      <c r="E183" s="198"/>
      <c r="F183" s="198"/>
      <c r="G183" s="198"/>
      <c r="H183" s="198"/>
      <c r="I183" s="615"/>
      <c r="J183" s="198"/>
      <c r="K183" s="198"/>
      <c r="L183" s="198"/>
      <c r="M183" s="616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ht="12.75" customHeight="1">
      <c r="A184" s="613"/>
      <c r="B184" s="613"/>
      <c r="C184" s="613"/>
      <c r="D184" s="615"/>
      <c r="E184" s="198"/>
      <c r="F184" s="198"/>
      <c r="G184" s="198"/>
      <c r="H184" s="198"/>
      <c r="I184" s="615"/>
      <c r="J184" s="198"/>
      <c r="K184" s="198"/>
      <c r="L184" s="198"/>
      <c r="M184" s="616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ht="12.75" customHeight="1">
      <c r="A185" s="613"/>
      <c r="B185" s="613"/>
      <c r="C185" s="613"/>
      <c r="D185" s="615"/>
      <c r="E185" s="198"/>
      <c r="F185" s="198"/>
      <c r="G185" s="198"/>
      <c r="H185" s="198"/>
      <c r="I185" s="615"/>
      <c r="J185" s="198"/>
      <c r="K185" s="198"/>
      <c r="L185" s="198"/>
      <c r="M185" s="616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ht="12.75" customHeight="1">
      <c r="A186" s="613"/>
      <c r="B186" s="613"/>
      <c r="C186" s="613"/>
      <c r="D186" s="615"/>
      <c r="E186" s="198"/>
      <c r="F186" s="198"/>
      <c r="G186" s="198"/>
      <c r="H186" s="198"/>
      <c r="I186" s="615"/>
      <c r="J186" s="198"/>
      <c r="K186" s="198"/>
      <c r="L186" s="198"/>
      <c r="M186" s="616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ht="12.75" customHeight="1">
      <c r="A187" s="613"/>
      <c r="B187" s="613"/>
      <c r="C187" s="613"/>
      <c r="D187" s="615"/>
      <c r="E187" s="198"/>
      <c r="F187" s="198"/>
      <c r="G187" s="198"/>
      <c r="H187" s="198"/>
      <c r="I187" s="615"/>
      <c r="J187" s="198"/>
      <c r="K187" s="198"/>
      <c r="L187" s="198"/>
      <c r="M187" s="616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ht="12.75" customHeight="1">
      <c r="A188" s="613"/>
      <c r="B188" s="613"/>
      <c r="C188" s="613"/>
      <c r="D188" s="615"/>
      <c r="E188" s="198"/>
      <c r="F188" s="198"/>
      <c r="G188" s="198"/>
      <c r="H188" s="198"/>
      <c r="I188" s="615"/>
      <c r="J188" s="198"/>
      <c r="K188" s="198"/>
      <c r="L188" s="198"/>
      <c r="M188" s="616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ht="12.75" customHeight="1">
      <c r="A189" s="613"/>
      <c r="B189" s="613"/>
      <c r="C189" s="613"/>
      <c r="D189" s="615"/>
      <c r="E189" s="198"/>
      <c r="F189" s="198"/>
      <c r="G189" s="198"/>
      <c r="H189" s="198"/>
      <c r="I189" s="615"/>
      <c r="J189" s="198"/>
      <c r="K189" s="198"/>
      <c r="L189" s="198"/>
      <c r="M189" s="616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ht="12.75" customHeight="1">
      <c r="A190" s="613"/>
      <c r="B190" s="613"/>
      <c r="C190" s="613"/>
      <c r="D190" s="615"/>
      <c r="E190" s="198"/>
      <c r="F190" s="198"/>
      <c r="G190" s="198"/>
      <c r="H190" s="198"/>
      <c r="I190" s="615"/>
      <c r="J190" s="198"/>
      <c r="K190" s="198"/>
      <c r="L190" s="198"/>
      <c r="M190" s="616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ht="12.75" customHeight="1">
      <c r="A191" s="613"/>
      <c r="B191" s="613"/>
      <c r="C191" s="613"/>
      <c r="D191" s="615"/>
      <c r="E191" s="198"/>
      <c r="F191" s="198"/>
      <c r="G191" s="198"/>
      <c r="H191" s="198"/>
      <c r="I191" s="615"/>
      <c r="J191" s="198"/>
      <c r="K191" s="198"/>
      <c r="L191" s="198"/>
      <c r="M191" s="616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ht="12.75" customHeight="1">
      <c r="A192" s="613"/>
      <c r="B192" s="613"/>
      <c r="C192" s="613"/>
      <c r="D192" s="615"/>
      <c r="E192" s="198"/>
      <c r="F192" s="198"/>
      <c r="G192" s="198"/>
      <c r="H192" s="198"/>
      <c r="I192" s="615"/>
      <c r="J192" s="198"/>
      <c r="K192" s="198"/>
      <c r="L192" s="198"/>
      <c r="M192" s="616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ht="12.75" customHeight="1">
      <c r="A193" s="613"/>
      <c r="B193" s="613"/>
      <c r="C193" s="613"/>
      <c r="D193" s="615"/>
      <c r="E193" s="198"/>
      <c r="F193" s="198"/>
      <c r="G193" s="198"/>
      <c r="H193" s="198"/>
      <c r="I193" s="615"/>
      <c r="J193" s="198"/>
      <c r="K193" s="198"/>
      <c r="L193" s="198"/>
      <c r="M193" s="616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ht="12.75" customHeight="1">
      <c r="A194" s="613"/>
      <c r="B194" s="613"/>
      <c r="C194" s="613"/>
      <c r="D194" s="615"/>
      <c r="E194" s="198"/>
      <c r="F194" s="198"/>
      <c r="G194" s="198"/>
      <c r="H194" s="198"/>
      <c r="I194" s="615"/>
      <c r="J194" s="198"/>
      <c r="K194" s="198"/>
      <c r="L194" s="198"/>
      <c r="M194" s="616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ht="12.75" customHeight="1">
      <c r="A195" s="613"/>
      <c r="B195" s="613"/>
      <c r="C195" s="613"/>
      <c r="D195" s="615"/>
      <c r="E195" s="198"/>
      <c r="F195" s="198"/>
      <c r="G195" s="198"/>
      <c r="H195" s="198"/>
      <c r="I195" s="615"/>
      <c r="J195" s="198"/>
      <c r="K195" s="198"/>
      <c r="L195" s="198"/>
      <c r="M195" s="616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ht="12.75" customHeight="1">
      <c r="A196" s="613"/>
      <c r="B196" s="613"/>
      <c r="C196" s="613"/>
      <c r="D196" s="615"/>
      <c r="E196" s="198"/>
      <c r="F196" s="198"/>
      <c r="G196" s="198"/>
      <c r="H196" s="198"/>
      <c r="I196" s="615"/>
      <c r="J196" s="198"/>
      <c r="K196" s="198"/>
      <c r="L196" s="198"/>
      <c r="M196" s="616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ht="12.75" customHeight="1">
      <c r="A197" s="613"/>
      <c r="B197" s="613"/>
      <c r="C197" s="613"/>
      <c r="D197" s="615"/>
      <c r="E197" s="198"/>
      <c r="F197" s="198"/>
      <c r="G197" s="198"/>
      <c r="H197" s="198"/>
      <c r="I197" s="615"/>
      <c r="J197" s="198"/>
      <c r="K197" s="198"/>
      <c r="L197" s="198"/>
      <c r="M197" s="616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ht="12.75" customHeight="1">
      <c r="A198" s="613"/>
      <c r="B198" s="613"/>
      <c r="C198" s="613"/>
      <c r="D198" s="615"/>
      <c r="E198" s="198"/>
      <c r="F198" s="198"/>
      <c r="G198" s="198"/>
      <c r="H198" s="198"/>
      <c r="I198" s="615"/>
      <c r="J198" s="198"/>
      <c r="K198" s="198"/>
      <c r="L198" s="198"/>
      <c r="M198" s="616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ht="12.75" customHeight="1">
      <c r="A199" s="613"/>
      <c r="B199" s="613"/>
      <c r="C199" s="613"/>
      <c r="D199" s="615"/>
      <c r="E199" s="198"/>
      <c r="F199" s="198"/>
      <c r="G199" s="198"/>
      <c r="H199" s="198"/>
      <c r="I199" s="615"/>
      <c r="J199" s="198"/>
      <c r="K199" s="198"/>
      <c r="L199" s="198"/>
      <c r="M199" s="616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ht="12.75" customHeight="1">
      <c r="A200" s="613"/>
      <c r="B200" s="613"/>
      <c r="C200" s="613"/>
      <c r="D200" s="615"/>
      <c r="E200" s="198"/>
      <c r="F200" s="198"/>
      <c r="G200" s="198"/>
      <c r="H200" s="198"/>
      <c r="I200" s="615"/>
      <c r="J200" s="198"/>
      <c r="K200" s="198"/>
      <c r="L200" s="198"/>
      <c r="M200" s="616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ht="12.75" customHeight="1">
      <c r="A201" s="613"/>
      <c r="B201" s="613"/>
      <c r="C201" s="613"/>
      <c r="D201" s="615"/>
      <c r="E201" s="198"/>
      <c r="F201" s="198"/>
      <c r="G201" s="198"/>
      <c r="H201" s="198"/>
      <c r="I201" s="615"/>
      <c r="J201" s="198"/>
      <c r="K201" s="198"/>
      <c r="L201" s="198"/>
      <c r="M201" s="616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ht="12.75" customHeight="1">
      <c r="A202" s="613"/>
      <c r="B202" s="613"/>
      <c r="C202" s="613"/>
      <c r="D202" s="615"/>
      <c r="E202" s="198"/>
      <c r="F202" s="198"/>
      <c r="G202" s="198"/>
      <c r="H202" s="198"/>
      <c r="I202" s="615"/>
      <c r="J202" s="198"/>
      <c r="K202" s="198"/>
      <c r="L202" s="198"/>
      <c r="M202" s="616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ht="12.75" customHeight="1">
      <c r="A203" s="613"/>
      <c r="B203" s="613"/>
      <c r="C203" s="613"/>
      <c r="D203" s="615"/>
      <c r="E203" s="198"/>
      <c r="F203" s="198"/>
      <c r="G203" s="198"/>
      <c r="H203" s="198"/>
      <c r="I203" s="615"/>
      <c r="J203" s="198"/>
      <c r="K203" s="198"/>
      <c r="L203" s="198"/>
      <c r="M203" s="616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ht="12.75" customHeight="1">
      <c r="A204" s="613"/>
      <c r="B204" s="613"/>
      <c r="C204" s="613"/>
      <c r="D204" s="615"/>
      <c r="E204" s="198"/>
      <c r="F204" s="198"/>
      <c r="G204" s="198"/>
      <c r="H204" s="198"/>
      <c r="I204" s="615"/>
      <c r="J204" s="198"/>
      <c r="K204" s="198"/>
      <c r="L204" s="198"/>
      <c r="M204" s="616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ht="12.75" customHeight="1">
      <c r="A205" s="613"/>
      <c r="B205" s="613"/>
      <c r="C205" s="613"/>
      <c r="D205" s="615"/>
      <c r="E205" s="198"/>
      <c r="F205" s="198"/>
      <c r="G205" s="198"/>
      <c r="H205" s="198"/>
      <c r="I205" s="615"/>
      <c r="J205" s="198"/>
      <c r="K205" s="198"/>
      <c r="L205" s="198"/>
      <c r="M205" s="616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ht="12.75" customHeight="1">
      <c r="A206" s="613"/>
      <c r="B206" s="613"/>
      <c r="C206" s="613"/>
      <c r="D206" s="615"/>
      <c r="E206" s="198"/>
      <c r="F206" s="198"/>
      <c r="G206" s="198"/>
      <c r="H206" s="198"/>
      <c r="I206" s="615"/>
      <c r="J206" s="198"/>
      <c r="K206" s="198"/>
      <c r="L206" s="198"/>
      <c r="M206" s="616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ht="12.75" customHeight="1">
      <c r="A207" s="613"/>
      <c r="B207" s="613"/>
      <c r="C207" s="613"/>
      <c r="D207" s="615"/>
      <c r="E207" s="198"/>
      <c r="F207" s="198"/>
      <c r="G207" s="198"/>
      <c r="H207" s="198"/>
      <c r="I207" s="615"/>
      <c r="J207" s="198"/>
      <c r="K207" s="198"/>
      <c r="L207" s="198"/>
      <c r="M207" s="616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ht="12.75" customHeight="1">
      <c r="A208" s="613"/>
      <c r="B208" s="613"/>
      <c r="C208" s="613"/>
      <c r="D208" s="615"/>
      <c r="E208" s="198"/>
      <c r="F208" s="198"/>
      <c r="G208" s="198"/>
      <c r="H208" s="198"/>
      <c r="I208" s="615"/>
      <c r="J208" s="198"/>
      <c r="K208" s="198"/>
      <c r="L208" s="198"/>
      <c r="M208" s="616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ht="12.75" customHeight="1">
      <c r="A209" s="613"/>
      <c r="B209" s="613"/>
      <c r="C209" s="613"/>
      <c r="D209" s="615"/>
      <c r="E209" s="198"/>
      <c r="F209" s="198"/>
      <c r="G209" s="198"/>
      <c r="H209" s="198"/>
      <c r="I209" s="615"/>
      <c r="J209" s="198"/>
      <c r="K209" s="198"/>
      <c r="L209" s="198"/>
      <c r="M209" s="616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ht="12.75" customHeight="1">
      <c r="A210" s="613"/>
      <c r="B210" s="613"/>
      <c r="C210" s="613"/>
      <c r="D210" s="615"/>
      <c r="E210" s="198"/>
      <c r="F210" s="198"/>
      <c r="G210" s="198"/>
      <c r="H210" s="198"/>
      <c r="I210" s="615"/>
      <c r="J210" s="198"/>
      <c r="K210" s="198"/>
      <c r="L210" s="198"/>
      <c r="M210" s="616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ht="12.75" customHeight="1">
      <c r="A211" s="613"/>
      <c r="B211" s="613"/>
      <c r="C211" s="613"/>
      <c r="D211" s="615"/>
      <c r="E211" s="198"/>
      <c r="F211" s="198"/>
      <c r="G211" s="198"/>
      <c r="H211" s="198"/>
      <c r="I211" s="615"/>
      <c r="J211" s="198"/>
      <c r="K211" s="198"/>
      <c r="L211" s="198"/>
      <c r="M211" s="616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ht="12.75" customHeight="1">
      <c r="A212" s="613"/>
      <c r="B212" s="613"/>
      <c r="C212" s="613"/>
      <c r="D212" s="615"/>
      <c r="E212" s="198"/>
      <c r="F212" s="198"/>
      <c r="G212" s="198"/>
      <c r="H212" s="198"/>
      <c r="I212" s="615"/>
      <c r="J212" s="198"/>
      <c r="K212" s="198"/>
      <c r="L212" s="198"/>
      <c r="M212" s="616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ht="12.75" customHeight="1">
      <c r="A213" s="613"/>
      <c r="B213" s="613"/>
      <c r="C213" s="613"/>
      <c r="D213" s="615"/>
      <c r="E213" s="198"/>
      <c r="F213" s="198"/>
      <c r="G213" s="198"/>
      <c r="H213" s="198"/>
      <c r="I213" s="615"/>
      <c r="J213" s="198"/>
      <c r="K213" s="198"/>
      <c r="L213" s="198"/>
      <c r="M213" s="616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ht="12.75" customHeight="1">
      <c r="A214" s="613"/>
      <c r="B214" s="613"/>
      <c r="C214" s="613"/>
      <c r="D214" s="615"/>
      <c r="E214" s="198"/>
      <c r="F214" s="198"/>
      <c r="G214" s="198"/>
      <c r="H214" s="198"/>
      <c r="I214" s="615"/>
      <c r="J214" s="198"/>
      <c r="K214" s="198"/>
      <c r="L214" s="198"/>
      <c r="M214" s="616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ht="12.75" customHeight="1">
      <c r="A215" s="613"/>
      <c r="B215" s="613"/>
      <c r="C215" s="613"/>
      <c r="D215" s="615"/>
      <c r="E215" s="198"/>
      <c r="F215" s="198"/>
      <c r="G215" s="198"/>
      <c r="H215" s="198"/>
      <c r="I215" s="615"/>
      <c r="J215" s="198"/>
      <c r="K215" s="198"/>
      <c r="L215" s="198"/>
      <c r="M215" s="616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ht="12.75" customHeight="1">
      <c r="A216" s="613"/>
      <c r="B216" s="613"/>
      <c r="C216" s="613"/>
      <c r="D216" s="615"/>
      <c r="E216" s="198"/>
      <c r="F216" s="198"/>
      <c r="G216" s="198"/>
      <c r="H216" s="198"/>
      <c r="I216" s="615"/>
      <c r="J216" s="198"/>
      <c r="K216" s="198"/>
      <c r="L216" s="198"/>
      <c r="M216" s="616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ht="12.75" customHeight="1">
      <c r="A217" s="613"/>
      <c r="B217" s="613"/>
      <c r="C217" s="613"/>
      <c r="D217" s="615"/>
      <c r="E217" s="198"/>
      <c r="F217" s="198"/>
      <c r="G217" s="198"/>
      <c r="H217" s="198"/>
      <c r="I217" s="615"/>
      <c r="J217" s="198"/>
      <c r="K217" s="198"/>
      <c r="L217" s="198"/>
      <c r="M217" s="616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ht="12.75" customHeight="1">
      <c r="A218" s="613"/>
      <c r="B218" s="613"/>
      <c r="C218" s="613"/>
      <c r="D218" s="615"/>
      <c r="E218" s="198"/>
      <c r="F218" s="198"/>
      <c r="G218" s="198"/>
      <c r="H218" s="198"/>
      <c r="I218" s="615"/>
      <c r="J218" s="198"/>
      <c r="K218" s="198"/>
      <c r="L218" s="198"/>
      <c r="M218" s="616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ht="12.75" customHeight="1">
      <c r="A219" s="613"/>
      <c r="B219" s="613"/>
      <c r="C219" s="613"/>
      <c r="D219" s="615"/>
      <c r="E219" s="198"/>
      <c r="F219" s="198"/>
      <c r="G219" s="198"/>
      <c r="H219" s="198"/>
      <c r="I219" s="615"/>
      <c r="J219" s="198"/>
      <c r="K219" s="198"/>
      <c r="L219" s="198"/>
      <c r="M219" s="616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ht="12.75" customHeight="1">
      <c r="A220" s="613"/>
      <c r="B220" s="613"/>
      <c r="C220" s="613"/>
      <c r="D220" s="615"/>
      <c r="E220" s="198"/>
      <c r="F220" s="198"/>
      <c r="G220" s="198"/>
      <c r="H220" s="198"/>
      <c r="I220" s="615"/>
      <c r="J220" s="198"/>
      <c r="K220" s="198"/>
      <c r="L220" s="198"/>
      <c r="M220" s="616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ht="12.75" customHeight="1">
      <c r="A221" s="613"/>
      <c r="B221" s="613"/>
      <c r="C221" s="613"/>
      <c r="D221" s="615"/>
      <c r="E221" s="198"/>
      <c r="F221" s="198"/>
      <c r="G221" s="198"/>
      <c r="H221" s="198"/>
      <c r="I221" s="615"/>
      <c r="J221" s="198"/>
      <c r="K221" s="198"/>
      <c r="L221" s="198"/>
      <c r="M221" s="616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ht="12.75" customHeight="1">
      <c r="A222" s="613"/>
      <c r="B222" s="613"/>
      <c r="C222" s="613"/>
      <c r="D222" s="615"/>
      <c r="E222" s="198"/>
      <c r="F222" s="198"/>
      <c r="G222" s="198"/>
      <c r="H222" s="198"/>
      <c r="I222" s="615"/>
      <c r="J222" s="198"/>
      <c r="K222" s="198"/>
      <c r="L222" s="198"/>
      <c r="M222" s="616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ht="12.75" customHeight="1">
      <c r="A223" s="613"/>
      <c r="B223" s="613"/>
      <c r="C223" s="613"/>
      <c r="D223" s="615"/>
      <c r="E223" s="198"/>
      <c r="F223" s="198"/>
      <c r="G223" s="198"/>
      <c r="H223" s="198"/>
      <c r="I223" s="615"/>
      <c r="J223" s="198"/>
      <c r="K223" s="198"/>
      <c r="L223" s="198"/>
      <c r="M223" s="616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ht="12.75" customHeight="1">
      <c r="A224" s="613"/>
      <c r="B224" s="613"/>
      <c r="C224" s="613"/>
      <c r="D224" s="615"/>
      <c r="E224" s="198"/>
      <c r="F224" s="198"/>
      <c r="G224" s="198"/>
      <c r="H224" s="198"/>
      <c r="I224" s="615"/>
      <c r="J224" s="198"/>
      <c r="K224" s="198"/>
      <c r="L224" s="198"/>
      <c r="M224" s="616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ht="12.75" customHeight="1">
      <c r="A225" s="613"/>
      <c r="B225" s="613"/>
      <c r="C225" s="613"/>
      <c r="D225" s="615"/>
      <c r="E225" s="198"/>
      <c r="F225" s="198"/>
      <c r="G225" s="198"/>
      <c r="H225" s="198"/>
      <c r="I225" s="615"/>
      <c r="J225" s="198"/>
      <c r="K225" s="198"/>
      <c r="L225" s="198"/>
      <c r="M225" s="616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ht="12.75" customHeight="1">
      <c r="A226" s="613"/>
      <c r="B226" s="613"/>
      <c r="C226" s="613"/>
      <c r="D226" s="615"/>
      <c r="E226" s="198"/>
      <c r="F226" s="198"/>
      <c r="G226" s="198"/>
      <c r="H226" s="198"/>
      <c r="I226" s="615"/>
      <c r="J226" s="198"/>
      <c r="K226" s="198"/>
      <c r="L226" s="198"/>
      <c r="M226" s="616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ht="12.75" customHeight="1">
      <c r="A227" s="613"/>
      <c r="B227" s="613"/>
      <c r="C227" s="613"/>
      <c r="D227" s="615"/>
      <c r="E227" s="198"/>
      <c r="F227" s="198"/>
      <c r="G227" s="198"/>
      <c r="H227" s="198"/>
      <c r="I227" s="615"/>
      <c r="J227" s="198"/>
      <c r="K227" s="198"/>
      <c r="L227" s="198"/>
      <c r="M227" s="616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ht="12.75" customHeight="1">
      <c r="A228" s="613"/>
      <c r="B228" s="613"/>
      <c r="C228" s="613"/>
      <c r="D228" s="615"/>
      <c r="E228" s="198"/>
      <c r="F228" s="198"/>
      <c r="G228" s="198"/>
      <c r="H228" s="198"/>
      <c r="I228" s="615"/>
      <c r="J228" s="198"/>
      <c r="K228" s="198"/>
      <c r="L228" s="198"/>
      <c r="M228" s="616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ht="12.75" customHeight="1">
      <c r="A229" s="613"/>
      <c r="B229" s="613"/>
      <c r="C229" s="613"/>
      <c r="D229" s="615"/>
      <c r="E229" s="198"/>
      <c r="F229" s="198"/>
      <c r="G229" s="198"/>
      <c r="H229" s="198"/>
      <c r="I229" s="615"/>
      <c r="J229" s="198"/>
      <c r="K229" s="198"/>
      <c r="L229" s="198"/>
      <c r="M229" s="616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ht="12.75" customHeight="1">
      <c r="A230" s="613"/>
      <c r="B230" s="613"/>
      <c r="C230" s="613"/>
      <c r="D230" s="615"/>
      <c r="E230" s="198"/>
      <c r="F230" s="198"/>
      <c r="G230" s="198"/>
      <c r="H230" s="198"/>
      <c r="I230" s="615"/>
      <c r="J230" s="198"/>
      <c r="K230" s="198"/>
      <c r="L230" s="198"/>
      <c r="M230" s="616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ht="12.75" customHeight="1">
      <c r="A231" s="613"/>
      <c r="B231" s="613"/>
      <c r="C231" s="613"/>
      <c r="D231" s="615"/>
      <c r="E231" s="198"/>
      <c r="F231" s="198"/>
      <c r="G231" s="198"/>
      <c r="H231" s="198"/>
      <c r="I231" s="615"/>
      <c r="J231" s="198"/>
      <c r="K231" s="198"/>
      <c r="L231" s="198"/>
      <c r="M231" s="616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ht="12.75" customHeight="1">
      <c r="A232" s="613"/>
      <c r="B232" s="613"/>
      <c r="C232" s="613"/>
      <c r="D232" s="615"/>
      <c r="E232" s="198"/>
      <c r="F232" s="198"/>
      <c r="G232" s="198"/>
      <c r="H232" s="198"/>
      <c r="I232" s="615"/>
      <c r="J232" s="198"/>
      <c r="K232" s="198"/>
      <c r="L232" s="198"/>
      <c r="M232" s="616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ht="12.75" customHeight="1">
      <c r="A233" s="613"/>
      <c r="B233" s="613"/>
      <c r="C233" s="613"/>
      <c r="D233" s="615"/>
      <c r="E233" s="198"/>
      <c r="F233" s="198"/>
      <c r="G233" s="198"/>
      <c r="H233" s="198"/>
      <c r="I233" s="615"/>
      <c r="J233" s="198"/>
      <c r="K233" s="198"/>
      <c r="L233" s="198"/>
      <c r="M233" s="616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ht="12.75" customHeight="1">
      <c r="A234" s="613"/>
      <c r="B234" s="613"/>
      <c r="C234" s="613"/>
      <c r="D234" s="615"/>
      <c r="E234" s="198"/>
      <c r="F234" s="198"/>
      <c r="G234" s="198"/>
      <c r="H234" s="198"/>
      <c r="I234" s="615"/>
      <c r="J234" s="198"/>
      <c r="K234" s="198"/>
      <c r="L234" s="198"/>
      <c r="M234" s="616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ht="12.75" customHeight="1">
      <c r="A235" s="613"/>
      <c r="B235" s="613"/>
      <c r="C235" s="613"/>
      <c r="D235" s="615"/>
      <c r="E235" s="198"/>
      <c r="F235" s="198"/>
      <c r="G235" s="198"/>
      <c r="H235" s="198"/>
      <c r="I235" s="615"/>
      <c r="J235" s="198"/>
      <c r="K235" s="198"/>
      <c r="L235" s="198"/>
      <c r="M235" s="616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ht="12.75" customHeight="1">
      <c r="A236" s="613"/>
      <c r="B236" s="613"/>
      <c r="C236" s="613"/>
      <c r="D236" s="615"/>
      <c r="E236" s="198"/>
      <c r="F236" s="198"/>
      <c r="G236" s="198"/>
      <c r="H236" s="198"/>
      <c r="I236" s="615"/>
      <c r="J236" s="198"/>
      <c r="K236" s="198"/>
      <c r="L236" s="198"/>
      <c r="M236" s="616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ht="12.75" customHeight="1">
      <c r="A237" s="613"/>
      <c r="B237" s="613"/>
      <c r="C237" s="613"/>
      <c r="D237" s="615"/>
      <c r="E237" s="198"/>
      <c r="F237" s="198"/>
      <c r="G237" s="198"/>
      <c r="H237" s="198"/>
      <c r="I237" s="615"/>
      <c r="J237" s="198"/>
      <c r="K237" s="198"/>
      <c r="L237" s="198"/>
      <c r="M237" s="616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ht="12.75" customHeight="1">
      <c r="A238" s="613"/>
      <c r="B238" s="613"/>
      <c r="C238" s="613"/>
      <c r="D238" s="615"/>
      <c r="E238" s="198"/>
      <c r="F238" s="198"/>
      <c r="G238" s="198"/>
      <c r="H238" s="198"/>
      <c r="I238" s="615"/>
      <c r="J238" s="198"/>
      <c r="K238" s="198"/>
      <c r="L238" s="198"/>
      <c r="M238" s="616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ht="12.75" customHeight="1">
      <c r="A239" s="613"/>
      <c r="B239" s="613"/>
      <c r="C239" s="613"/>
      <c r="D239" s="615"/>
      <c r="E239" s="198"/>
      <c r="F239" s="198"/>
      <c r="G239" s="198"/>
      <c r="H239" s="198"/>
      <c r="I239" s="615"/>
      <c r="J239" s="198"/>
      <c r="K239" s="198"/>
      <c r="L239" s="198"/>
      <c r="M239" s="616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ht="12.75" customHeight="1">
      <c r="A240" s="613"/>
      <c r="B240" s="613"/>
      <c r="C240" s="613"/>
      <c r="D240" s="615"/>
      <c r="E240" s="198"/>
      <c r="F240" s="198"/>
      <c r="G240" s="198"/>
      <c r="H240" s="198"/>
      <c r="I240" s="615"/>
      <c r="J240" s="198"/>
      <c r="K240" s="198"/>
      <c r="L240" s="198"/>
      <c r="M240" s="616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ht="12.75" customHeight="1">
      <c r="A241" s="613"/>
      <c r="B241" s="613"/>
      <c r="C241" s="613"/>
      <c r="D241" s="615"/>
      <c r="E241" s="198"/>
      <c r="F241" s="198"/>
      <c r="G241" s="198"/>
      <c r="H241" s="198"/>
      <c r="I241" s="615"/>
      <c r="J241" s="198"/>
      <c r="K241" s="198"/>
      <c r="L241" s="198"/>
      <c r="M241" s="616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ht="12.75" customHeight="1">
      <c r="A242" s="613"/>
      <c r="B242" s="613"/>
      <c r="C242" s="613"/>
      <c r="D242" s="615"/>
      <c r="E242" s="198"/>
      <c r="F242" s="198"/>
      <c r="G242" s="198"/>
      <c r="H242" s="198"/>
      <c r="I242" s="615"/>
      <c r="J242" s="198"/>
      <c r="K242" s="198"/>
      <c r="L242" s="198"/>
      <c r="M242" s="616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ht="12.75" customHeight="1">
      <c r="A243" s="613"/>
      <c r="B243" s="613"/>
      <c r="C243" s="613"/>
      <c r="D243" s="615"/>
      <c r="E243" s="198"/>
      <c r="F243" s="198"/>
      <c r="G243" s="198"/>
      <c r="H243" s="198"/>
      <c r="I243" s="615"/>
      <c r="J243" s="198"/>
      <c r="K243" s="198"/>
      <c r="L243" s="198"/>
      <c r="M243" s="616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ht="12.75" customHeight="1">
      <c r="A244" s="613"/>
      <c r="B244" s="613"/>
      <c r="C244" s="613"/>
      <c r="D244" s="615"/>
      <c r="E244" s="198"/>
      <c r="F244" s="198"/>
      <c r="G244" s="198"/>
      <c r="H244" s="198"/>
      <c r="I244" s="615"/>
      <c r="J244" s="198"/>
      <c r="K244" s="198"/>
      <c r="L244" s="198"/>
      <c r="M244" s="616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ht="12.75" customHeight="1">
      <c r="A245" s="613"/>
      <c r="B245" s="613"/>
      <c r="C245" s="613"/>
      <c r="D245" s="615"/>
      <c r="E245" s="198"/>
      <c r="F245" s="198"/>
      <c r="G245" s="198"/>
      <c r="H245" s="198"/>
      <c r="I245" s="615"/>
      <c r="J245" s="198"/>
      <c r="K245" s="198"/>
      <c r="L245" s="198"/>
      <c r="M245" s="616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ht="12.75" customHeight="1">
      <c r="A246" s="613"/>
      <c r="B246" s="613"/>
      <c r="C246" s="613"/>
      <c r="D246" s="615"/>
      <c r="E246" s="198"/>
      <c r="F246" s="198"/>
      <c r="G246" s="198"/>
      <c r="H246" s="198"/>
      <c r="I246" s="615"/>
      <c r="J246" s="198"/>
      <c r="K246" s="198"/>
      <c r="L246" s="198"/>
      <c r="M246" s="616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ht="12.75" customHeight="1">
      <c r="A247" s="613"/>
      <c r="B247" s="613"/>
      <c r="C247" s="613"/>
      <c r="D247" s="615"/>
      <c r="E247" s="198"/>
      <c r="F247" s="198"/>
      <c r="G247" s="198"/>
      <c r="H247" s="198"/>
      <c r="I247" s="615"/>
      <c r="J247" s="198"/>
      <c r="K247" s="198"/>
      <c r="L247" s="198"/>
      <c r="M247" s="616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ht="12.75" customHeight="1">
      <c r="A248" s="613"/>
      <c r="B248" s="613"/>
      <c r="C248" s="613"/>
      <c r="D248" s="615"/>
      <c r="E248" s="198"/>
      <c r="F248" s="198"/>
      <c r="G248" s="198"/>
      <c r="H248" s="198"/>
      <c r="I248" s="615"/>
      <c r="J248" s="198"/>
      <c r="K248" s="198"/>
      <c r="L248" s="198"/>
      <c r="M248" s="616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ht="12.75" customHeight="1">
      <c r="A249" s="613"/>
      <c r="B249" s="613"/>
      <c r="C249" s="613"/>
      <c r="D249" s="615"/>
      <c r="E249" s="198"/>
      <c r="F249" s="198"/>
      <c r="G249" s="198"/>
      <c r="H249" s="198"/>
      <c r="I249" s="615"/>
      <c r="J249" s="198"/>
      <c r="K249" s="198"/>
      <c r="L249" s="198"/>
      <c r="M249" s="616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ht="12.75" customHeight="1">
      <c r="A250" s="613"/>
      <c r="B250" s="613"/>
      <c r="C250" s="613"/>
      <c r="D250" s="615"/>
      <c r="E250" s="198"/>
      <c r="F250" s="198"/>
      <c r="G250" s="198"/>
      <c r="H250" s="198"/>
      <c r="I250" s="615"/>
      <c r="J250" s="198"/>
      <c r="K250" s="198"/>
      <c r="L250" s="198"/>
      <c r="M250" s="616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ht="12.75" customHeight="1">
      <c r="A251" s="613"/>
      <c r="B251" s="613"/>
      <c r="C251" s="613"/>
      <c r="D251" s="615"/>
      <c r="E251" s="198"/>
      <c r="F251" s="198"/>
      <c r="G251" s="198"/>
      <c r="H251" s="198"/>
      <c r="I251" s="615"/>
      <c r="J251" s="198"/>
      <c r="K251" s="198"/>
      <c r="L251" s="198"/>
      <c r="M251" s="616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ht="12.75" customHeight="1">
      <c r="A252" s="613"/>
      <c r="B252" s="613"/>
      <c r="C252" s="613"/>
      <c r="D252" s="615"/>
      <c r="E252" s="198"/>
      <c r="F252" s="198"/>
      <c r="G252" s="198"/>
      <c r="H252" s="198"/>
      <c r="I252" s="615"/>
      <c r="J252" s="198"/>
      <c r="K252" s="198"/>
      <c r="L252" s="198"/>
      <c r="M252" s="616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ht="12.75" customHeight="1">
      <c r="A253" s="613"/>
      <c r="B253" s="613"/>
      <c r="C253" s="613"/>
      <c r="D253" s="615"/>
      <c r="E253" s="198"/>
      <c r="F253" s="198"/>
      <c r="G253" s="198"/>
      <c r="H253" s="198"/>
      <c r="I253" s="615"/>
      <c r="J253" s="198"/>
      <c r="K253" s="198"/>
      <c r="L253" s="198"/>
      <c r="M253" s="616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ht="12.75" customHeight="1">
      <c r="A254" s="613"/>
      <c r="B254" s="613"/>
      <c r="C254" s="613"/>
      <c r="D254" s="615"/>
      <c r="E254" s="198"/>
      <c r="F254" s="198"/>
      <c r="G254" s="198"/>
      <c r="H254" s="198"/>
      <c r="I254" s="615"/>
      <c r="J254" s="198"/>
      <c r="K254" s="198"/>
      <c r="L254" s="198"/>
      <c r="M254" s="616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ht="12.75" customHeight="1">
      <c r="A255" s="613"/>
      <c r="B255" s="613"/>
      <c r="C255" s="613"/>
      <c r="D255" s="615"/>
      <c r="E255" s="198"/>
      <c r="F255" s="198"/>
      <c r="G255" s="198"/>
      <c r="H255" s="198"/>
      <c r="I255" s="615"/>
      <c r="J255" s="198"/>
      <c r="K255" s="198"/>
      <c r="L255" s="198"/>
      <c r="M255" s="616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ht="12.75" customHeight="1">
      <c r="A256" s="613"/>
      <c r="B256" s="613"/>
      <c r="C256" s="613"/>
      <c r="D256" s="615"/>
      <c r="E256" s="198"/>
      <c r="F256" s="198"/>
      <c r="G256" s="198"/>
      <c r="H256" s="198"/>
      <c r="I256" s="615"/>
      <c r="J256" s="198"/>
      <c r="K256" s="198"/>
      <c r="L256" s="198"/>
      <c r="M256" s="616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ht="12.75" customHeight="1">
      <c r="A257" s="613"/>
      <c r="B257" s="613"/>
      <c r="C257" s="613"/>
      <c r="D257" s="615"/>
      <c r="E257" s="198"/>
      <c r="F257" s="198"/>
      <c r="G257" s="198"/>
      <c r="H257" s="198"/>
      <c r="I257" s="615"/>
      <c r="J257" s="198"/>
      <c r="K257" s="198"/>
      <c r="L257" s="198"/>
      <c r="M257" s="616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ht="12.75" customHeight="1">
      <c r="A258" s="613"/>
      <c r="B258" s="613"/>
      <c r="C258" s="613"/>
      <c r="D258" s="615"/>
      <c r="E258" s="198"/>
      <c r="F258" s="198"/>
      <c r="G258" s="198"/>
      <c r="H258" s="198"/>
      <c r="I258" s="615"/>
      <c r="J258" s="198"/>
      <c r="K258" s="198"/>
      <c r="L258" s="198"/>
      <c r="M258" s="616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ht="12.75" customHeight="1">
      <c r="A259" s="613"/>
      <c r="B259" s="613"/>
      <c r="C259" s="613"/>
      <c r="D259" s="615"/>
      <c r="E259" s="198"/>
      <c r="F259" s="198"/>
      <c r="G259" s="198"/>
      <c r="H259" s="198"/>
      <c r="I259" s="615"/>
      <c r="J259" s="198"/>
      <c r="K259" s="198"/>
      <c r="L259" s="198"/>
      <c r="M259" s="616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ht="12.75" customHeight="1">
      <c r="A260" s="613"/>
      <c r="B260" s="613"/>
      <c r="C260" s="613"/>
      <c r="D260" s="615"/>
      <c r="E260" s="198"/>
      <c r="F260" s="198"/>
      <c r="G260" s="198"/>
      <c r="H260" s="198"/>
      <c r="I260" s="615"/>
      <c r="J260" s="198"/>
      <c r="K260" s="198"/>
      <c r="L260" s="198"/>
      <c r="M260" s="616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ht="12.75" customHeight="1">
      <c r="A261" s="613"/>
      <c r="B261" s="613"/>
      <c r="C261" s="613"/>
      <c r="D261" s="615"/>
      <c r="E261" s="198"/>
      <c r="F261" s="198"/>
      <c r="G261" s="198"/>
      <c r="H261" s="198"/>
      <c r="I261" s="615"/>
      <c r="J261" s="198"/>
      <c r="K261" s="198"/>
      <c r="L261" s="198"/>
      <c r="M261" s="616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ht="12.75" customHeight="1">
      <c r="A262" s="613"/>
      <c r="B262" s="613"/>
      <c r="C262" s="613"/>
      <c r="D262" s="615"/>
      <c r="E262" s="198"/>
      <c r="F262" s="198"/>
      <c r="G262" s="198"/>
      <c r="H262" s="198"/>
      <c r="I262" s="615"/>
      <c r="J262" s="198"/>
      <c r="K262" s="198"/>
      <c r="L262" s="198"/>
      <c r="M262" s="616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ht="12.75" customHeight="1">
      <c r="A263" s="613"/>
      <c r="B263" s="613"/>
      <c r="C263" s="613"/>
      <c r="D263" s="615"/>
      <c r="E263" s="198"/>
      <c r="F263" s="198"/>
      <c r="G263" s="198"/>
      <c r="H263" s="198"/>
      <c r="I263" s="615"/>
      <c r="J263" s="198"/>
      <c r="K263" s="198"/>
      <c r="L263" s="198"/>
      <c r="M263" s="616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ht="12.75" customHeight="1">
      <c r="A264" s="613"/>
      <c r="B264" s="613"/>
      <c r="C264" s="613"/>
      <c r="D264" s="615"/>
      <c r="E264" s="198"/>
      <c r="F264" s="198"/>
      <c r="G264" s="198"/>
      <c r="H264" s="198"/>
      <c r="I264" s="615"/>
      <c r="J264" s="198"/>
      <c r="K264" s="198"/>
      <c r="L264" s="198"/>
      <c r="M264" s="616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ht="12.75" customHeight="1">
      <c r="A265" s="613"/>
      <c r="B265" s="613"/>
      <c r="C265" s="613"/>
      <c r="D265" s="615"/>
      <c r="E265" s="198"/>
      <c r="F265" s="198"/>
      <c r="G265" s="198"/>
      <c r="H265" s="198"/>
      <c r="I265" s="615"/>
      <c r="J265" s="198"/>
      <c r="K265" s="198"/>
      <c r="L265" s="198"/>
      <c r="M265" s="616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ht="12.75" customHeight="1">
      <c r="A266" s="613"/>
      <c r="B266" s="613"/>
      <c r="C266" s="613"/>
      <c r="D266" s="615"/>
      <c r="E266" s="198"/>
      <c r="F266" s="198"/>
      <c r="G266" s="198"/>
      <c r="H266" s="198"/>
      <c r="I266" s="615"/>
      <c r="J266" s="198"/>
      <c r="K266" s="198"/>
      <c r="L266" s="198"/>
      <c r="M266" s="616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ht="12.75" customHeight="1">
      <c r="A267" s="613"/>
      <c r="B267" s="613"/>
      <c r="C267" s="613"/>
      <c r="D267" s="615"/>
      <c r="E267" s="198"/>
      <c r="F267" s="198"/>
      <c r="G267" s="198"/>
      <c r="H267" s="198"/>
      <c r="I267" s="615"/>
      <c r="J267" s="198"/>
      <c r="K267" s="198"/>
      <c r="L267" s="198"/>
      <c r="M267" s="616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ht="12.75" customHeight="1">
      <c r="A268" s="613"/>
      <c r="B268" s="613"/>
      <c r="C268" s="613"/>
      <c r="D268" s="615"/>
      <c r="E268" s="198"/>
      <c r="F268" s="198"/>
      <c r="G268" s="198"/>
      <c r="H268" s="198"/>
      <c r="I268" s="615"/>
      <c r="J268" s="198"/>
      <c r="K268" s="198"/>
      <c r="L268" s="198"/>
      <c r="M268" s="616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ht="12.75" customHeight="1">
      <c r="A269" s="613"/>
      <c r="B269" s="613"/>
      <c r="C269" s="613"/>
      <c r="D269" s="615"/>
      <c r="E269" s="198"/>
      <c r="F269" s="198"/>
      <c r="G269" s="198"/>
      <c r="H269" s="198"/>
      <c r="I269" s="615"/>
      <c r="J269" s="198"/>
      <c r="K269" s="198"/>
      <c r="L269" s="198"/>
      <c r="M269" s="616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ht="12.75" customHeight="1">
      <c r="A270" s="613"/>
      <c r="B270" s="613"/>
      <c r="C270" s="613"/>
      <c r="D270" s="615"/>
      <c r="E270" s="198"/>
      <c r="F270" s="198"/>
      <c r="G270" s="198"/>
      <c r="H270" s="198"/>
      <c r="I270" s="615"/>
      <c r="J270" s="198"/>
      <c r="K270" s="198"/>
      <c r="L270" s="198"/>
      <c r="M270" s="616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ht="12.75" customHeight="1">
      <c r="A271" s="613"/>
      <c r="B271" s="613"/>
      <c r="C271" s="613"/>
      <c r="D271" s="615"/>
      <c r="E271" s="198"/>
      <c r="F271" s="198"/>
      <c r="G271" s="198"/>
      <c r="H271" s="198"/>
      <c r="I271" s="615"/>
      <c r="J271" s="198"/>
      <c r="K271" s="198"/>
      <c r="L271" s="198"/>
      <c r="M271" s="616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ht="12.75" customHeight="1">
      <c r="A272" s="613"/>
      <c r="B272" s="613"/>
      <c r="C272" s="613"/>
      <c r="D272" s="615"/>
      <c r="E272" s="198"/>
      <c r="F272" s="198"/>
      <c r="G272" s="198"/>
      <c r="H272" s="198"/>
      <c r="I272" s="615"/>
      <c r="J272" s="198"/>
      <c r="K272" s="198"/>
      <c r="L272" s="198"/>
      <c r="M272" s="616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ht="12.75" customHeight="1">
      <c r="A273" s="613"/>
      <c r="B273" s="613"/>
      <c r="C273" s="613"/>
      <c r="D273" s="615"/>
      <c r="E273" s="198"/>
      <c r="F273" s="198"/>
      <c r="G273" s="198"/>
      <c r="H273" s="198"/>
      <c r="I273" s="615"/>
      <c r="J273" s="198"/>
      <c r="K273" s="198"/>
      <c r="L273" s="198"/>
      <c r="M273" s="616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ht="12.75" customHeight="1">
      <c r="A274" s="613"/>
      <c r="B274" s="613"/>
      <c r="C274" s="613"/>
      <c r="D274" s="615"/>
      <c r="E274" s="198"/>
      <c r="F274" s="198"/>
      <c r="G274" s="198"/>
      <c r="H274" s="198"/>
      <c r="I274" s="615"/>
      <c r="J274" s="198"/>
      <c r="K274" s="198"/>
      <c r="L274" s="198"/>
      <c r="M274" s="616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ht="12.75" customHeight="1">
      <c r="A275" s="613"/>
      <c r="B275" s="613"/>
      <c r="C275" s="613"/>
      <c r="D275" s="615"/>
      <c r="E275" s="198"/>
      <c r="F275" s="198"/>
      <c r="G275" s="198"/>
      <c r="H275" s="198"/>
      <c r="I275" s="615"/>
      <c r="J275" s="198"/>
      <c r="K275" s="198"/>
      <c r="L275" s="198"/>
      <c r="M275" s="616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ht="12.75" customHeight="1">
      <c r="A276" s="613"/>
      <c r="B276" s="613"/>
      <c r="C276" s="613"/>
      <c r="D276" s="615"/>
      <c r="E276" s="198"/>
      <c r="F276" s="198"/>
      <c r="G276" s="198"/>
      <c r="H276" s="198"/>
      <c r="I276" s="615"/>
      <c r="J276" s="198"/>
      <c r="K276" s="198"/>
      <c r="L276" s="198"/>
      <c r="M276" s="616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ht="12.75" customHeight="1">
      <c r="A277" s="613"/>
      <c r="B277" s="613"/>
      <c r="C277" s="613"/>
      <c r="D277" s="615"/>
      <c r="E277" s="198"/>
      <c r="F277" s="198"/>
      <c r="G277" s="198"/>
      <c r="H277" s="198"/>
      <c r="I277" s="615"/>
      <c r="J277" s="198"/>
      <c r="K277" s="198"/>
      <c r="L277" s="198"/>
      <c r="M277" s="616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ht="12.75" customHeight="1">
      <c r="A278" s="613"/>
      <c r="B278" s="613"/>
      <c r="C278" s="613"/>
      <c r="D278" s="615"/>
      <c r="E278" s="198"/>
      <c r="F278" s="198"/>
      <c r="G278" s="198"/>
      <c r="H278" s="198"/>
      <c r="I278" s="615"/>
      <c r="J278" s="198"/>
      <c r="K278" s="198"/>
      <c r="L278" s="198"/>
      <c r="M278" s="616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ht="12.75" customHeight="1">
      <c r="A279" s="613"/>
      <c r="B279" s="613"/>
      <c r="C279" s="613"/>
      <c r="D279" s="615"/>
      <c r="E279" s="198"/>
      <c r="F279" s="198"/>
      <c r="G279" s="198"/>
      <c r="H279" s="198"/>
      <c r="I279" s="615"/>
      <c r="J279" s="198"/>
      <c r="K279" s="198"/>
      <c r="L279" s="198"/>
      <c r="M279" s="616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ht="12.75" customHeight="1">
      <c r="A280" s="613"/>
      <c r="B280" s="613"/>
      <c r="C280" s="613"/>
      <c r="D280" s="615"/>
      <c r="E280" s="198"/>
      <c r="F280" s="198"/>
      <c r="G280" s="198"/>
      <c r="H280" s="198"/>
      <c r="I280" s="615"/>
      <c r="J280" s="198"/>
      <c r="K280" s="198"/>
      <c r="L280" s="198"/>
      <c r="M280" s="616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ht="12.75" customHeight="1">
      <c r="A281" s="613"/>
      <c r="B281" s="613"/>
      <c r="C281" s="613"/>
      <c r="D281" s="615"/>
      <c r="E281" s="198"/>
      <c r="F281" s="198"/>
      <c r="G281" s="198"/>
      <c r="H281" s="198"/>
      <c r="I281" s="615"/>
      <c r="J281" s="198"/>
      <c r="K281" s="198"/>
      <c r="L281" s="198"/>
      <c r="M281" s="616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ht="12.75" customHeight="1">
      <c r="A282" s="613"/>
      <c r="B282" s="613"/>
      <c r="C282" s="613"/>
      <c r="D282" s="615"/>
      <c r="E282" s="198"/>
      <c r="F282" s="198"/>
      <c r="G282" s="198"/>
      <c r="H282" s="198"/>
      <c r="I282" s="615"/>
      <c r="J282" s="198"/>
      <c r="K282" s="198"/>
      <c r="L282" s="198"/>
      <c r="M282" s="616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ht="12.75" customHeight="1">
      <c r="A283" s="613"/>
      <c r="B283" s="613"/>
      <c r="C283" s="613"/>
      <c r="D283" s="615"/>
      <c r="E283" s="198"/>
      <c r="F283" s="198"/>
      <c r="G283" s="198"/>
      <c r="H283" s="198"/>
      <c r="I283" s="615"/>
      <c r="J283" s="198"/>
      <c r="K283" s="198"/>
      <c r="L283" s="198"/>
      <c r="M283" s="616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ht="12.75" customHeight="1">
      <c r="A284" s="613"/>
      <c r="B284" s="613"/>
      <c r="C284" s="613"/>
      <c r="D284" s="615"/>
      <c r="E284" s="198"/>
      <c r="F284" s="198"/>
      <c r="G284" s="198"/>
      <c r="H284" s="198"/>
      <c r="I284" s="615"/>
      <c r="J284" s="198"/>
      <c r="K284" s="198"/>
      <c r="L284" s="198"/>
      <c r="M284" s="616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ht="12.75" customHeight="1">
      <c r="A285" s="613"/>
      <c r="B285" s="613"/>
      <c r="C285" s="613"/>
      <c r="D285" s="615"/>
      <c r="E285" s="198"/>
      <c r="F285" s="198"/>
      <c r="G285" s="198"/>
      <c r="H285" s="198"/>
      <c r="I285" s="615"/>
      <c r="J285" s="198"/>
      <c r="K285" s="198"/>
      <c r="L285" s="198"/>
      <c r="M285" s="616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ht="12.75" customHeight="1">
      <c r="A286" s="613"/>
      <c r="B286" s="613"/>
      <c r="C286" s="613"/>
      <c r="D286" s="615"/>
      <c r="E286" s="198"/>
      <c r="F286" s="198"/>
      <c r="G286" s="198"/>
      <c r="H286" s="198"/>
      <c r="I286" s="615"/>
      <c r="J286" s="198"/>
      <c r="K286" s="198"/>
      <c r="L286" s="198"/>
      <c r="M286" s="616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ht="12.75" customHeight="1">
      <c r="A287" s="613"/>
      <c r="B287" s="613"/>
      <c r="C287" s="613"/>
      <c r="D287" s="615"/>
      <c r="E287" s="198"/>
      <c r="F287" s="198"/>
      <c r="G287" s="198"/>
      <c r="H287" s="198"/>
      <c r="I287" s="615"/>
      <c r="J287" s="198"/>
      <c r="K287" s="198"/>
      <c r="L287" s="198"/>
      <c r="M287" s="616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ht="12.75" customHeight="1">
      <c r="A288" s="613"/>
      <c r="B288" s="613"/>
      <c r="C288" s="613"/>
      <c r="D288" s="615"/>
      <c r="E288" s="198"/>
      <c r="F288" s="198"/>
      <c r="G288" s="198"/>
      <c r="H288" s="198"/>
      <c r="I288" s="615"/>
      <c r="J288" s="198"/>
      <c r="K288" s="198"/>
      <c r="L288" s="198"/>
      <c r="M288" s="616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ht="12.75" customHeight="1">
      <c r="A289" s="613"/>
      <c r="B289" s="613"/>
      <c r="C289" s="613"/>
      <c r="D289" s="615"/>
      <c r="E289" s="198"/>
      <c r="F289" s="198"/>
      <c r="G289" s="198"/>
      <c r="H289" s="198"/>
      <c r="I289" s="615"/>
      <c r="J289" s="198"/>
      <c r="K289" s="198"/>
      <c r="L289" s="198"/>
      <c r="M289" s="616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ht="12.75" customHeight="1">
      <c r="A290" s="613"/>
      <c r="B290" s="613"/>
      <c r="C290" s="613"/>
      <c r="D290" s="615"/>
      <c r="E290" s="198"/>
      <c r="F290" s="198"/>
      <c r="G290" s="198"/>
      <c r="H290" s="198"/>
      <c r="I290" s="615"/>
      <c r="J290" s="198"/>
      <c r="K290" s="198"/>
      <c r="L290" s="198"/>
      <c r="M290" s="616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ht="12.75" customHeight="1">
      <c r="A291" s="613"/>
      <c r="B291" s="613"/>
      <c r="C291" s="613"/>
      <c r="D291" s="615"/>
      <c r="E291" s="198"/>
      <c r="F291" s="198"/>
      <c r="G291" s="198"/>
      <c r="H291" s="198"/>
      <c r="I291" s="615"/>
      <c r="J291" s="198"/>
      <c r="K291" s="198"/>
      <c r="L291" s="198"/>
      <c r="M291" s="616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ht="12.75" customHeight="1">
      <c r="A292" s="613"/>
      <c r="B292" s="613"/>
      <c r="C292" s="613"/>
      <c r="D292" s="615"/>
      <c r="E292" s="198"/>
      <c r="F292" s="198"/>
      <c r="G292" s="198"/>
      <c r="H292" s="198"/>
      <c r="I292" s="615"/>
      <c r="J292" s="198"/>
      <c r="K292" s="198"/>
      <c r="L292" s="198"/>
      <c r="M292" s="616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ht="12.75" customHeight="1">
      <c r="A293" s="613"/>
      <c r="B293" s="613"/>
      <c r="C293" s="613"/>
      <c r="D293" s="615"/>
      <c r="E293" s="198"/>
      <c r="F293" s="198"/>
      <c r="G293" s="198"/>
      <c r="H293" s="198"/>
      <c r="I293" s="615"/>
      <c r="J293" s="198"/>
      <c r="K293" s="198"/>
      <c r="L293" s="198"/>
      <c r="M293" s="616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ht="12.75" customHeight="1">
      <c r="A294" s="613"/>
      <c r="B294" s="613"/>
      <c r="C294" s="613"/>
      <c r="D294" s="615"/>
      <c r="E294" s="198"/>
      <c r="F294" s="198"/>
      <c r="G294" s="198"/>
      <c r="H294" s="198"/>
      <c r="I294" s="615"/>
      <c r="J294" s="198"/>
      <c r="K294" s="198"/>
      <c r="L294" s="198"/>
      <c r="M294" s="616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ht="12.75" customHeight="1">
      <c r="A295" s="613"/>
      <c r="B295" s="613"/>
      <c r="C295" s="613"/>
      <c r="D295" s="615"/>
      <c r="E295" s="198"/>
      <c r="F295" s="198"/>
      <c r="G295" s="198"/>
      <c r="H295" s="198"/>
      <c r="I295" s="615"/>
      <c r="J295" s="198"/>
      <c r="K295" s="198"/>
      <c r="L295" s="198"/>
      <c r="M295" s="616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ht="12.75" customHeight="1">
      <c r="A296" s="613"/>
      <c r="B296" s="613"/>
      <c r="C296" s="613"/>
      <c r="D296" s="615"/>
      <c r="E296" s="198"/>
      <c r="F296" s="198"/>
      <c r="G296" s="198"/>
      <c r="H296" s="198"/>
      <c r="I296" s="615"/>
      <c r="J296" s="198"/>
      <c r="K296" s="198"/>
      <c r="L296" s="198"/>
      <c r="M296" s="616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ht="12.75" customHeight="1">
      <c r="A297" s="613"/>
      <c r="B297" s="613"/>
      <c r="C297" s="613"/>
      <c r="D297" s="615"/>
      <c r="E297" s="198"/>
      <c r="F297" s="198"/>
      <c r="G297" s="198"/>
      <c r="H297" s="198"/>
      <c r="I297" s="615"/>
      <c r="J297" s="198"/>
      <c r="K297" s="198"/>
      <c r="L297" s="198"/>
      <c r="M297" s="616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ht="12.75" customHeight="1">
      <c r="A298" s="613"/>
      <c r="B298" s="613"/>
      <c r="C298" s="613"/>
      <c r="D298" s="615"/>
      <c r="E298" s="198"/>
      <c r="F298" s="198"/>
      <c r="G298" s="198"/>
      <c r="H298" s="198"/>
      <c r="I298" s="615"/>
      <c r="J298" s="198"/>
      <c r="K298" s="198"/>
      <c r="L298" s="198"/>
      <c r="M298" s="616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ht="12.75" customHeight="1">
      <c r="A299" s="613"/>
      <c r="B299" s="613"/>
      <c r="C299" s="613"/>
      <c r="D299" s="615"/>
      <c r="E299" s="198"/>
      <c r="F299" s="198"/>
      <c r="G299" s="198"/>
      <c r="H299" s="198"/>
      <c r="I299" s="615"/>
      <c r="J299" s="198"/>
      <c r="K299" s="198"/>
      <c r="L299" s="198"/>
      <c r="M299" s="616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ht="12.75" customHeight="1">
      <c r="A300" s="613"/>
      <c r="B300" s="613"/>
      <c r="C300" s="613"/>
      <c r="D300" s="615"/>
      <c r="E300" s="198"/>
      <c r="F300" s="198"/>
      <c r="G300" s="198"/>
      <c r="H300" s="198"/>
      <c r="I300" s="615"/>
      <c r="J300" s="198"/>
      <c r="K300" s="198"/>
      <c r="L300" s="198"/>
      <c r="M300" s="616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ht="12.75" customHeight="1">
      <c r="A301" s="613"/>
      <c r="B301" s="613"/>
      <c r="C301" s="613"/>
      <c r="D301" s="615"/>
      <c r="E301" s="198"/>
      <c r="F301" s="198"/>
      <c r="G301" s="198"/>
      <c r="H301" s="198"/>
      <c r="I301" s="615"/>
      <c r="J301" s="198"/>
      <c r="K301" s="198"/>
      <c r="L301" s="198"/>
      <c r="M301" s="616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ht="12.75" customHeight="1">
      <c r="A302" s="613"/>
      <c r="B302" s="613"/>
      <c r="C302" s="613"/>
      <c r="D302" s="615"/>
      <c r="E302" s="198"/>
      <c r="F302" s="198"/>
      <c r="G302" s="198"/>
      <c r="H302" s="198"/>
      <c r="I302" s="615"/>
      <c r="J302" s="198"/>
      <c r="K302" s="198"/>
      <c r="L302" s="198"/>
      <c r="M302" s="616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ht="12.75" customHeight="1">
      <c r="A303" s="613"/>
      <c r="B303" s="613"/>
      <c r="C303" s="613"/>
      <c r="D303" s="615"/>
      <c r="E303" s="198"/>
      <c r="F303" s="198"/>
      <c r="G303" s="198"/>
      <c r="H303" s="198"/>
      <c r="I303" s="615"/>
      <c r="J303" s="198"/>
      <c r="K303" s="198"/>
      <c r="L303" s="198"/>
      <c r="M303" s="616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ht="12.75" customHeight="1">
      <c r="A304" s="613"/>
      <c r="B304" s="613"/>
      <c r="C304" s="613"/>
      <c r="D304" s="615"/>
      <c r="E304" s="198"/>
      <c r="F304" s="198"/>
      <c r="G304" s="198"/>
      <c r="H304" s="198"/>
      <c r="I304" s="615"/>
      <c r="J304" s="198"/>
      <c r="K304" s="198"/>
      <c r="L304" s="198"/>
      <c r="M304" s="616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ht="12.75" customHeight="1">
      <c r="A305" s="613"/>
      <c r="B305" s="613"/>
      <c r="C305" s="613"/>
      <c r="D305" s="615"/>
      <c r="E305" s="198"/>
      <c r="F305" s="198"/>
      <c r="G305" s="198"/>
      <c r="H305" s="198"/>
      <c r="I305" s="615"/>
      <c r="J305" s="198"/>
      <c r="K305" s="198"/>
      <c r="L305" s="198"/>
      <c r="M305" s="616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ht="12.75" customHeight="1">
      <c r="A306" s="613"/>
      <c r="B306" s="613"/>
      <c r="C306" s="613"/>
      <c r="D306" s="615"/>
      <c r="E306" s="198"/>
      <c r="F306" s="198"/>
      <c r="G306" s="198"/>
      <c r="H306" s="198"/>
      <c r="I306" s="615"/>
      <c r="J306" s="198"/>
      <c r="K306" s="198"/>
      <c r="L306" s="198"/>
      <c r="M306" s="616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ht="12.75" customHeight="1">
      <c r="A307" s="613"/>
      <c r="B307" s="613"/>
      <c r="C307" s="613"/>
      <c r="D307" s="615"/>
      <c r="E307" s="198"/>
      <c r="F307" s="198"/>
      <c r="G307" s="198"/>
      <c r="H307" s="198"/>
      <c r="I307" s="615"/>
      <c r="J307" s="198"/>
      <c r="K307" s="198"/>
      <c r="L307" s="198"/>
      <c r="M307" s="616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ht="12.75" customHeight="1">
      <c r="A308" s="613"/>
      <c r="B308" s="613"/>
      <c r="C308" s="613"/>
      <c r="D308" s="615"/>
      <c r="E308" s="198"/>
      <c r="F308" s="198"/>
      <c r="G308" s="198"/>
      <c r="H308" s="198"/>
      <c r="I308" s="615"/>
      <c r="J308" s="198"/>
      <c r="K308" s="198"/>
      <c r="L308" s="198"/>
      <c r="M308" s="616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ht="12.75" customHeight="1">
      <c r="A309" s="613"/>
      <c r="B309" s="613"/>
      <c r="C309" s="613"/>
      <c r="D309" s="615"/>
      <c r="E309" s="198"/>
      <c r="F309" s="198"/>
      <c r="G309" s="198"/>
      <c r="H309" s="198"/>
      <c r="I309" s="615"/>
      <c r="J309" s="198"/>
      <c r="K309" s="198"/>
      <c r="L309" s="198"/>
      <c r="M309" s="616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ht="12.75" customHeight="1">
      <c r="A310" s="613"/>
      <c r="B310" s="613"/>
      <c r="C310" s="613"/>
      <c r="D310" s="615"/>
      <c r="E310" s="198"/>
      <c r="F310" s="198"/>
      <c r="G310" s="198"/>
      <c r="H310" s="198"/>
      <c r="I310" s="615"/>
      <c r="J310" s="198"/>
      <c r="K310" s="198"/>
      <c r="L310" s="198"/>
      <c r="M310" s="616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ht="12.75" customHeight="1">
      <c r="A311" s="613"/>
      <c r="B311" s="613"/>
      <c r="C311" s="613"/>
      <c r="D311" s="615"/>
      <c r="E311" s="198"/>
      <c r="F311" s="198"/>
      <c r="G311" s="198"/>
      <c r="H311" s="198"/>
      <c r="I311" s="615"/>
      <c r="J311" s="198"/>
      <c r="K311" s="198"/>
      <c r="L311" s="198"/>
      <c r="M311" s="616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ht="12.75" customHeight="1">
      <c r="A312" s="613"/>
      <c r="B312" s="613"/>
      <c r="C312" s="613"/>
      <c r="D312" s="615"/>
      <c r="E312" s="198"/>
      <c r="F312" s="198"/>
      <c r="G312" s="198"/>
      <c r="H312" s="198"/>
      <c r="I312" s="615"/>
      <c r="J312" s="198"/>
      <c r="K312" s="198"/>
      <c r="L312" s="198"/>
      <c r="M312" s="616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ht="12.75" customHeight="1">
      <c r="A313" s="613"/>
      <c r="B313" s="613"/>
      <c r="C313" s="613"/>
      <c r="D313" s="615"/>
      <c r="E313" s="198"/>
      <c r="F313" s="198"/>
      <c r="G313" s="198"/>
      <c r="H313" s="198"/>
      <c r="I313" s="615"/>
      <c r="J313" s="198"/>
      <c r="K313" s="198"/>
      <c r="L313" s="198"/>
      <c r="M313" s="616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ht="12.75" customHeight="1">
      <c r="A314" s="613"/>
      <c r="B314" s="613"/>
      <c r="C314" s="613"/>
      <c r="D314" s="615"/>
      <c r="E314" s="198"/>
      <c r="F314" s="198"/>
      <c r="G314" s="198"/>
      <c r="H314" s="198"/>
      <c r="I314" s="615"/>
      <c r="J314" s="198"/>
      <c r="K314" s="198"/>
      <c r="L314" s="198"/>
      <c r="M314" s="616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ht="12.75" customHeight="1">
      <c r="A315" s="613"/>
      <c r="B315" s="613"/>
      <c r="C315" s="613"/>
      <c r="D315" s="615"/>
      <c r="E315" s="198"/>
      <c r="F315" s="198"/>
      <c r="G315" s="198"/>
      <c r="H315" s="198"/>
      <c r="I315" s="615"/>
      <c r="J315" s="198"/>
      <c r="K315" s="198"/>
      <c r="L315" s="198"/>
      <c r="M315" s="616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ht="12.75" customHeight="1">
      <c r="A316" s="613"/>
      <c r="B316" s="613"/>
      <c r="C316" s="613"/>
      <c r="D316" s="615"/>
      <c r="E316" s="198"/>
      <c r="F316" s="198"/>
      <c r="G316" s="198"/>
      <c r="H316" s="198"/>
      <c r="I316" s="615"/>
      <c r="J316" s="198"/>
      <c r="K316" s="198"/>
      <c r="L316" s="198"/>
      <c r="M316" s="616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ht="12.75" customHeight="1">
      <c r="A317" s="613"/>
      <c r="B317" s="613"/>
      <c r="C317" s="613"/>
      <c r="D317" s="615"/>
      <c r="E317" s="198"/>
      <c r="F317" s="198"/>
      <c r="G317" s="198"/>
      <c r="H317" s="198"/>
      <c r="I317" s="615"/>
      <c r="J317" s="198"/>
      <c r="K317" s="198"/>
      <c r="L317" s="198"/>
      <c r="M317" s="616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ht="12.75" customHeight="1">
      <c r="A318" s="613"/>
      <c r="B318" s="613"/>
      <c r="C318" s="613"/>
      <c r="D318" s="615"/>
      <c r="E318" s="198"/>
      <c r="F318" s="198"/>
      <c r="G318" s="198"/>
      <c r="H318" s="198"/>
      <c r="I318" s="615"/>
      <c r="J318" s="198"/>
      <c r="K318" s="198"/>
      <c r="L318" s="198"/>
      <c r="M318" s="616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ht="12.75" customHeight="1">
      <c r="A319" s="613"/>
      <c r="B319" s="613"/>
      <c r="C319" s="613"/>
      <c r="D319" s="615"/>
      <c r="E319" s="198"/>
      <c r="F319" s="198"/>
      <c r="G319" s="198"/>
      <c r="H319" s="198"/>
      <c r="I319" s="615"/>
      <c r="J319" s="198"/>
      <c r="K319" s="198"/>
      <c r="L319" s="198"/>
      <c r="M319" s="616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ht="12.75" customHeight="1">
      <c r="A320" s="613"/>
      <c r="B320" s="613"/>
      <c r="C320" s="613"/>
      <c r="D320" s="615"/>
      <c r="E320" s="198"/>
      <c r="F320" s="198"/>
      <c r="G320" s="198"/>
      <c r="H320" s="198"/>
      <c r="I320" s="615"/>
      <c r="J320" s="198"/>
      <c r="K320" s="198"/>
      <c r="L320" s="198"/>
      <c r="M320" s="616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ht="12.75" customHeight="1">
      <c r="A321" s="613"/>
      <c r="B321" s="613"/>
      <c r="C321" s="613"/>
      <c r="D321" s="615"/>
      <c r="E321" s="198"/>
      <c r="F321" s="198"/>
      <c r="G321" s="198"/>
      <c r="H321" s="198"/>
      <c r="I321" s="615"/>
      <c r="J321" s="198"/>
      <c r="K321" s="198"/>
      <c r="L321" s="198"/>
      <c r="M321" s="616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ht="12.75" customHeight="1">
      <c r="A322" s="613"/>
      <c r="B322" s="613"/>
      <c r="C322" s="613"/>
      <c r="D322" s="615"/>
      <c r="E322" s="198"/>
      <c r="F322" s="198"/>
      <c r="G322" s="198"/>
      <c r="H322" s="198"/>
      <c r="I322" s="615"/>
      <c r="J322" s="198"/>
      <c r="K322" s="198"/>
      <c r="L322" s="198"/>
      <c r="M322" s="616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ht="12.75" customHeight="1">
      <c r="A323" s="613"/>
      <c r="B323" s="613"/>
      <c r="C323" s="613"/>
      <c r="D323" s="615"/>
      <c r="E323" s="198"/>
      <c r="F323" s="198"/>
      <c r="G323" s="198"/>
      <c r="H323" s="198"/>
      <c r="I323" s="615"/>
      <c r="J323" s="198"/>
      <c r="K323" s="198"/>
      <c r="L323" s="198"/>
      <c r="M323" s="616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ht="12.75" customHeight="1">
      <c r="A324" s="613"/>
      <c r="B324" s="613"/>
      <c r="C324" s="613"/>
      <c r="D324" s="615"/>
      <c r="E324" s="198"/>
      <c r="F324" s="198"/>
      <c r="G324" s="198"/>
      <c r="H324" s="198"/>
      <c r="I324" s="615"/>
      <c r="J324" s="198"/>
      <c r="K324" s="198"/>
      <c r="L324" s="198"/>
      <c r="M324" s="616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ht="12.75" customHeight="1">
      <c r="A325" s="613"/>
      <c r="B325" s="613"/>
      <c r="C325" s="613"/>
      <c r="D325" s="615"/>
      <c r="E325" s="198"/>
      <c r="F325" s="198"/>
      <c r="G325" s="198"/>
      <c r="H325" s="198"/>
      <c r="I325" s="615"/>
      <c r="J325" s="198"/>
      <c r="K325" s="198"/>
      <c r="L325" s="198"/>
      <c r="M325" s="616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ht="12.75" customHeight="1">
      <c r="A326" s="613"/>
      <c r="B326" s="613"/>
      <c r="C326" s="613"/>
      <c r="D326" s="615"/>
      <c r="E326" s="198"/>
      <c r="F326" s="198"/>
      <c r="G326" s="198"/>
      <c r="H326" s="198"/>
      <c r="I326" s="615"/>
      <c r="J326" s="198"/>
      <c r="K326" s="198"/>
      <c r="L326" s="198"/>
      <c r="M326" s="616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ht="12.75" customHeight="1">
      <c r="A327" s="613"/>
      <c r="B327" s="613"/>
      <c r="C327" s="613"/>
      <c r="D327" s="615"/>
      <c r="E327" s="198"/>
      <c r="F327" s="198"/>
      <c r="G327" s="198"/>
      <c r="H327" s="198"/>
      <c r="I327" s="615"/>
      <c r="J327" s="198"/>
      <c r="K327" s="198"/>
      <c r="L327" s="198"/>
      <c r="M327" s="616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ht="12.75" customHeight="1">
      <c r="A328" s="613"/>
      <c r="B328" s="613"/>
      <c r="C328" s="613"/>
      <c r="D328" s="615"/>
      <c r="E328" s="198"/>
      <c r="F328" s="198"/>
      <c r="G328" s="198"/>
      <c r="H328" s="198"/>
      <c r="I328" s="615"/>
      <c r="J328" s="198"/>
      <c r="K328" s="198"/>
      <c r="L328" s="198"/>
      <c r="M328" s="616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ht="12.75" customHeight="1">
      <c r="A329" s="613"/>
      <c r="B329" s="613"/>
      <c r="C329" s="613"/>
      <c r="D329" s="615"/>
      <c r="E329" s="198"/>
      <c r="F329" s="198"/>
      <c r="G329" s="198"/>
      <c r="H329" s="198"/>
      <c r="I329" s="615"/>
      <c r="J329" s="198"/>
      <c r="K329" s="198"/>
      <c r="L329" s="198"/>
      <c r="M329" s="616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ht="12.75" customHeight="1">
      <c r="A330" s="613"/>
      <c r="B330" s="613"/>
      <c r="C330" s="613"/>
      <c r="D330" s="615"/>
      <c r="E330" s="198"/>
      <c r="F330" s="198"/>
      <c r="G330" s="198"/>
      <c r="H330" s="198"/>
      <c r="I330" s="615"/>
      <c r="J330" s="198"/>
      <c r="K330" s="198"/>
      <c r="L330" s="198"/>
      <c r="M330" s="616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ht="12.75" customHeight="1">
      <c r="A331" s="613"/>
      <c r="B331" s="613"/>
      <c r="C331" s="613"/>
      <c r="D331" s="615"/>
      <c r="E331" s="198"/>
      <c r="F331" s="198"/>
      <c r="G331" s="198"/>
      <c r="H331" s="198"/>
      <c r="I331" s="615"/>
      <c r="J331" s="198"/>
      <c r="K331" s="198"/>
      <c r="L331" s="198"/>
      <c r="M331" s="616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ht="12.75" customHeight="1">
      <c r="A332" s="613"/>
      <c r="B332" s="613"/>
      <c r="C332" s="613"/>
      <c r="D332" s="615"/>
      <c r="E332" s="198"/>
      <c r="F332" s="198"/>
      <c r="G332" s="198"/>
      <c r="H332" s="198"/>
      <c r="I332" s="615"/>
      <c r="J332" s="198"/>
      <c r="K332" s="198"/>
      <c r="L332" s="198"/>
      <c r="M332" s="616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ht="12.75" customHeight="1">
      <c r="A333" s="613"/>
      <c r="B333" s="613"/>
      <c r="C333" s="613"/>
      <c r="D333" s="615"/>
      <c r="E333" s="198"/>
      <c r="F333" s="198"/>
      <c r="G333" s="198"/>
      <c r="H333" s="198"/>
      <c r="I333" s="615"/>
      <c r="J333" s="198"/>
      <c r="K333" s="198"/>
      <c r="L333" s="198"/>
      <c r="M333" s="616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ht="12.75" customHeight="1">
      <c r="A334" s="613"/>
      <c r="B334" s="613"/>
      <c r="C334" s="613"/>
      <c r="D334" s="615"/>
      <c r="E334" s="198"/>
      <c r="F334" s="198"/>
      <c r="G334" s="198"/>
      <c r="H334" s="198"/>
      <c r="I334" s="615"/>
      <c r="J334" s="198"/>
      <c r="K334" s="198"/>
      <c r="L334" s="198"/>
      <c r="M334" s="616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ht="12.75" customHeight="1">
      <c r="A335" s="613"/>
      <c r="B335" s="613"/>
      <c r="C335" s="613"/>
      <c r="D335" s="615"/>
      <c r="E335" s="198"/>
      <c r="F335" s="198"/>
      <c r="G335" s="198"/>
      <c r="H335" s="198"/>
      <c r="I335" s="615"/>
      <c r="J335" s="198"/>
      <c r="K335" s="198"/>
      <c r="L335" s="198"/>
      <c r="M335" s="616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ht="12.75" customHeight="1">
      <c r="A336" s="613"/>
      <c r="B336" s="613"/>
      <c r="C336" s="613"/>
      <c r="D336" s="615"/>
      <c r="E336" s="198"/>
      <c r="F336" s="198"/>
      <c r="G336" s="198"/>
      <c r="H336" s="198"/>
      <c r="I336" s="615"/>
      <c r="J336" s="198"/>
      <c r="K336" s="198"/>
      <c r="L336" s="198"/>
      <c r="M336" s="616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ht="12.75" customHeight="1">
      <c r="A337" s="613"/>
      <c r="B337" s="613"/>
      <c r="C337" s="613"/>
      <c r="D337" s="615"/>
      <c r="E337" s="198"/>
      <c r="F337" s="198"/>
      <c r="G337" s="198"/>
      <c r="H337" s="198"/>
      <c r="I337" s="615"/>
      <c r="J337" s="198"/>
      <c r="K337" s="198"/>
      <c r="L337" s="198"/>
      <c r="M337" s="616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ht="12.75" customHeight="1">
      <c r="A338" s="613"/>
      <c r="B338" s="613"/>
      <c r="C338" s="613"/>
      <c r="D338" s="615"/>
      <c r="E338" s="198"/>
      <c r="F338" s="198"/>
      <c r="G338" s="198"/>
      <c r="H338" s="198"/>
      <c r="I338" s="615"/>
      <c r="J338" s="198"/>
      <c r="K338" s="198"/>
      <c r="L338" s="198"/>
      <c r="M338" s="616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ht="12.75" customHeight="1">
      <c r="A339" s="613"/>
      <c r="B339" s="613"/>
      <c r="C339" s="613"/>
      <c r="D339" s="615"/>
      <c r="E339" s="198"/>
      <c r="F339" s="198"/>
      <c r="G339" s="198"/>
      <c r="H339" s="198"/>
      <c r="I339" s="615"/>
      <c r="J339" s="198"/>
      <c r="K339" s="198"/>
      <c r="L339" s="198"/>
      <c r="M339" s="616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ht="12.75" customHeight="1">
      <c r="A340" s="613"/>
      <c r="B340" s="613"/>
      <c r="C340" s="613"/>
      <c r="D340" s="615"/>
      <c r="E340" s="198"/>
      <c r="F340" s="198"/>
      <c r="G340" s="198"/>
      <c r="H340" s="198"/>
      <c r="I340" s="615"/>
      <c r="J340" s="198"/>
      <c r="K340" s="198"/>
      <c r="L340" s="198"/>
      <c r="M340" s="616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ht="12.75" customHeight="1">
      <c r="A341" s="613"/>
      <c r="B341" s="613"/>
      <c r="C341" s="613"/>
      <c r="D341" s="615"/>
      <c r="E341" s="198"/>
      <c r="F341" s="198"/>
      <c r="G341" s="198"/>
      <c r="H341" s="198"/>
      <c r="I341" s="615"/>
      <c r="J341" s="198"/>
      <c r="K341" s="198"/>
      <c r="L341" s="198"/>
      <c r="M341" s="616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ht="12.75" customHeight="1">
      <c r="A342" s="613"/>
      <c r="B342" s="613"/>
      <c r="C342" s="613"/>
      <c r="D342" s="615"/>
      <c r="E342" s="198"/>
      <c r="F342" s="198"/>
      <c r="G342" s="198"/>
      <c r="H342" s="198"/>
      <c r="I342" s="615"/>
      <c r="J342" s="198"/>
      <c r="K342" s="198"/>
      <c r="L342" s="198"/>
      <c r="M342" s="616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ht="12.75" customHeight="1">
      <c r="A343" s="613"/>
      <c r="B343" s="613"/>
      <c r="C343" s="613"/>
      <c r="D343" s="615"/>
      <c r="E343" s="198"/>
      <c r="F343" s="198"/>
      <c r="G343" s="198"/>
      <c r="H343" s="198"/>
      <c r="I343" s="615"/>
      <c r="J343" s="198"/>
      <c r="K343" s="198"/>
      <c r="L343" s="198"/>
      <c r="M343" s="616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ht="12.75" customHeight="1">
      <c r="A344" s="613"/>
      <c r="B344" s="613"/>
      <c r="C344" s="613"/>
      <c r="D344" s="615"/>
      <c r="E344" s="198"/>
      <c r="F344" s="198"/>
      <c r="G344" s="198"/>
      <c r="H344" s="198"/>
      <c r="I344" s="615"/>
      <c r="J344" s="198"/>
      <c r="K344" s="198"/>
      <c r="L344" s="198"/>
      <c r="M344" s="616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ht="12.75" customHeight="1">
      <c r="A345" s="613"/>
      <c r="B345" s="613"/>
      <c r="C345" s="613"/>
      <c r="D345" s="615"/>
      <c r="E345" s="198"/>
      <c r="F345" s="198"/>
      <c r="G345" s="198"/>
      <c r="H345" s="198"/>
      <c r="I345" s="615"/>
      <c r="J345" s="198"/>
      <c r="K345" s="198"/>
      <c r="L345" s="198"/>
      <c r="M345" s="616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ht="12.75" customHeight="1">
      <c r="A346" s="613"/>
      <c r="B346" s="613"/>
      <c r="C346" s="613"/>
      <c r="D346" s="615"/>
      <c r="E346" s="198"/>
      <c r="F346" s="198"/>
      <c r="G346" s="198"/>
      <c r="H346" s="198"/>
      <c r="I346" s="615"/>
      <c r="J346" s="198"/>
      <c r="K346" s="198"/>
      <c r="L346" s="198"/>
      <c r="M346" s="616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ht="12.75" customHeight="1">
      <c r="A347" s="613"/>
      <c r="B347" s="613"/>
      <c r="C347" s="613"/>
      <c r="D347" s="615"/>
      <c r="E347" s="198"/>
      <c r="F347" s="198"/>
      <c r="G347" s="198"/>
      <c r="H347" s="198"/>
      <c r="I347" s="615"/>
      <c r="J347" s="198"/>
      <c r="K347" s="198"/>
      <c r="L347" s="198"/>
      <c r="M347" s="616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ht="12.75" customHeight="1">
      <c r="A348" s="613"/>
      <c r="B348" s="613"/>
      <c r="C348" s="613"/>
      <c r="D348" s="615"/>
      <c r="E348" s="198"/>
      <c r="F348" s="198"/>
      <c r="G348" s="198"/>
      <c r="H348" s="198"/>
      <c r="I348" s="615"/>
      <c r="J348" s="198"/>
      <c r="K348" s="198"/>
      <c r="L348" s="198"/>
      <c r="M348" s="616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ht="12.75" customHeight="1">
      <c r="A349" s="613"/>
      <c r="B349" s="613"/>
      <c r="C349" s="613"/>
      <c r="D349" s="615"/>
      <c r="E349" s="198"/>
      <c r="F349" s="198"/>
      <c r="G349" s="198"/>
      <c r="H349" s="198"/>
      <c r="I349" s="615"/>
      <c r="J349" s="198"/>
      <c r="K349" s="198"/>
      <c r="L349" s="198"/>
      <c r="M349" s="616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ht="12.75" customHeight="1">
      <c r="A350" s="613"/>
      <c r="B350" s="613"/>
      <c r="C350" s="613"/>
      <c r="D350" s="615"/>
      <c r="E350" s="198"/>
      <c r="F350" s="198"/>
      <c r="G350" s="198"/>
      <c r="H350" s="198"/>
      <c r="I350" s="615"/>
      <c r="J350" s="198"/>
      <c r="K350" s="198"/>
      <c r="L350" s="198"/>
      <c r="M350" s="616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ht="12.75" customHeight="1">
      <c r="A351" s="613"/>
      <c r="B351" s="613"/>
      <c r="C351" s="613"/>
      <c r="D351" s="615"/>
      <c r="E351" s="198"/>
      <c r="F351" s="198"/>
      <c r="G351" s="198"/>
      <c r="H351" s="198"/>
      <c r="I351" s="615"/>
      <c r="J351" s="198"/>
      <c r="K351" s="198"/>
      <c r="L351" s="198"/>
      <c r="M351" s="616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ht="12.75" customHeight="1">
      <c r="A352" s="613"/>
      <c r="B352" s="613"/>
      <c r="C352" s="613"/>
      <c r="D352" s="615"/>
      <c r="E352" s="198"/>
      <c r="F352" s="198"/>
      <c r="G352" s="198"/>
      <c r="H352" s="198"/>
      <c r="I352" s="615"/>
      <c r="J352" s="198"/>
      <c r="K352" s="198"/>
      <c r="L352" s="198"/>
      <c r="M352" s="616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ht="12.75" customHeight="1">
      <c r="A353" s="613"/>
      <c r="B353" s="613"/>
      <c r="C353" s="613"/>
      <c r="D353" s="615"/>
      <c r="E353" s="198"/>
      <c r="F353" s="198"/>
      <c r="G353" s="198"/>
      <c r="H353" s="198"/>
      <c r="I353" s="615"/>
      <c r="J353" s="198"/>
      <c r="K353" s="198"/>
      <c r="L353" s="198"/>
      <c r="M353" s="616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ht="12.75" customHeight="1">
      <c r="A354" s="613"/>
      <c r="B354" s="613"/>
      <c r="C354" s="613"/>
      <c r="D354" s="615"/>
      <c r="E354" s="198"/>
      <c r="F354" s="198"/>
      <c r="G354" s="198"/>
      <c r="H354" s="198"/>
      <c r="I354" s="615"/>
      <c r="J354" s="198"/>
      <c r="K354" s="198"/>
      <c r="L354" s="198"/>
      <c r="M354" s="616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ht="12.75" customHeight="1">
      <c r="A355" s="613"/>
      <c r="B355" s="613"/>
      <c r="C355" s="613"/>
      <c r="D355" s="615"/>
      <c r="E355" s="198"/>
      <c r="F355" s="198"/>
      <c r="G355" s="198"/>
      <c r="H355" s="198"/>
      <c r="I355" s="615"/>
      <c r="J355" s="198"/>
      <c r="K355" s="198"/>
      <c r="L355" s="198"/>
      <c r="M355" s="616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ht="12.75" customHeight="1">
      <c r="A356" s="613"/>
      <c r="B356" s="613"/>
      <c r="C356" s="613"/>
      <c r="D356" s="615"/>
      <c r="E356" s="198"/>
      <c r="F356" s="198"/>
      <c r="G356" s="198"/>
      <c r="H356" s="198"/>
      <c r="I356" s="615"/>
      <c r="J356" s="198"/>
      <c r="K356" s="198"/>
      <c r="L356" s="198"/>
      <c r="M356" s="616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ht="12.75" customHeight="1">
      <c r="A357" s="613"/>
      <c r="B357" s="613"/>
      <c r="C357" s="613"/>
      <c r="D357" s="615"/>
      <c r="E357" s="198"/>
      <c r="F357" s="198"/>
      <c r="G357" s="198"/>
      <c r="H357" s="198"/>
      <c r="I357" s="615"/>
      <c r="J357" s="198"/>
      <c r="K357" s="198"/>
      <c r="L357" s="198"/>
      <c r="M357" s="616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ht="12.75" customHeight="1">
      <c r="A358" s="613"/>
      <c r="B358" s="613"/>
      <c r="C358" s="613"/>
      <c r="D358" s="615"/>
      <c r="E358" s="198"/>
      <c r="F358" s="198"/>
      <c r="G358" s="198"/>
      <c r="H358" s="198"/>
      <c r="I358" s="615"/>
      <c r="J358" s="198"/>
      <c r="K358" s="198"/>
      <c r="L358" s="198"/>
      <c r="M358" s="616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ht="12.75" customHeight="1">
      <c r="A359" s="613"/>
      <c r="B359" s="613"/>
      <c r="C359" s="613"/>
      <c r="D359" s="615"/>
      <c r="E359" s="198"/>
      <c r="F359" s="198"/>
      <c r="G359" s="198"/>
      <c r="H359" s="198"/>
      <c r="I359" s="615"/>
      <c r="J359" s="198"/>
      <c r="K359" s="198"/>
      <c r="L359" s="198"/>
      <c r="M359" s="616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ht="12.75" customHeight="1">
      <c r="A360" s="613"/>
      <c r="B360" s="613"/>
      <c r="C360" s="613"/>
      <c r="D360" s="615"/>
      <c r="E360" s="198"/>
      <c r="F360" s="198"/>
      <c r="G360" s="198"/>
      <c r="H360" s="198"/>
      <c r="I360" s="615"/>
      <c r="J360" s="198"/>
      <c r="K360" s="198"/>
      <c r="L360" s="198"/>
      <c r="M360" s="616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ht="12.75" customHeight="1">
      <c r="A361" s="613"/>
      <c r="B361" s="613"/>
      <c r="C361" s="613"/>
      <c r="D361" s="615"/>
      <c r="E361" s="198"/>
      <c r="F361" s="198"/>
      <c r="G361" s="198"/>
      <c r="H361" s="198"/>
      <c r="I361" s="615"/>
      <c r="J361" s="198"/>
      <c r="K361" s="198"/>
      <c r="L361" s="198"/>
      <c r="M361" s="616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ht="12.75" customHeight="1">
      <c r="A362" s="613"/>
      <c r="B362" s="613"/>
      <c r="C362" s="613"/>
      <c r="D362" s="615"/>
      <c r="E362" s="198"/>
      <c r="F362" s="198"/>
      <c r="G362" s="198"/>
      <c r="H362" s="198"/>
      <c r="I362" s="615"/>
      <c r="J362" s="198"/>
      <c r="K362" s="198"/>
      <c r="L362" s="198"/>
      <c r="M362" s="616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ht="12.75" customHeight="1">
      <c r="A363" s="613"/>
      <c r="B363" s="613"/>
      <c r="C363" s="613"/>
      <c r="D363" s="615"/>
      <c r="E363" s="198"/>
      <c r="F363" s="198"/>
      <c r="G363" s="198"/>
      <c r="H363" s="198"/>
      <c r="I363" s="615"/>
      <c r="J363" s="198"/>
      <c r="K363" s="198"/>
      <c r="L363" s="198"/>
      <c r="M363" s="616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ht="12.75" customHeight="1">
      <c r="A364" s="613"/>
      <c r="B364" s="613"/>
      <c r="C364" s="613"/>
      <c r="D364" s="615"/>
      <c r="E364" s="198"/>
      <c r="F364" s="198"/>
      <c r="G364" s="198"/>
      <c r="H364" s="198"/>
      <c r="I364" s="615"/>
      <c r="J364" s="198"/>
      <c r="K364" s="198"/>
      <c r="L364" s="198"/>
      <c r="M364" s="616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ht="12.75" customHeight="1">
      <c r="A365" s="613"/>
      <c r="B365" s="613"/>
      <c r="C365" s="613"/>
      <c r="D365" s="615"/>
      <c r="E365" s="198"/>
      <c r="F365" s="198"/>
      <c r="G365" s="198"/>
      <c r="H365" s="198"/>
      <c r="I365" s="615"/>
      <c r="J365" s="198"/>
      <c r="K365" s="198"/>
      <c r="L365" s="198"/>
      <c r="M365" s="616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ht="12.75" customHeight="1">
      <c r="A366" s="613"/>
      <c r="B366" s="613"/>
      <c r="C366" s="613"/>
      <c r="D366" s="615"/>
      <c r="E366" s="198"/>
      <c r="F366" s="198"/>
      <c r="G366" s="198"/>
      <c r="H366" s="198"/>
      <c r="I366" s="615"/>
      <c r="J366" s="198"/>
      <c r="K366" s="198"/>
      <c r="L366" s="198"/>
      <c r="M366" s="616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ht="12.75" customHeight="1">
      <c r="A367" s="613"/>
      <c r="B367" s="613"/>
      <c r="C367" s="613"/>
      <c r="D367" s="615"/>
      <c r="E367" s="198"/>
      <c r="F367" s="198"/>
      <c r="G367" s="198"/>
      <c r="H367" s="198"/>
      <c r="I367" s="615"/>
      <c r="J367" s="198"/>
      <c r="K367" s="198"/>
      <c r="L367" s="198"/>
      <c r="M367" s="616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ht="12.75" customHeight="1">
      <c r="A368" s="613"/>
      <c r="B368" s="613"/>
      <c r="C368" s="613"/>
      <c r="D368" s="615"/>
      <c r="E368" s="198"/>
      <c r="F368" s="198"/>
      <c r="G368" s="198"/>
      <c r="H368" s="198"/>
      <c r="I368" s="615"/>
      <c r="J368" s="198"/>
      <c r="K368" s="198"/>
      <c r="L368" s="198"/>
      <c r="M368" s="616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ht="12.75" customHeight="1">
      <c r="A369" s="613"/>
      <c r="B369" s="613"/>
      <c r="C369" s="613"/>
      <c r="D369" s="615"/>
      <c r="E369" s="198"/>
      <c r="F369" s="198"/>
      <c r="G369" s="198"/>
      <c r="H369" s="198"/>
      <c r="I369" s="615"/>
      <c r="J369" s="198"/>
      <c r="K369" s="198"/>
      <c r="L369" s="198"/>
      <c r="M369" s="616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ht="12.75" customHeight="1">
      <c r="A370" s="613"/>
      <c r="B370" s="613"/>
      <c r="C370" s="613"/>
      <c r="D370" s="615"/>
      <c r="E370" s="198"/>
      <c r="F370" s="198"/>
      <c r="G370" s="198"/>
      <c r="H370" s="198"/>
      <c r="I370" s="615"/>
      <c r="J370" s="198"/>
      <c r="K370" s="198"/>
      <c r="L370" s="198"/>
      <c r="M370" s="616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ht="12.75" customHeight="1">
      <c r="A371" s="613"/>
      <c r="B371" s="613"/>
      <c r="C371" s="613"/>
      <c r="D371" s="615"/>
      <c r="E371" s="198"/>
      <c r="F371" s="198"/>
      <c r="G371" s="198"/>
      <c r="H371" s="198"/>
      <c r="I371" s="615"/>
      <c r="J371" s="198"/>
      <c r="K371" s="198"/>
      <c r="L371" s="198"/>
      <c r="M371" s="616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ht="12.75" customHeight="1">
      <c r="A372" s="613"/>
      <c r="B372" s="613"/>
      <c r="C372" s="613"/>
      <c r="D372" s="615"/>
      <c r="E372" s="198"/>
      <c r="F372" s="198"/>
      <c r="G372" s="198"/>
      <c r="H372" s="198"/>
      <c r="I372" s="615"/>
      <c r="J372" s="198"/>
      <c r="K372" s="198"/>
      <c r="L372" s="198"/>
      <c r="M372" s="616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ht="12.75" customHeight="1">
      <c r="A373" s="613"/>
      <c r="B373" s="613"/>
      <c r="C373" s="613"/>
      <c r="D373" s="615"/>
      <c r="E373" s="198"/>
      <c r="F373" s="198"/>
      <c r="G373" s="198"/>
      <c r="H373" s="198"/>
      <c r="I373" s="615"/>
      <c r="J373" s="198"/>
      <c r="K373" s="198"/>
      <c r="L373" s="198"/>
      <c r="M373" s="616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ht="12.75" customHeight="1">
      <c r="A374" s="613"/>
      <c r="B374" s="613"/>
      <c r="C374" s="613"/>
      <c r="D374" s="615"/>
      <c r="E374" s="198"/>
      <c r="F374" s="198"/>
      <c r="G374" s="198"/>
      <c r="H374" s="198"/>
      <c r="I374" s="615"/>
      <c r="J374" s="198"/>
      <c r="K374" s="198"/>
      <c r="L374" s="198"/>
      <c r="M374" s="616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ht="12.75" customHeight="1">
      <c r="A375" s="613"/>
      <c r="B375" s="613"/>
      <c r="C375" s="613"/>
      <c r="D375" s="615"/>
      <c r="E375" s="198"/>
      <c r="F375" s="198"/>
      <c r="G375" s="198"/>
      <c r="H375" s="198"/>
      <c r="I375" s="615"/>
      <c r="J375" s="198"/>
      <c r="K375" s="198"/>
      <c r="L375" s="198"/>
      <c r="M375" s="616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ht="12.75" customHeight="1">
      <c r="A376" s="613"/>
      <c r="B376" s="613"/>
      <c r="C376" s="613"/>
      <c r="D376" s="615"/>
      <c r="E376" s="198"/>
      <c r="F376" s="198"/>
      <c r="G376" s="198"/>
      <c r="H376" s="198"/>
      <c r="I376" s="615"/>
      <c r="J376" s="198"/>
      <c r="K376" s="198"/>
      <c r="L376" s="198"/>
      <c r="M376" s="616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ht="12.75" customHeight="1">
      <c r="A377" s="613"/>
      <c r="B377" s="613"/>
      <c r="C377" s="613"/>
      <c r="D377" s="615"/>
      <c r="E377" s="198"/>
      <c r="F377" s="198"/>
      <c r="G377" s="198"/>
      <c r="H377" s="198"/>
      <c r="I377" s="615"/>
      <c r="J377" s="198"/>
      <c r="K377" s="198"/>
      <c r="L377" s="198"/>
      <c r="M377" s="616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ht="12.75" customHeight="1">
      <c r="A378" s="613"/>
      <c r="B378" s="613"/>
      <c r="C378" s="613"/>
      <c r="D378" s="615"/>
      <c r="E378" s="198"/>
      <c r="F378" s="198"/>
      <c r="G378" s="198"/>
      <c r="H378" s="198"/>
      <c r="I378" s="615"/>
      <c r="J378" s="198"/>
      <c r="K378" s="198"/>
      <c r="L378" s="198"/>
      <c r="M378" s="616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ht="12.75" customHeight="1">
      <c r="A379" s="613"/>
      <c r="B379" s="613"/>
      <c r="C379" s="613"/>
      <c r="D379" s="615"/>
      <c r="E379" s="198"/>
      <c r="F379" s="198"/>
      <c r="G379" s="198"/>
      <c r="H379" s="198"/>
      <c r="I379" s="615"/>
      <c r="J379" s="198"/>
      <c r="K379" s="198"/>
      <c r="L379" s="198"/>
      <c r="M379" s="616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ht="12.75" customHeight="1">
      <c r="A380" s="613"/>
      <c r="B380" s="613"/>
      <c r="C380" s="613"/>
      <c r="D380" s="615"/>
      <c r="E380" s="198"/>
      <c r="F380" s="198"/>
      <c r="G380" s="198"/>
      <c r="H380" s="198"/>
      <c r="I380" s="615"/>
      <c r="J380" s="198"/>
      <c r="K380" s="198"/>
      <c r="L380" s="198"/>
      <c r="M380" s="616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ht="12.75" customHeight="1">
      <c r="A381" s="613"/>
      <c r="B381" s="613"/>
      <c r="C381" s="613"/>
      <c r="D381" s="615"/>
      <c r="E381" s="198"/>
      <c r="F381" s="198"/>
      <c r="G381" s="198"/>
      <c r="H381" s="198"/>
      <c r="I381" s="615"/>
      <c r="J381" s="198"/>
      <c r="K381" s="198"/>
      <c r="L381" s="198"/>
      <c r="M381" s="616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ht="12.75" customHeight="1">
      <c r="A382" s="613"/>
      <c r="B382" s="613"/>
      <c r="C382" s="613"/>
      <c r="D382" s="615"/>
      <c r="E382" s="198"/>
      <c r="F382" s="198"/>
      <c r="G382" s="198"/>
      <c r="H382" s="198"/>
      <c r="I382" s="615"/>
      <c r="J382" s="198"/>
      <c r="K382" s="198"/>
      <c r="L382" s="198"/>
      <c r="M382" s="616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ht="12.75" customHeight="1">
      <c r="A383" s="613"/>
      <c r="B383" s="613"/>
      <c r="C383" s="613"/>
      <c r="D383" s="615"/>
      <c r="E383" s="198"/>
      <c r="F383" s="198"/>
      <c r="G383" s="198"/>
      <c r="H383" s="198"/>
      <c r="I383" s="615"/>
      <c r="J383" s="198"/>
      <c r="K383" s="198"/>
      <c r="L383" s="198"/>
      <c r="M383" s="616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ht="12.75" customHeight="1">
      <c r="A384" s="613"/>
      <c r="B384" s="613"/>
      <c r="C384" s="613"/>
      <c r="D384" s="615"/>
      <c r="E384" s="198"/>
      <c r="F384" s="198"/>
      <c r="G384" s="198"/>
      <c r="H384" s="198"/>
      <c r="I384" s="615"/>
      <c r="J384" s="198"/>
      <c r="K384" s="198"/>
      <c r="L384" s="198"/>
      <c r="M384" s="616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ht="12.75" customHeight="1">
      <c r="A385" s="613"/>
      <c r="B385" s="613"/>
      <c r="C385" s="613"/>
      <c r="D385" s="615"/>
      <c r="E385" s="198"/>
      <c r="F385" s="198"/>
      <c r="G385" s="198"/>
      <c r="H385" s="198"/>
      <c r="I385" s="615"/>
      <c r="J385" s="198"/>
      <c r="K385" s="198"/>
      <c r="L385" s="198"/>
      <c r="M385" s="616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ht="12.75" customHeight="1">
      <c r="A386" s="613"/>
      <c r="B386" s="613"/>
      <c r="C386" s="613"/>
      <c r="D386" s="615"/>
      <c r="E386" s="198"/>
      <c r="F386" s="198"/>
      <c r="G386" s="198"/>
      <c r="H386" s="198"/>
      <c r="I386" s="615"/>
      <c r="J386" s="198"/>
      <c r="K386" s="198"/>
      <c r="L386" s="198"/>
      <c r="M386" s="616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ht="12.75" customHeight="1">
      <c r="A387" s="613"/>
      <c r="B387" s="613"/>
      <c r="C387" s="613"/>
      <c r="D387" s="615"/>
      <c r="E387" s="198"/>
      <c r="F387" s="198"/>
      <c r="G387" s="198"/>
      <c r="H387" s="198"/>
      <c r="I387" s="615"/>
      <c r="J387" s="198"/>
      <c r="K387" s="198"/>
      <c r="L387" s="198"/>
      <c r="M387" s="616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ht="12.75" customHeight="1">
      <c r="A388" s="613"/>
      <c r="B388" s="613"/>
      <c r="C388" s="613"/>
      <c r="D388" s="615"/>
      <c r="E388" s="198"/>
      <c r="F388" s="198"/>
      <c r="G388" s="198"/>
      <c r="H388" s="198"/>
      <c r="I388" s="615"/>
      <c r="J388" s="198"/>
      <c r="K388" s="198"/>
      <c r="L388" s="198"/>
      <c r="M388" s="616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ht="12.75" customHeight="1">
      <c r="A389" s="613"/>
      <c r="B389" s="613"/>
      <c r="C389" s="613"/>
      <c r="D389" s="615"/>
      <c r="E389" s="198"/>
      <c r="F389" s="198"/>
      <c r="G389" s="198"/>
      <c r="H389" s="198"/>
      <c r="I389" s="615"/>
      <c r="J389" s="198"/>
      <c r="K389" s="198"/>
      <c r="L389" s="198"/>
      <c r="M389" s="616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ht="12.75" customHeight="1">
      <c r="A390" s="613"/>
      <c r="B390" s="613"/>
      <c r="C390" s="613"/>
      <c r="D390" s="615"/>
      <c r="E390" s="198"/>
      <c r="F390" s="198"/>
      <c r="G390" s="198"/>
      <c r="H390" s="198"/>
      <c r="I390" s="615"/>
      <c r="J390" s="198"/>
      <c r="K390" s="198"/>
      <c r="L390" s="198"/>
      <c r="M390" s="616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ht="12.75" customHeight="1">
      <c r="A391" s="613"/>
      <c r="B391" s="613"/>
      <c r="C391" s="613"/>
      <c r="D391" s="615"/>
      <c r="E391" s="198"/>
      <c r="F391" s="198"/>
      <c r="G391" s="198"/>
      <c r="H391" s="198"/>
      <c r="I391" s="615"/>
      <c r="J391" s="198"/>
      <c r="K391" s="198"/>
      <c r="L391" s="198"/>
      <c r="M391" s="616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ht="12.75" customHeight="1">
      <c r="A392" s="613"/>
      <c r="B392" s="613"/>
      <c r="C392" s="613"/>
      <c r="D392" s="615"/>
      <c r="E392" s="198"/>
      <c r="F392" s="198"/>
      <c r="G392" s="198"/>
      <c r="H392" s="198"/>
      <c r="I392" s="615"/>
      <c r="J392" s="198"/>
      <c r="K392" s="198"/>
      <c r="L392" s="198"/>
      <c r="M392" s="616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ht="12.75" customHeight="1">
      <c r="A393" s="613"/>
      <c r="B393" s="613"/>
      <c r="C393" s="613"/>
      <c r="D393" s="615"/>
      <c r="E393" s="198"/>
      <c r="F393" s="198"/>
      <c r="G393" s="198"/>
      <c r="H393" s="198"/>
      <c r="I393" s="615"/>
      <c r="J393" s="198"/>
      <c r="K393" s="198"/>
      <c r="L393" s="198"/>
      <c r="M393" s="616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ht="12.75" customHeight="1">
      <c r="A394" s="613"/>
      <c r="B394" s="613"/>
      <c r="C394" s="613"/>
      <c r="D394" s="615"/>
      <c r="E394" s="198"/>
      <c r="F394" s="198"/>
      <c r="G394" s="198"/>
      <c r="H394" s="198"/>
      <c r="I394" s="615"/>
      <c r="J394" s="198"/>
      <c r="K394" s="198"/>
      <c r="L394" s="198"/>
      <c r="M394" s="616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ht="12.75" customHeight="1">
      <c r="A395" s="613"/>
      <c r="B395" s="613"/>
      <c r="C395" s="613"/>
      <c r="D395" s="615"/>
      <c r="E395" s="198"/>
      <c r="F395" s="198"/>
      <c r="G395" s="198"/>
      <c r="H395" s="198"/>
      <c r="I395" s="615"/>
      <c r="J395" s="198"/>
      <c r="K395" s="198"/>
      <c r="L395" s="198"/>
      <c r="M395" s="616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ht="12.75" customHeight="1">
      <c r="A396" s="613"/>
      <c r="B396" s="613"/>
      <c r="C396" s="613"/>
      <c r="D396" s="615"/>
      <c r="E396" s="198"/>
      <c r="F396" s="198"/>
      <c r="G396" s="198"/>
      <c r="H396" s="198"/>
      <c r="I396" s="615"/>
      <c r="J396" s="198"/>
      <c r="K396" s="198"/>
      <c r="L396" s="198"/>
      <c r="M396" s="616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ht="12.75" customHeight="1">
      <c r="A397" s="613"/>
      <c r="B397" s="613"/>
      <c r="C397" s="613"/>
      <c r="D397" s="615"/>
      <c r="E397" s="198"/>
      <c r="F397" s="198"/>
      <c r="G397" s="198"/>
      <c r="H397" s="198"/>
      <c r="I397" s="615"/>
      <c r="J397" s="198"/>
      <c r="K397" s="198"/>
      <c r="L397" s="198"/>
      <c r="M397" s="616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ht="12.75" customHeight="1">
      <c r="A398" s="613"/>
      <c r="B398" s="613"/>
      <c r="C398" s="613"/>
      <c r="D398" s="615"/>
      <c r="E398" s="198"/>
      <c r="F398" s="198"/>
      <c r="G398" s="198"/>
      <c r="H398" s="198"/>
      <c r="I398" s="615"/>
      <c r="J398" s="198"/>
      <c r="K398" s="198"/>
      <c r="L398" s="198"/>
      <c r="M398" s="616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ht="12.75" customHeight="1">
      <c r="A399" s="613"/>
      <c r="B399" s="613"/>
      <c r="C399" s="613"/>
      <c r="D399" s="615"/>
      <c r="E399" s="198"/>
      <c r="F399" s="198"/>
      <c r="G399" s="198"/>
      <c r="H399" s="198"/>
      <c r="I399" s="615"/>
      <c r="J399" s="198"/>
      <c r="K399" s="198"/>
      <c r="L399" s="198"/>
      <c r="M399" s="616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ht="12.75" customHeight="1">
      <c r="A400" s="613"/>
      <c r="B400" s="613"/>
      <c r="C400" s="613"/>
      <c r="D400" s="615"/>
      <c r="E400" s="198"/>
      <c r="F400" s="198"/>
      <c r="G400" s="198"/>
      <c r="H400" s="198"/>
      <c r="I400" s="615"/>
      <c r="J400" s="198"/>
      <c r="K400" s="198"/>
      <c r="L400" s="198"/>
      <c r="M400" s="616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ht="12.75" customHeight="1">
      <c r="A401" s="613"/>
      <c r="B401" s="613"/>
      <c r="C401" s="613"/>
      <c r="D401" s="615"/>
      <c r="E401" s="198"/>
      <c r="F401" s="198"/>
      <c r="G401" s="198"/>
      <c r="H401" s="198"/>
      <c r="I401" s="615"/>
      <c r="J401" s="198"/>
      <c r="K401" s="198"/>
      <c r="L401" s="198"/>
      <c r="M401" s="616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ht="12.75" customHeight="1">
      <c r="A402" s="613"/>
      <c r="B402" s="613"/>
      <c r="C402" s="613"/>
      <c r="D402" s="615"/>
      <c r="E402" s="198"/>
      <c r="F402" s="198"/>
      <c r="G402" s="198"/>
      <c r="H402" s="198"/>
      <c r="I402" s="615"/>
      <c r="J402" s="198"/>
      <c r="K402" s="198"/>
      <c r="L402" s="198"/>
      <c r="M402" s="616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ht="12.75" customHeight="1">
      <c r="A403" s="613"/>
      <c r="B403" s="613"/>
      <c r="C403" s="613"/>
      <c r="D403" s="615"/>
      <c r="E403" s="198"/>
      <c r="F403" s="198"/>
      <c r="G403" s="198"/>
      <c r="H403" s="198"/>
      <c r="I403" s="615"/>
      <c r="J403" s="198"/>
      <c r="K403" s="198"/>
      <c r="L403" s="198"/>
      <c r="M403" s="616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ht="12.75" customHeight="1">
      <c r="A404" s="613"/>
      <c r="B404" s="613"/>
      <c r="C404" s="613"/>
      <c r="D404" s="615"/>
      <c r="E404" s="198"/>
      <c r="F404" s="198"/>
      <c r="G404" s="198"/>
      <c r="H404" s="198"/>
      <c r="I404" s="615"/>
      <c r="J404" s="198"/>
      <c r="K404" s="198"/>
      <c r="L404" s="198"/>
      <c r="M404" s="616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ht="12.75" customHeight="1">
      <c r="A405" s="613"/>
      <c r="B405" s="613"/>
      <c r="C405" s="613"/>
      <c r="D405" s="615"/>
      <c r="E405" s="198"/>
      <c r="F405" s="198"/>
      <c r="G405" s="198"/>
      <c r="H405" s="198"/>
      <c r="I405" s="615"/>
      <c r="J405" s="198"/>
      <c r="K405" s="198"/>
      <c r="L405" s="198"/>
      <c r="M405" s="616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ht="12.75" customHeight="1">
      <c r="A406" s="613"/>
      <c r="B406" s="613"/>
      <c r="C406" s="613"/>
      <c r="D406" s="615"/>
      <c r="E406" s="198"/>
      <c r="F406" s="198"/>
      <c r="G406" s="198"/>
      <c r="H406" s="198"/>
      <c r="I406" s="615"/>
      <c r="J406" s="198"/>
      <c r="K406" s="198"/>
      <c r="L406" s="198"/>
      <c r="M406" s="616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ht="12.75" customHeight="1">
      <c r="A407" s="613"/>
      <c r="B407" s="613"/>
      <c r="C407" s="613"/>
      <c r="D407" s="615"/>
      <c r="E407" s="198"/>
      <c r="F407" s="198"/>
      <c r="G407" s="198"/>
      <c r="H407" s="198"/>
      <c r="I407" s="615"/>
      <c r="J407" s="198"/>
      <c r="K407" s="198"/>
      <c r="L407" s="198"/>
      <c r="M407" s="616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ht="12.75" customHeight="1">
      <c r="A408" s="613"/>
      <c r="B408" s="613"/>
      <c r="C408" s="613"/>
      <c r="D408" s="615"/>
      <c r="E408" s="198"/>
      <c r="F408" s="198"/>
      <c r="G408" s="198"/>
      <c r="H408" s="198"/>
      <c r="I408" s="615"/>
      <c r="J408" s="198"/>
      <c r="K408" s="198"/>
      <c r="L408" s="198"/>
      <c r="M408" s="616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ht="12.75" customHeight="1">
      <c r="A409" s="613"/>
      <c r="B409" s="613"/>
      <c r="C409" s="613"/>
      <c r="D409" s="615"/>
      <c r="E409" s="198"/>
      <c r="F409" s="198"/>
      <c r="G409" s="198"/>
      <c r="H409" s="198"/>
      <c r="I409" s="615"/>
      <c r="J409" s="198"/>
      <c r="K409" s="198"/>
      <c r="L409" s="198"/>
      <c r="M409" s="616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ht="12.75" customHeight="1">
      <c r="A410" s="613"/>
      <c r="B410" s="613"/>
      <c r="C410" s="613"/>
      <c r="D410" s="615"/>
      <c r="E410" s="198"/>
      <c r="F410" s="198"/>
      <c r="G410" s="198"/>
      <c r="H410" s="198"/>
      <c r="I410" s="615"/>
      <c r="J410" s="198"/>
      <c r="K410" s="198"/>
      <c r="L410" s="198"/>
      <c r="M410" s="616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ht="12.75" customHeight="1">
      <c r="A411" s="613"/>
      <c r="B411" s="613"/>
      <c r="C411" s="613"/>
      <c r="D411" s="615"/>
      <c r="E411" s="198"/>
      <c r="F411" s="198"/>
      <c r="G411" s="198"/>
      <c r="H411" s="198"/>
      <c r="I411" s="615"/>
      <c r="J411" s="198"/>
      <c r="K411" s="198"/>
      <c r="L411" s="198"/>
      <c r="M411" s="616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ht="12.75" customHeight="1">
      <c r="A412" s="613"/>
      <c r="B412" s="613"/>
      <c r="C412" s="613"/>
      <c r="D412" s="615"/>
      <c r="E412" s="198"/>
      <c r="F412" s="198"/>
      <c r="G412" s="198"/>
      <c r="H412" s="198"/>
      <c r="I412" s="615"/>
      <c r="J412" s="198"/>
      <c r="K412" s="198"/>
      <c r="L412" s="198"/>
      <c r="M412" s="616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ht="12.75" customHeight="1">
      <c r="A413" s="613"/>
      <c r="B413" s="613"/>
      <c r="C413" s="613"/>
      <c r="D413" s="615"/>
      <c r="E413" s="198"/>
      <c r="F413" s="198"/>
      <c r="G413" s="198"/>
      <c r="H413" s="198"/>
      <c r="I413" s="615"/>
      <c r="J413" s="198"/>
      <c r="K413" s="198"/>
      <c r="L413" s="198"/>
      <c r="M413" s="616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ht="12.75" customHeight="1">
      <c r="A414" s="613"/>
      <c r="B414" s="613"/>
      <c r="C414" s="613"/>
      <c r="D414" s="615"/>
      <c r="E414" s="198"/>
      <c r="F414" s="198"/>
      <c r="G414" s="198"/>
      <c r="H414" s="198"/>
      <c r="I414" s="615"/>
      <c r="J414" s="198"/>
      <c r="K414" s="198"/>
      <c r="L414" s="198"/>
      <c r="M414" s="616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ht="12.75" customHeight="1">
      <c r="A415" s="613"/>
      <c r="B415" s="613"/>
      <c r="C415" s="613"/>
      <c r="D415" s="615"/>
      <c r="E415" s="198"/>
      <c r="F415" s="198"/>
      <c r="G415" s="198"/>
      <c r="H415" s="198"/>
      <c r="I415" s="615"/>
      <c r="J415" s="198"/>
      <c r="K415" s="198"/>
      <c r="L415" s="198"/>
      <c r="M415" s="616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ht="12.75" customHeight="1">
      <c r="A416" s="613"/>
      <c r="B416" s="613"/>
      <c r="C416" s="613"/>
      <c r="D416" s="615"/>
      <c r="E416" s="198"/>
      <c r="F416" s="198"/>
      <c r="G416" s="198"/>
      <c r="H416" s="198"/>
      <c r="I416" s="615"/>
      <c r="J416" s="198"/>
      <c r="K416" s="198"/>
      <c r="L416" s="198"/>
      <c r="M416" s="616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ht="12.75" customHeight="1">
      <c r="A417" s="613"/>
      <c r="B417" s="613"/>
      <c r="C417" s="613"/>
      <c r="D417" s="615"/>
      <c r="E417" s="198"/>
      <c r="F417" s="198"/>
      <c r="G417" s="198"/>
      <c r="H417" s="198"/>
      <c r="I417" s="615"/>
      <c r="J417" s="198"/>
      <c r="K417" s="198"/>
      <c r="L417" s="198"/>
      <c r="M417" s="616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ht="12.75" customHeight="1">
      <c r="A418" s="613"/>
      <c r="B418" s="613"/>
      <c r="C418" s="613"/>
      <c r="D418" s="615"/>
      <c r="E418" s="198"/>
      <c r="F418" s="198"/>
      <c r="G418" s="198"/>
      <c r="H418" s="198"/>
      <c r="I418" s="615"/>
      <c r="J418" s="198"/>
      <c r="K418" s="198"/>
      <c r="L418" s="198"/>
      <c r="M418" s="616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ht="12.75" customHeight="1">
      <c r="A419" s="613"/>
      <c r="B419" s="613"/>
      <c r="C419" s="613"/>
      <c r="D419" s="615"/>
      <c r="E419" s="198"/>
      <c r="F419" s="198"/>
      <c r="G419" s="198"/>
      <c r="H419" s="198"/>
      <c r="I419" s="615"/>
      <c r="J419" s="198"/>
      <c r="K419" s="198"/>
      <c r="L419" s="198"/>
      <c r="M419" s="616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ht="12.75" customHeight="1">
      <c r="A420" s="613"/>
      <c r="B420" s="613"/>
      <c r="C420" s="613"/>
      <c r="D420" s="615"/>
      <c r="E420" s="198"/>
      <c r="F420" s="198"/>
      <c r="G420" s="198"/>
      <c r="H420" s="198"/>
      <c r="I420" s="615"/>
      <c r="J420" s="198"/>
      <c r="K420" s="198"/>
      <c r="L420" s="198"/>
      <c r="M420" s="616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ht="12.75" customHeight="1">
      <c r="A421" s="613"/>
      <c r="B421" s="613"/>
      <c r="C421" s="613"/>
      <c r="D421" s="615"/>
      <c r="E421" s="198"/>
      <c r="F421" s="198"/>
      <c r="G421" s="198"/>
      <c r="H421" s="198"/>
      <c r="I421" s="615"/>
      <c r="J421" s="198"/>
      <c r="K421" s="198"/>
      <c r="L421" s="198"/>
      <c r="M421" s="616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ht="12.75" customHeight="1">
      <c r="A422" s="613"/>
      <c r="B422" s="613"/>
      <c r="C422" s="613"/>
      <c r="D422" s="615"/>
      <c r="E422" s="198"/>
      <c r="F422" s="198"/>
      <c r="G422" s="198"/>
      <c r="H422" s="198"/>
      <c r="I422" s="615"/>
      <c r="J422" s="198"/>
      <c r="K422" s="198"/>
      <c r="L422" s="198"/>
      <c r="M422" s="616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ht="12.75" customHeight="1">
      <c r="A423" s="613"/>
      <c r="B423" s="613"/>
      <c r="C423" s="613"/>
      <c r="D423" s="615"/>
      <c r="E423" s="198"/>
      <c r="F423" s="198"/>
      <c r="G423" s="198"/>
      <c r="H423" s="198"/>
      <c r="I423" s="615"/>
      <c r="J423" s="198"/>
      <c r="K423" s="198"/>
      <c r="L423" s="198"/>
      <c r="M423" s="616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ht="12.75" customHeight="1">
      <c r="A424" s="613"/>
      <c r="B424" s="613"/>
      <c r="C424" s="613"/>
      <c r="D424" s="615"/>
      <c r="E424" s="198"/>
      <c r="F424" s="198"/>
      <c r="G424" s="198"/>
      <c r="H424" s="198"/>
      <c r="I424" s="615"/>
      <c r="J424" s="198"/>
      <c r="K424" s="198"/>
      <c r="L424" s="198"/>
      <c r="M424" s="616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ht="12.75" customHeight="1">
      <c r="A425" s="613"/>
      <c r="B425" s="613"/>
      <c r="C425" s="613"/>
      <c r="D425" s="615"/>
      <c r="E425" s="198"/>
      <c r="F425" s="198"/>
      <c r="G425" s="198"/>
      <c r="H425" s="198"/>
      <c r="I425" s="615"/>
      <c r="J425" s="198"/>
      <c r="K425" s="198"/>
      <c r="L425" s="198"/>
      <c r="M425" s="616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ht="12.75" customHeight="1">
      <c r="A426" s="613"/>
      <c r="B426" s="613"/>
      <c r="C426" s="613"/>
      <c r="D426" s="615"/>
      <c r="E426" s="198"/>
      <c r="F426" s="198"/>
      <c r="G426" s="198"/>
      <c r="H426" s="198"/>
      <c r="I426" s="615"/>
      <c r="J426" s="198"/>
      <c r="K426" s="198"/>
      <c r="L426" s="198"/>
      <c r="M426" s="616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ht="12.75" customHeight="1">
      <c r="A427" s="613"/>
      <c r="B427" s="613"/>
      <c r="C427" s="613"/>
      <c r="D427" s="615"/>
      <c r="E427" s="198"/>
      <c r="F427" s="198"/>
      <c r="G427" s="198"/>
      <c r="H427" s="198"/>
      <c r="I427" s="615"/>
      <c r="J427" s="198"/>
      <c r="K427" s="198"/>
      <c r="L427" s="198"/>
      <c r="M427" s="616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ht="12.75" customHeight="1">
      <c r="A428" s="613"/>
      <c r="B428" s="613"/>
      <c r="C428" s="613"/>
      <c r="D428" s="615"/>
      <c r="E428" s="198"/>
      <c r="F428" s="198"/>
      <c r="G428" s="198"/>
      <c r="H428" s="198"/>
      <c r="I428" s="615"/>
      <c r="J428" s="198"/>
      <c r="K428" s="198"/>
      <c r="L428" s="198"/>
      <c r="M428" s="616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ht="12.75" customHeight="1">
      <c r="A429" s="613"/>
      <c r="B429" s="613"/>
      <c r="C429" s="613"/>
      <c r="D429" s="615"/>
      <c r="E429" s="198"/>
      <c r="F429" s="198"/>
      <c r="G429" s="198"/>
      <c r="H429" s="198"/>
      <c r="I429" s="615"/>
      <c r="J429" s="198"/>
      <c r="K429" s="198"/>
      <c r="L429" s="198"/>
      <c r="M429" s="616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ht="12.75" customHeight="1">
      <c r="A430" s="613"/>
      <c r="B430" s="613"/>
      <c r="C430" s="613"/>
      <c r="D430" s="615"/>
      <c r="E430" s="198"/>
      <c r="F430" s="198"/>
      <c r="G430" s="198"/>
      <c r="H430" s="198"/>
      <c r="I430" s="615"/>
      <c r="J430" s="198"/>
      <c r="K430" s="198"/>
      <c r="L430" s="198"/>
      <c r="M430" s="616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ht="12.75" customHeight="1">
      <c r="A431" s="613"/>
      <c r="B431" s="613"/>
      <c r="C431" s="613"/>
      <c r="D431" s="615"/>
      <c r="E431" s="198"/>
      <c r="F431" s="198"/>
      <c r="G431" s="198"/>
      <c r="H431" s="198"/>
      <c r="I431" s="615"/>
      <c r="J431" s="198"/>
      <c r="K431" s="198"/>
      <c r="L431" s="198"/>
      <c r="M431" s="616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ht="12.75" customHeight="1">
      <c r="A432" s="613"/>
      <c r="B432" s="613"/>
      <c r="C432" s="613"/>
      <c r="D432" s="615"/>
      <c r="E432" s="198"/>
      <c r="F432" s="198"/>
      <c r="G432" s="198"/>
      <c r="H432" s="198"/>
      <c r="I432" s="615"/>
      <c r="J432" s="198"/>
      <c r="K432" s="198"/>
      <c r="L432" s="198"/>
      <c r="M432" s="616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ht="12.75" customHeight="1">
      <c r="A433" s="613"/>
      <c r="B433" s="613"/>
      <c r="C433" s="613"/>
      <c r="D433" s="615"/>
      <c r="E433" s="198"/>
      <c r="F433" s="198"/>
      <c r="G433" s="198"/>
      <c r="H433" s="198"/>
      <c r="I433" s="615"/>
      <c r="J433" s="198"/>
      <c r="K433" s="198"/>
      <c r="L433" s="198"/>
      <c r="M433" s="616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ht="12.75" customHeight="1">
      <c r="A434" s="613"/>
      <c r="B434" s="613"/>
      <c r="C434" s="613"/>
      <c r="D434" s="615"/>
      <c r="E434" s="198"/>
      <c r="F434" s="198"/>
      <c r="G434" s="198"/>
      <c r="H434" s="198"/>
      <c r="I434" s="615"/>
      <c r="J434" s="198"/>
      <c r="K434" s="198"/>
      <c r="L434" s="198"/>
      <c r="M434" s="616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ht="12.75" customHeight="1">
      <c r="A435" s="613"/>
      <c r="B435" s="613"/>
      <c r="C435" s="613"/>
      <c r="D435" s="615"/>
      <c r="E435" s="198"/>
      <c r="F435" s="198"/>
      <c r="G435" s="198"/>
      <c r="H435" s="198"/>
      <c r="I435" s="615"/>
      <c r="J435" s="198"/>
      <c r="K435" s="198"/>
      <c r="L435" s="198"/>
      <c r="M435" s="616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ht="12.75" customHeight="1">
      <c r="A436" s="613"/>
      <c r="B436" s="613"/>
      <c r="C436" s="613"/>
      <c r="D436" s="615"/>
      <c r="E436" s="198"/>
      <c r="F436" s="198"/>
      <c r="G436" s="198"/>
      <c r="H436" s="198"/>
      <c r="I436" s="615"/>
      <c r="J436" s="198"/>
      <c r="K436" s="198"/>
      <c r="L436" s="198"/>
      <c r="M436" s="616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ht="12.75" customHeight="1">
      <c r="A437" s="613"/>
      <c r="B437" s="613"/>
      <c r="C437" s="613"/>
      <c r="D437" s="615"/>
      <c r="E437" s="198"/>
      <c r="F437" s="198"/>
      <c r="G437" s="198"/>
      <c r="H437" s="198"/>
      <c r="I437" s="615"/>
      <c r="J437" s="198"/>
      <c r="K437" s="198"/>
      <c r="L437" s="198"/>
      <c r="M437" s="616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ht="12.75" customHeight="1">
      <c r="A438" s="613"/>
      <c r="B438" s="613"/>
      <c r="C438" s="613"/>
      <c r="D438" s="615"/>
      <c r="E438" s="198"/>
      <c r="F438" s="198"/>
      <c r="G438" s="198"/>
      <c r="H438" s="198"/>
      <c r="I438" s="615"/>
      <c r="J438" s="198"/>
      <c r="K438" s="198"/>
      <c r="L438" s="198"/>
      <c r="M438" s="616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ht="12.75" customHeight="1">
      <c r="A439" s="613"/>
      <c r="B439" s="613"/>
      <c r="C439" s="613"/>
      <c r="D439" s="615"/>
      <c r="E439" s="198"/>
      <c r="F439" s="198"/>
      <c r="G439" s="198"/>
      <c r="H439" s="198"/>
      <c r="I439" s="615"/>
      <c r="J439" s="198"/>
      <c r="K439" s="198"/>
      <c r="L439" s="198"/>
      <c r="M439" s="616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ht="12.75" customHeight="1">
      <c r="A440" s="613"/>
      <c r="B440" s="613"/>
      <c r="C440" s="613"/>
      <c r="D440" s="615"/>
      <c r="E440" s="198"/>
      <c r="F440" s="198"/>
      <c r="G440" s="198"/>
      <c r="H440" s="198"/>
      <c r="I440" s="615"/>
      <c r="J440" s="198"/>
      <c r="K440" s="198"/>
      <c r="L440" s="198"/>
      <c r="M440" s="616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ht="12.75" customHeight="1">
      <c r="A441" s="613"/>
      <c r="B441" s="613"/>
      <c r="C441" s="613"/>
      <c r="D441" s="615"/>
      <c r="E441" s="198"/>
      <c r="F441" s="198"/>
      <c r="G441" s="198"/>
      <c r="H441" s="198"/>
      <c r="I441" s="615"/>
      <c r="J441" s="198"/>
      <c r="K441" s="198"/>
      <c r="L441" s="198"/>
      <c r="M441" s="616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ht="12.75" customHeight="1">
      <c r="A442" s="613"/>
      <c r="B442" s="613"/>
      <c r="C442" s="613"/>
      <c r="D442" s="615"/>
      <c r="E442" s="198"/>
      <c r="F442" s="198"/>
      <c r="G442" s="198"/>
      <c r="H442" s="198"/>
      <c r="I442" s="615"/>
      <c r="J442" s="198"/>
      <c r="K442" s="198"/>
      <c r="L442" s="198"/>
      <c r="M442" s="616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ht="12.75" customHeight="1">
      <c r="A443" s="613"/>
      <c r="B443" s="613"/>
      <c r="C443" s="613"/>
      <c r="D443" s="615"/>
      <c r="E443" s="198"/>
      <c r="F443" s="198"/>
      <c r="G443" s="198"/>
      <c r="H443" s="198"/>
      <c r="I443" s="615"/>
      <c r="J443" s="198"/>
      <c r="K443" s="198"/>
      <c r="L443" s="198"/>
      <c r="M443" s="616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ht="12.75" customHeight="1">
      <c r="A444" s="613"/>
      <c r="B444" s="613"/>
      <c r="C444" s="613"/>
      <c r="D444" s="615"/>
      <c r="E444" s="198"/>
      <c r="F444" s="198"/>
      <c r="G444" s="198"/>
      <c r="H444" s="198"/>
      <c r="I444" s="615"/>
      <c r="J444" s="198"/>
      <c r="K444" s="198"/>
      <c r="L444" s="198"/>
      <c r="M444" s="616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ht="12.75" customHeight="1">
      <c r="A445" s="613"/>
      <c r="B445" s="613"/>
      <c r="C445" s="613"/>
      <c r="D445" s="615"/>
      <c r="E445" s="198"/>
      <c r="F445" s="198"/>
      <c r="G445" s="198"/>
      <c r="H445" s="198"/>
      <c r="I445" s="615"/>
      <c r="J445" s="198"/>
      <c r="K445" s="198"/>
      <c r="L445" s="198"/>
      <c r="M445" s="616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ht="12.75" customHeight="1">
      <c r="A446" s="613"/>
      <c r="B446" s="613"/>
      <c r="C446" s="613"/>
      <c r="D446" s="615"/>
      <c r="E446" s="198"/>
      <c r="F446" s="198"/>
      <c r="G446" s="198"/>
      <c r="H446" s="198"/>
      <c r="I446" s="615"/>
      <c r="J446" s="198"/>
      <c r="K446" s="198"/>
      <c r="L446" s="198"/>
      <c r="M446" s="616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ht="12.75" customHeight="1">
      <c r="A447" s="613"/>
      <c r="B447" s="613"/>
      <c r="C447" s="613"/>
      <c r="D447" s="615"/>
      <c r="E447" s="198"/>
      <c r="F447" s="198"/>
      <c r="G447" s="198"/>
      <c r="H447" s="198"/>
      <c r="I447" s="615"/>
      <c r="J447" s="198"/>
      <c r="K447" s="198"/>
      <c r="L447" s="198"/>
      <c r="M447" s="616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ht="12.75" customHeight="1">
      <c r="A448" s="613"/>
      <c r="B448" s="613"/>
      <c r="C448" s="613"/>
      <c r="D448" s="615"/>
      <c r="E448" s="198"/>
      <c r="F448" s="198"/>
      <c r="G448" s="198"/>
      <c r="H448" s="198"/>
      <c r="I448" s="615"/>
      <c r="J448" s="198"/>
      <c r="K448" s="198"/>
      <c r="L448" s="198"/>
      <c r="M448" s="616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ht="12.75" customHeight="1">
      <c r="A449" s="613"/>
      <c r="B449" s="613"/>
      <c r="C449" s="613"/>
      <c r="D449" s="615"/>
      <c r="E449" s="198"/>
      <c r="F449" s="198"/>
      <c r="G449" s="198"/>
      <c r="H449" s="198"/>
      <c r="I449" s="615"/>
      <c r="J449" s="198"/>
      <c r="K449" s="198"/>
      <c r="L449" s="198"/>
      <c r="M449" s="616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ht="12.75" customHeight="1">
      <c r="A450" s="613"/>
      <c r="B450" s="613"/>
      <c r="C450" s="613"/>
      <c r="D450" s="615"/>
      <c r="E450" s="198"/>
      <c r="F450" s="198"/>
      <c r="G450" s="198"/>
      <c r="H450" s="198"/>
      <c r="I450" s="615"/>
      <c r="J450" s="198"/>
      <c r="K450" s="198"/>
      <c r="L450" s="198"/>
      <c r="M450" s="616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ht="12.75" customHeight="1">
      <c r="A451" s="613"/>
      <c r="B451" s="613"/>
      <c r="C451" s="613"/>
      <c r="D451" s="615"/>
      <c r="E451" s="198"/>
      <c r="F451" s="198"/>
      <c r="G451" s="198"/>
      <c r="H451" s="198"/>
      <c r="I451" s="615"/>
      <c r="J451" s="198"/>
      <c r="K451" s="198"/>
      <c r="L451" s="198"/>
      <c r="M451" s="616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ht="12.75" customHeight="1">
      <c r="A452" s="613"/>
      <c r="B452" s="613"/>
      <c r="C452" s="613"/>
      <c r="D452" s="615"/>
      <c r="E452" s="198"/>
      <c r="F452" s="198"/>
      <c r="G452" s="198"/>
      <c r="H452" s="198"/>
      <c r="I452" s="615"/>
      <c r="J452" s="198"/>
      <c r="K452" s="198"/>
      <c r="L452" s="198"/>
      <c r="M452" s="616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ht="12.75" customHeight="1">
      <c r="A453" s="613"/>
      <c r="B453" s="613"/>
      <c r="C453" s="613"/>
      <c r="D453" s="615"/>
      <c r="E453" s="198"/>
      <c r="F453" s="198"/>
      <c r="G453" s="198"/>
      <c r="H453" s="198"/>
      <c r="I453" s="615"/>
      <c r="J453" s="198"/>
      <c r="K453" s="198"/>
      <c r="L453" s="198"/>
      <c r="M453" s="616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ht="12.75" customHeight="1">
      <c r="A454" s="613"/>
      <c r="B454" s="613"/>
      <c r="C454" s="613"/>
      <c r="D454" s="615"/>
      <c r="E454" s="198"/>
      <c r="F454" s="198"/>
      <c r="G454" s="198"/>
      <c r="H454" s="198"/>
      <c r="I454" s="615"/>
      <c r="J454" s="198"/>
      <c r="K454" s="198"/>
      <c r="L454" s="198"/>
      <c r="M454" s="616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ht="12.75" customHeight="1">
      <c r="A455" s="613"/>
      <c r="B455" s="613"/>
      <c r="C455" s="613"/>
      <c r="D455" s="615"/>
      <c r="E455" s="198"/>
      <c r="F455" s="198"/>
      <c r="G455" s="198"/>
      <c r="H455" s="198"/>
      <c r="I455" s="615"/>
      <c r="J455" s="198"/>
      <c r="K455" s="198"/>
      <c r="L455" s="198"/>
      <c r="M455" s="616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ht="12.75" customHeight="1">
      <c r="A456" s="613"/>
      <c r="B456" s="613"/>
      <c r="C456" s="613"/>
      <c r="D456" s="615"/>
      <c r="E456" s="198"/>
      <c r="F456" s="198"/>
      <c r="G456" s="198"/>
      <c r="H456" s="198"/>
      <c r="I456" s="615"/>
      <c r="J456" s="198"/>
      <c r="K456" s="198"/>
      <c r="L456" s="198"/>
      <c r="M456" s="616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ht="12.75" customHeight="1">
      <c r="A457" s="613"/>
      <c r="B457" s="613"/>
      <c r="C457" s="613"/>
      <c r="D457" s="615"/>
      <c r="E457" s="198"/>
      <c r="F457" s="198"/>
      <c r="G457" s="198"/>
      <c r="H457" s="198"/>
      <c r="I457" s="615"/>
      <c r="J457" s="198"/>
      <c r="K457" s="198"/>
      <c r="L457" s="198"/>
      <c r="M457" s="616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ht="12.75" customHeight="1">
      <c r="A458" s="613"/>
      <c r="B458" s="613"/>
      <c r="C458" s="613"/>
      <c r="D458" s="615"/>
      <c r="E458" s="198"/>
      <c r="F458" s="198"/>
      <c r="G458" s="198"/>
      <c r="H458" s="198"/>
      <c r="I458" s="615"/>
      <c r="J458" s="198"/>
      <c r="K458" s="198"/>
      <c r="L458" s="198"/>
      <c r="M458" s="616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ht="12.75" customHeight="1">
      <c r="A459" s="613"/>
      <c r="B459" s="613"/>
      <c r="C459" s="613"/>
      <c r="D459" s="615"/>
      <c r="E459" s="198"/>
      <c r="F459" s="198"/>
      <c r="G459" s="198"/>
      <c r="H459" s="198"/>
      <c r="I459" s="615"/>
      <c r="J459" s="198"/>
      <c r="K459" s="198"/>
      <c r="L459" s="198"/>
      <c r="M459" s="616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ht="12.75" customHeight="1">
      <c r="A460" s="613"/>
      <c r="B460" s="613"/>
      <c r="C460" s="613"/>
      <c r="D460" s="615"/>
      <c r="E460" s="198"/>
      <c r="F460" s="198"/>
      <c r="G460" s="198"/>
      <c r="H460" s="198"/>
      <c r="I460" s="615"/>
      <c r="J460" s="198"/>
      <c r="K460" s="198"/>
      <c r="L460" s="198"/>
      <c r="M460" s="616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ht="12.75" customHeight="1">
      <c r="A461" s="613"/>
      <c r="B461" s="613"/>
      <c r="C461" s="613"/>
      <c r="D461" s="615"/>
      <c r="E461" s="198"/>
      <c r="F461" s="198"/>
      <c r="G461" s="198"/>
      <c r="H461" s="198"/>
      <c r="I461" s="615"/>
      <c r="J461" s="198"/>
      <c r="K461" s="198"/>
      <c r="L461" s="198"/>
      <c r="M461" s="616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ht="12.75" customHeight="1">
      <c r="A462" s="613"/>
      <c r="B462" s="613"/>
      <c r="C462" s="613"/>
      <c r="D462" s="615"/>
      <c r="E462" s="198"/>
      <c r="F462" s="198"/>
      <c r="G462" s="198"/>
      <c r="H462" s="198"/>
      <c r="I462" s="615"/>
      <c r="J462" s="198"/>
      <c r="K462" s="198"/>
      <c r="L462" s="198"/>
      <c r="M462" s="616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ht="12.75" customHeight="1">
      <c r="A463" s="613"/>
      <c r="B463" s="613"/>
      <c r="C463" s="613"/>
      <c r="D463" s="615"/>
      <c r="E463" s="198"/>
      <c r="F463" s="198"/>
      <c r="G463" s="198"/>
      <c r="H463" s="198"/>
      <c r="I463" s="615"/>
      <c r="J463" s="198"/>
      <c r="K463" s="198"/>
      <c r="L463" s="198"/>
      <c r="M463" s="616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ht="12.75" customHeight="1">
      <c r="A464" s="613"/>
      <c r="B464" s="613"/>
      <c r="C464" s="613"/>
      <c r="D464" s="615"/>
      <c r="E464" s="198"/>
      <c r="F464" s="198"/>
      <c r="G464" s="198"/>
      <c r="H464" s="198"/>
      <c r="I464" s="615"/>
      <c r="J464" s="198"/>
      <c r="K464" s="198"/>
      <c r="L464" s="198"/>
      <c r="M464" s="616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ht="12.75" customHeight="1">
      <c r="A465" s="613"/>
      <c r="B465" s="613"/>
      <c r="C465" s="613"/>
      <c r="D465" s="615"/>
      <c r="E465" s="198"/>
      <c r="F465" s="198"/>
      <c r="G465" s="198"/>
      <c r="H465" s="198"/>
      <c r="I465" s="615"/>
      <c r="J465" s="198"/>
      <c r="K465" s="198"/>
      <c r="L465" s="198"/>
      <c r="M465" s="616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ht="12.75" customHeight="1">
      <c r="A466" s="613"/>
      <c r="B466" s="613"/>
      <c r="C466" s="613"/>
      <c r="D466" s="615"/>
      <c r="E466" s="198"/>
      <c r="F466" s="198"/>
      <c r="G466" s="198"/>
      <c r="H466" s="198"/>
      <c r="I466" s="615"/>
      <c r="J466" s="198"/>
      <c r="K466" s="198"/>
      <c r="L466" s="198"/>
      <c r="M466" s="616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ht="12.75" customHeight="1">
      <c r="A467" s="613"/>
      <c r="B467" s="613"/>
      <c r="C467" s="613"/>
      <c r="D467" s="615"/>
      <c r="E467" s="198"/>
      <c r="F467" s="198"/>
      <c r="G467" s="198"/>
      <c r="H467" s="198"/>
      <c r="I467" s="615"/>
      <c r="J467" s="198"/>
      <c r="K467" s="198"/>
      <c r="L467" s="198"/>
      <c r="M467" s="616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ht="12.75" customHeight="1">
      <c r="A468" s="613"/>
      <c r="B468" s="613"/>
      <c r="C468" s="613"/>
      <c r="D468" s="615"/>
      <c r="E468" s="198"/>
      <c r="F468" s="198"/>
      <c r="G468" s="198"/>
      <c r="H468" s="198"/>
      <c r="I468" s="615"/>
      <c r="J468" s="198"/>
      <c r="K468" s="198"/>
      <c r="L468" s="198"/>
      <c r="M468" s="616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ht="12.75" customHeight="1">
      <c r="A469" s="613"/>
      <c r="B469" s="613"/>
      <c r="C469" s="613"/>
      <c r="D469" s="615"/>
      <c r="E469" s="198"/>
      <c r="F469" s="198"/>
      <c r="G469" s="198"/>
      <c r="H469" s="198"/>
      <c r="I469" s="615"/>
      <c r="J469" s="198"/>
      <c r="K469" s="198"/>
      <c r="L469" s="198"/>
      <c r="M469" s="616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ht="12.75" customHeight="1">
      <c r="A470" s="613"/>
      <c r="B470" s="613"/>
      <c r="C470" s="613"/>
      <c r="D470" s="615"/>
      <c r="E470" s="198"/>
      <c r="F470" s="198"/>
      <c r="G470" s="198"/>
      <c r="H470" s="198"/>
      <c r="I470" s="615"/>
      <c r="J470" s="198"/>
      <c r="K470" s="198"/>
      <c r="L470" s="198"/>
      <c r="M470" s="616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ht="12.75" customHeight="1">
      <c r="A471" s="613"/>
      <c r="B471" s="613"/>
      <c r="C471" s="613"/>
      <c r="D471" s="615"/>
      <c r="E471" s="198"/>
      <c r="F471" s="198"/>
      <c r="G471" s="198"/>
      <c r="H471" s="198"/>
      <c r="I471" s="615"/>
      <c r="J471" s="198"/>
      <c r="K471" s="198"/>
      <c r="L471" s="198"/>
      <c r="M471" s="616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ht="12.75" customHeight="1">
      <c r="A472" s="613"/>
      <c r="B472" s="613"/>
      <c r="C472" s="613"/>
      <c r="D472" s="615"/>
      <c r="E472" s="198"/>
      <c r="F472" s="198"/>
      <c r="G472" s="198"/>
      <c r="H472" s="198"/>
      <c r="I472" s="615"/>
      <c r="J472" s="198"/>
      <c r="K472" s="198"/>
      <c r="L472" s="198"/>
      <c r="M472" s="616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ht="12.75" customHeight="1">
      <c r="A473" s="613"/>
      <c r="B473" s="613"/>
      <c r="C473" s="613"/>
      <c r="D473" s="615"/>
      <c r="E473" s="198"/>
      <c r="F473" s="198"/>
      <c r="G473" s="198"/>
      <c r="H473" s="198"/>
      <c r="I473" s="615"/>
      <c r="J473" s="198"/>
      <c r="K473" s="198"/>
      <c r="L473" s="198"/>
      <c r="M473" s="616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ht="12.75" customHeight="1">
      <c r="A474" s="613"/>
      <c r="B474" s="613"/>
      <c r="C474" s="613"/>
      <c r="D474" s="615"/>
      <c r="E474" s="198"/>
      <c r="F474" s="198"/>
      <c r="G474" s="198"/>
      <c r="H474" s="198"/>
      <c r="I474" s="615"/>
      <c r="J474" s="198"/>
      <c r="K474" s="198"/>
      <c r="L474" s="198"/>
      <c r="M474" s="616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ht="12.75" customHeight="1">
      <c r="A475" s="613"/>
      <c r="B475" s="613"/>
      <c r="C475" s="613"/>
      <c r="D475" s="615"/>
      <c r="E475" s="198"/>
      <c r="F475" s="198"/>
      <c r="G475" s="198"/>
      <c r="H475" s="198"/>
      <c r="I475" s="615"/>
      <c r="J475" s="198"/>
      <c r="K475" s="198"/>
      <c r="L475" s="198"/>
      <c r="M475" s="616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ht="12.75" customHeight="1">
      <c r="A476" s="613"/>
      <c r="B476" s="613"/>
      <c r="C476" s="613"/>
      <c r="D476" s="615"/>
      <c r="E476" s="198"/>
      <c r="F476" s="198"/>
      <c r="G476" s="198"/>
      <c r="H476" s="198"/>
      <c r="I476" s="615"/>
      <c r="J476" s="198"/>
      <c r="K476" s="198"/>
      <c r="L476" s="198"/>
      <c r="M476" s="616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ht="12.75" customHeight="1">
      <c r="A477" s="613"/>
      <c r="B477" s="613"/>
      <c r="C477" s="613"/>
      <c r="D477" s="615"/>
      <c r="E477" s="198"/>
      <c r="F477" s="198"/>
      <c r="G477" s="198"/>
      <c r="H477" s="198"/>
      <c r="I477" s="615"/>
      <c r="J477" s="198"/>
      <c r="K477" s="198"/>
      <c r="L477" s="198"/>
      <c r="M477" s="616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ht="12.75" customHeight="1">
      <c r="A478" s="613"/>
      <c r="B478" s="613"/>
      <c r="C478" s="613"/>
      <c r="D478" s="615"/>
      <c r="E478" s="198"/>
      <c r="F478" s="198"/>
      <c r="G478" s="198"/>
      <c r="H478" s="198"/>
      <c r="I478" s="615"/>
      <c r="J478" s="198"/>
      <c r="K478" s="198"/>
      <c r="L478" s="198"/>
      <c r="M478" s="616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ht="12.75" customHeight="1">
      <c r="A479" s="613"/>
      <c r="B479" s="613"/>
      <c r="C479" s="613"/>
      <c r="D479" s="615"/>
      <c r="E479" s="198"/>
      <c r="F479" s="198"/>
      <c r="G479" s="198"/>
      <c r="H479" s="198"/>
      <c r="I479" s="615"/>
      <c r="J479" s="198"/>
      <c r="K479" s="198"/>
      <c r="L479" s="198"/>
      <c r="M479" s="616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ht="12.75" customHeight="1">
      <c r="A480" s="613"/>
      <c r="B480" s="613"/>
      <c r="C480" s="613"/>
      <c r="D480" s="615"/>
      <c r="E480" s="198"/>
      <c r="F480" s="198"/>
      <c r="G480" s="198"/>
      <c r="H480" s="198"/>
      <c r="I480" s="615"/>
      <c r="J480" s="198"/>
      <c r="K480" s="198"/>
      <c r="L480" s="198"/>
      <c r="M480" s="616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ht="12.75" customHeight="1">
      <c r="A481" s="613"/>
      <c r="B481" s="613"/>
      <c r="C481" s="613"/>
      <c r="D481" s="615"/>
      <c r="E481" s="198"/>
      <c r="F481" s="198"/>
      <c r="G481" s="198"/>
      <c r="H481" s="198"/>
      <c r="I481" s="615"/>
      <c r="J481" s="198"/>
      <c r="K481" s="198"/>
      <c r="L481" s="198"/>
      <c r="M481" s="616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ht="12.75" customHeight="1">
      <c r="A482" s="613"/>
      <c r="B482" s="613"/>
      <c r="C482" s="613"/>
      <c r="D482" s="615"/>
      <c r="E482" s="198"/>
      <c r="F482" s="198"/>
      <c r="G482" s="198"/>
      <c r="H482" s="198"/>
      <c r="I482" s="615"/>
      <c r="J482" s="198"/>
      <c r="K482" s="198"/>
      <c r="L482" s="198"/>
      <c r="M482" s="616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ht="12.75" customHeight="1">
      <c r="A483" s="613"/>
      <c r="B483" s="613"/>
      <c r="C483" s="613"/>
      <c r="D483" s="615"/>
      <c r="E483" s="198"/>
      <c r="F483" s="198"/>
      <c r="G483" s="198"/>
      <c r="H483" s="198"/>
      <c r="I483" s="615"/>
      <c r="J483" s="198"/>
      <c r="K483" s="198"/>
      <c r="L483" s="198"/>
      <c r="M483" s="616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ht="12.75" customHeight="1">
      <c r="A484" s="613"/>
      <c r="B484" s="613"/>
      <c r="C484" s="613"/>
      <c r="D484" s="615"/>
      <c r="E484" s="198"/>
      <c r="F484" s="198"/>
      <c r="G484" s="198"/>
      <c r="H484" s="198"/>
      <c r="I484" s="615"/>
      <c r="J484" s="198"/>
      <c r="K484" s="198"/>
      <c r="L484" s="198"/>
      <c r="M484" s="616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ht="12.75" customHeight="1">
      <c r="A485" s="613"/>
      <c r="B485" s="613"/>
      <c r="C485" s="613"/>
      <c r="D485" s="615"/>
      <c r="E485" s="198"/>
      <c r="F485" s="198"/>
      <c r="G485" s="198"/>
      <c r="H485" s="198"/>
      <c r="I485" s="615"/>
      <c r="J485" s="198"/>
      <c r="K485" s="198"/>
      <c r="L485" s="198"/>
      <c r="M485" s="616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ht="12.75" customHeight="1">
      <c r="A486" s="613"/>
      <c r="B486" s="613"/>
      <c r="C486" s="613"/>
      <c r="D486" s="615"/>
      <c r="E486" s="198"/>
      <c r="F486" s="198"/>
      <c r="G486" s="198"/>
      <c r="H486" s="198"/>
      <c r="I486" s="615"/>
      <c r="J486" s="198"/>
      <c r="K486" s="198"/>
      <c r="L486" s="198"/>
      <c r="M486" s="616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ht="12.75" customHeight="1">
      <c r="A487" s="613"/>
      <c r="B487" s="613"/>
      <c r="C487" s="613"/>
      <c r="D487" s="615"/>
      <c r="E487" s="198"/>
      <c r="F487" s="198"/>
      <c r="G487" s="198"/>
      <c r="H487" s="198"/>
      <c r="I487" s="615"/>
      <c r="J487" s="198"/>
      <c r="K487" s="198"/>
      <c r="L487" s="198"/>
      <c r="M487" s="616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ht="12.75" customHeight="1">
      <c r="A488" s="613"/>
      <c r="B488" s="613"/>
      <c r="C488" s="613"/>
      <c r="D488" s="615"/>
      <c r="E488" s="198"/>
      <c r="F488" s="198"/>
      <c r="G488" s="198"/>
      <c r="H488" s="198"/>
      <c r="I488" s="615"/>
      <c r="J488" s="198"/>
      <c r="K488" s="198"/>
      <c r="L488" s="198"/>
      <c r="M488" s="616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ht="12.75" customHeight="1">
      <c r="A489" s="613"/>
      <c r="B489" s="613"/>
      <c r="C489" s="613"/>
      <c r="D489" s="615"/>
      <c r="E489" s="198"/>
      <c r="F489" s="198"/>
      <c r="G489" s="198"/>
      <c r="H489" s="198"/>
      <c r="I489" s="615"/>
      <c r="J489" s="198"/>
      <c r="K489" s="198"/>
      <c r="L489" s="198"/>
      <c r="M489" s="616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ht="12.75" customHeight="1">
      <c r="A490" s="613"/>
      <c r="B490" s="613"/>
      <c r="C490" s="613"/>
      <c r="D490" s="615"/>
      <c r="E490" s="198"/>
      <c r="F490" s="198"/>
      <c r="G490" s="198"/>
      <c r="H490" s="198"/>
      <c r="I490" s="615"/>
      <c r="J490" s="198"/>
      <c r="K490" s="198"/>
      <c r="L490" s="198"/>
      <c r="M490" s="616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ht="12.75" customHeight="1">
      <c r="A491" s="613"/>
      <c r="B491" s="613"/>
      <c r="C491" s="613"/>
      <c r="D491" s="615"/>
      <c r="E491" s="198"/>
      <c r="F491" s="198"/>
      <c r="G491" s="198"/>
      <c r="H491" s="198"/>
      <c r="I491" s="615"/>
      <c r="J491" s="198"/>
      <c r="K491" s="198"/>
      <c r="L491" s="198"/>
      <c r="M491" s="616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ht="12.75" customHeight="1">
      <c r="A492" s="613"/>
      <c r="B492" s="613"/>
      <c r="C492" s="613"/>
      <c r="D492" s="615"/>
      <c r="E492" s="198"/>
      <c r="F492" s="198"/>
      <c r="G492" s="198"/>
      <c r="H492" s="198"/>
      <c r="I492" s="615"/>
      <c r="J492" s="198"/>
      <c r="K492" s="198"/>
      <c r="L492" s="198"/>
      <c r="M492" s="616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ht="12.75" customHeight="1">
      <c r="A493" s="613"/>
      <c r="B493" s="613"/>
      <c r="C493" s="613"/>
      <c r="D493" s="615"/>
      <c r="E493" s="198"/>
      <c r="F493" s="198"/>
      <c r="G493" s="198"/>
      <c r="H493" s="198"/>
      <c r="I493" s="615"/>
      <c r="J493" s="198"/>
      <c r="K493" s="198"/>
      <c r="L493" s="198"/>
      <c r="M493" s="616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ht="12.75" customHeight="1">
      <c r="A494" s="613"/>
      <c r="B494" s="613"/>
      <c r="C494" s="613"/>
      <c r="D494" s="615"/>
      <c r="E494" s="198"/>
      <c r="F494" s="198"/>
      <c r="G494" s="198"/>
      <c r="H494" s="198"/>
      <c r="I494" s="615"/>
      <c r="J494" s="198"/>
      <c r="K494" s="198"/>
      <c r="L494" s="198"/>
      <c r="M494" s="616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ht="12.75" customHeight="1">
      <c r="A495" s="613"/>
      <c r="B495" s="613"/>
      <c r="C495" s="613"/>
      <c r="D495" s="615"/>
      <c r="E495" s="198"/>
      <c r="F495" s="198"/>
      <c r="G495" s="198"/>
      <c r="H495" s="198"/>
      <c r="I495" s="615"/>
      <c r="J495" s="198"/>
      <c r="K495" s="198"/>
      <c r="L495" s="198"/>
      <c r="M495" s="616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ht="12.75" customHeight="1">
      <c r="A496" s="613"/>
      <c r="B496" s="613"/>
      <c r="C496" s="613"/>
      <c r="D496" s="615"/>
      <c r="E496" s="198"/>
      <c r="F496" s="198"/>
      <c r="G496" s="198"/>
      <c r="H496" s="198"/>
      <c r="I496" s="615"/>
      <c r="J496" s="198"/>
      <c r="K496" s="198"/>
      <c r="L496" s="198"/>
      <c r="M496" s="616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ht="12.75" customHeight="1">
      <c r="A497" s="613"/>
      <c r="B497" s="613"/>
      <c r="C497" s="613"/>
      <c r="D497" s="615"/>
      <c r="E497" s="198"/>
      <c r="F497" s="198"/>
      <c r="G497" s="198"/>
      <c r="H497" s="198"/>
      <c r="I497" s="615"/>
      <c r="J497" s="198"/>
      <c r="K497" s="198"/>
      <c r="L497" s="198"/>
      <c r="M497" s="616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ht="12.75" customHeight="1">
      <c r="A498" s="613"/>
      <c r="B498" s="613"/>
      <c r="C498" s="613"/>
      <c r="D498" s="615"/>
      <c r="E498" s="198"/>
      <c r="F498" s="198"/>
      <c r="G498" s="198"/>
      <c r="H498" s="198"/>
      <c r="I498" s="615"/>
      <c r="J498" s="198"/>
      <c r="K498" s="198"/>
      <c r="L498" s="198"/>
      <c r="M498" s="616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ht="12.75" customHeight="1">
      <c r="A499" s="613"/>
      <c r="B499" s="613"/>
      <c r="C499" s="613"/>
      <c r="D499" s="615"/>
      <c r="E499" s="198"/>
      <c r="F499" s="198"/>
      <c r="G499" s="198"/>
      <c r="H499" s="198"/>
      <c r="I499" s="615"/>
      <c r="J499" s="198"/>
      <c r="K499" s="198"/>
      <c r="L499" s="198"/>
      <c r="M499" s="616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ht="12.75" customHeight="1">
      <c r="A500" s="613"/>
      <c r="B500" s="613"/>
      <c r="C500" s="613"/>
      <c r="D500" s="615"/>
      <c r="E500" s="198"/>
      <c r="F500" s="198"/>
      <c r="G500" s="198"/>
      <c r="H500" s="198"/>
      <c r="I500" s="615"/>
      <c r="J500" s="198"/>
      <c r="K500" s="198"/>
      <c r="L500" s="198"/>
      <c r="M500" s="616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ht="12.75" customHeight="1">
      <c r="A501" s="613"/>
      <c r="B501" s="613"/>
      <c r="C501" s="613"/>
      <c r="D501" s="615"/>
      <c r="E501" s="198"/>
      <c r="F501" s="198"/>
      <c r="G501" s="198"/>
      <c r="H501" s="198"/>
      <c r="I501" s="615"/>
      <c r="J501" s="198"/>
      <c r="K501" s="198"/>
      <c r="L501" s="198"/>
      <c r="M501" s="616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ht="12.75" customHeight="1">
      <c r="A502" s="613"/>
      <c r="B502" s="613"/>
      <c r="C502" s="613"/>
      <c r="D502" s="615"/>
      <c r="E502" s="198"/>
      <c r="F502" s="198"/>
      <c r="G502" s="198"/>
      <c r="H502" s="198"/>
      <c r="I502" s="615"/>
      <c r="J502" s="198"/>
      <c r="K502" s="198"/>
      <c r="L502" s="198"/>
      <c r="M502" s="616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ht="12.75" customHeight="1">
      <c r="A503" s="613"/>
      <c r="B503" s="613"/>
      <c r="C503" s="613"/>
      <c r="D503" s="615"/>
      <c r="E503" s="198"/>
      <c r="F503" s="198"/>
      <c r="G503" s="198"/>
      <c r="H503" s="198"/>
      <c r="I503" s="615"/>
      <c r="J503" s="198"/>
      <c r="K503" s="198"/>
      <c r="L503" s="198"/>
      <c r="M503" s="616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ht="12.75" customHeight="1">
      <c r="A504" s="613"/>
      <c r="B504" s="613"/>
      <c r="C504" s="613"/>
      <c r="D504" s="615"/>
      <c r="E504" s="198"/>
      <c r="F504" s="198"/>
      <c r="G504" s="198"/>
      <c r="H504" s="198"/>
      <c r="I504" s="615"/>
      <c r="J504" s="198"/>
      <c r="K504" s="198"/>
      <c r="L504" s="198"/>
      <c r="M504" s="616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ht="12.75" customHeight="1">
      <c r="A505" s="613"/>
      <c r="B505" s="613"/>
      <c r="C505" s="613"/>
      <c r="D505" s="615"/>
      <c r="E505" s="198"/>
      <c r="F505" s="198"/>
      <c r="G505" s="198"/>
      <c r="H505" s="198"/>
      <c r="I505" s="615"/>
      <c r="J505" s="198"/>
      <c r="K505" s="198"/>
      <c r="L505" s="198"/>
      <c r="M505" s="616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ht="12.75" customHeight="1">
      <c r="A506" s="613"/>
      <c r="B506" s="613"/>
      <c r="C506" s="613"/>
      <c r="D506" s="615"/>
      <c r="E506" s="198"/>
      <c r="F506" s="198"/>
      <c r="G506" s="198"/>
      <c r="H506" s="198"/>
      <c r="I506" s="615"/>
      <c r="J506" s="198"/>
      <c r="K506" s="198"/>
      <c r="L506" s="198"/>
      <c r="M506" s="616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ht="12.75" customHeight="1">
      <c r="A507" s="613"/>
      <c r="B507" s="613"/>
      <c r="C507" s="613"/>
      <c r="D507" s="615"/>
      <c r="E507" s="198"/>
      <c r="F507" s="198"/>
      <c r="G507" s="198"/>
      <c r="H507" s="198"/>
      <c r="I507" s="615"/>
      <c r="J507" s="198"/>
      <c r="K507" s="198"/>
      <c r="L507" s="198"/>
      <c r="M507" s="616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ht="12.75" customHeight="1">
      <c r="A508" s="613"/>
      <c r="B508" s="613"/>
      <c r="C508" s="613"/>
      <c r="D508" s="615"/>
      <c r="E508" s="198"/>
      <c r="F508" s="198"/>
      <c r="G508" s="198"/>
      <c r="H508" s="198"/>
      <c r="I508" s="615"/>
      <c r="J508" s="198"/>
      <c r="K508" s="198"/>
      <c r="L508" s="198"/>
      <c r="M508" s="616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ht="12.75" customHeight="1">
      <c r="A509" s="613"/>
      <c r="B509" s="613"/>
      <c r="C509" s="613"/>
      <c r="D509" s="615"/>
      <c r="E509" s="198"/>
      <c r="F509" s="198"/>
      <c r="G509" s="198"/>
      <c r="H509" s="198"/>
      <c r="I509" s="615"/>
      <c r="J509" s="198"/>
      <c r="K509" s="198"/>
      <c r="L509" s="198"/>
      <c r="M509" s="616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ht="12.75" customHeight="1">
      <c r="A510" s="613"/>
      <c r="B510" s="613"/>
      <c r="C510" s="613"/>
      <c r="D510" s="615"/>
      <c r="E510" s="198"/>
      <c r="F510" s="198"/>
      <c r="G510" s="198"/>
      <c r="H510" s="198"/>
      <c r="I510" s="615"/>
      <c r="J510" s="198"/>
      <c r="K510" s="198"/>
      <c r="L510" s="198"/>
      <c r="M510" s="616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ht="12.75" customHeight="1">
      <c r="A511" s="613"/>
      <c r="B511" s="613"/>
      <c r="C511" s="613"/>
      <c r="D511" s="615"/>
      <c r="E511" s="198"/>
      <c r="F511" s="198"/>
      <c r="G511" s="198"/>
      <c r="H511" s="198"/>
      <c r="I511" s="615"/>
      <c r="J511" s="198"/>
      <c r="K511" s="198"/>
      <c r="L511" s="198"/>
      <c r="M511" s="616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ht="12.75" customHeight="1">
      <c r="A512" s="613"/>
      <c r="B512" s="613"/>
      <c r="C512" s="613"/>
      <c r="D512" s="615"/>
      <c r="E512" s="198"/>
      <c r="F512" s="198"/>
      <c r="G512" s="198"/>
      <c r="H512" s="198"/>
      <c r="I512" s="615"/>
      <c r="J512" s="198"/>
      <c r="K512" s="198"/>
      <c r="L512" s="198"/>
      <c r="M512" s="616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ht="12.75" customHeight="1">
      <c r="A513" s="613"/>
      <c r="B513" s="613"/>
      <c r="C513" s="613"/>
      <c r="D513" s="615"/>
      <c r="E513" s="198"/>
      <c r="F513" s="198"/>
      <c r="G513" s="198"/>
      <c r="H513" s="198"/>
      <c r="I513" s="615"/>
      <c r="J513" s="198"/>
      <c r="K513" s="198"/>
      <c r="L513" s="198"/>
      <c r="M513" s="616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ht="12.75" customHeight="1">
      <c r="A514" s="613"/>
      <c r="B514" s="613"/>
      <c r="C514" s="613"/>
      <c r="D514" s="615"/>
      <c r="E514" s="198"/>
      <c r="F514" s="198"/>
      <c r="G514" s="198"/>
      <c r="H514" s="198"/>
      <c r="I514" s="615"/>
      <c r="J514" s="198"/>
      <c r="K514" s="198"/>
      <c r="L514" s="198"/>
      <c r="M514" s="616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ht="12.75" customHeight="1">
      <c r="A515" s="613"/>
      <c r="B515" s="613"/>
      <c r="C515" s="613"/>
      <c r="D515" s="615"/>
      <c r="E515" s="198"/>
      <c r="F515" s="198"/>
      <c r="G515" s="198"/>
      <c r="H515" s="198"/>
      <c r="I515" s="615"/>
      <c r="J515" s="198"/>
      <c r="K515" s="198"/>
      <c r="L515" s="198"/>
      <c r="M515" s="616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ht="12.75" customHeight="1">
      <c r="A516" s="613"/>
      <c r="B516" s="613"/>
      <c r="C516" s="613"/>
      <c r="D516" s="615"/>
      <c r="E516" s="198"/>
      <c r="F516" s="198"/>
      <c r="G516" s="198"/>
      <c r="H516" s="198"/>
      <c r="I516" s="615"/>
      <c r="J516" s="198"/>
      <c r="K516" s="198"/>
      <c r="L516" s="198"/>
      <c r="M516" s="616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ht="12.75" customHeight="1">
      <c r="A517" s="613"/>
      <c r="B517" s="613"/>
      <c r="C517" s="613"/>
      <c r="D517" s="615"/>
      <c r="E517" s="198"/>
      <c r="F517" s="198"/>
      <c r="G517" s="198"/>
      <c r="H517" s="198"/>
      <c r="I517" s="615"/>
      <c r="J517" s="198"/>
      <c r="K517" s="198"/>
      <c r="L517" s="198"/>
      <c r="M517" s="616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ht="12.75" customHeight="1">
      <c r="A518" s="613"/>
      <c r="B518" s="613"/>
      <c r="C518" s="613"/>
      <c r="D518" s="615"/>
      <c r="E518" s="198"/>
      <c r="F518" s="198"/>
      <c r="G518" s="198"/>
      <c r="H518" s="198"/>
      <c r="I518" s="615"/>
      <c r="J518" s="198"/>
      <c r="K518" s="198"/>
      <c r="L518" s="198"/>
      <c r="M518" s="616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ht="12.75" customHeight="1">
      <c r="A519" s="613"/>
      <c r="B519" s="613"/>
      <c r="C519" s="613"/>
      <c r="D519" s="615"/>
      <c r="E519" s="198"/>
      <c r="F519" s="198"/>
      <c r="G519" s="198"/>
      <c r="H519" s="198"/>
      <c r="I519" s="615"/>
      <c r="J519" s="198"/>
      <c r="K519" s="198"/>
      <c r="L519" s="198"/>
      <c r="M519" s="616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ht="12.75" customHeight="1">
      <c r="A520" s="613"/>
      <c r="B520" s="613"/>
      <c r="C520" s="613"/>
      <c r="D520" s="615"/>
      <c r="E520" s="198"/>
      <c r="F520" s="198"/>
      <c r="G520" s="198"/>
      <c r="H520" s="198"/>
      <c r="I520" s="615"/>
      <c r="J520" s="198"/>
      <c r="K520" s="198"/>
      <c r="L520" s="198"/>
      <c r="M520" s="616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ht="12.75" customHeight="1">
      <c r="A521" s="613"/>
      <c r="B521" s="613"/>
      <c r="C521" s="613"/>
      <c r="D521" s="615"/>
      <c r="E521" s="198"/>
      <c r="F521" s="198"/>
      <c r="G521" s="198"/>
      <c r="H521" s="198"/>
      <c r="I521" s="615"/>
      <c r="J521" s="198"/>
      <c r="K521" s="198"/>
      <c r="L521" s="198"/>
      <c r="M521" s="616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ht="12.75" customHeight="1">
      <c r="A522" s="613"/>
      <c r="B522" s="613"/>
      <c r="C522" s="613"/>
      <c r="D522" s="615"/>
      <c r="E522" s="198"/>
      <c r="F522" s="198"/>
      <c r="G522" s="198"/>
      <c r="H522" s="198"/>
      <c r="I522" s="615"/>
      <c r="J522" s="198"/>
      <c r="K522" s="198"/>
      <c r="L522" s="198"/>
      <c r="M522" s="616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ht="12.75" customHeight="1">
      <c r="A523" s="613"/>
      <c r="B523" s="613"/>
      <c r="C523" s="613"/>
      <c r="D523" s="615"/>
      <c r="E523" s="198"/>
      <c r="F523" s="198"/>
      <c r="G523" s="198"/>
      <c r="H523" s="198"/>
      <c r="I523" s="615"/>
      <c r="J523" s="198"/>
      <c r="K523" s="198"/>
      <c r="L523" s="198"/>
      <c r="M523" s="616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ht="12.75" customHeight="1">
      <c r="A524" s="613"/>
      <c r="B524" s="613"/>
      <c r="C524" s="613"/>
      <c r="D524" s="615"/>
      <c r="E524" s="198"/>
      <c r="F524" s="198"/>
      <c r="G524" s="198"/>
      <c r="H524" s="198"/>
      <c r="I524" s="615"/>
      <c r="J524" s="198"/>
      <c r="K524" s="198"/>
      <c r="L524" s="198"/>
      <c r="M524" s="616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ht="12.75" customHeight="1">
      <c r="A525" s="613"/>
      <c r="B525" s="613"/>
      <c r="C525" s="613"/>
      <c r="D525" s="615"/>
      <c r="E525" s="198"/>
      <c r="F525" s="198"/>
      <c r="G525" s="198"/>
      <c r="H525" s="198"/>
      <c r="I525" s="615"/>
      <c r="J525" s="198"/>
      <c r="K525" s="198"/>
      <c r="L525" s="198"/>
      <c r="M525" s="616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ht="12.75" customHeight="1">
      <c r="A526" s="613"/>
      <c r="B526" s="613"/>
      <c r="C526" s="613"/>
      <c r="D526" s="615"/>
      <c r="E526" s="198"/>
      <c r="F526" s="198"/>
      <c r="G526" s="198"/>
      <c r="H526" s="198"/>
      <c r="I526" s="615"/>
      <c r="J526" s="198"/>
      <c r="K526" s="198"/>
      <c r="L526" s="198"/>
      <c r="M526" s="616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ht="12.75" customHeight="1">
      <c r="A527" s="613"/>
      <c r="B527" s="613"/>
      <c r="C527" s="613"/>
      <c r="D527" s="615"/>
      <c r="E527" s="198"/>
      <c r="F527" s="198"/>
      <c r="G527" s="198"/>
      <c r="H527" s="198"/>
      <c r="I527" s="615"/>
      <c r="J527" s="198"/>
      <c r="K527" s="198"/>
      <c r="L527" s="198"/>
      <c r="M527" s="616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ht="12.75" customHeight="1">
      <c r="A528" s="613"/>
      <c r="B528" s="613"/>
      <c r="C528" s="613"/>
      <c r="D528" s="615"/>
      <c r="E528" s="198"/>
      <c r="F528" s="198"/>
      <c r="G528" s="198"/>
      <c r="H528" s="198"/>
      <c r="I528" s="615"/>
      <c r="J528" s="198"/>
      <c r="K528" s="198"/>
      <c r="L528" s="198"/>
      <c r="M528" s="616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ht="12.75" customHeight="1">
      <c r="A529" s="613"/>
      <c r="B529" s="613"/>
      <c r="C529" s="613"/>
      <c r="D529" s="615"/>
      <c r="E529" s="198"/>
      <c r="F529" s="198"/>
      <c r="G529" s="198"/>
      <c r="H529" s="198"/>
      <c r="I529" s="615"/>
      <c r="J529" s="198"/>
      <c r="K529" s="198"/>
      <c r="L529" s="198"/>
      <c r="M529" s="616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ht="12.75" customHeight="1">
      <c r="A530" s="613"/>
      <c r="B530" s="613"/>
      <c r="C530" s="613"/>
      <c r="D530" s="615"/>
      <c r="E530" s="198"/>
      <c r="F530" s="198"/>
      <c r="G530" s="198"/>
      <c r="H530" s="198"/>
      <c r="I530" s="615"/>
      <c r="J530" s="198"/>
      <c r="K530" s="198"/>
      <c r="L530" s="198"/>
      <c r="M530" s="616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ht="12.75" customHeight="1">
      <c r="A531" s="613"/>
      <c r="B531" s="613"/>
      <c r="C531" s="613"/>
      <c r="D531" s="615"/>
      <c r="E531" s="198"/>
      <c r="F531" s="198"/>
      <c r="G531" s="198"/>
      <c r="H531" s="198"/>
      <c r="I531" s="615"/>
      <c r="J531" s="198"/>
      <c r="K531" s="198"/>
      <c r="L531" s="198"/>
      <c r="M531" s="616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ht="12.75" customHeight="1">
      <c r="A532" s="613"/>
      <c r="B532" s="613"/>
      <c r="C532" s="613"/>
      <c r="D532" s="615"/>
      <c r="E532" s="198"/>
      <c r="F532" s="198"/>
      <c r="G532" s="198"/>
      <c r="H532" s="198"/>
      <c r="I532" s="615"/>
      <c r="J532" s="198"/>
      <c r="K532" s="198"/>
      <c r="L532" s="198"/>
      <c r="M532" s="616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ht="12.75" customHeight="1">
      <c r="A533" s="613"/>
      <c r="B533" s="613"/>
      <c r="C533" s="613"/>
      <c r="D533" s="615"/>
      <c r="E533" s="198"/>
      <c r="F533" s="198"/>
      <c r="G533" s="198"/>
      <c r="H533" s="198"/>
      <c r="I533" s="615"/>
      <c r="J533" s="198"/>
      <c r="K533" s="198"/>
      <c r="L533" s="198"/>
      <c r="M533" s="616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ht="12.75" customHeight="1">
      <c r="A534" s="613"/>
      <c r="B534" s="613"/>
      <c r="C534" s="613"/>
      <c r="D534" s="615"/>
      <c r="E534" s="198"/>
      <c r="F534" s="198"/>
      <c r="G534" s="198"/>
      <c r="H534" s="198"/>
      <c r="I534" s="615"/>
      <c r="J534" s="198"/>
      <c r="K534" s="198"/>
      <c r="L534" s="198"/>
      <c r="M534" s="616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ht="12.75" customHeight="1">
      <c r="A535" s="613"/>
      <c r="B535" s="613"/>
      <c r="C535" s="613"/>
      <c r="D535" s="615"/>
      <c r="E535" s="198"/>
      <c r="F535" s="198"/>
      <c r="G535" s="198"/>
      <c r="H535" s="198"/>
      <c r="I535" s="615"/>
      <c r="J535" s="198"/>
      <c r="K535" s="198"/>
      <c r="L535" s="198"/>
      <c r="M535" s="616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ht="12.75" customHeight="1">
      <c r="A536" s="613"/>
      <c r="B536" s="613"/>
      <c r="C536" s="613"/>
      <c r="D536" s="615"/>
      <c r="E536" s="198"/>
      <c r="F536" s="198"/>
      <c r="G536" s="198"/>
      <c r="H536" s="198"/>
      <c r="I536" s="615"/>
      <c r="J536" s="198"/>
      <c r="K536" s="198"/>
      <c r="L536" s="198"/>
      <c r="M536" s="616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ht="12.75" customHeight="1">
      <c r="A537" s="613"/>
      <c r="B537" s="613"/>
      <c r="C537" s="613"/>
      <c r="D537" s="615"/>
      <c r="E537" s="198"/>
      <c r="F537" s="198"/>
      <c r="G537" s="198"/>
      <c r="H537" s="198"/>
      <c r="I537" s="615"/>
      <c r="J537" s="198"/>
      <c r="K537" s="198"/>
      <c r="L537" s="198"/>
      <c r="M537" s="616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ht="12.75" customHeight="1">
      <c r="A538" s="613"/>
      <c r="B538" s="613"/>
      <c r="C538" s="613"/>
      <c r="D538" s="615"/>
      <c r="E538" s="198"/>
      <c r="F538" s="198"/>
      <c r="G538" s="198"/>
      <c r="H538" s="198"/>
      <c r="I538" s="615"/>
      <c r="J538" s="198"/>
      <c r="K538" s="198"/>
      <c r="L538" s="198"/>
      <c r="M538" s="616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ht="12.75" customHeight="1">
      <c r="A539" s="613"/>
      <c r="B539" s="613"/>
      <c r="C539" s="613"/>
      <c r="D539" s="615"/>
      <c r="E539" s="198"/>
      <c r="F539" s="198"/>
      <c r="G539" s="198"/>
      <c r="H539" s="198"/>
      <c r="I539" s="615"/>
      <c r="J539" s="198"/>
      <c r="K539" s="198"/>
      <c r="L539" s="198"/>
      <c r="M539" s="616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ht="12.75" customHeight="1">
      <c r="A540" s="613"/>
      <c r="B540" s="613"/>
      <c r="C540" s="613"/>
      <c r="D540" s="615"/>
      <c r="E540" s="198"/>
      <c r="F540" s="198"/>
      <c r="G540" s="198"/>
      <c r="H540" s="198"/>
      <c r="I540" s="615"/>
      <c r="J540" s="198"/>
      <c r="K540" s="198"/>
      <c r="L540" s="198"/>
      <c r="M540" s="616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ht="12.75" customHeight="1">
      <c r="A541" s="613"/>
      <c r="B541" s="613"/>
      <c r="C541" s="613"/>
      <c r="D541" s="615"/>
      <c r="E541" s="198"/>
      <c r="F541" s="198"/>
      <c r="G541" s="198"/>
      <c r="H541" s="198"/>
      <c r="I541" s="615"/>
      <c r="J541" s="198"/>
      <c r="K541" s="198"/>
      <c r="L541" s="198"/>
      <c r="M541" s="616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ht="12.75" customHeight="1">
      <c r="A542" s="613"/>
      <c r="B542" s="613"/>
      <c r="C542" s="613"/>
      <c r="D542" s="615"/>
      <c r="E542" s="198"/>
      <c r="F542" s="198"/>
      <c r="G542" s="198"/>
      <c r="H542" s="198"/>
      <c r="I542" s="615"/>
      <c r="J542" s="198"/>
      <c r="K542" s="198"/>
      <c r="L542" s="198"/>
      <c r="M542" s="616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ht="12.75" customHeight="1">
      <c r="A543" s="613"/>
      <c r="B543" s="613"/>
      <c r="C543" s="613"/>
      <c r="D543" s="615"/>
      <c r="E543" s="198"/>
      <c r="F543" s="198"/>
      <c r="G543" s="198"/>
      <c r="H543" s="198"/>
      <c r="I543" s="615"/>
      <c r="J543" s="198"/>
      <c r="K543" s="198"/>
      <c r="L543" s="198"/>
      <c r="M543" s="616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ht="12.75" customHeight="1">
      <c r="A544" s="613"/>
      <c r="B544" s="613"/>
      <c r="C544" s="613"/>
      <c r="D544" s="615"/>
      <c r="E544" s="198"/>
      <c r="F544" s="198"/>
      <c r="G544" s="198"/>
      <c r="H544" s="198"/>
      <c r="I544" s="615"/>
      <c r="J544" s="198"/>
      <c r="K544" s="198"/>
      <c r="L544" s="198"/>
      <c r="M544" s="616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ht="12.75" customHeight="1">
      <c r="A545" s="613"/>
      <c r="B545" s="613"/>
      <c r="C545" s="613"/>
      <c r="D545" s="615"/>
      <c r="E545" s="198"/>
      <c r="F545" s="198"/>
      <c r="G545" s="198"/>
      <c r="H545" s="198"/>
      <c r="I545" s="615"/>
      <c r="J545" s="198"/>
      <c r="K545" s="198"/>
      <c r="L545" s="198"/>
      <c r="M545" s="616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ht="12.75" customHeight="1">
      <c r="A546" s="613"/>
      <c r="B546" s="613"/>
      <c r="C546" s="613"/>
      <c r="D546" s="615"/>
      <c r="E546" s="198"/>
      <c r="F546" s="198"/>
      <c r="G546" s="198"/>
      <c r="H546" s="198"/>
      <c r="I546" s="615"/>
      <c r="J546" s="198"/>
      <c r="K546" s="198"/>
      <c r="L546" s="198"/>
      <c r="M546" s="616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ht="12.75" customHeight="1">
      <c r="A547" s="613"/>
      <c r="B547" s="613"/>
      <c r="C547" s="613"/>
      <c r="D547" s="615"/>
      <c r="E547" s="198"/>
      <c r="F547" s="198"/>
      <c r="G547" s="198"/>
      <c r="H547" s="198"/>
      <c r="I547" s="615"/>
      <c r="J547" s="198"/>
      <c r="K547" s="198"/>
      <c r="L547" s="198"/>
      <c r="M547" s="616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ht="12.75" customHeight="1">
      <c r="A548" s="613"/>
      <c r="B548" s="613"/>
      <c r="C548" s="613"/>
      <c r="D548" s="615"/>
      <c r="E548" s="198"/>
      <c r="F548" s="198"/>
      <c r="G548" s="198"/>
      <c r="H548" s="198"/>
      <c r="I548" s="615"/>
      <c r="J548" s="198"/>
      <c r="K548" s="198"/>
      <c r="L548" s="198"/>
      <c r="M548" s="616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ht="12.75" customHeight="1">
      <c r="A549" s="613"/>
      <c r="B549" s="613"/>
      <c r="C549" s="613"/>
      <c r="D549" s="615"/>
      <c r="E549" s="198"/>
      <c r="F549" s="198"/>
      <c r="G549" s="198"/>
      <c r="H549" s="198"/>
      <c r="I549" s="615"/>
      <c r="J549" s="198"/>
      <c r="K549" s="198"/>
      <c r="L549" s="198"/>
      <c r="M549" s="616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ht="12.75" customHeight="1">
      <c r="A550" s="613"/>
      <c r="B550" s="613"/>
      <c r="C550" s="613"/>
      <c r="D550" s="615"/>
      <c r="E550" s="198"/>
      <c r="F550" s="198"/>
      <c r="G550" s="198"/>
      <c r="H550" s="198"/>
      <c r="I550" s="615"/>
      <c r="J550" s="198"/>
      <c r="K550" s="198"/>
      <c r="L550" s="198"/>
      <c r="M550" s="616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ht="12.75" customHeight="1">
      <c r="A551" s="613"/>
      <c r="B551" s="613"/>
      <c r="C551" s="613"/>
      <c r="D551" s="615"/>
      <c r="E551" s="198"/>
      <c r="F551" s="198"/>
      <c r="G551" s="198"/>
      <c r="H551" s="198"/>
      <c r="I551" s="615"/>
      <c r="J551" s="198"/>
      <c r="K551" s="198"/>
      <c r="L551" s="198"/>
      <c r="M551" s="616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ht="12.75" customHeight="1">
      <c r="A552" s="613"/>
      <c r="B552" s="613"/>
      <c r="C552" s="613"/>
      <c r="D552" s="615"/>
      <c r="E552" s="198"/>
      <c r="F552" s="198"/>
      <c r="G552" s="198"/>
      <c r="H552" s="198"/>
      <c r="I552" s="615"/>
      <c r="J552" s="198"/>
      <c r="K552" s="198"/>
      <c r="L552" s="198"/>
      <c r="M552" s="616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ht="12.75" customHeight="1">
      <c r="A553" s="613"/>
      <c r="B553" s="613"/>
      <c r="C553" s="613"/>
      <c r="D553" s="615"/>
      <c r="E553" s="198"/>
      <c r="F553" s="198"/>
      <c r="G553" s="198"/>
      <c r="H553" s="198"/>
      <c r="I553" s="615"/>
      <c r="J553" s="198"/>
      <c r="K553" s="198"/>
      <c r="L553" s="198"/>
      <c r="M553" s="616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ht="12.75" customHeight="1">
      <c r="A554" s="613"/>
      <c r="B554" s="613"/>
      <c r="C554" s="613"/>
      <c r="D554" s="615"/>
      <c r="E554" s="198"/>
      <c r="F554" s="198"/>
      <c r="G554" s="198"/>
      <c r="H554" s="198"/>
      <c r="I554" s="615"/>
      <c r="J554" s="198"/>
      <c r="K554" s="198"/>
      <c r="L554" s="198"/>
      <c r="M554" s="616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ht="12.75" customHeight="1">
      <c r="A555" s="613"/>
      <c r="B555" s="613"/>
      <c r="C555" s="613"/>
      <c r="D555" s="615"/>
      <c r="E555" s="198"/>
      <c r="F555" s="198"/>
      <c r="G555" s="198"/>
      <c r="H555" s="198"/>
      <c r="I555" s="615"/>
      <c r="J555" s="198"/>
      <c r="K555" s="198"/>
      <c r="L555" s="198"/>
      <c r="M555" s="616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ht="12.75" customHeight="1">
      <c r="A556" s="613"/>
      <c r="B556" s="613"/>
      <c r="C556" s="613"/>
      <c r="D556" s="615"/>
      <c r="E556" s="198"/>
      <c r="F556" s="198"/>
      <c r="G556" s="198"/>
      <c r="H556" s="198"/>
      <c r="I556" s="615"/>
      <c r="J556" s="198"/>
      <c r="K556" s="198"/>
      <c r="L556" s="198"/>
      <c r="M556" s="616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ht="12.75" customHeight="1">
      <c r="A557" s="613"/>
      <c r="B557" s="613"/>
      <c r="C557" s="613"/>
      <c r="D557" s="615"/>
      <c r="E557" s="198"/>
      <c r="F557" s="198"/>
      <c r="G557" s="198"/>
      <c r="H557" s="198"/>
      <c r="I557" s="615"/>
      <c r="J557" s="198"/>
      <c r="K557" s="198"/>
      <c r="L557" s="198"/>
      <c r="M557" s="616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ht="12.75" customHeight="1">
      <c r="A558" s="613"/>
      <c r="B558" s="613"/>
      <c r="C558" s="613"/>
      <c r="D558" s="615"/>
      <c r="E558" s="198"/>
      <c r="F558" s="198"/>
      <c r="G558" s="198"/>
      <c r="H558" s="198"/>
      <c r="I558" s="615"/>
      <c r="J558" s="198"/>
      <c r="K558" s="198"/>
      <c r="L558" s="198"/>
      <c r="M558" s="616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ht="12.75" customHeight="1">
      <c r="A559" s="613"/>
      <c r="B559" s="613"/>
      <c r="C559" s="613"/>
      <c r="D559" s="615"/>
      <c r="E559" s="198"/>
      <c r="F559" s="198"/>
      <c r="G559" s="198"/>
      <c r="H559" s="198"/>
      <c r="I559" s="615"/>
      <c r="J559" s="198"/>
      <c r="K559" s="198"/>
      <c r="L559" s="198"/>
      <c r="M559" s="616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ht="12.75" customHeight="1">
      <c r="A560" s="613"/>
      <c r="B560" s="613"/>
      <c r="C560" s="613"/>
      <c r="D560" s="615"/>
      <c r="E560" s="198"/>
      <c r="F560" s="198"/>
      <c r="G560" s="198"/>
      <c r="H560" s="198"/>
      <c r="I560" s="615"/>
      <c r="J560" s="198"/>
      <c r="K560" s="198"/>
      <c r="L560" s="198"/>
      <c r="M560" s="616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ht="12.75" customHeight="1">
      <c r="A561" s="613"/>
      <c r="B561" s="613"/>
      <c r="C561" s="613"/>
      <c r="D561" s="615"/>
      <c r="E561" s="198"/>
      <c r="F561" s="198"/>
      <c r="G561" s="198"/>
      <c r="H561" s="198"/>
      <c r="I561" s="615"/>
      <c r="J561" s="198"/>
      <c r="K561" s="198"/>
      <c r="L561" s="198"/>
      <c r="M561" s="616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ht="12.75" customHeight="1">
      <c r="A562" s="613"/>
      <c r="B562" s="613"/>
      <c r="C562" s="613"/>
      <c r="D562" s="615"/>
      <c r="E562" s="198"/>
      <c r="F562" s="198"/>
      <c r="G562" s="198"/>
      <c r="H562" s="198"/>
      <c r="I562" s="615"/>
      <c r="J562" s="198"/>
      <c r="K562" s="198"/>
      <c r="L562" s="198"/>
      <c r="M562" s="616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ht="12.75" customHeight="1">
      <c r="A563" s="613"/>
      <c r="B563" s="613"/>
      <c r="C563" s="613"/>
      <c r="D563" s="615"/>
      <c r="E563" s="198"/>
      <c r="F563" s="198"/>
      <c r="G563" s="198"/>
      <c r="H563" s="198"/>
      <c r="I563" s="615"/>
      <c r="J563" s="198"/>
      <c r="K563" s="198"/>
      <c r="L563" s="198"/>
      <c r="M563" s="616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ht="12.75" customHeight="1">
      <c r="A564" s="613"/>
      <c r="B564" s="613"/>
      <c r="C564" s="613"/>
      <c r="D564" s="615"/>
      <c r="E564" s="198"/>
      <c r="F564" s="198"/>
      <c r="G564" s="198"/>
      <c r="H564" s="198"/>
      <c r="I564" s="615"/>
      <c r="J564" s="198"/>
      <c r="K564" s="198"/>
      <c r="L564" s="198"/>
      <c r="M564" s="616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ht="12.75" customHeight="1">
      <c r="A565" s="613"/>
      <c r="B565" s="613"/>
      <c r="C565" s="613"/>
      <c r="D565" s="615"/>
      <c r="E565" s="198"/>
      <c r="F565" s="198"/>
      <c r="G565" s="198"/>
      <c r="H565" s="198"/>
      <c r="I565" s="615"/>
      <c r="J565" s="198"/>
      <c r="K565" s="198"/>
      <c r="L565" s="198"/>
      <c r="M565" s="616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ht="12.75" customHeight="1">
      <c r="A566" s="613"/>
      <c r="B566" s="613"/>
      <c r="C566" s="613"/>
      <c r="D566" s="615"/>
      <c r="E566" s="198"/>
      <c r="F566" s="198"/>
      <c r="G566" s="198"/>
      <c r="H566" s="198"/>
      <c r="I566" s="615"/>
      <c r="J566" s="198"/>
      <c r="K566" s="198"/>
      <c r="L566" s="198"/>
      <c r="M566" s="616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ht="12.75" customHeight="1">
      <c r="A567" s="613"/>
      <c r="B567" s="613"/>
      <c r="C567" s="613"/>
      <c r="D567" s="615"/>
      <c r="E567" s="198"/>
      <c r="F567" s="198"/>
      <c r="G567" s="198"/>
      <c r="H567" s="198"/>
      <c r="I567" s="615"/>
      <c r="J567" s="198"/>
      <c r="K567" s="198"/>
      <c r="L567" s="198"/>
      <c r="M567" s="616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ht="12.75" customHeight="1">
      <c r="A568" s="613"/>
      <c r="B568" s="613"/>
      <c r="C568" s="613"/>
      <c r="D568" s="615"/>
      <c r="E568" s="198"/>
      <c r="F568" s="198"/>
      <c r="G568" s="198"/>
      <c r="H568" s="198"/>
      <c r="I568" s="615"/>
      <c r="J568" s="198"/>
      <c r="K568" s="198"/>
      <c r="L568" s="198"/>
      <c r="M568" s="616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ht="12.75" customHeight="1">
      <c r="A569" s="613"/>
      <c r="B569" s="613"/>
      <c r="C569" s="613"/>
      <c r="D569" s="615"/>
      <c r="E569" s="198"/>
      <c r="F569" s="198"/>
      <c r="G569" s="198"/>
      <c r="H569" s="198"/>
      <c r="I569" s="615"/>
      <c r="J569" s="198"/>
      <c r="K569" s="198"/>
      <c r="L569" s="198"/>
      <c r="M569" s="616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ht="12.75" customHeight="1">
      <c r="A570" s="613"/>
      <c r="B570" s="613"/>
      <c r="C570" s="613"/>
      <c r="D570" s="615"/>
      <c r="E570" s="198"/>
      <c r="F570" s="198"/>
      <c r="G570" s="198"/>
      <c r="H570" s="198"/>
      <c r="I570" s="615"/>
      <c r="J570" s="198"/>
      <c r="K570" s="198"/>
      <c r="L570" s="198"/>
      <c r="M570" s="616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ht="12.75" customHeight="1">
      <c r="A571" s="613"/>
      <c r="B571" s="613"/>
      <c r="C571" s="613"/>
      <c r="D571" s="615"/>
      <c r="E571" s="198"/>
      <c r="F571" s="198"/>
      <c r="G571" s="198"/>
      <c r="H571" s="198"/>
      <c r="I571" s="615"/>
      <c r="J571" s="198"/>
      <c r="K571" s="198"/>
      <c r="L571" s="198"/>
      <c r="M571" s="616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ht="12.75" customHeight="1">
      <c r="A572" s="613"/>
      <c r="B572" s="613"/>
      <c r="C572" s="613"/>
      <c r="D572" s="615"/>
      <c r="E572" s="198"/>
      <c r="F572" s="198"/>
      <c r="G572" s="198"/>
      <c r="H572" s="198"/>
      <c r="I572" s="615"/>
      <c r="J572" s="198"/>
      <c r="K572" s="198"/>
      <c r="L572" s="198"/>
      <c r="M572" s="616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ht="12.75" customHeight="1">
      <c r="A573" s="613"/>
      <c r="B573" s="613"/>
      <c r="C573" s="613"/>
      <c r="D573" s="615"/>
      <c r="E573" s="198"/>
      <c r="F573" s="198"/>
      <c r="G573" s="198"/>
      <c r="H573" s="198"/>
      <c r="I573" s="615"/>
      <c r="J573" s="198"/>
      <c r="K573" s="198"/>
      <c r="L573" s="198"/>
      <c r="M573" s="616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ht="12.75" customHeight="1">
      <c r="A574" s="613"/>
      <c r="B574" s="613"/>
      <c r="C574" s="613"/>
      <c r="D574" s="615"/>
      <c r="E574" s="198"/>
      <c r="F574" s="198"/>
      <c r="G574" s="198"/>
      <c r="H574" s="198"/>
      <c r="I574" s="615"/>
      <c r="J574" s="198"/>
      <c r="K574" s="198"/>
      <c r="L574" s="198"/>
      <c r="M574" s="616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ht="12.75" customHeight="1">
      <c r="A575" s="613"/>
      <c r="B575" s="613"/>
      <c r="C575" s="613"/>
      <c r="D575" s="615"/>
      <c r="E575" s="198"/>
      <c r="F575" s="198"/>
      <c r="G575" s="198"/>
      <c r="H575" s="198"/>
      <c r="I575" s="615"/>
      <c r="J575" s="198"/>
      <c r="K575" s="198"/>
      <c r="L575" s="198"/>
      <c r="M575" s="616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ht="12.75" customHeight="1">
      <c r="A576" s="613"/>
      <c r="B576" s="613"/>
      <c r="C576" s="613"/>
      <c r="D576" s="615"/>
      <c r="E576" s="198"/>
      <c r="F576" s="198"/>
      <c r="G576" s="198"/>
      <c r="H576" s="198"/>
      <c r="I576" s="615"/>
      <c r="J576" s="198"/>
      <c r="K576" s="198"/>
      <c r="L576" s="198"/>
      <c r="M576" s="616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ht="12.75" customHeight="1">
      <c r="A577" s="613"/>
      <c r="B577" s="613"/>
      <c r="C577" s="613"/>
      <c r="D577" s="615"/>
      <c r="E577" s="198"/>
      <c r="F577" s="198"/>
      <c r="G577" s="198"/>
      <c r="H577" s="198"/>
      <c r="I577" s="615"/>
      <c r="J577" s="198"/>
      <c r="K577" s="198"/>
      <c r="L577" s="198"/>
      <c r="M577" s="616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ht="12.75" customHeight="1">
      <c r="A578" s="613"/>
      <c r="B578" s="613"/>
      <c r="C578" s="613"/>
      <c r="D578" s="615"/>
      <c r="E578" s="198"/>
      <c r="F578" s="198"/>
      <c r="G578" s="198"/>
      <c r="H578" s="198"/>
      <c r="I578" s="615"/>
      <c r="J578" s="198"/>
      <c r="K578" s="198"/>
      <c r="L578" s="198"/>
      <c r="M578" s="616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ht="12.75" customHeight="1">
      <c r="A579" s="613"/>
      <c r="B579" s="613"/>
      <c r="C579" s="613"/>
      <c r="D579" s="615"/>
      <c r="E579" s="198"/>
      <c r="F579" s="198"/>
      <c r="G579" s="198"/>
      <c r="H579" s="198"/>
      <c r="I579" s="615"/>
      <c r="J579" s="198"/>
      <c r="K579" s="198"/>
      <c r="L579" s="198"/>
      <c r="M579" s="616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ht="12.75" customHeight="1">
      <c r="A580" s="613"/>
      <c r="B580" s="613"/>
      <c r="C580" s="613"/>
      <c r="D580" s="615"/>
      <c r="E580" s="198"/>
      <c r="F580" s="198"/>
      <c r="G580" s="198"/>
      <c r="H580" s="198"/>
      <c r="I580" s="615"/>
      <c r="J580" s="198"/>
      <c r="K580" s="198"/>
      <c r="L580" s="198"/>
      <c r="M580" s="616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ht="12.75" customHeight="1">
      <c r="A581" s="613"/>
      <c r="B581" s="613"/>
      <c r="C581" s="613"/>
      <c r="D581" s="615"/>
      <c r="E581" s="198"/>
      <c r="F581" s="198"/>
      <c r="G581" s="198"/>
      <c r="H581" s="198"/>
      <c r="I581" s="615"/>
      <c r="J581" s="198"/>
      <c r="K581" s="198"/>
      <c r="L581" s="198"/>
      <c r="M581" s="616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ht="12.75" customHeight="1">
      <c r="A582" s="613"/>
      <c r="B582" s="613"/>
      <c r="C582" s="613"/>
      <c r="D582" s="615"/>
      <c r="E582" s="198"/>
      <c r="F582" s="198"/>
      <c r="G582" s="198"/>
      <c r="H582" s="198"/>
      <c r="I582" s="615"/>
      <c r="J582" s="198"/>
      <c r="K582" s="198"/>
      <c r="L582" s="198"/>
      <c r="M582" s="616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ht="12.75" customHeight="1">
      <c r="A583" s="613"/>
      <c r="B583" s="613"/>
      <c r="C583" s="613"/>
      <c r="D583" s="615"/>
      <c r="E583" s="198"/>
      <c r="F583" s="198"/>
      <c r="G583" s="198"/>
      <c r="H583" s="198"/>
      <c r="I583" s="615"/>
      <c r="J583" s="198"/>
      <c r="K583" s="198"/>
      <c r="L583" s="198"/>
      <c r="M583" s="616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ht="12.75" customHeight="1">
      <c r="A584" s="613"/>
      <c r="B584" s="613"/>
      <c r="C584" s="613"/>
      <c r="D584" s="615"/>
      <c r="E584" s="198"/>
      <c r="F584" s="198"/>
      <c r="G584" s="198"/>
      <c r="H584" s="198"/>
      <c r="I584" s="615"/>
      <c r="J584" s="198"/>
      <c r="K584" s="198"/>
      <c r="L584" s="198"/>
      <c r="M584" s="616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ht="12.75" customHeight="1">
      <c r="A585" s="613"/>
      <c r="B585" s="613"/>
      <c r="C585" s="613"/>
      <c r="D585" s="615"/>
      <c r="E585" s="198"/>
      <c r="F585" s="198"/>
      <c r="G585" s="198"/>
      <c r="H585" s="198"/>
      <c r="I585" s="615"/>
      <c r="J585" s="198"/>
      <c r="K585" s="198"/>
      <c r="L585" s="198"/>
      <c r="M585" s="616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ht="12.75" customHeight="1">
      <c r="A586" s="613"/>
      <c r="B586" s="613"/>
      <c r="C586" s="613"/>
      <c r="D586" s="615"/>
      <c r="E586" s="198"/>
      <c r="F586" s="198"/>
      <c r="G586" s="198"/>
      <c r="H586" s="198"/>
      <c r="I586" s="615"/>
      <c r="J586" s="198"/>
      <c r="K586" s="198"/>
      <c r="L586" s="198"/>
      <c r="M586" s="616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ht="12.75" customHeight="1">
      <c r="A587" s="613"/>
      <c r="B587" s="613"/>
      <c r="C587" s="613"/>
      <c r="D587" s="615"/>
      <c r="E587" s="198"/>
      <c r="F587" s="198"/>
      <c r="G587" s="198"/>
      <c r="H587" s="198"/>
      <c r="I587" s="615"/>
      <c r="J587" s="198"/>
      <c r="K587" s="198"/>
      <c r="L587" s="198"/>
      <c r="M587" s="616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ht="12.75" customHeight="1">
      <c r="A588" s="613"/>
      <c r="B588" s="613"/>
      <c r="C588" s="613"/>
      <c r="D588" s="615"/>
      <c r="E588" s="198"/>
      <c r="F588" s="198"/>
      <c r="G588" s="198"/>
      <c r="H588" s="198"/>
      <c r="I588" s="615"/>
      <c r="J588" s="198"/>
      <c r="K588" s="198"/>
      <c r="L588" s="198"/>
      <c r="M588" s="616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ht="12.75" customHeight="1">
      <c r="A589" s="613"/>
      <c r="B589" s="613"/>
      <c r="C589" s="613"/>
      <c r="D589" s="615"/>
      <c r="E589" s="198"/>
      <c r="F589" s="198"/>
      <c r="G589" s="198"/>
      <c r="H589" s="198"/>
      <c r="I589" s="615"/>
      <c r="J589" s="198"/>
      <c r="K589" s="198"/>
      <c r="L589" s="198"/>
      <c r="M589" s="616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ht="12.75" customHeight="1">
      <c r="A590" s="613"/>
      <c r="B590" s="613"/>
      <c r="C590" s="613"/>
      <c r="D590" s="615"/>
      <c r="E590" s="198"/>
      <c r="F590" s="198"/>
      <c r="G590" s="198"/>
      <c r="H590" s="198"/>
      <c r="I590" s="615"/>
      <c r="J590" s="198"/>
      <c r="K590" s="198"/>
      <c r="L590" s="198"/>
      <c r="M590" s="616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ht="12.75" customHeight="1">
      <c r="A591" s="613"/>
      <c r="B591" s="613"/>
      <c r="C591" s="613"/>
      <c r="D591" s="615"/>
      <c r="E591" s="198"/>
      <c r="F591" s="198"/>
      <c r="G591" s="198"/>
      <c r="H591" s="198"/>
      <c r="I591" s="615"/>
      <c r="J591" s="198"/>
      <c r="K591" s="198"/>
      <c r="L591" s="198"/>
      <c r="M591" s="616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ht="12.75" customHeight="1">
      <c r="A592" s="613"/>
      <c r="B592" s="613"/>
      <c r="C592" s="613"/>
      <c r="D592" s="615"/>
      <c r="E592" s="198"/>
      <c r="F592" s="198"/>
      <c r="G592" s="198"/>
      <c r="H592" s="198"/>
      <c r="I592" s="615"/>
      <c r="J592" s="198"/>
      <c r="K592" s="198"/>
      <c r="L592" s="198"/>
      <c r="M592" s="616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ht="12.75" customHeight="1">
      <c r="A593" s="613"/>
      <c r="B593" s="613"/>
      <c r="C593" s="613"/>
      <c r="D593" s="615"/>
      <c r="E593" s="198"/>
      <c r="F593" s="198"/>
      <c r="G593" s="198"/>
      <c r="H593" s="198"/>
      <c r="I593" s="615"/>
      <c r="J593" s="198"/>
      <c r="K593" s="198"/>
      <c r="L593" s="198"/>
      <c r="M593" s="616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ht="12.75" customHeight="1">
      <c r="A594" s="613"/>
      <c r="B594" s="613"/>
      <c r="C594" s="613"/>
      <c r="D594" s="615"/>
      <c r="E594" s="198"/>
      <c r="F594" s="198"/>
      <c r="G594" s="198"/>
      <c r="H594" s="198"/>
      <c r="I594" s="615"/>
      <c r="J594" s="198"/>
      <c r="K594" s="198"/>
      <c r="L594" s="198"/>
      <c r="M594" s="616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ht="12.75" customHeight="1">
      <c r="A595" s="613"/>
      <c r="B595" s="613"/>
      <c r="C595" s="613"/>
      <c r="D595" s="615"/>
      <c r="E595" s="198"/>
      <c r="F595" s="198"/>
      <c r="G595" s="198"/>
      <c r="H595" s="198"/>
      <c r="I595" s="615"/>
      <c r="J595" s="198"/>
      <c r="K595" s="198"/>
      <c r="L595" s="198"/>
      <c r="M595" s="616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ht="12.75" customHeight="1">
      <c r="A596" s="613"/>
      <c r="B596" s="613"/>
      <c r="C596" s="613"/>
      <c r="D596" s="615"/>
      <c r="E596" s="198"/>
      <c r="F596" s="198"/>
      <c r="G596" s="198"/>
      <c r="H596" s="198"/>
      <c r="I596" s="615"/>
      <c r="J596" s="198"/>
      <c r="K596" s="198"/>
      <c r="L596" s="198"/>
      <c r="M596" s="616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ht="12.75" customHeight="1">
      <c r="A597" s="613"/>
      <c r="B597" s="613"/>
      <c r="C597" s="613"/>
      <c r="D597" s="615"/>
      <c r="E597" s="198"/>
      <c r="F597" s="198"/>
      <c r="G597" s="198"/>
      <c r="H597" s="198"/>
      <c r="I597" s="615"/>
      <c r="J597" s="198"/>
      <c r="K597" s="198"/>
      <c r="L597" s="198"/>
      <c r="M597" s="616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ht="12.75" customHeight="1">
      <c r="A598" s="613"/>
      <c r="B598" s="613"/>
      <c r="C598" s="613"/>
      <c r="D598" s="615"/>
      <c r="E598" s="198"/>
      <c r="F598" s="198"/>
      <c r="G598" s="198"/>
      <c r="H598" s="198"/>
      <c r="I598" s="615"/>
      <c r="J598" s="198"/>
      <c r="K598" s="198"/>
      <c r="L598" s="198"/>
      <c r="M598" s="616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ht="12.75" customHeight="1">
      <c r="A599" s="613"/>
      <c r="B599" s="613"/>
      <c r="C599" s="613"/>
      <c r="D599" s="615"/>
      <c r="E599" s="198"/>
      <c r="F599" s="198"/>
      <c r="G599" s="198"/>
      <c r="H599" s="198"/>
      <c r="I599" s="615"/>
      <c r="J599" s="198"/>
      <c r="K599" s="198"/>
      <c r="L599" s="198"/>
      <c r="M599" s="616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ht="12.75" customHeight="1">
      <c r="A600" s="613"/>
      <c r="B600" s="613"/>
      <c r="C600" s="613"/>
      <c r="D600" s="615"/>
      <c r="E600" s="198"/>
      <c r="F600" s="198"/>
      <c r="G600" s="198"/>
      <c r="H600" s="198"/>
      <c r="I600" s="615"/>
      <c r="J600" s="198"/>
      <c r="K600" s="198"/>
      <c r="L600" s="198"/>
      <c r="M600" s="616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ht="12.75" customHeight="1">
      <c r="A601" s="613"/>
      <c r="B601" s="613"/>
      <c r="C601" s="613"/>
      <c r="D601" s="615"/>
      <c r="E601" s="198"/>
      <c r="F601" s="198"/>
      <c r="G601" s="198"/>
      <c r="H601" s="198"/>
      <c r="I601" s="615"/>
      <c r="J601" s="198"/>
      <c r="K601" s="198"/>
      <c r="L601" s="198"/>
      <c r="M601" s="616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ht="12.75" customHeight="1">
      <c r="A602" s="613"/>
      <c r="B602" s="613"/>
      <c r="C602" s="613"/>
      <c r="D602" s="615"/>
      <c r="E602" s="198"/>
      <c r="F602" s="198"/>
      <c r="G602" s="198"/>
      <c r="H602" s="198"/>
      <c r="I602" s="615"/>
      <c r="J602" s="198"/>
      <c r="K602" s="198"/>
      <c r="L602" s="198"/>
      <c r="M602" s="616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ht="12.75" customHeight="1">
      <c r="A603" s="613"/>
      <c r="B603" s="613"/>
      <c r="C603" s="613"/>
      <c r="D603" s="615"/>
      <c r="E603" s="198"/>
      <c r="F603" s="198"/>
      <c r="G603" s="198"/>
      <c r="H603" s="198"/>
      <c r="I603" s="615"/>
      <c r="J603" s="198"/>
      <c r="K603" s="198"/>
      <c r="L603" s="198"/>
      <c r="M603" s="616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ht="12.75" customHeight="1">
      <c r="A604" s="613"/>
      <c r="B604" s="613"/>
      <c r="C604" s="613"/>
      <c r="D604" s="615"/>
      <c r="E604" s="198"/>
      <c r="F604" s="198"/>
      <c r="G604" s="198"/>
      <c r="H604" s="198"/>
      <c r="I604" s="615"/>
      <c r="J604" s="198"/>
      <c r="K604" s="198"/>
      <c r="L604" s="198"/>
      <c r="M604" s="616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ht="12.75" customHeight="1">
      <c r="A605" s="613"/>
      <c r="B605" s="613"/>
      <c r="C605" s="613"/>
      <c r="D605" s="615"/>
      <c r="E605" s="198"/>
      <c r="F605" s="198"/>
      <c r="G605" s="198"/>
      <c r="H605" s="198"/>
      <c r="I605" s="615"/>
      <c r="J605" s="198"/>
      <c r="K605" s="198"/>
      <c r="L605" s="198"/>
      <c r="M605" s="616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ht="12.75" customHeight="1">
      <c r="A606" s="613"/>
      <c r="B606" s="613"/>
      <c r="C606" s="613"/>
      <c r="D606" s="615"/>
      <c r="E606" s="198"/>
      <c r="F606" s="198"/>
      <c r="G606" s="198"/>
      <c r="H606" s="198"/>
      <c r="I606" s="615"/>
      <c r="J606" s="198"/>
      <c r="K606" s="198"/>
      <c r="L606" s="198"/>
      <c r="M606" s="616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ht="12.75" customHeight="1">
      <c r="A607" s="613"/>
      <c r="B607" s="613"/>
      <c r="C607" s="613"/>
      <c r="D607" s="615"/>
      <c r="E607" s="198"/>
      <c r="F607" s="198"/>
      <c r="G607" s="198"/>
      <c r="H607" s="198"/>
      <c r="I607" s="615"/>
      <c r="J607" s="198"/>
      <c r="K607" s="198"/>
      <c r="L607" s="198"/>
      <c r="M607" s="616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ht="12.75" customHeight="1">
      <c r="A608" s="613"/>
      <c r="B608" s="613"/>
      <c r="C608" s="613"/>
      <c r="D608" s="615"/>
      <c r="E608" s="198"/>
      <c r="F608" s="198"/>
      <c r="G608" s="198"/>
      <c r="H608" s="198"/>
      <c r="I608" s="615"/>
      <c r="J608" s="198"/>
      <c r="K608" s="198"/>
      <c r="L608" s="198"/>
      <c r="M608" s="616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ht="12.75" customHeight="1">
      <c r="A609" s="613"/>
      <c r="B609" s="613"/>
      <c r="C609" s="613"/>
      <c r="D609" s="615"/>
      <c r="E609" s="198"/>
      <c r="F609" s="198"/>
      <c r="G609" s="198"/>
      <c r="H609" s="198"/>
      <c r="I609" s="615"/>
      <c r="J609" s="198"/>
      <c r="K609" s="198"/>
      <c r="L609" s="198"/>
      <c r="M609" s="616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ht="12.75" customHeight="1">
      <c r="A610" s="613"/>
      <c r="B610" s="613"/>
      <c r="C610" s="613"/>
      <c r="D610" s="615"/>
      <c r="E610" s="198"/>
      <c r="F610" s="198"/>
      <c r="G610" s="198"/>
      <c r="H610" s="198"/>
      <c r="I610" s="615"/>
      <c r="J610" s="198"/>
      <c r="K610" s="198"/>
      <c r="L610" s="198"/>
      <c r="M610" s="616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ht="12.75" customHeight="1">
      <c r="A611" s="613"/>
      <c r="B611" s="613"/>
      <c r="C611" s="613"/>
      <c r="D611" s="615"/>
      <c r="E611" s="198"/>
      <c r="F611" s="198"/>
      <c r="G611" s="198"/>
      <c r="H611" s="198"/>
      <c r="I611" s="615"/>
      <c r="J611" s="198"/>
      <c r="K611" s="198"/>
      <c r="L611" s="198"/>
      <c r="M611" s="616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ht="12.75" customHeight="1">
      <c r="A612" s="613"/>
      <c r="B612" s="613"/>
      <c r="C612" s="613"/>
      <c r="D612" s="615"/>
      <c r="E612" s="198"/>
      <c r="F612" s="198"/>
      <c r="G612" s="198"/>
      <c r="H612" s="198"/>
      <c r="I612" s="615"/>
      <c r="J612" s="198"/>
      <c r="K612" s="198"/>
      <c r="L612" s="198"/>
      <c r="M612" s="616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ht="12.75" customHeight="1">
      <c r="A613" s="613"/>
      <c r="B613" s="613"/>
      <c r="C613" s="613"/>
      <c r="D613" s="615"/>
      <c r="E613" s="198"/>
      <c r="F613" s="198"/>
      <c r="G613" s="198"/>
      <c r="H613" s="198"/>
      <c r="I613" s="615"/>
      <c r="J613" s="198"/>
      <c r="K613" s="198"/>
      <c r="L613" s="198"/>
      <c r="M613" s="616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ht="12.75" customHeight="1">
      <c r="A614" s="613"/>
      <c r="B614" s="613"/>
      <c r="C614" s="613"/>
      <c r="D614" s="615"/>
      <c r="E614" s="198"/>
      <c r="F614" s="198"/>
      <c r="G614" s="198"/>
      <c r="H614" s="198"/>
      <c r="I614" s="615"/>
      <c r="J614" s="198"/>
      <c r="K614" s="198"/>
      <c r="L614" s="198"/>
      <c r="M614" s="616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ht="12.75" customHeight="1">
      <c r="A615" s="613"/>
      <c r="B615" s="613"/>
      <c r="C615" s="613"/>
      <c r="D615" s="615"/>
      <c r="E615" s="198"/>
      <c r="F615" s="198"/>
      <c r="G615" s="198"/>
      <c r="H615" s="198"/>
      <c r="I615" s="615"/>
      <c r="J615" s="198"/>
      <c r="K615" s="198"/>
      <c r="L615" s="198"/>
      <c r="M615" s="616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ht="12.75" customHeight="1">
      <c r="A616" s="613"/>
      <c r="B616" s="613"/>
      <c r="C616" s="613"/>
      <c r="D616" s="615"/>
      <c r="E616" s="198"/>
      <c r="F616" s="198"/>
      <c r="G616" s="198"/>
      <c r="H616" s="198"/>
      <c r="I616" s="615"/>
      <c r="J616" s="198"/>
      <c r="K616" s="198"/>
      <c r="L616" s="198"/>
      <c r="M616" s="616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ht="12.75" customHeight="1">
      <c r="A617" s="613"/>
      <c r="B617" s="613"/>
      <c r="C617" s="613"/>
      <c r="D617" s="615"/>
      <c r="E617" s="198"/>
      <c r="F617" s="198"/>
      <c r="G617" s="198"/>
      <c r="H617" s="198"/>
      <c r="I617" s="615"/>
      <c r="J617" s="198"/>
      <c r="K617" s="198"/>
      <c r="L617" s="198"/>
      <c r="M617" s="616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ht="12.75" customHeight="1">
      <c r="A618" s="613"/>
      <c r="B618" s="613"/>
      <c r="C618" s="613"/>
      <c r="D618" s="615"/>
      <c r="E618" s="198"/>
      <c r="F618" s="198"/>
      <c r="G618" s="198"/>
      <c r="H618" s="198"/>
      <c r="I618" s="615"/>
      <c r="J618" s="198"/>
      <c r="K618" s="198"/>
      <c r="L618" s="198"/>
      <c r="M618" s="616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ht="12.75" customHeight="1">
      <c r="A619" s="613"/>
      <c r="B619" s="613"/>
      <c r="C619" s="613"/>
      <c r="D619" s="615"/>
      <c r="E619" s="198"/>
      <c r="F619" s="198"/>
      <c r="G619" s="198"/>
      <c r="H619" s="198"/>
      <c r="I619" s="615"/>
      <c r="J619" s="198"/>
      <c r="K619" s="198"/>
      <c r="L619" s="198"/>
      <c r="M619" s="616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ht="12.75" customHeight="1">
      <c r="A620" s="613"/>
      <c r="B620" s="613"/>
      <c r="C620" s="613"/>
      <c r="D620" s="615"/>
      <c r="E620" s="198"/>
      <c r="F620" s="198"/>
      <c r="G620" s="198"/>
      <c r="H620" s="198"/>
      <c r="I620" s="615"/>
      <c r="J620" s="198"/>
      <c r="K620" s="198"/>
      <c r="L620" s="198"/>
      <c r="M620" s="616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ht="12.75" customHeight="1">
      <c r="A621" s="613"/>
      <c r="B621" s="613"/>
      <c r="C621" s="613"/>
      <c r="D621" s="615"/>
      <c r="E621" s="198"/>
      <c r="F621" s="198"/>
      <c r="G621" s="198"/>
      <c r="H621" s="198"/>
      <c r="I621" s="615"/>
      <c r="J621" s="198"/>
      <c r="K621" s="198"/>
      <c r="L621" s="198"/>
      <c r="M621" s="616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ht="12.75" customHeight="1">
      <c r="A622" s="613"/>
      <c r="B622" s="613"/>
      <c r="C622" s="613"/>
      <c r="D622" s="615"/>
      <c r="E622" s="198"/>
      <c r="F622" s="198"/>
      <c r="G622" s="198"/>
      <c r="H622" s="198"/>
      <c r="I622" s="615"/>
      <c r="J622" s="198"/>
      <c r="K622" s="198"/>
      <c r="L622" s="198"/>
      <c r="M622" s="616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ht="12.75" customHeight="1">
      <c r="A623" s="613"/>
      <c r="B623" s="613"/>
      <c r="C623" s="613"/>
      <c r="D623" s="615"/>
      <c r="E623" s="198"/>
      <c r="F623" s="198"/>
      <c r="G623" s="198"/>
      <c r="H623" s="198"/>
      <c r="I623" s="615"/>
      <c r="J623" s="198"/>
      <c r="K623" s="198"/>
      <c r="L623" s="198"/>
      <c r="M623" s="616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ht="12.75" customHeight="1">
      <c r="A624" s="613"/>
      <c r="B624" s="613"/>
      <c r="C624" s="613"/>
      <c r="D624" s="615"/>
      <c r="E624" s="198"/>
      <c r="F624" s="198"/>
      <c r="G624" s="198"/>
      <c r="H624" s="198"/>
      <c r="I624" s="615"/>
      <c r="J624" s="198"/>
      <c r="K624" s="198"/>
      <c r="L624" s="198"/>
      <c r="M624" s="616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ht="12.75" customHeight="1">
      <c r="A625" s="613"/>
      <c r="B625" s="613"/>
      <c r="C625" s="613"/>
      <c r="D625" s="615"/>
      <c r="E625" s="198"/>
      <c r="F625" s="198"/>
      <c r="G625" s="198"/>
      <c r="H625" s="198"/>
      <c r="I625" s="615"/>
      <c r="J625" s="198"/>
      <c r="K625" s="198"/>
      <c r="L625" s="198"/>
      <c r="M625" s="616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ht="12.75" customHeight="1">
      <c r="A626" s="613"/>
      <c r="B626" s="613"/>
      <c r="C626" s="613"/>
      <c r="D626" s="615"/>
      <c r="E626" s="198"/>
      <c r="F626" s="198"/>
      <c r="G626" s="198"/>
      <c r="H626" s="198"/>
      <c r="I626" s="615"/>
      <c r="J626" s="198"/>
      <c r="K626" s="198"/>
      <c r="L626" s="198"/>
      <c r="M626" s="616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ht="12.75" customHeight="1">
      <c r="A627" s="613"/>
      <c r="B627" s="613"/>
      <c r="C627" s="613"/>
      <c r="D627" s="615"/>
      <c r="E627" s="198"/>
      <c r="F627" s="198"/>
      <c r="G627" s="198"/>
      <c r="H627" s="198"/>
      <c r="I627" s="615"/>
      <c r="J627" s="198"/>
      <c r="K627" s="198"/>
      <c r="L627" s="198"/>
      <c r="M627" s="616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ht="12.75" customHeight="1">
      <c r="A628" s="613"/>
      <c r="B628" s="613"/>
      <c r="C628" s="613"/>
      <c r="D628" s="615"/>
      <c r="E628" s="198"/>
      <c r="F628" s="198"/>
      <c r="G628" s="198"/>
      <c r="H628" s="198"/>
      <c r="I628" s="615"/>
      <c r="J628" s="198"/>
      <c r="K628" s="198"/>
      <c r="L628" s="198"/>
      <c r="M628" s="616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ht="12.75" customHeight="1">
      <c r="A629" s="613"/>
      <c r="B629" s="613"/>
      <c r="C629" s="613"/>
      <c r="D629" s="615"/>
      <c r="E629" s="198"/>
      <c r="F629" s="198"/>
      <c r="G629" s="198"/>
      <c r="H629" s="198"/>
      <c r="I629" s="615"/>
      <c r="J629" s="198"/>
      <c r="K629" s="198"/>
      <c r="L629" s="198"/>
      <c r="M629" s="616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ht="12.75" customHeight="1">
      <c r="A630" s="613"/>
      <c r="B630" s="613"/>
      <c r="C630" s="613"/>
      <c r="D630" s="615"/>
      <c r="E630" s="198"/>
      <c r="F630" s="198"/>
      <c r="G630" s="198"/>
      <c r="H630" s="198"/>
      <c r="I630" s="615"/>
      <c r="J630" s="198"/>
      <c r="K630" s="198"/>
      <c r="L630" s="198"/>
      <c r="M630" s="616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ht="12.75" customHeight="1">
      <c r="A631" s="613"/>
      <c r="B631" s="613"/>
      <c r="C631" s="613"/>
      <c r="D631" s="615"/>
      <c r="E631" s="198"/>
      <c r="F631" s="198"/>
      <c r="G631" s="198"/>
      <c r="H631" s="198"/>
      <c r="I631" s="615"/>
      <c r="J631" s="198"/>
      <c r="K631" s="198"/>
      <c r="L631" s="198"/>
      <c r="M631" s="616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ht="12.75" customHeight="1">
      <c r="A632" s="613"/>
      <c r="B632" s="613"/>
      <c r="C632" s="613"/>
      <c r="D632" s="615"/>
      <c r="E632" s="198"/>
      <c r="F632" s="198"/>
      <c r="G632" s="198"/>
      <c r="H632" s="198"/>
      <c r="I632" s="615"/>
      <c r="J632" s="198"/>
      <c r="K632" s="198"/>
      <c r="L632" s="198"/>
      <c r="M632" s="616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ht="12.75" customHeight="1">
      <c r="A633" s="613"/>
      <c r="B633" s="613"/>
      <c r="C633" s="613"/>
      <c r="D633" s="615"/>
      <c r="E633" s="198"/>
      <c r="F633" s="198"/>
      <c r="G633" s="198"/>
      <c r="H633" s="198"/>
      <c r="I633" s="615"/>
      <c r="J633" s="198"/>
      <c r="K633" s="198"/>
      <c r="L633" s="198"/>
      <c r="M633" s="616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ht="12.75" customHeight="1">
      <c r="A634" s="613"/>
      <c r="B634" s="613"/>
      <c r="C634" s="613"/>
      <c r="D634" s="615"/>
      <c r="E634" s="198"/>
      <c r="F634" s="198"/>
      <c r="G634" s="198"/>
      <c r="H634" s="198"/>
      <c r="I634" s="615"/>
      <c r="J634" s="198"/>
      <c r="K634" s="198"/>
      <c r="L634" s="198"/>
      <c r="M634" s="616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ht="12.75" customHeight="1">
      <c r="A635" s="613"/>
      <c r="B635" s="613"/>
      <c r="C635" s="613"/>
      <c r="D635" s="615"/>
      <c r="E635" s="198"/>
      <c r="F635" s="198"/>
      <c r="G635" s="198"/>
      <c r="H635" s="198"/>
      <c r="I635" s="615"/>
      <c r="J635" s="198"/>
      <c r="K635" s="198"/>
      <c r="L635" s="198"/>
      <c r="M635" s="616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ht="12.75" customHeight="1">
      <c r="A636" s="613"/>
      <c r="B636" s="613"/>
      <c r="C636" s="613"/>
      <c r="D636" s="615"/>
      <c r="E636" s="198"/>
      <c r="F636" s="198"/>
      <c r="G636" s="198"/>
      <c r="H636" s="198"/>
      <c r="I636" s="615"/>
      <c r="J636" s="198"/>
      <c r="K636" s="198"/>
      <c r="L636" s="198"/>
      <c r="M636" s="616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ht="12.75" customHeight="1">
      <c r="A637" s="613"/>
      <c r="B637" s="613"/>
      <c r="C637" s="613"/>
      <c r="D637" s="615"/>
      <c r="E637" s="198"/>
      <c r="F637" s="198"/>
      <c r="G637" s="198"/>
      <c r="H637" s="198"/>
      <c r="I637" s="615"/>
      <c r="J637" s="198"/>
      <c r="K637" s="198"/>
      <c r="L637" s="198"/>
      <c r="M637" s="616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ht="12.75" customHeight="1">
      <c r="A638" s="613"/>
      <c r="B638" s="613"/>
      <c r="C638" s="613"/>
      <c r="D638" s="615"/>
      <c r="E638" s="198"/>
      <c r="F638" s="198"/>
      <c r="G638" s="198"/>
      <c r="H638" s="198"/>
      <c r="I638" s="615"/>
      <c r="J638" s="198"/>
      <c r="K638" s="198"/>
      <c r="L638" s="198"/>
      <c r="M638" s="616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ht="12.75" customHeight="1">
      <c r="A639" s="613"/>
      <c r="B639" s="613"/>
      <c r="C639" s="613"/>
      <c r="D639" s="615"/>
      <c r="E639" s="198"/>
      <c r="F639" s="198"/>
      <c r="G639" s="198"/>
      <c r="H639" s="198"/>
      <c r="I639" s="615"/>
      <c r="J639" s="198"/>
      <c r="K639" s="198"/>
      <c r="L639" s="198"/>
      <c r="M639" s="616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ht="12.75" customHeight="1">
      <c r="A640" s="613"/>
      <c r="B640" s="613"/>
      <c r="C640" s="613"/>
      <c r="D640" s="615"/>
      <c r="E640" s="198"/>
      <c r="F640" s="198"/>
      <c r="G640" s="198"/>
      <c r="H640" s="198"/>
      <c r="I640" s="615"/>
      <c r="J640" s="198"/>
      <c r="K640" s="198"/>
      <c r="L640" s="198"/>
      <c r="M640" s="616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ht="12.75" customHeight="1">
      <c r="A641" s="613"/>
      <c r="B641" s="613"/>
      <c r="C641" s="613"/>
      <c r="D641" s="615"/>
      <c r="E641" s="198"/>
      <c r="F641" s="198"/>
      <c r="G641" s="198"/>
      <c r="H641" s="198"/>
      <c r="I641" s="615"/>
      <c r="J641" s="198"/>
      <c r="K641" s="198"/>
      <c r="L641" s="198"/>
      <c r="M641" s="616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ht="12.75" customHeight="1">
      <c r="A642" s="613"/>
      <c r="B642" s="613"/>
      <c r="C642" s="613"/>
      <c r="D642" s="615"/>
      <c r="E642" s="198"/>
      <c r="F642" s="198"/>
      <c r="G642" s="198"/>
      <c r="H642" s="198"/>
      <c r="I642" s="615"/>
      <c r="J642" s="198"/>
      <c r="K642" s="198"/>
      <c r="L642" s="198"/>
      <c r="M642" s="616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ht="12.75" customHeight="1">
      <c r="A643" s="613"/>
      <c r="B643" s="613"/>
      <c r="C643" s="613"/>
      <c r="D643" s="615"/>
      <c r="E643" s="198"/>
      <c r="F643" s="198"/>
      <c r="G643" s="198"/>
      <c r="H643" s="198"/>
      <c r="I643" s="615"/>
      <c r="J643" s="198"/>
      <c r="K643" s="198"/>
      <c r="L643" s="198"/>
      <c r="M643" s="616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ht="12.75" customHeight="1">
      <c r="A644" s="613"/>
      <c r="B644" s="613"/>
      <c r="C644" s="613"/>
      <c r="D644" s="615"/>
      <c r="E644" s="198"/>
      <c r="F644" s="198"/>
      <c r="G644" s="198"/>
      <c r="H644" s="198"/>
      <c r="I644" s="615"/>
      <c r="J644" s="198"/>
      <c r="K644" s="198"/>
      <c r="L644" s="198"/>
      <c r="M644" s="616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ht="12.75" customHeight="1">
      <c r="A645" s="613"/>
      <c r="B645" s="613"/>
      <c r="C645" s="613"/>
      <c r="D645" s="615"/>
      <c r="E645" s="198"/>
      <c r="F645" s="198"/>
      <c r="G645" s="198"/>
      <c r="H645" s="198"/>
      <c r="I645" s="615"/>
      <c r="J645" s="198"/>
      <c r="K645" s="198"/>
      <c r="L645" s="198"/>
      <c r="M645" s="616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ht="12.75" customHeight="1">
      <c r="A646" s="613"/>
      <c r="B646" s="613"/>
      <c r="C646" s="613"/>
      <c r="D646" s="615"/>
      <c r="E646" s="198"/>
      <c r="F646" s="198"/>
      <c r="G646" s="198"/>
      <c r="H646" s="198"/>
      <c r="I646" s="615"/>
      <c r="J646" s="198"/>
      <c r="K646" s="198"/>
      <c r="L646" s="198"/>
      <c r="M646" s="616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ht="12.75" customHeight="1">
      <c r="A647" s="613"/>
      <c r="B647" s="613"/>
      <c r="C647" s="613"/>
      <c r="D647" s="615"/>
      <c r="E647" s="198"/>
      <c r="F647" s="198"/>
      <c r="G647" s="198"/>
      <c r="H647" s="198"/>
      <c r="I647" s="615"/>
      <c r="J647" s="198"/>
      <c r="K647" s="198"/>
      <c r="L647" s="198"/>
      <c r="M647" s="616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ht="12.75" customHeight="1">
      <c r="A648" s="613"/>
      <c r="B648" s="613"/>
      <c r="C648" s="613"/>
      <c r="D648" s="615"/>
      <c r="E648" s="198"/>
      <c r="F648" s="198"/>
      <c r="G648" s="198"/>
      <c r="H648" s="198"/>
      <c r="I648" s="615"/>
      <c r="J648" s="198"/>
      <c r="K648" s="198"/>
      <c r="L648" s="198"/>
      <c r="M648" s="616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ht="12.75" customHeight="1">
      <c r="A649" s="613"/>
      <c r="B649" s="613"/>
      <c r="C649" s="613"/>
      <c r="D649" s="615"/>
      <c r="E649" s="198"/>
      <c r="F649" s="198"/>
      <c r="G649" s="198"/>
      <c r="H649" s="198"/>
      <c r="I649" s="615"/>
      <c r="J649" s="198"/>
      <c r="K649" s="198"/>
      <c r="L649" s="198"/>
      <c r="M649" s="616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ht="12.75" customHeight="1">
      <c r="A650" s="613"/>
      <c r="B650" s="613"/>
      <c r="C650" s="613"/>
      <c r="D650" s="615"/>
      <c r="E650" s="198"/>
      <c r="F650" s="198"/>
      <c r="G650" s="198"/>
      <c r="H650" s="198"/>
      <c r="I650" s="615"/>
      <c r="J650" s="198"/>
      <c r="K650" s="198"/>
      <c r="L650" s="198"/>
      <c r="M650" s="616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ht="12.75" customHeight="1">
      <c r="A651" s="613"/>
      <c r="B651" s="613"/>
      <c r="C651" s="613"/>
      <c r="D651" s="615"/>
      <c r="E651" s="198"/>
      <c r="F651" s="198"/>
      <c r="G651" s="198"/>
      <c r="H651" s="198"/>
      <c r="I651" s="615"/>
      <c r="J651" s="198"/>
      <c r="K651" s="198"/>
      <c r="L651" s="198"/>
      <c r="M651" s="616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ht="12.75" customHeight="1">
      <c r="A652" s="613"/>
      <c r="B652" s="613"/>
      <c r="C652" s="613"/>
      <c r="D652" s="615"/>
      <c r="E652" s="198"/>
      <c r="F652" s="198"/>
      <c r="G652" s="198"/>
      <c r="H652" s="198"/>
      <c r="I652" s="615"/>
      <c r="J652" s="198"/>
      <c r="K652" s="198"/>
      <c r="L652" s="198"/>
      <c r="M652" s="616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ht="12.75" customHeight="1">
      <c r="A653" s="613"/>
      <c r="B653" s="613"/>
      <c r="C653" s="613"/>
      <c r="D653" s="615"/>
      <c r="E653" s="198"/>
      <c r="F653" s="198"/>
      <c r="G653" s="198"/>
      <c r="H653" s="198"/>
      <c r="I653" s="615"/>
      <c r="J653" s="198"/>
      <c r="K653" s="198"/>
      <c r="L653" s="198"/>
      <c r="M653" s="616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ht="12.75" customHeight="1">
      <c r="A654" s="613"/>
      <c r="B654" s="613"/>
      <c r="C654" s="613"/>
      <c r="D654" s="615"/>
      <c r="E654" s="198"/>
      <c r="F654" s="198"/>
      <c r="G654" s="198"/>
      <c r="H654" s="198"/>
      <c r="I654" s="615"/>
      <c r="J654" s="198"/>
      <c r="K654" s="198"/>
      <c r="L654" s="198"/>
      <c r="M654" s="616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ht="12.75" customHeight="1">
      <c r="A655" s="613"/>
      <c r="B655" s="613"/>
      <c r="C655" s="613"/>
      <c r="D655" s="615"/>
      <c r="E655" s="198"/>
      <c r="F655" s="198"/>
      <c r="G655" s="198"/>
      <c r="H655" s="198"/>
      <c r="I655" s="615"/>
      <c r="J655" s="198"/>
      <c r="K655" s="198"/>
      <c r="L655" s="198"/>
      <c r="M655" s="616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ht="12.75" customHeight="1">
      <c r="A656" s="613"/>
      <c r="B656" s="613"/>
      <c r="C656" s="613"/>
      <c r="D656" s="615"/>
      <c r="E656" s="198"/>
      <c r="F656" s="198"/>
      <c r="G656" s="198"/>
      <c r="H656" s="198"/>
      <c r="I656" s="615"/>
      <c r="J656" s="198"/>
      <c r="K656" s="198"/>
      <c r="L656" s="198"/>
      <c r="M656" s="616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ht="12.75" customHeight="1">
      <c r="A657" s="613"/>
      <c r="B657" s="613"/>
      <c r="C657" s="613"/>
      <c r="D657" s="615"/>
      <c r="E657" s="198"/>
      <c r="F657" s="198"/>
      <c r="G657" s="198"/>
      <c r="H657" s="198"/>
      <c r="I657" s="615"/>
      <c r="J657" s="198"/>
      <c r="K657" s="198"/>
      <c r="L657" s="198"/>
      <c r="M657" s="616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ht="12.75" customHeight="1">
      <c r="A658" s="613"/>
      <c r="B658" s="613"/>
      <c r="C658" s="613"/>
      <c r="D658" s="615"/>
      <c r="E658" s="198"/>
      <c r="F658" s="198"/>
      <c r="G658" s="198"/>
      <c r="H658" s="198"/>
      <c r="I658" s="615"/>
      <c r="J658" s="198"/>
      <c r="K658" s="198"/>
      <c r="L658" s="198"/>
      <c r="M658" s="616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ht="12.75" customHeight="1">
      <c r="A659" s="613"/>
      <c r="B659" s="613"/>
      <c r="C659" s="613"/>
      <c r="D659" s="615"/>
      <c r="E659" s="198"/>
      <c r="F659" s="198"/>
      <c r="G659" s="198"/>
      <c r="H659" s="198"/>
      <c r="I659" s="615"/>
      <c r="J659" s="198"/>
      <c r="K659" s="198"/>
      <c r="L659" s="198"/>
      <c r="M659" s="616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ht="12.75" customHeight="1">
      <c r="A660" s="613"/>
      <c r="B660" s="613"/>
      <c r="C660" s="613"/>
      <c r="D660" s="615"/>
      <c r="E660" s="198"/>
      <c r="F660" s="198"/>
      <c r="G660" s="198"/>
      <c r="H660" s="198"/>
      <c r="I660" s="615"/>
      <c r="J660" s="198"/>
      <c r="K660" s="198"/>
      <c r="L660" s="198"/>
      <c r="M660" s="616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ht="12.75" customHeight="1">
      <c r="A661" s="613"/>
      <c r="B661" s="613"/>
      <c r="C661" s="613"/>
      <c r="D661" s="615"/>
      <c r="E661" s="198"/>
      <c r="F661" s="198"/>
      <c r="G661" s="198"/>
      <c r="H661" s="198"/>
      <c r="I661" s="615"/>
      <c r="J661" s="198"/>
      <c r="K661" s="198"/>
      <c r="L661" s="198"/>
      <c r="M661" s="616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ht="12.75" customHeight="1">
      <c r="A662" s="613"/>
      <c r="B662" s="613"/>
      <c r="C662" s="613"/>
      <c r="D662" s="615"/>
      <c r="E662" s="198"/>
      <c r="F662" s="198"/>
      <c r="G662" s="198"/>
      <c r="H662" s="198"/>
      <c r="I662" s="615"/>
      <c r="J662" s="198"/>
      <c r="K662" s="198"/>
      <c r="L662" s="198"/>
      <c r="M662" s="616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ht="12.75" customHeight="1">
      <c r="A663" s="613"/>
      <c r="B663" s="613"/>
      <c r="C663" s="613"/>
      <c r="D663" s="615"/>
      <c r="E663" s="198"/>
      <c r="F663" s="198"/>
      <c r="G663" s="198"/>
      <c r="H663" s="198"/>
      <c r="I663" s="615"/>
      <c r="J663" s="198"/>
      <c r="K663" s="198"/>
      <c r="L663" s="198"/>
      <c r="M663" s="616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ht="12.75" customHeight="1">
      <c r="A664" s="613"/>
      <c r="B664" s="613"/>
      <c r="C664" s="613"/>
      <c r="D664" s="615"/>
      <c r="E664" s="198"/>
      <c r="F664" s="198"/>
      <c r="G664" s="198"/>
      <c r="H664" s="198"/>
      <c r="I664" s="615"/>
      <c r="J664" s="198"/>
      <c r="K664" s="198"/>
      <c r="L664" s="198"/>
      <c r="M664" s="616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ht="12.75" customHeight="1">
      <c r="A665" s="613"/>
      <c r="B665" s="613"/>
      <c r="C665" s="613"/>
      <c r="D665" s="615"/>
      <c r="E665" s="198"/>
      <c r="F665" s="198"/>
      <c r="G665" s="198"/>
      <c r="H665" s="198"/>
      <c r="I665" s="615"/>
      <c r="J665" s="198"/>
      <c r="K665" s="198"/>
      <c r="L665" s="198"/>
      <c r="M665" s="616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ht="12.75" customHeight="1">
      <c r="A666" s="613"/>
      <c r="B666" s="613"/>
      <c r="C666" s="613"/>
      <c r="D666" s="615"/>
      <c r="E666" s="198"/>
      <c r="F666" s="198"/>
      <c r="G666" s="198"/>
      <c r="H666" s="198"/>
      <c r="I666" s="615"/>
      <c r="J666" s="198"/>
      <c r="K666" s="198"/>
      <c r="L666" s="198"/>
      <c r="M666" s="616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ht="12.75" customHeight="1">
      <c r="A667" s="613"/>
      <c r="B667" s="613"/>
      <c r="C667" s="613"/>
      <c r="D667" s="615"/>
      <c r="E667" s="198"/>
      <c r="F667" s="198"/>
      <c r="G667" s="198"/>
      <c r="H667" s="198"/>
      <c r="I667" s="615"/>
      <c r="J667" s="198"/>
      <c r="K667" s="198"/>
      <c r="L667" s="198"/>
      <c r="M667" s="616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ht="12.75" customHeight="1">
      <c r="A668" s="613"/>
      <c r="B668" s="613"/>
      <c r="C668" s="613"/>
      <c r="D668" s="615"/>
      <c r="E668" s="198"/>
      <c r="F668" s="198"/>
      <c r="G668" s="198"/>
      <c r="H668" s="198"/>
      <c r="I668" s="615"/>
      <c r="J668" s="198"/>
      <c r="K668" s="198"/>
      <c r="L668" s="198"/>
      <c r="M668" s="616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ht="12.75" customHeight="1">
      <c r="A669" s="613"/>
      <c r="B669" s="613"/>
      <c r="C669" s="613"/>
      <c r="D669" s="615"/>
      <c r="E669" s="198"/>
      <c r="F669" s="198"/>
      <c r="G669" s="198"/>
      <c r="H669" s="198"/>
      <c r="I669" s="615"/>
      <c r="J669" s="198"/>
      <c r="K669" s="198"/>
      <c r="L669" s="198"/>
      <c r="M669" s="616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ht="12.75" customHeight="1">
      <c r="A670" s="613"/>
      <c r="B670" s="613"/>
      <c r="C670" s="613"/>
      <c r="D670" s="615"/>
      <c r="E670" s="198"/>
      <c r="F670" s="198"/>
      <c r="G670" s="198"/>
      <c r="H670" s="198"/>
      <c r="I670" s="615"/>
      <c r="J670" s="198"/>
      <c r="K670" s="198"/>
      <c r="L670" s="198"/>
      <c r="M670" s="616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ht="12.75" customHeight="1">
      <c r="A671" s="613"/>
      <c r="B671" s="613"/>
      <c r="C671" s="613"/>
      <c r="D671" s="615"/>
      <c r="E671" s="198"/>
      <c r="F671" s="198"/>
      <c r="G671" s="198"/>
      <c r="H671" s="198"/>
      <c r="I671" s="615"/>
      <c r="J671" s="198"/>
      <c r="K671" s="198"/>
      <c r="L671" s="198"/>
      <c r="M671" s="616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ht="12.75" customHeight="1">
      <c r="A672" s="613"/>
      <c r="B672" s="613"/>
      <c r="C672" s="613"/>
      <c r="D672" s="615"/>
      <c r="E672" s="198"/>
      <c r="F672" s="198"/>
      <c r="G672" s="198"/>
      <c r="H672" s="198"/>
      <c r="I672" s="615"/>
      <c r="J672" s="198"/>
      <c r="K672" s="198"/>
      <c r="L672" s="198"/>
      <c r="M672" s="616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ht="12.75" customHeight="1">
      <c r="A673" s="613"/>
      <c r="B673" s="613"/>
      <c r="C673" s="613"/>
      <c r="D673" s="615"/>
      <c r="E673" s="198"/>
      <c r="F673" s="198"/>
      <c r="G673" s="198"/>
      <c r="H673" s="198"/>
      <c r="I673" s="615"/>
      <c r="J673" s="198"/>
      <c r="K673" s="198"/>
      <c r="L673" s="198"/>
      <c r="M673" s="616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ht="12.75" customHeight="1">
      <c r="A674" s="613"/>
      <c r="B674" s="613"/>
      <c r="C674" s="613"/>
      <c r="D674" s="615"/>
      <c r="E674" s="198"/>
      <c r="F674" s="198"/>
      <c r="G674" s="198"/>
      <c r="H674" s="198"/>
      <c r="I674" s="615"/>
      <c r="J674" s="198"/>
      <c r="K674" s="198"/>
      <c r="L674" s="198"/>
      <c r="M674" s="616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ht="12.75" customHeight="1">
      <c r="A675" s="613"/>
      <c r="B675" s="613"/>
      <c r="C675" s="613"/>
      <c r="D675" s="615"/>
      <c r="E675" s="198"/>
      <c r="F675" s="198"/>
      <c r="G675" s="198"/>
      <c r="H675" s="198"/>
      <c r="I675" s="615"/>
      <c r="J675" s="198"/>
      <c r="K675" s="198"/>
      <c r="L675" s="198"/>
      <c r="M675" s="616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ht="12.75" customHeight="1">
      <c r="A676" s="613"/>
      <c r="B676" s="613"/>
      <c r="C676" s="613"/>
      <c r="D676" s="615"/>
      <c r="E676" s="198"/>
      <c r="F676" s="198"/>
      <c r="G676" s="198"/>
      <c r="H676" s="198"/>
      <c r="I676" s="615"/>
      <c r="J676" s="198"/>
      <c r="K676" s="198"/>
      <c r="L676" s="198"/>
      <c r="M676" s="616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ht="12.75" customHeight="1">
      <c r="A677" s="613"/>
      <c r="B677" s="613"/>
      <c r="C677" s="613"/>
      <c r="D677" s="615"/>
      <c r="E677" s="198"/>
      <c r="F677" s="198"/>
      <c r="G677" s="198"/>
      <c r="H677" s="198"/>
      <c r="I677" s="615"/>
      <c r="J677" s="198"/>
      <c r="K677" s="198"/>
      <c r="L677" s="198"/>
      <c r="M677" s="616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ht="12.75" customHeight="1">
      <c r="A678" s="613"/>
      <c r="B678" s="613"/>
      <c r="C678" s="613"/>
      <c r="D678" s="615"/>
      <c r="E678" s="198"/>
      <c r="F678" s="198"/>
      <c r="G678" s="198"/>
      <c r="H678" s="198"/>
      <c r="I678" s="615"/>
      <c r="J678" s="198"/>
      <c r="K678" s="198"/>
      <c r="L678" s="198"/>
      <c r="M678" s="616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ht="12.75" customHeight="1">
      <c r="A679" s="613"/>
      <c r="B679" s="613"/>
      <c r="C679" s="613"/>
      <c r="D679" s="615"/>
      <c r="E679" s="198"/>
      <c r="F679" s="198"/>
      <c r="G679" s="198"/>
      <c r="H679" s="198"/>
      <c r="I679" s="615"/>
      <c r="J679" s="198"/>
      <c r="K679" s="198"/>
      <c r="L679" s="198"/>
      <c r="M679" s="616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ht="12.75" customHeight="1">
      <c r="A680" s="613"/>
      <c r="B680" s="613"/>
      <c r="C680" s="613"/>
      <c r="D680" s="615"/>
      <c r="E680" s="198"/>
      <c r="F680" s="198"/>
      <c r="G680" s="198"/>
      <c r="H680" s="198"/>
      <c r="I680" s="615"/>
      <c r="J680" s="198"/>
      <c r="K680" s="198"/>
      <c r="L680" s="198"/>
      <c r="M680" s="616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ht="12.75" customHeight="1">
      <c r="A681" s="613"/>
      <c r="B681" s="613"/>
      <c r="C681" s="613"/>
      <c r="D681" s="615"/>
      <c r="E681" s="198"/>
      <c r="F681" s="198"/>
      <c r="G681" s="198"/>
      <c r="H681" s="198"/>
      <c r="I681" s="615"/>
      <c r="J681" s="198"/>
      <c r="K681" s="198"/>
      <c r="L681" s="198"/>
      <c r="M681" s="616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ht="12.75" customHeight="1">
      <c r="A682" s="613"/>
      <c r="B682" s="613"/>
      <c r="C682" s="613"/>
      <c r="D682" s="615"/>
      <c r="E682" s="198"/>
      <c r="F682" s="198"/>
      <c r="G682" s="198"/>
      <c r="H682" s="198"/>
      <c r="I682" s="615"/>
      <c r="J682" s="198"/>
      <c r="K682" s="198"/>
      <c r="L682" s="198"/>
      <c r="M682" s="616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ht="12.75" customHeight="1">
      <c r="A683" s="613"/>
      <c r="B683" s="613"/>
      <c r="C683" s="613"/>
      <c r="D683" s="615"/>
      <c r="E683" s="198"/>
      <c r="F683" s="198"/>
      <c r="G683" s="198"/>
      <c r="H683" s="198"/>
      <c r="I683" s="615"/>
      <c r="J683" s="198"/>
      <c r="K683" s="198"/>
      <c r="L683" s="198"/>
      <c r="M683" s="616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ht="12.75" customHeight="1">
      <c r="A684" s="613"/>
      <c r="B684" s="613"/>
      <c r="C684" s="613"/>
      <c r="D684" s="615"/>
      <c r="E684" s="198"/>
      <c r="F684" s="198"/>
      <c r="G684" s="198"/>
      <c r="H684" s="198"/>
      <c r="I684" s="615"/>
      <c r="J684" s="198"/>
      <c r="K684" s="198"/>
      <c r="L684" s="198"/>
      <c r="M684" s="616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ht="12.75" customHeight="1">
      <c r="A685" s="613"/>
      <c r="B685" s="613"/>
      <c r="C685" s="613"/>
      <c r="D685" s="615"/>
      <c r="E685" s="198"/>
      <c r="F685" s="198"/>
      <c r="G685" s="198"/>
      <c r="H685" s="198"/>
      <c r="I685" s="615"/>
      <c r="J685" s="198"/>
      <c r="K685" s="198"/>
      <c r="L685" s="198"/>
      <c r="M685" s="616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ht="12.75" customHeight="1">
      <c r="A686" s="613"/>
      <c r="B686" s="613"/>
      <c r="C686" s="613"/>
      <c r="D686" s="615"/>
      <c r="E686" s="198"/>
      <c r="F686" s="198"/>
      <c r="G686" s="198"/>
      <c r="H686" s="198"/>
      <c r="I686" s="615"/>
      <c r="J686" s="198"/>
      <c r="K686" s="198"/>
      <c r="L686" s="198"/>
      <c r="M686" s="616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ht="12.75" customHeight="1">
      <c r="A687" s="613"/>
      <c r="B687" s="613"/>
      <c r="C687" s="613"/>
      <c r="D687" s="615"/>
      <c r="E687" s="198"/>
      <c r="F687" s="198"/>
      <c r="G687" s="198"/>
      <c r="H687" s="198"/>
      <c r="I687" s="615"/>
      <c r="J687" s="198"/>
      <c r="K687" s="198"/>
      <c r="L687" s="198"/>
      <c r="M687" s="616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ht="12.75" customHeight="1">
      <c r="A688" s="613"/>
      <c r="B688" s="613"/>
      <c r="C688" s="613"/>
      <c r="D688" s="615"/>
      <c r="E688" s="198"/>
      <c r="F688" s="198"/>
      <c r="G688" s="198"/>
      <c r="H688" s="198"/>
      <c r="I688" s="615"/>
      <c r="J688" s="198"/>
      <c r="K688" s="198"/>
      <c r="L688" s="198"/>
      <c r="M688" s="616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ht="12.75" customHeight="1">
      <c r="A689" s="613"/>
      <c r="B689" s="613"/>
      <c r="C689" s="613"/>
      <c r="D689" s="615"/>
      <c r="E689" s="198"/>
      <c r="F689" s="198"/>
      <c r="G689" s="198"/>
      <c r="H689" s="198"/>
      <c r="I689" s="615"/>
      <c r="J689" s="198"/>
      <c r="K689" s="198"/>
      <c r="L689" s="198"/>
      <c r="M689" s="616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ht="12.75" customHeight="1">
      <c r="A690" s="613"/>
      <c r="B690" s="613"/>
      <c r="C690" s="613"/>
      <c r="D690" s="615"/>
      <c r="E690" s="198"/>
      <c r="F690" s="198"/>
      <c r="G690" s="198"/>
      <c r="H690" s="198"/>
      <c r="I690" s="615"/>
      <c r="J690" s="198"/>
      <c r="K690" s="198"/>
      <c r="L690" s="198"/>
      <c r="M690" s="616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ht="12.75" customHeight="1">
      <c r="A691" s="613"/>
      <c r="B691" s="613"/>
      <c r="C691" s="613"/>
      <c r="D691" s="615"/>
      <c r="E691" s="198"/>
      <c r="F691" s="198"/>
      <c r="G691" s="198"/>
      <c r="H691" s="198"/>
      <c r="I691" s="615"/>
      <c r="J691" s="198"/>
      <c r="K691" s="198"/>
      <c r="L691" s="198"/>
      <c r="M691" s="616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ht="12.75" customHeight="1">
      <c r="A692" s="613"/>
      <c r="B692" s="613"/>
      <c r="C692" s="613"/>
      <c r="D692" s="615"/>
      <c r="E692" s="198"/>
      <c r="F692" s="198"/>
      <c r="G692" s="198"/>
      <c r="H692" s="198"/>
      <c r="I692" s="615"/>
      <c r="J692" s="198"/>
      <c r="K692" s="198"/>
      <c r="L692" s="198"/>
      <c r="M692" s="616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ht="12.75" customHeight="1">
      <c r="A693" s="613"/>
      <c r="B693" s="613"/>
      <c r="C693" s="613"/>
      <c r="D693" s="615"/>
      <c r="E693" s="198"/>
      <c r="F693" s="198"/>
      <c r="G693" s="198"/>
      <c r="H693" s="198"/>
      <c r="I693" s="615"/>
      <c r="J693" s="198"/>
      <c r="K693" s="198"/>
      <c r="L693" s="198"/>
      <c r="M693" s="616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ht="12.75" customHeight="1">
      <c r="A694" s="613"/>
      <c r="B694" s="613"/>
      <c r="C694" s="613"/>
      <c r="D694" s="615"/>
      <c r="E694" s="198"/>
      <c r="F694" s="198"/>
      <c r="G694" s="198"/>
      <c r="H694" s="198"/>
      <c r="I694" s="615"/>
      <c r="J694" s="198"/>
      <c r="K694" s="198"/>
      <c r="L694" s="198"/>
      <c r="M694" s="616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ht="12.75" customHeight="1">
      <c r="A695" s="613"/>
      <c r="B695" s="613"/>
      <c r="C695" s="613"/>
      <c r="D695" s="615"/>
      <c r="E695" s="198"/>
      <c r="F695" s="198"/>
      <c r="G695" s="198"/>
      <c r="H695" s="198"/>
      <c r="I695" s="615"/>
      <c r="J695" s="198"/>
      <c r="K695" s="198"/>
      <c r="L695" s="198"/>
      <c r="M695" s="616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ht="12.75" customHeight="1">
      <c r="A696" s="613"/>
      <c r="B696" s="613"/>
      <c r="C696" s="613"/>
      <c r="D696" s="615"/>
      <c r="E696" s="198"/>
      <c r="F696" s="198"/>
      <c r="G696" s="198"/>
      <c r="H696" s="198"/>
      <c r="I696" s="615"/>
      <c r="J696" s="198"/>
      <c r="K696" s="198"/>
      <c r="L696" s="198"/>
      <c r="M696" s="616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ht="12.75" customHeight="1">
      <c r="A697" s="613"/>
      <c r="B697" s="613"/>
      <c r="C697" s="613"/>
      <c r="D697" s="615"/>
      <c r="E697" s="198"/>
      <c r="F697" s="198"/>
      <c r="G697" s="198"/>
      <c r="H697" s="198"/>
      <c r="I697" s="615"/>
      <c r="J697" s="198"/>
      <c r="K697" s="198"/>
      <c r="L697" s="198"/>
      <c r="M697" s="616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ht="12.75" customHeight="1">
      <c r="A698" s="613"/>
      <c r="B698" s="613"/>
      <c r="C698" s="613"/>
      <c r="D698" s="615"/>
      <c r="E698" s="198"/>
      <c r="F698" s="198"/>
      <c r="G698" s="198"/>
      <c r="H698" s="198"/>
      <c r="I698" s="615"/>
      <c r="J698" s="198"/>
      <c r="K698" s="198"/>
      <c r="L698" s="198"/>
      <c r="M698" s="616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ht="12.75" customHeight="1">
      <c r="A699" s="613"/>
      <c r="B699" s="613"/>
      <c r="C699" s="613"/>
      <c r="D699" s="615"/>
      <c r="E699" s="198"/>
      <c r="F699" s="198"/>
      <c r="G699" s="198"/>
      <c r="H699" s="198"/>
      <c r="I699" s="615"/>
      <c r="J699" s="198"/>
      <c r="K699" s="198"/>
      <c r="L699" s="198"/>
      <c r="M699" s="616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ht="12.75" customHeight="1">
      <c r="A700" s="613"/>
      <c r="B700" s="613"/>
      <c r="C700" s="613"/>
      <c r="D700" s="615"/>
      <c r="E700" s="198"/>
      <c r="F700" s="198"/>
      <c r="G700" s="198"/>
      <c r="H700" s="198"/>
      <c r="I700" s="615"/>
      <c r="J700" s="198"/>
      <c r="K700" s="198"/>
      <c r="L700" s="198"/>
      <c r="M700" s="616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ht="12.75" customHeight="1">
      <c r="A701" s="613"/>
      <c r="B701" s="613"/>
      <c r="C701" s="613"/>
      <c r="D701" s="615"/>
      <c r="E701" s="198"/>
      <c r="F701" s="198"/>
      <c r="G701" s="198"/>
      <c r="H701" s="198"/>
      <c r="I701" s="615"/>
      <c r="J701" s="198"/>
      <c r="K701" s="198"/>
      <c r="L701" s="198"/>
      <c r="M701" s="616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ht="12.75" customHeight="1">
      <c r="A702" s="613"/>
      <c r="B702" s="613"/>
      <c r="C702" s="613"/>
      <c r="D702" s="615"/>
      <c r="E702" s="198"/>
      <c r="F702" s="198"/>
      <c r="G702" s="198"/>
      <c r="H702" s="198"/>
      <c r="I702" s="615"/>
      <c r="J702" s="198"/>
      <c r="K702" s="198"/>
      <c r="L702" s="198"/>
      <c r="M702" s="616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ht="12.75" customHeight="1">
      <c r="A703" s="613"/>
      <c r="B703" s="613"/>
      <c r="C703" s="613"/>
      <c r="D703" s="615"/>
      <c r="E703" s="198"/>
      <c r="F703" s="198"/>
      <c r="G703" s="198"/>
      <c r="H703" s="198"/>
      <c r="I703" s="615"/>
      <c r="J703" s="198"/>
      <c r="K703" s="198"/>
      <c r="L703" s="198"/>
      <c r="M703" s="616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ht="12.75" customHeight="1">
      <c r="A704" s="613"/>
      <c r="B704" s="613"/>
      <c r="C704" s="613"/>
      <c r="D704" s="615"/>
      <c r="E704" s="198"/>
      <c r="F704" s="198"/>
      <c r="G704" s="198"/>
      <c r="H704" s="198"/>
      <c r="I704" s="615"/>
      <c r="J704" s="198"/>
      <c r="K704" s="198"/>
      <c r="L704" s="198"/>
      <c r="M704" s="616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ht="12.75" customHeight="1">
      <c r="A705" s="613"/>
      <c r="B705" s="613"/>
      <c r="C705" s="613"/>
      <c r="D705" s="615"/>
      <c r="E705" s="198"/>
      <c r="F705" s="198"/>
      <c r="G705" s="198"/>
      <c r="H705" s="198"/>
      <c r="I705" s="615"/>
      <c r="J705" s="198"/>
      <c r="K705" s="198"/>
      <c r="L705" s="198"/>
      <c r="M705" s="616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ht="12.75" customHeight="1">
      <c r="A706" s="613"/>
      <c r="B706" s="613"/>
      <c r="C706" s="613"/>
      <c r="D706" s="615"/>
      <c r="E706" s="198"/>
      <c r="F706" s="198"/>
      <c r="G706" s="198"/>
      <c r="H706" s="198"/>
      <c r="I706" s="615"/>
      <c r="J706" s="198"/>
      <c r="K706" s="198"/>
      <c r="L706" s="198"/>
      <c r="M706" s="616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ht="12.75" customHeight="1">
      <c r="A707" s="613"/>
      <c r="B707" s="613"/>
      <c r="C707" s="613"/>
      <c r="D707" s="615"/>
      <c r="E707" s="198"/>
      <c r="F707" s="198"/>
      <c r="G707" s="198"/>
      <c r="H707" s="198"/>
      <c r="I707" s="615"/>
      <c r="J707" s="198"/>
      <c r="K707" s="198"/>
      <c r="L707" s="198"/>
      <c r="M707" s="616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ht="12.75" customHeight="1">
      <c r="A708" s="613"/>
      <c r="B708" s="613"/>
      <c r="C708" s="613"/>
      <c r="D708" s="615"/>
      <c r="E708" s="198"/>
      <c r="F708" s="198"/>
      <c r="G708" s="198"/>
      <c r="H708" s="198"/>
      <c r="I708" s="615"/>
      <c r="J708" s="198"/>
      <c r="K708" s="198"/>
      <c r="L708" s="198"/>
      <c r="M708" s="616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ht="12.75" customHeight="1">
      <c r="A709" s="613"/>
      <c r="B709" s="613"/>
      <c r="C709" s="613"/>
      <c r="D709" s="615"/>
      <c r="E709" s="198"/>
      <c r="F709" s="198"/>
      <c r="G709" s="198"/>
      <c r="H709" s="198"/>
      <c r="I709" s="615"/>
      <c r="J709" s="198"/>
      <c r="K709" s="198"/>
      <c r="L709" s="198"/>
      <c r="M709" s="616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ht="12.75" customHeight="1">
      <c r="A710" s="613"/>
      <c r="B710" s="613"/>
      <c r="C710" s="613"/>
      <c r="D710" s="615"/>
      <c r="E710" s="198"/>
      <c r="F710" s="198"/>
      <c r="G710" s="198"/>
      <c r="H710" s="198"/>
      <c r="I710" s="615"/>
      <c r="J710" s="198"/>
      <c r="K710" s="198"/>
      <c r="L710" s="198"/>
      <c r="M710" s="616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ht="12.75" customHeight="1">
      <c r="A711" s="613"/>
      <c r="B711" s="613"/>
      <c r="C711" s="613"/>
      <c r="D711" s="615"/>
      <c r="E711" s="198"/>
      <c r="F711" s="198"/>
      <c r="G711" s="198"/>
      <c r="H711" s="198"/>
      <c r="I711" s="615"/>
      <c r="J711" s="198"/>
      <c r="K711" s="198"/>
      <c r="L711" s="198"/>
      <c r="M711" s="616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ht="12.75" customHeight="1">
      <c r="A712" s="613"/>
      <c r="B712" s="613"/>
      <c r="C712" s="613"/>
      <c r="D712" s="615"/>
      <c r="E712" s="198"/>
      <c r="F712" s="198"/>
      <c r="G712" s="198"/>
      <c r="H712" s="198"/>
      <c r="I712" s="615"/>
      <c r="J712" s="198"/>
      <c r="K712" s="198"/>
      <c r="L712" s="198"/>
      <c r="M712" s="616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ht="12.75" customHeight="1">
      <c r="A713" s="613"/>
      <c r="B713" s="613"/>
      <c r="C713" s="613"/>
      <c r="D713" s="615"/>
      <c r="E713" s="198"/>
      <c r="F713" s="198"/>
      <c r="G713" s="198"/>
      <c r="H713" s="198"/>
      <c r="I713" s="615"/>
      <c r="J713" s="198"/>
      <c r="K713" s="198"/>
      <c r="L713" s="198"/>
      <c r="M713" s="616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ht="12.75" customHeight="1">
      <c r="A714" s="613"/>
      <c r="B714" s="613"/>
      <c r="C714" s="613"/>
      <c r="D714" s="615"/>
      <c r="E714" s="198"/>
      <c r="F714" s="198"/>
      <c r="G714" s="198"/>
      <c r="H714" s="198"/>
      <c r="I714" s="615"/>
      <c r="J714" s="198"/>
      <c r="K714" s="198"/>
      <c r="L714" s="198"/>
      <c r="M714" s="616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ht="12.75" customHeight="1">
      <c r="A715" s="613"/>
      <c r="B715" s="613"/>
      <c r="C715" s="613"/>
      <c r="D715" s="615"/>
      <c r="E715" s="198"/>
      <c r="F715" s="198"/>
      <c r="G715" s="198"/>
      <c r="H715" s="198"/>
      <c r="I715" s="615"/>
      <c r="J715" s="198"/>
      <c r="K715" s="198"/>
      <c r="L715" s="198"/>
      <c r="M715" s="616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ht="12.75" customHeight="1">
      <c r="A716" s="613"/>
      <c r="B716" s="613"/>
      <c r="C716" s="613"/>
      <c r="D716" s="615"/>
      <c r="E716" s="198"/>
      <c r="F716" s="198"/>
      <c r="G716" s="198"/>
      <c r="H716" s="198"/>
      <c r="I716" s="615"/>
      <c r="J716" s="198"/>
      <c r="K716" s="198"/>
      <c r="L716" s="198"/>
      <c r="M716" s="616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ht="12.75" customHeight="1">
      <c r="A717" s="613"/>
      <c r="B717" s="613"/>
      <c r="C717" s="613"/>
      <c r="D717" s="615"/>
      <c r="E717" s="198"/>
      <c r="F717" s="198"/>
      <c r="G717" s="198"/>
      <c r="H717" s="198"/>
      <c r="I717" s="615"/>
      <c r="J717" s="198"/>
      <c r="K717" s="198"/>
      <c r="L717" s="198"/>
      <c r="M717" s="616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ht="12.75" customHeight="1">
      <c r="A718" s="613"/>
      <c r="B718" s="613"/>
      <c r="C718" s="613"/>
      <c r="D718" s="615"/>
      <c r="E718" s="198"/>
      <c r="F718" s="198"/>
      <c r="G718" s="198"/>
      <c r="H718" s="198"/>
      <c r="I718" s="615"/>
      <c r="J718" s="198"/>
      <c r="K718" s="198"/>
      <c r="L718" s="198"/>
      <c r="M718" s="616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ht="12.75" customHeight="1">
      <c r="A719" s="613"/>
      <c r="B719" s="613"/>
      <c r="C719" s="613"/>
      <c r="D719" s="615"/>
      <c r="E719" s="198"/>
      <c r="F719" s="198"/>
      <c r="G719" s="198"/>
      <c r="H719" s="198"/>
      <c r="I719" s="615"/>
      <c r="J719" s="198"/>
      <c r="K719" s="198"/>
      <c r="L719" s="198"/>
      <c r="M719" s="616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ht="12.75" customHeight="1">
      <c r="A720" s="613"/>
      <c r="B720" s="613"/>
      <c r="C720" s="613"/>
      <c r="D720" s="615"/>
      <c r="E720" s="198"/>
      <c r="F720" s="198"/>
      <c r="G720" s="198"/>
      <c r="H720" s="198"/>
      <c r="I720" s="615"/>
      <c r="J720" s="198"/>
      <c r="K720" s="198"/>
      <c r="L720" s="198"/>
      <c r="M720" s="616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ht="12.75" customHeight="1">
      <c r="A721" s="613"/>
      <c r="B721" s="613"/>
      <c r="C721" s="613"/>
      <c r="D721" s="615"/>
      <c r="E721" s="198"/>
      <c r="F721" s="198"/>
      <c r="G721" s="198"/>
      <c r="H721" s="198"/>
      <c r="I721" s="615"/>
      <c r="J721" s="198"/>
      <c r="K721" s="198"/>
      <c r="L721" s="198"/>
      <c r="M721" s="616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ht="12.75" customHeight="1">
      <c r="A722" s="613"/>
      <c r="B722" s="613"/>
      <c r="C722" s="613"/>
      <c r="D722" s="615"/>
      <c r="E722" s="198"/>
      <c r="F722" s="198"/>
      <c r="G722" s="198"/>
      <c r="H722" s="198"/>
      <c r="I722" s="615"/>
      <c r="J722" s="198"/>
      <c r="K722" s="198"/>
      <c r="L722" s="198"/>
      <c r="M722" s="616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ht="12.75" customHeight="1">
      <c r="A723" s="613"/>
      <c r="B723" s="613"/>
      <c r="C723" s="613"/>
      <c r="D723" s="615"/>
      <c r="E723" s="198"/>
      <c r="F723" s="198"/>
      <c r="G723" s="198"/>
      <c r="H723" s="198"/>
      <c r="I723" s="615"/>
      <c r="J723" s="198"/>
      <c r="K723" s="198"/>
      <c r="L723" s="198"/>
      <c r="M723" s="616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ht="12.75" customHeight="1">
      <c r="A724" s="613"/>
      <c r="B724" s="613"/>
      <c r="C724" s="613"/>
      <c r="D724" s="615"/>
      <c r="E724" s="198"/>
      <c r="F724" s="198"/>
      <c r="G724" s="198"/>
      <c r="H724" s="198"/>
      <c r="I724" s="615"/>
      <c r="J724" s="198"/>
      <c r="K724" s="198"/>
      <c r="L724" s="198"/>
      <c r="M724" s="616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ht="12.75" customHeight="1">
      <c r="A725" s="613"/>
      <c r="B725" s="613"/>
      <c r="C725" s="613"/>
      <c r="D725" s="615"/>
      <c r="E725" s="198"/>
      <c r="F725" s="198"/>
      <c r="G725" s="198"/>
      <c r="H725" s="198"/>
      <c r="I725" s="615"/>
      <c r="J725" s="198"/>
      <c r="K725" s="198"/>
      <c r="L725" s="198"/>
      <c r="M725" s="616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ht="12.75" customHeight="1">
      <c r="A726" s="613"/>
      <c r="B726" s="613"/>
      <c r="C726" s="613"/>
      <c r="D726" s="615"/>
      <c r="E726" s="198"/>
      <c r="F726" s="198"/>
      <c r="G726" s="198"/>
      <c r="H726" s="198"/>
      <c r="I726" s="615"/>
      <c r="J726" s="198"/>
      <c r="K726" s="198"/>
      <c r="L726" s="198"/>
      <c r="M726" s="616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ht="12.75" customHeight="1">
      <c r="A727" s="613"/>
      <c r="B727" s="613"/>
      <c r="C727" s="613"/>
      <c r="D727" s="615"/>
      <c r="E727" s="198"/>
      <c r="F727" s="198"/>
      <c r="G727" s="198"/>
      <c r="H727" s="198"/>
      <c r="I727" s="615"/>
      <c r="J727" s="198"/>
      <c r="K727" s="198"/>
      <c r="L727" s="198"/>
      <c r="M727" s="616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ht="12.75" customHeight="1">
      <c r="A728" s="613"/>
      <c r="B728" s="613"/>
      <c r="C728" s="613"/>
      <c r="D728" s="615"/>
      <c r="E728" s="198"/>
      <c r="F728" s="198"/>
      <c r="G728" s="198"/>
      <c r="H728" s="198"/>
      <c r="I728" s="615"/>
      <c r="J728" s="198"/>
      <c r="K728" s="198"/>
      <c r="L728" s="198"/>
      <c r="M728" s="616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ht="12.75" customHeight="1">
      <c r="A729" s="613"/>
      <c r="B729" s="613"/>
      <c r="C729" s="613"/>
      <c r="D729" s="615"/>
      <c r="E729" s="198"/>
      <c r="F729" s="198"/>
      <c r="G729" s="198"/>
      <c r="H729" s="198"/>
      <c r="I729" s="615"/>
      <c r="J729" s="198"/>
      <c r="K729" s="198"/>
      <c r="L729" s="198"/>
      <c r="M729" s="616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ht="12.75" customHeight="1">
      <c r="A730" s="613"/>
      <c r="B730" s="613"/>
      <c r="C730" s="613"/>
      <c r="D730" s="615"/>
      <c r="E730" s="198"/>
      <c r="F730" s="198"/>
      <c r="G730" s="198"/>
      <c r="H730" s="198"/>
      <c r="I730" s="615"/>
      <c r="J730" s="198"/>
      <c r="K730" s="198"/>
      <c r="L730" s="198"/>
      <c r="M730" s="616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ht="12.75" customHeight="1">
      <c r="A731" s="613"/>
      <c r="B731" s="613"/>
      <c r="C731" s="613"/>
      <c r="D731" s="615"/>
      <c r="E731" s="198"/>
      <c r="F731" s="198"/>
      <c r="G731" s="198"/>
      <c r="H731" s="198"/>
      <c r="I731" s="615"/>
      <c r="J731" s="198"/>
      <c r="K731" s="198"/>
      <c r="L731" s="198"/>
      <c r="M731" s="616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ht="12.75" customHeight="1">
      <c r="A732" s="613"/>
      <c r="B732" s="613"/>
      <c r="C732" s="613"/>
      <c r="D732" s="615"/>
      <c r="E732" s="198"/>
      <c r="F732" s="198"/>
      <c r="G732" s="198"/>
      <c r="H732" s="198"/>
      <c r="I732" s="615"/>
      <c r="J732" s="198"/>
      <c r="K732" s="198"/>
      <c r="L732" s="198"/>
      <c r="M732" s="616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ht="12.75" customHeight="1">
      <c r="A733" s="613"/>
      <c r="B733" s="613"/>
      <c r="C733" s="613"/>
      <c r="D733" s="615"/>
      <c r="E733" s="198"/>
      <c r="F733" s="198"/>
      <c r="G733" s="198"/>
      <c r="H733" s="198"/>
      <c r="I733" s="615"/>
      <c r="J733" s="198"/>
      <c r="K733" s="198"/>
      <c r="L733" s="198"/>
      <c r="M733" s="616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ht="12.75" customHeight="1">
      <c r="A734" s="613"/>
      <c r="B734" s="613"/>
      <c r="C734" s="613"/>
      <c r="D734" s="615"/>
      <c r="E734" s="198"/>
      <c r="F734" s="198"/>
      <c r="G734" s="198"/>
      <c r="H734" s="198"/>
      <c r="I734" s="615"/>
      <c r="J734" s="198"/>
      <c r="K734" s="198"/>
      <c r="L734" s="198"/>
      <c r="M734" s="616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ht="12.75" customHeight="1">
      <c r="A735" s="613"/>
      <c r="B735" s="613"/>
      <c r="C735" s="613"/>
      <c r="D735" s="615"/>
      <c r="E735" s="198"/>
      <c r="F735" s="198"/>
      <c r="G735" s="198"/>
      <c r="H735" s="198"/>
      <c r="I735" s="615"/>
      <c r="J735" s="198"/>
      <c r="K735" s="198"/>
      <c r="L735" s="198"/>
      <c r="M735" s="616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ht="12.75" customHeight="1">
      <c r="A736" s="613"/>
      <c r="B736" s="613"/>
      <c r="C736" s="613"/>
      <c r="D736" s="615"/>
      <c r="E736" s="198"/>
      <c r="F736" s="198"/>
      <c r="G736" s="198"/>
      <c r="H736" s="198"/>
      <c r="I736" s="615"/>
      <c r="J736" s="198"/>
      <c r="K736" s="198"/>
      <c r="L736" s="198"/>
      <c r="M736" s="616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ht="12.75" customHeight="1">
      <c r="A737" s="613"/>
      <c r="B737" s="613"/>
      <c r="C737" s="613"/>
      <c r="D737" s="615"/>
      <c r="E737" s="198"/>
      <c r="F737" s="198"/>
      <c r="G737" s="198"/>
      <c r="H737" s="198"/>
      <c r="I737" s="615"/>
      <c r="J737" s="198"/>
      <c r="K737" s="198"/>
      <c r="L737" s="198"/>
      <c r="M737" s="616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ht="12.75" customHeight="1">
      <c r="A738" s="613"/>
      <c r="B738" s="613"/>
      <c r="C738" s="613"/>
      <c r="D738" s="615"/>
      <c r="E738" s="198"/>
      <c r="F738" s="198"/>
      <c r="G738" s="198"/>
      <c r="H738" s="198"/>
      <c r="I738" s="615"/>
      <c r="J738" s="198"/>
      <c r="K738" s="198"/>
      <c r="L738" s="198"/>
      <c r="M738" s="616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ht="12.75" customHeight="1">
      <c r="A739" s="613"/>
      <c r="B739" s="613"/>
      <c r="C739" s="613"/>
      <c r="D739" s="615"/>
      <c r="E739" s="198"/>
      <c r="F739" s="198"/>
      <c r="G739" s="198"/>
      <c r="H739" s="198"/>
      <c r="I739" s="615"/>
      <c r="J739" s="198"/>
      <c r="K739" s="198"/>
      <c r="L739" s="198"/>
      <c r="M739" s="616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ht="12.75" customHeight="1">
      <c r="A740" s="613"/>
      <c r="B740" s="613"/>
      <c r="C740" s="613"/>
      <c r="D740" s="615"/>
      <c r="E740" s="198"/>
      <c r="F740" s="198"/>
      <c r="G740" s="198"/>
      <c r="H740" s="198"/>
      <c r="I740" s="615"/>
      <c r="J740" s="198"/>
      <c r="K740" s="198"/>
      <c r="L740" s="198"/>
      <c r="M740" s="616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ht="12.75" customHeight="1">
      <c r="A741" s="613"/>
      <c r="B741" s="613"/>
      <c r="C741" s="613"/>
      <c r="D741" s="615"/>
      <c r="E741" s="198"/>
      <c r="F741" s="198"/>
      <c r="G741" s="198"/>
      <c r="H741" s="198"/>
      <c r="I741" s="615"/>
      <c r="J741" s="198"/>
      <c r="K741" s="198"/>
      <c r="L741" s="198"/>
      <c r="M741" s="616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ht="12.75" customHeight="1">
      <c r="A742" s="613"/>
      <c r="B742" s="613"/>
      <c r="C742" s="613"/>
      <c r="D742" s="615"/>
      <c r="E742" s="198"/>
      <c r="F742" s="198"/>
      <c r="G742" s="198"/>
      <c r="H742" s="198"/>
      <c r="I742" s="615"/>
      <c r="J742" s="198"/>
      <c r="K742" s="198"/>
      <c r="L742" s="198"/>
      <c r="M742" s="616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ht="12.75" customHeight="1">
      <c r="A743" s="613"/>
      <c r="B743" s="613"/>
      <c r="C743" s="613"/>
      <c r="D743" s="615"/>
      <c r="E743" s="198"/>
      <c r="F743" s="198"/>
      <c r="G743" s="198"/>
      <c r="H743" s="198"/>
      <c r="I743" s="615"/>
      <c r="J743" s="198"/>
      <c r="K743" s="198"/>
      <c r="L743" s="198"/>
      <c r="M743" s="616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ht="12.75" customHeight="1">
      <c r="A744" s="613"/>
      <c r="B744" s="613"/>
      <c r="C744" s="613"/>
      <c r="D744" s="615"/>
      <c r="E744" s="198"/>
      <c r="F744" s="198"/>
      <c r="G744" s="198"/>
      <c r="H744" s="198"/>
      <c r="I744" s="615"/>
      <c r="J744" s="198"/>
      <c r="K744" s="198"/>
      <c r="L744" s="198"/>
      <c r="M744" s="616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ht="12.75" customHeight="1">
      <c r="A745" s="613"/>
      <c r="B745" s="613"/>
      <c r="C745" s="613"/>
      <c r="D745" s="615"/>
      <c r="E745" s="198"/>
      <c r="F745" s="198"/>
      <c r="G745" s="198"/>
      <c r="H745" s="198"/>
      <c r="I745" s="615"/>
      <c r="J745" s="198"/>
      <c r="K745" s="198"/>
      <c r="L745" s="198"/>
      <c r="M745" s="616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ht="12.75" customHeight="1">
      <c r="A746" s="613"/>
      <c r="B746" s="613"/>
      <c r="C746" s="613"/>
      <c r="D746" s="615"/>
      <c r="E746" s="198"/>
      <c r="F746" s="198"/>
      <c r="G746" s="198"/>
      <c r="H746" s="198"/>
      <c r="I746" s="615"/>
      <c r="J746" s="198"/>
      <c r="K746" s="198"/>
      <c r="L746" s="198"/>
      <c r="M746" s="616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ht="12.75" customHeight="1">
      <c r="A747" s="613"/>
      <c r="B747" s="613"/>
      <c r="C747" s="613"/>
      <c r="D747" s="615"/>
      <c r="E747" s="198"/>
      <c r="F747" s="198"/>
      <c r="G747" s="198"/>
      <c r="H747" s="198"/>
      <c r="I747" s="615"/>
      <c r="J747" s="198"/>
      <c r="K747" s="198"/>
      <c r="L747" s="198"/>
      <c r="M747" s="616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ht="12.75" customHeight="1">
      <c r="A748" s="613"/>
      <c r="B748" s="613"/>
      <c r="C748" s="613"/>
      <c r="D748" s="615"/>
      <c r="E748" s="198"/>
      <c r="F748" s="198"/>
      <c r="G748" s="198"/>
      <c r="H748" s="198"/>
      <c r="I748" s="615"/>
      <c r="J748" s="198"/>
      <c r="K748" s="198"/>
      <c r="L748" s="198"/>
      <c r="M748" s="616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ht="12.75" customHeight="1">
      <c r="A749" s="613"/>
      <c r="B749" s="613"/>
      <c r="C749" s="613"/>
      <c r="D749" s="615"/>
      <c r="E749" s="198"/>
      <c r="F749" s="198"/>
      <c r="G749" s="198"/>
      <c r="H749" s="198"/>
      <c r="I749" s="615"/>
      <c r="J749" s="198"/>
      <c r="K749" s="198"/>
      <c r="L749" s="198"/>
      <c r="M749" s="616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ht="12.75" customHeight="1">
      <c r="A750" s="613"/>
      <c r="B750" s="613"/>
      <c r="C750" s="613"/>
      <c r="D750" s="615"/>
      <c r="E750" s="198"/>
      <c r="F750" s="198"/>
      <c r="G750" s="198"/>
      <c r="H750" s="198"/>
      <c r="I750" s="615"/>
      <c r="J750" s="198"/>
      <c r="K750" s="198"/>
      <c r="L750" s="198"/>
      <c r="M750" s="616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ht="12.75" customHeight="1">
      <c r="A751" s="613"/>
      <c r="B751" s="613"/>
      <c r="C751" s="613"/>
      <c r="D751" s="615"/>
      <c r="E751" s="198"/>
      <c r="F751" s="198"/>
      <c r="G751" s="198"/>
      <c r="H751" s="198"/>
      <c r="I751" s="615"/>
      <c r="J751" s="198"/>
      <c r="K751" s="198"/>
      <c r="L751" s="198"/>
      <c r="M751" s="616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ht="12.75" customHeight="1">
      <c r="A752" s="613"/>
      <c r="B752" s="613"/>
      <c r="C752" s="613"/>
      <c r="D752" s="615"/>
      <c r="E752" s="198"/>
      <c r="F752" s="198"/>
      <c r="G752" s="198"/>
      <c r="H752" s="198"/>
      <c r="I752" s="615"/>
      <c r="J752" s="198"/>
      <c r="K752" s="198"/>
      <c r="L752" s="198"/>
      <c r="M752" s="616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ht="12.75" customHeight="1">
      <c r="A753" s="613"/>
      <c r="B753" s="613"/>
      <c r="C753" s="613"/>
      <c r="D753" s="615"/>
      <c r="E753" s="198"/>
      <c r="F753" s="198"/>
      <c r="G753" s="198"/>
      <c r="H753" s="198"/>
      <c r="I753" s="615"/>
      <c r="J753" s="198"/>
      <c r="K753" s="198"/>
      <c r="L753" s="198"/>
      <c r="M753" s="616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ht="12.75" customHeight="1">
      <c r="A754" s="613"/>
      <c r="B754" s="613"/>
      <c r="C754" s="613"/>
      <c r="D754" s="615"/>
      <c r="E754" s="198"/>
      <c r="F754" s="198"/>
      <c r="G754" s="198"/>
      <c r="H754" s="198"/>
      <c r="I754" s="615"/>
      <c r="J754" s="198"/>
      <c r="K754" s="198"/>
      <c r="L754" s="198"/>
      <c r="M754" s="616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ht="12.75" customHeight="1">
      <c r="A755" s="613"/>
      <c r="B755" s="613"/>
      <c r="C755" s="613"/>
      <c r="D755" s="615"/>
      <c r="E755" s="198"/>
      <c r="F755" s="198"/>
      <c r="G755" s="198"/>
      <c r="H755" s="198"/>
      <c r="I755" s="615"/>
      <c r="J755" s="198"/>
      <c r="K755" s="198"/>
      <c r="L755" s="198"/>
      <c r="M755" s="616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ht="12.75" customHeight="1">
      <c r="A756" s="613"/>
      <c r="B756" s="613"/>
      <c r="C756" s="613"/>
      <c r="D756" s="615"/>
      <c r="E756" s="198"/>
      <c r="F756" s="198"/>
      <c r="G756" s="198"/>
      <c r="H756" s="198"/>
      <c r="I756" s="615"/>
      <c r="J756" s="198"/>
      <c r="K756" s="198"/>
      <c r="L756" s="198"/>
      <c r="M756" s="616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ht="12.75" customHeight="1">
      <c r="A757" s="613"/>
      <c r="B757" s="613"/>
      <c r="C757" s="613"/>
      <c r="D757" s="615"/>
      <c r="E757" s="198"/>
      <c r="F757" s="198"/>
      <c r="G757" s="198"/>
      <c r="H757" s="198"/>
      <c r="I757" s="615"/>
      <c r="J757" s="198"/>
      <c r="K757" s="198"/>
      <c r="L757" s="198"/>
      <c r="M757" s="616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ht="12.75" customHeight="1">
      <c r="A758" s="613"/>
      <c r="B758" s="613"/>
      <c r="C758" s="613"/>
      <c r="D758" s="615"/>
      <c r="E758" s="198"/>
      <c r="F758" s="198"/>
      <c r="G758" s="198"/>
      <c r="H758" s="198"/>
      <c r="I758" s="615"/>
      <c r="J758" s="198"/>
      <c r="K758" s="198"/>
      <c r="L758" s="198"/>
      <c r="M758" s="616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ht="12.75" customHeight="1">
      <c r="A759" s="613"/>
      <c r="B759" s="613"/>
      <c r="C759" s="613"/>
      <c r="D759" s="615"/>
      <c r="E759" s="198"/>
      <c r="F759" s="198"/>
      <c r="G759" s="198"/>
      <c r="H759" s="198"/>
      <c r="I759" s="615"/>
      <c r="J759" s="198"/>
      <c r="K759" s="198"/>
      <c r="L759" s="198"/>
      <c r="M759" s="616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ht="12.75" customHeight="1">
      <c r="A760" s="613"/>
      <c r="B760" s="613"/>
      <c r="C760" s="613"/>
      <c r="D760" s="615"/>
      <c r="E760" s="198"/>
      <c r="F760" s="198"/>
      <c r="G760" s="198"/>
      <c r="H760" s="198"/>
      <c r="I760" s="615"/>
      <c r="J760" s="198"/>
      <c r="K760" s="198"/>
      <c r="L760" s="198"/>
      <c r="M760" s="616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ht="12.75" customHeight="1">
      <c r="A761" s="613"/>
      <c r="B761" s="613"/>
      <c r="C761" s="613"/>
      <c r="D761" s="615"/>
      <c r="E761" s="198"/>
      <c r="F761" s="198"/>
      <c r="G761" s="198"/>
      <c r="H761" s="198"/>
      <c r="I761" s="615"/>
      <c r="J761" s="198"/>
      <c r="K761" s="198"/>
      <c r="L761" s="198"/>
      <c r="M761" s="616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ht="12.75" customHeight="1">
      <c r="A762" s="613"/>
      <c r="B762" s="613"/>
      <c r="C762" s="613"/>
      <c r="D762" s="615"/>
      <c r="E762" s="198"/>
      <c r="F762" s="198"/>
      <c r="G762" s="198"/>
      <c r="H762" s="198"/>
      <c r="I762" s="615"/>
      <c r="J762" s="198"/>
      <c r="K762" s="198"/>
      <c r="L762" s="198"/>
      <c r="M762" s="616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ht="12.75" customHeight="1">
      <c r="A763" s="613"/>
      <c r="B763" s="613"/>
      <c r="C763" s="613"/>
      <c r="D763" s="615"/>
      <c r="E763" s="198"/>
      <c r="F763" s="198"/>
      <c r="G763" s="198"/>
      <c r="H763" s="198"/>
      <c r="I763" s="615"/>
      <c r="J763" s="198"/>
      <c r="K763" s="198"/>
      <c r="L763" s="198"/>
      <c r="M763" s="616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ht="12.75" customHeight="1">
      <c r="A764" s="613"/>
      <c r="B764" s="613"/>
      <c r="C764" s="613"/>
      <c r="D764" s="615"/>
      <c r="E764" s="198"/>
      <c r="F764" s="198"/>
      <c r="G764" s="198"/>
      <c r="H764" s="198"/>
      <c r="I764" s="615"/>
      <c r="J764" s="198"/>
      <c r="K764" s="198"/>
      <c r="L764" s="198"/>
      <c r="M764" s="616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ht="12.75" customHeight="1">
      <c r="A765" s="613"/>
      <c r="B765" s="613"/>
      <c r="C765" s="613"/>
      <c r="D765" s="615"/>
      <c r="E765" s="198"/>
      <c r="F765" s="198"/>
      <c r="G765" s="198"/>
      <c r="H765" s="198"/>
      <c r="I765" s="615"/>
      <c r="J765" s="198"/>
      <c r="K765" s="198"/>
      <c r="L765" s="198"/>
      <c r="M765" s="616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ht="12.75" customHeight="1">
      <c r="A766" s="613"/>
      <c r="B766" s="613"/>
      <c r="C766" s="613"/>
      <c r="D766" s="615"/>
      <c r="E766" s="198"/>
      <c r="F766" s="198"/>
      <c r="G766" s="198"/>
      <c r="H766" s="198"/>
      <c r="I766" s="615"/>
      <c r="J766" s="198"/>
      <c r="K766" s="198"/>
      <c r="L766" s="198"/>
      <c r="M766" s="616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ht="12.75" customHeight="1">
      <c r="A767" s="613"/>
      <c r="B767" s="613"/>
      <c r="C767" s="613"/>
      <c r="D767" s="615"/>
      <c r="E767" s="198"/>
      <c r="F767" s="198"/>
      <c r="G767" s="198"/>
      <c r="H767" s="198"/>
      <c r="I767" s="615"/>
      <c r="J767" s="198"/>
      <c r="K767" s="198"/>
      <c r="L767" s="198"/>
      <c r="M767" s="616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ht="12.75" customHeight="1">
      <c r="A768" s="613"/>
      <c r="B768" s="613"/>
      <c r="C768" s="613"/>
      <c r="D768" s="615"/>
      <c r="E768" s="198"/>
      <c r="F768" s="198"/>
      <c r="G768" s="198"/>
      <c r="H768" s="198"/>
      <c r="I768" s="615"/>
      <c r="J768" s="198"/>
      <c r="K768" s="198"/>
      <c r="L768" s="198"/>
      <c r="M768" s="616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ht="12.75" customHeight="1">
      <c r="A769" s="613"/>
      <c r="B769" s="613"/>
      <c r="C769" s="613"/>
      <c r="D769" s="615"/>
      <c r="E769" s="198"/>
      <c r="F769" s="198"/>
      <c r="G769" s="198"/>
      <c r="H769" s="198"/>
      <c r="I769" s="615"/>
      <c r="J769" s="198"/>
      <c r="K769" s="198"/>
      <c r="L769" s="198"/>
      <c r="M769" s="616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ht="12.75" customHeight="1">
      <c r="A770" s="613"/>
      <c r="B770" s="613"/>
      <c r="C770" s="613"/>
      <c r="D770" s="615"/>
      <c r="E770" s="198"/>
      <c r="F770" s="198"/>
      <c r="G770" s="198"/>
      <c r="H770" s="198"/>
      <c r="I770" s="615"/>
      <c r="J770" s="198"/>
      <c r="K770" s="198"/>
      <c r="L770" s="198"/>
      <c r="M770" s="616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ht="12.75" customHeight="1">
      <c r="A771" s="613"/>
      <c r="B771" s="613"/>
      <c r="C771" s="613"/>
      <c r="D771" s="615"/>
      <c r="E771" s="198"/>
      <c r="F771" s="198"/>
      <c r="G771" s="198"/>
      <c r="H771" s="198"/>
      <c r="I771" s="615"/>
      <c r="J771" s="198"/>
      <c r="K771" s="198"/>
      <c r="L771" s="198"/>
      <c r="M771" s="616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ht="12.75" customHeight="1">
      <c r="A772" s="613"/>
      <c r="B772" s="613"/>
      <c r="C772" s="613"/>
      <c r="D772" s="615"/>
      <c r="E772" s="198"/>
      <c r="F772" s="198"/>
      <c r="G772" s="198"/>
      <c r="H772" s="198"/>
      <c r="I772" s="615"/>
      <c r="J772" s="198"/>
      <c r="K772" s="198"/>
      <c r="L772" s="198"/>
      <c r="M772" s="616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ht="12.75" customHeight="1">
      <c r="A773" s="613"/>
      <c r="B773" s="613"/>
      <c r="C773" s="613"/>
      <c r="D773" s="615"/>
      <c r="E773" s="198"/>
      <c r="F773" s="198"/>
      <c r="G773" s="198"/>
      <c r="H773" s="198"/>
      <c r="I773" s="615"/>
      <c r="J773" s="198"/>
      <c r="K773" s="198"/>
      <c r="L773" s="198"/>
      <c r="M773" s="616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ht="12.75" customHeight="1">
      <c r="A774" s="613"/>
      <c r="B774" s="613"/>
      <c r="C774" s="613"/>
      <c r="D774" s="615"/>
      <c r="E774" s="198"/>
      <c r="F774" s="198"/>
      <c r="G774" s="198"/>
      <c r="H774" s="198"/>
      <c r="I774" s="615"/>
      <c r="J774" s="198"/>
      <c r="K774" s="198"/>
      <c r="L774" s="198"/>
      <c r="M774" s="616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ht="12.75" customHeight="1">
      <c r="A775" s="613"/>
      <c r="B775" s="613"/>
      <c r="C775" s="613"/>
      <c r="D775" s="615"/>
      <c r="E775" s="198"/>
      <c r="F775" s="198"/>
      <c r="G775" s="198"/>
      <c r="H775" s="198"/>
      <c r="I775" s="615"/>
      <c r="J775" s="198"/>
      <c r="K775" s="198"/>
      <c r="L775" s="198"/>
      <c r="M775" s="616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ht="12.75" customHeight="1">
      <c r="A776" s="613"/>
      <c r="B776" s="613"/>
      <c r="C776" s="613"/>
      <c r="D776" s="615"/>
      <c r="E776" s="198"/>
      <c r="F776" s="198"/>
      <c r="G776" s="198"/>
      <c r="H776" s="198"/>
      <c r="I776" s="615"/>
      <c r="J776" s="198"/>
      <c r="K776" s="198"/>
      <c r="L776" s="198"/>
      <c r="M776" s="616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ht="12.75" customHeight="1">
      <c r="A777" s="613"/>
      <c r="B777" s="613"/>
      <c r="C777" s="613"/>
      <c r="D777" s="615"/>
      <c r="E777" s="198"/>
      <c r="F777" s="198"/>
      <c r="G777" s="198"/>
      <c r="H777" s="198"/>
      <c r="I777" s="615"/>
      <c r="J777" s="198"/>
      <c r="K777" s="198"/>
      <c r="L777" s="198"/>
      <c r="M777" s="616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ht="12.75" customHeight="1">
      <c r="A778" s="613"/>
      <c r="B778" s="613"/>
      <c r="C778" s="613"/>
      <c r="D778" s="615"/>
      <c r="E778" s="198"/>
      <c r="F778" s="198"/>
      <c r="G778" s="198"/>
      <c r="H778" s="198"/>
      <c r="I778" s="615"/>
      <c r="J778" s="198"/>
      <c r="K778" s="198"/>
      <c r="L778" s="198"/>
      <c r="M778" s="616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ht="12.75" customHeight="1">
      <c r="A779" s="613"/>
      <c r="B779" s="613"/>
      <c r="C779" s="613"/>
      <c r="D779" s="615"/>
      <c r="E779" s="198"/>
      <c r="F779" s="198"/>
      <c r="G779" s="198"/>
      <c r="H779" s="198"/>
      <c r="I779" s="615"/>
      <c r="J779" s="198"/>
      <c r="K779" s="198"/>
      <c r="L779" s="198"/>
      <c r="M779" s="616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ht="12.75" customHeight="1">
      <c r="A780" s="613"/>
      <c r="B780" s="613"/>
      <c r="C780" s="613"/>
      <c r="D780" s="615"/>
      <c r="E780" s="198"/>
      <c r="F780" s="198"/>
      <c r="G780" s="198"/>
      <c r="H780" s="198"/>
      <c r="I780" s="615"/>
      <c r="J780" s="198"/>
      <c r="K780" s="198"/>
      <c r="L780" s="198"/>
      <c r="M780" s="616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ht="12.75" customHeight="1">
      <c r="A781" s="613"/>
      <c r="B781" s="613"/>
      <c r="C781" s="613"/>
      <c r="D781" s="615"/>
      <c r="E781" s="198"/>
      <c r="F781" s="198"/>
      <c r="G781" s="198"/>
      <c r="H781" s="198"/>
      <c r="I781" s="615"/>
      <c r="J781" s="198"/>
      <c r="K781" s="198"/>
      <c r="L781" s="198"/>
      <c r="M781" s="616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ht="12.75" customHeight="1">
      <c r="A782" s="613"/>
      <c r="B782" s="613"/>
      <c r="C782" s="613"/>
      <c r="D782" s="615"/>
      <c r="E782" s="198"/>
      <c r="F782" s="198"/>
      <c r="G782" s="198"/>
      <c r="H782" s="198"/>
      <c r="I782" s="615"/>
      <c r="J782" s="198"/>
      <c r="K782" s="198"/>
      <c r="L782" s="198"/>
      <c r="M782" s="616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ht="12.75" customHeight="1">
      <c r="A783" s="613"/>
      <c r="B783" s="613"/>
      <c r="C783" s="613"/>
      <c r="D783" s="615"/>
      <c r="E783" s="198"/>
      <c r="F783" s="198"/>
      <c r="G783" s="198"/>
      <c r="H783" s="198"/>
      <c r="I783" s="615"/>
      <c r="J783" s="198"/>
      <c r="K783" s="198"/>
      <c r="L783" s="198"/>
      <c r="M783" s="616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ht="12.75" customHeight="1">
      <c r="A784" s="613"/>
      <c r="B784" s="613"/>
      <c r="C784" s="613"/>
      <c r="D784" s="615"/>
      <c r="E784" s="198"/>
      <c r="F784" s="198"/>
      <c r="G784" s="198"/>
      <c r="H784" s="198"/>
      <c r="I784" s="615"/>
      <c r="J784" s="198"/>
      <c r="K784" s="198"/>
      <c r="L784" s="198"/>
      <c r="M784" s="616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ht="12.75" customHeight="1">
      <c r="A785" s="613"/>
      <c r="B785" s="613"/>
      <c r="C785" s="613"/>
      <c r="D785" s="615"/>
      <c r="E785" s="198"/>
      <c r="F785" s="198"/>
      <c r="G785" s="198"/>
      <c r="H785" s="198"/>
      <c r="I785" s="615"/>
      <c r="J785" s="198"/>
      <c r="K785" s="198"/>
      <c r="L785" s="198"/>
      <c r="M785" s="616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ht="12.75" customHeight="1">
      <c r="A786" s="613"/>
      <c r="B786" s="613"/>
      <c r="C786" s="613"/>
      <c r="D786" s="615"/>
      <c r="E786" s="198"/>
      <c r="F786" s="198"/>
      <c r="G786" s="198"/>
      <c r="H786" s="198"/>
      <c r="I786" s="615"/>
      <c r="J786" s="198"/>
      <c r="K786" s="198"/>
      <c r="L786" s="198"/>
      <c r="M786" s="616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ht="12.75" customHeight="1">
      <c r="A787" s="613"/>
      <c r="B787" s="613"/>
      <c r="C787" s="613"/>
      <c r="D787" s="615"/>
      <c r="E787" s="198"/>
      <c r="F787" s="198"/>
      <c r="G787" s="198"/>
      <c r="H787" s="198"/>
      <c r="I787" s="615"/>
      <c r="J787" s="198"/>
      <c r="K787" s="198"/>
      <c r="L787" s="198"/>
      <c r="M787" s="616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ht="12.75" customHeight="1">
      <c r="A788" s="613"/>
      <c r="B788" s="613"/>
      <c r="C788" s="613"/>
      <c r="D788" s="615"/>
      <c r="E788" s="198"/>
      <c r="F788" s="198"/>
      <c r="G788" s="198"/>
      <c r="H788" s="198"/>
      <c r="I788" s="615"/>
      <c r="J788" s="198"/>
      <c r="K788" s="198"/>
      <c r="L788" s="198"/>
      <c r="M788" s="616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ht="12.75" customHeight="1">
      <c r="A789" s="613"/>
      <c r="B789" s="613"/>
      <c r="C789" s="613"/>
      <c r="D789" s="615"/>
      <c r="E789" s="198"/>
      <c r="F789" s="198"/>
      <c r="G789" s="198"/>
      <c r="H789" s="198"/>
      <c r="I789" s="615"/>
      <c r="J789" s="198"/>
      <c r="K789" s="198"/>
      <c r="L789" s="198"/>
      <c r="M789" s="616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ht="12.75" customHeight="1">
      <c r="A790" s="613"/>
      <c r="B790" s="613"/>
      <c r="C790" s="613"/>
      <c r="D790" s="615"/>
      <c r="E790" s="198"/>
      <c r="F790" s="198"/>
      <c r="G790" s="198"/>
      <c r="H790" s="198"/>
      <c r="I790" s="615"/>
      <c r="J790" s="198"/>
      <c r="K790" s="198"/>
      <c r="L790" s="198"/>
      <c r="M790" s="616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ht="12.75" customHeight="1">
      <c r="A791" s="613"/>
      <c r="B791" s="613"/>
      <c r="C791" s="613"/>
      <c r="D791" s="615"/>
      <c r="E791" s="198"/>
      <c r="F791" s="198"/>
      <c r="G791" s="198"/>
      <c r="H791" s="198"/>
      <c r="I791" s="615"/>
      <c r="J791" s="198"/>
      <c r="K791" s="198"/>
      <c r="L791" s="198"/>
      <c r="M791" s="616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ht="12.75" customHeight="1">
      <c r="A792" s="613"/>
      <c r="B792" s="613"/>
      <c r="C792" s="613"/>
      <c r="D792" s="615"/>
      <c r="E792" s="198"/>
      <c r="F792" s="198"/>
      <c r="G792" s="198"/>
      <c r="H792" s="198"/>
      <c r="I792" s="615"/>
      <c r="J792" s="198"/>
      <c r="K792" s="198"/>
      <c r="L792" s="198"/>
      <c r="M792" s="616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ht="12.75" customHeight="1">
      <c r="A793" s="613"/>
      <c r="B793" s="613"/>
      <c r="C793" s="613"/>
      <c r="D793" s="615"/>
      <c r="E793" s="198"/>
      <c r="F793" s="198"/>
      <c r="G793" s="198"/>
      <c r="H793" s="198"/>
      <c r="I793" s="615"/>
      <c r="J793" s="198"/>
      <c r="K793" s="198"/>
      <c r="L793" s="198"/>
      <c r="M793" s="616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ht="12.75" customHeight="1">
      <c r="A794" s="613"/>
      <c r="B794" s="613"/>
      <c r="C794" s="613"/>
      <c r="D794" s="615"/>
      <c r="E794" s="198"/>
      <c r="F794" s="198"/>
      <c r="G794" s="198"/>
      <c r="H794" s="198"/>
      <c r="I794" s="615"/>
      <c r="J794" s="198"/>
      <c r="K794" s="198"/>
      <c r="L794" s="198"/>
      <c r="M794" s="616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ht="12.75" customHeight="1">
      <c r="A795" s="613"/>
      <c r="B795" s="613"/>
      <c r="C795" s="613"/>
      <c r="D795" s="615"/>
      <c r="E795" s="198"/>
      <c r="F795" s="198"/>
      <c r="G795" s="198"/>
      <c r="H795" s="198"/>
      <c r="I795" s="615"/>
      <c r="J795" s="198"/>
      <c r="K795" s="198"/>
      <c r="L795" s="198"/>
      <c r="M795" s="616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ht="12.75" customHeight="1">
      <c r="A796" s="613"/>
      <c r="B796" s="613"/>
      <c r="C796" s="613"/>
      <c r="D796" s="615"/>
      <c r="E796" s="198"/>
      <c r="F796" s="198"/>
      <c r="G796" s="198"/>
      <c r="H796" s="198"/>
      <c r="I796" s="615"/>
      <c r="J796" s="198"/>
      <c r="K796" s="198"/>
      <c r="L796" s="198"/>
      <c r="M796" s="616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ht="12.75" customHeight="1">
      <c r="A797" s="613"/>
      <c r="B797" s="613"/>
      <c r="C797" s="613"/>
      <c r="D797" s="615"/>
      <c r="E797" s="198"/>
      <c r="F797" s="198"/>
      <c r="G797" s="198"/>
      <c r="H797" s="198"/>
      <c r="I797" s="615"/>
      <c r="J797" s="198"/>
      <c r="K797" s="198"/>
      <c r="L797" s="198"/>
      <c r="M797" s="616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ht="12.75" customHeight="1">
      <c r="A798" s="613"/>
      <c r="B798" s="613"/>
      <c r="C798" s="613"/>
      <c r="D798" s="615"/>
      <c r="E798" s="198"/>
      <c r="F798" s="198"/>
      <c r="G798" s="198"/>
      <c r="H798" s="198"/>
      <c r="I798" s="615"/>
      <c r="J798" s="198"/>
      <c r="K798" s="198"/>
      <c r="L798" s="198"/>
      <c r="M798" s="616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ht="12.75" customHeight="1">
      <c r="A799" s="613"/>
      <c r="B799" s="613"/>
      <c r="C799" s="613"/>
      <c r="D799" s="615"/>
      <c r="E799" s="198"/>
      <c r="F799" s="198"/>
      <c r="G799" s="198"/>
      <c r="H799" s="198"/>
      <c r="I799" s="615"/>
      <c r="J799" s="198"/>
      <c r="K799" s="198"/>
      <c r="L799" s="198"/>
      <c r="M799" s="616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ht="12.75" customHeight="1">
      <c r="A800" s="613"/>
      <c r="B800" s="613"/>
      <c r="C800" s="613"/>
      <c r="D800" s="615"/>
      <c r="E800" s="198"/>
      <c r="F800" s="198"/>
      <c r="G800" s="198"/>
      <c r="H800" s="198"/>
      <c r="I800" s="615"/>
      <c r="J800" s="198"/>
      <c r="K800" s="198"/>
      <c r="L800" s="198"/>
      <c r="M800" s="616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ht="12.75" customHeight="1">
      <c r="A801" s="613"/>
      <c r="B801" s="613"/>
      <c r="C801" s="613"/>
      <c r="D801" s="615"/>
      <c r="E801" s="198"/>
      <c r="F801" s="198"/>
      <c r="G801" s="198"/>
      <c r="H801" s="198"/>
      <c r="I801" s="615"/>
      <c r="J801" s="198"/>
      <c r="K801" s="198"/>
      <c r="L801" s="198"/>
      <c r="M801" s="616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ht="12.75" customHeight="1">
      <c r="A802" s="613"/>
      <c r="B802" s="613"/>
      <c r="C802" s="613"/>
      <c r="D802" s="615"/>
      <c r="E802" s="198"/>
      <c r="F802" s="198"/>
      <c r="G802" s="198"/>
      <c r="H802" s="198"/>
      <c r="I802" s="615"/>
      <c r="J802" s="198"/>
      <c r="K802" s="198"/>
      <c r="L802" s="198"/>
      <c r="M802" s="616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ht="12.75" customHeight="1">
      <c r="A803" s="613"/>
      <c r="B803" s="613"/>
      <c r="C803" s="613"/>
      <c r="D803" s="615"/>
      <c r="E803" s="198"/>
      <c r="F803" s="198"/>
      <c r="G803" s="198"/>
      <c r="H803" s="198"/>
      <c r="I803" s="615"/>
      <c r="J803" s="198"/>
      <c r="K803" s="198"/>
      <c r="L803" s="198"/>
      <c r="M803" s="616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ht="12.75" customHeight="1">
      <c r="A804" s="613"/>
      <c r="B804" s="613"/>
      <c r="C804" s="613"/>
      <c r="D804" s="615"/>
      <c r="E804" s="198"/>
      <c r="F804" s="198"/>
      <c r="G804" s="198"/>
      <c r="H804" s="198"/>
      <c r="I804" s="615"/>
      <c r="J804" s="198"/>
      <c r="K804" s="198"/>
      <c r="L804" s="198"/>
      <c r="M804" s="616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ht="12.75" customHeight="1">
      <c r="A805" s="613"/>
      <c r="B805" s="613"/>
      <c r="C805" s="613"/>
      <c r="D805" s="615"/>
      <c r="E805" s="198"/>
      <c r="F805" s="198"/>
      <c r="G805" s="198"/>
      <c r="H805" s="198"/>
      <c r="I805" s="615"/>
      <c r="J805" s="198"/>
      <c r="K805" s="198"/>
      <c r="L805" s="198"/>
      <c r="M805" s="616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ht="12.75" customHeight="1">
      <c r="A806" s="613"/>
      <c r="B806" s="613"/>
      <c r="C806" s="613"/>
      <c r="D806" s="615"/>
      <c r="E806" s="198"/>
      <c r="F806" s="198"/>
      <c r="G806" s="198"/>
      <c r="H806" s="198"/>
      <c r="I806" s="615"/>
      <c r="J806" s="198"/>
      <c r="K806" s="198"/>
      <c r="L806" s="198"/>
      <c r="M806" s="616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ht="12.75" customHeight="1">
      <c r="A807" s="613"/>
      <c r="B807" s="613"/>
      <c r="C807" s="613"/>
      <c r="D807" s="615"/>
      <c r="E807" s="198"/>
      <c r="F807" s="198"/>
      <c r="G807" s="198"/>
      <c r="H807" s="198"/>
      <c r="I807" s="615"/>
      <c r="J807" s="198"/>
      <c r="K807" s="198"/>
      <c r="L807" s="198"/>
      <c r="M807" s="616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ht="12.75" customHeight="1">
      <c r="A808" s="613"/>
      <c r="B808" s="613"/>
      <c r="C808" s="613"/>
      <c r="D808" s="615"/>
      <c r="E808" s="198"/>
      <c r="F808" s="198"/>
      <c r="G808" s="198"/>
      <c r="H808" s="198"/>
      <c r="I808" s="615"/>
      <c r="J808" s="198"/>
      <c r="K808" s="198"/>
      <c r="L808" s="198"/>
      <c r="M808" s="616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ht="12.75" customHeight="1">
      <c r="A809" s="613"/>
      <c r="B809" s="613"/>
      <c r="C809" s="613"/>
      <c r="D809" s="615"/>
      <c r="E809" s="198"/>
      <c r="F809" s="198"/>
      <c r="G809" s="198"/>
      <c r="H809" s="198"/>
      <c r="I809" s="615"/>
      <c r="J809" s="198"/>
      <c r="K809" s="198"/>
      <c r="L809" s="198"/>
      <c r="M809" s="616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ht="12.75" customHeight="1">
      <c r="A810" s="613"/>
      <c r="B810" s="613"/>
      <c r="C810" s="613"/>
      <c r="D810" s="615"/>
      <c r="E810" s="198"/>
      <c r="F810" s="198"/>
      <c r="G810" s="198"/>
      <c r="H810" s="198"/>
      <c r="I810" s="615"/>
      <c r="J810" s="198"/>
      <c r="K810" s="198"/>
      <c r="L810" s="198"/>
      <c r="M810" s="616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ht="12.75" customHeight="1">
      <c r="A811" s="613"/>
      <c r="B811" s="613"/>
      <c r="C811" s="613"/>
      <c r="D811" s="615"/>
      <c r="E811" s="198"/>
      <c r="F811" s="198"/>
      <c r="G811" s="198"/>
      <c r="H811" s="198"/>
      <c r="I811" s="615"/>
      <c r="J811" s="198"/>
      <c r="K811" s="198"/>
      <c r="L811" s="198"/>
      <c r="M811" s="616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ht="12.75" customHeight="1">
      <c r="A812" s="613"/>
      <c r="B812" s="613"/>
      <c r="C812" s="613"/>
      <c r="D812" s="615"/>
      <c r="E812" s="198"/>
      <c r="F812" s="198"/>
      <c r="G812" s="198"/>
      <c r="H812" s="198"/>
      <c r="I812" s="615"/>
      <c r="J812" s="198"/>
      <c r="K812" s="198"/>
      <c r="L812" s="198"/>
      <c r="M812" s="616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ht="12.75" customHeight="1">
      <c r="A813" s="613"/>
      <c r="B813" s="613"/>
      <c r="C813" s="613"/>
      <c r="D813" s="615"/>
      <c r="E813" s="198"/>
      <c r="F813" s="198"/>
      <c r="G813" s="198"/>
      <c r="H813" s="198"/>
      <c r="I813" s="615"/>
      <c r="J813" s="198"/>
      <c r="K813" s="198"/>
      <c r="L813" s="198"/>
      <c r="M813" s="616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ht="12.75" customHeight="1">
      <c r="A814" s="613"/>
      <c r="B814" s="613"/>
      <c r="C814" s="613"/>
      <c r="D814" s="615"/>
      <c r="E814" s="198"/>
      <c r="F814" s="198"/>
      <c r="G814" s="198"/>
      <c r="H814" s="198"/>
      <c r="I814" s="615"/>
      <c r="J814" s="198"/>
      <c r="K814" s="198"/>
      <c r="L814" s="198"/>
      <c r="M814" s="616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ht="12.75" customHeight="1">
      <c r="A815" s="613"/>
      <c r="B815" s="613"/>
      <c r="C815" s="613"/>
      <c r="D815" s="615"/>
      <c r="E815" s="198"/>
      <c r="F815" s="198"/>
      <c r="G815" s="198"/>
      <c r="H815" s="198"/>
      <c r="I815" s="615"/>
      <c r="J815" s="198"/>
      <c r="K815" s="198"/>
      <c r="L815" s="198"/>
      <c r="M815" s="616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ht="12.75" customHeight="1">
      <c r="A816" s="613"/>
      <c r="B816" s="613"/>
      <c r="C816" s="613"/>
      <c r="D816" s="615"/>
      <c r="E816" s="198"/>
      <c r="F816" s="198"/>
      <c r="G816" s="198"/>
      <c r="H816" s="198"/>
      <c r="I816" s="615"/>
      <c r="J816" s="198"/>
      <c r="K816" s="198"/>
      <c r="L816" s="198"/>
      <c r="M816" s="616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ht="12.75" customHeight="1">
      <c r="A817" s="613"/>
      <c r="B817" s="613"/>
      <c r="C817" s="613"/>
      <c r="D817" s="615"/>
      <c r="E817" s="198"/>
      <c r="F817" s="198"/>
      <c r="G817" s="198"/>
      <c r="H817" s="198"/>
      <c r="I817" s="615"/>
      <c r="J817" s="198"/>
      <c r="K817" s="198"/>
      <c r="L817" s="198"/>
      <c r="M817" s="616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ht="12.75" customHeight="1">
      <c r="A818" s="613"/>
      <c r="B818" s="613"/>
      <c r="C818" s="613"/>
      <c r="D818" s="615"/>
      <c r="E818" s="198"/>
      <c r="F818" s="198"/>
      <c r="G818" s="198"/>
      <c r="H818" s="198"/>
      <c r="I818" s="615"/>
      <c r="J818" s="198"/>
      <c r="K818" s="198"/>
      <c r="L818" s="198"/>
      <c r="M818" s="616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ht="12.75" customHeight="1">
      <c r="A819" s="613"/>
      <c r="B819" s="613"/>
      <c r="C819" s="613"/>
      <c r="D819" s="615"/>
      <c r="E819" s="198"/>
      <c r="F819" s="198"/>
      <c r="G819" s="198"/>
      <c r="H819" s="198"/>
      <c r="I819" s="615"/>
      <c r="J819" s="198"/>
      <c r="K819" s="198"/>
      <c r="L819" s="198"/>
      <c r="M819" s="616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ht="12.75" customHeight="1">
      <c r="A820" s="613"/>
      <c r="B820" s="613"/>
      <c r="C820" s="613"/>
      <c r="D820" s="615"/>
      <c r="E820" s="198"/>
      <c r="F820" s="198"/>
      <c r="G820" s="198"/>
      <c r="H820" s="198"/>
      <c r="I820" s="615"/>
      <c r="J820" s="198"/>
      <c r="K820" s="198"/>
      <c r="L820" s="198"/>
      <c r="M820" s="616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ht="12.75" customHeight="1">
      <c r="A821" s="613"/>
      <c r="B821" s="613"/>
      <c r="C821" s="613"/>
      <c r="D821" s="615"/>
      <c r="E821" s="198"/>
      <c r="F821" s="198"/>
      <c r="G821" s="198"/>
      <c r="H821" s="198"/>
      <c r="I821" s="615"/>
      <c r="J821" s="198"/>
      <c r="K821" s="198"/>
      <c r="L821" s="198"/>
      <c r="M821" s="616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ht="12.75" customHeight="1">
      <c r="A822" s="613"/>
      <c r="B822" s="613"/>
      <c r="C822" s="613"/>
      <c r="D822" s="615"/>
      <c r="E822" s="198"/>
      <c r="F822" s="198"/>
      <c r="G822" s="198"/>
      <c r="H822" s="198"/>
      <c r="I822" s="615"/>
      <c r="J822" s="198"/>
      <c r="K822" s="198"/>
      <c r="L822" s="198"/>
      <c r="M822" s="616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ht="12.75" customHeight="1">
      <c r="A823" s="613"/>
      <c r="B823" s="613"/>
      <c r="C823" s="613"/>
      <c r="D823" s="615"/>
      <c r="E823" s="198"/>
      <c r="F823" s="198"/>
      <c r="G823" s="198"/>
      <c r="H823" s="198"/>
      <c r="I823" s="615"/>
      <c r="J823" s="198"/>
      <c r="K823" s="198"/>
      <c r="L823" s="198"/>
      <c r="M823" s="616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ht="12.75" customHeight="1">
      <c r="A824" s="613"/>
      <c r="B824" s="613"/>
      <c r="C824" s="613"/>
      <c r="D824" s="615"/>
      <c r="E824" s="198"/>
      <c r="F824" s="198"/>
      <c r="G824" s="198"/>
      <c r="H824" s="198"/>
      <c r="I824" s="615"/>
      <c r="J824" s="198"/>
      <c r="K824" s="198"/>
      <c r="L824" s="198"/>
      <c r="M824" s="616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ht="12.75" customHeight="1">
      <c r="A825" s="613"/>
      <c r="B825" s="613"/>
      <c r="C825" s="613"/>
      <c r="D825" s="615"/>
      <c r="E825" s="198"/>
      <c r="F825" s="198"/>
      <c r="G825" s="198"/>
      <c r="H825" s="198"/>
      <c r="I825" s="615"/>
      <c r="J825" s="198"/>
      <c r="K825" s="198"/>
      <c r="L825" s="198"/>
      <c r="M825" s="616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ht="12.75" customHeight="1">
      <c r="A826" s="613"/>
      <c r="B826" s="613"/>
      <c r="C826" s="613"/>
      <c r="D826" s="615"/>
      <c r="E826" s="198"/>
      <c r="F826" s="198"/>
      <c r="G826" s="198"/>
      <c r="H826" s="198"/>
      <c r="I826" s="615"/>
      <c r="J826" s="198"/>
      <c r="K826" s="198"/>
      <c r="L826" s="198"/>
      <c r="M826" s="616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ht="12.75" customHeight="1">
      <c r="A827" s="613"/>
      <c r="B827" s="613"/>
      <c r="C827" s="613"/>
      <c r="D827" s="615"/>
      <c r="E827" s="198"/>
      <c r="F827" s="198"/>
      <c r="G827" s="198"/>
      <c r="H827" s="198"/>
      <c r="I827" s="615"/>
      <c r="J827" s="198"/>
      <c r="K827" s="198"/>
      <c r="L827" s="198"/>
      <c r="M827" s="616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ht="12.75" customHeight="1">
      <c r="A828" s="613"/>
      <c r="B828" s="613"/>
      <c r="C828" s="613"/>
      <c r="D828" s="615"/>
      <c r="E828" s="198"/>
      <c r="F828" s="198"/>
      <c r="G828" s="198"/>
      <c r="H828" s="198"/>
      <c r="I828" s="615"/>
      <c r="J828" s="198"/>
      <c r="K828" s="198"/>
      <c r="L828" s="198"/>
      <c r="M828" s="616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ht="12.75" customHeight="1">
      <c r="A829" s="613"/>
      <c r="B829" s="613"/>
      <c r="C829" s="613"/>
      <c r="D829" s="615"/>
      <c r="E829" s="198"/>
      <c r="F829" s="198"/>
      <c r="G829" s="198"/>
      <c r="H829" s="198"/>
      <c r="I829" s="615"/>
      <c r="J829" s="198"/>
      <c r="K829" s="198"/>
      <c r="L829" s="198"/>
      <c r="M829" s="616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ht="12.75" customHeight="1">
      <c r="A830" s="613"/>
      <c r="B830" s="613"/>
      <c r="C830" s="613"/>
      <c r="D830" s="615"/>
      <c r="E830" s="198"/>
      <c r="F830" s="198"/>
      <c r="G830" s="198"/>
      <c r="H830" s="198"/>
      <c r="I830" s="615"/>
      <c r="J830" s="198"/>
      <c r="K830" s="198"/>
      <c r="L830" s="198"/>
      <c r="M830" s="616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ht="12.75" customHeight="1">
      <c r="A831" s="613"/>
      <c r="B831" s="613"/>
      <c r="C831" s="613"/>
      <c r="D831" s="615"/>
      <c r="E831" s="198"/>
      <c r="F831" s="198"/>
      <c r="G831" s="198"/>
      <c r="H831" s="198"/>
      <c r="I831" s="615"/>
      <c r="J831" s="198"/>
      <c r="K831" s="198"/>
      <c r="L831" s="198"/>
      <c r="M831" s="616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ht="12.75" customHeight="1">
      <c r="A832" s="613"/>
      <c r="B832" s="613"/>
      <c r="C832" s="613"/>
      <c r="D832" s="615"/>
      <c r="E832" s="198"/>
      <c r="F832" s="198"/>
      <c r="G832" s="198"/>
      <c r="H832" s="198"/>
      <c r="I832" s="615"/>
      <c r="J832" s="198"/>
      <c r="K832" s="198"/>
      <c r="L832" s="198"/>
      <c r="M832" s="616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ht="12.75" customHeight="1">
      <c r="A833" s="613"/>
      <c r="B833" s="613"/>
      <c r="C833" s="613"/>
      <c r="D833" s="615"/>
      <c r="E833" s="198"/>
      <c r="F833" s="198"/>
      <c r="G833" s="198"/>
      <c r="H833" s="198"/>
      <c r="I833" s="615"/>
      <c r="J833" s="198"/>
      <c r="K833" s="198"/>
      <c r="L833" s="198"/>
      <c r="M833" s="616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ht="12.75" customHeight="1">
      <c r="A834" s="613"/>
      <c r="B834" s="613"/>
      <c r="C834" s="613"/>
      <c r="D834" s="615"/>
      <c r="E834" s="198"/>
      <c r="F834" s="198"/>
      <c r="G834" s="198"/>
      <c r="H834" s="198"/>
      <c r="I834" s="615"/>
      <c r="J834" s="198"/>
      <c r="K834" s="198"/>
      <c r="L834" s="198"/>
      <c r="M834" s="616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ht="12.75" customHeight="1">
      <c r="A835" s="613"/>
      <c r="B835" s="613"/>
      <c r="C835" s="613"/>
      <c r="D835" s="615"/>
      <c r="E835" s="198"/>
      <c r="F835" s="198"/>
      <c r="G835" s="198"/>
      <c r="H835" s="198"/>
      <c r="I835" s="615"/>
      <c r="J835" s="198"/>
      <c r="K835" s="198"/>
      <c r="L835" s="198"/>
      <c r="M835" s="616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ht="12.75" customHeight="1">
      <c r="A836" s="613"/>
      <c r="B836" s="613"/>
      <c r="C836" s="613"/>
      <c r="D836" s="615"/>
      <c r="E836" s="198"/>
      <c r="F836" s="198"/>
      <c r="G836" s="198"/>
      <c r="H836" s="198"/>
      <c r="I836" s="615"/>
      <c r="J836" s="198"/>
      <c r="K836" s="198"/>
      <c r="L836" s="198"/>
      <c r="M836" s="616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ht="12.75" customHeight="1">
      <c r="A837" s="613"/>
      <c r="B837" s="613"/>
      <c r="C837" s="613"/>
      <c r="D837" s="615"/>
      <c r="E837" s="198"/>
      <c r="F837" s="198"/>
      <c r="G837" s="198"/>
      <c r="H837" s="198"/>
      <c r="I837" s="615"/>
      <c r="J837" s="198"/>
      <c r="K837" s="198"/>
      <c r="L837" s="198"/>
      <c r="M837" s="616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ht="12.75" customHeight="1">
      <c r="A838" s="613"/>
      <c r="B838" s="613"/>
      <c r="C838" s="613"/>
      <c r="D838" s="615"/>
      <c r="E838" s="198"/>
      <c r="F838" s="198"/>
      <c r="G838" s="198"/>
      <c r="H838" s="198"/>
      <c r="I838" s="615"/>
      <c r="J838" s="198"/>
      <c r="K838" s="198"/>
      <c r="L838" s="198"/>
      <c r="M838" s="616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ht="12.75" customHeight="1">
      <c r="A839" s="613"/>
      <c r="B839" s="613"/>
      <c r="C839" s="613"/>
      <c r="D839" s="615"/>
      <c r="E839" s="198"/>
      <c r="F839" s="198"/>
      <c r="G839" s="198"/>
      <c r="H839" s="198"/>
      <c r="I839" s="615"/>
      <c r="J839" s="198"/>
      <c r="K839" s="198"/>
      <c r="L839" s="198"/>
      <c r="M839" s="616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ht="12.75" customHeight="1">
      <c r="A840" s="613"/>
      <c r="B840" s="613"/>
      <c r="C840" s="613"/>
      <c r="D840" s="615"/>
      <c r="E840" s="198"/>
      <c r="F840" s="198"/>
      <c r="G840" s="198"/>
      <c r="H840" s="198"/>
      <c r="I840" s="615"/>
      <c r="J840" s="198"/>
      <c r="K840" s="198"/>
      <c r="L840" s="198"/>
      <c r="M840" s="616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ht="12.75" customHeight="1">
      <c r="A841" s="613"/>
      <c r="B841" s="613"/>
      <c r="C841" s="613"/>
      <c r="D841" s="615"/>
      <c r="E841" s="198"/>
      <c r="F841" s="198"/>
      <c r="G841" s="198"/>
      <c r="H841" s="198"/>
      <c r="I841" s="615"/>
      <c r="J841" s="198"/>
      <c r="K841" s="198"/>
      <c r="L841" s="198"/>
      <c r="M841" s="616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ht="12.75" customHeight="1">
      <c r="A842" s="613"/>
      <c r="B842" s="613"/>
      <c r="C842" s="613"/>
      <c r="D842" s="615"/>
      <c r="E842" s="198"/>
      <c r="F842" s="198"/>
      <c r="G842" s="198"/>
      <c r="H842" s="198"/>
      <c r="I842" s="615"/>
      <c r="J842" s="198"/>
      <c r="K842" s="198"/>
      <c r="L842" s="198"/>
      <c r="M842" s="616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ht="12.75" customHeight="1">
      <c r="A843" s="613"/>
      <c r="B843" s="613"/>
      <c r="C843" s="613"/>
      <c r="D843" s="615"/>
      <c r="E843" s="198"/>
      <c r="F843" s="198"/>
      <c r="G843" s="198"/>
      <c r="H843" s="198"/>
      <c r="I843" s="615"/>
      <c r="J843" s="198"/>
      <c r="K843" s="198"/>
      <c r="L843" s="198"/>
      <c r="M843" s="616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ht="12.75" customHeight="1">
      <c r="A844" s="613"/>
      <c r="B844" s="613"/>
      <c r="C844" s="613"/>
      <c r="D844" s="615"/>
      <c r="E844" s="198"/>
      <c r="F844" s="198"/>
      <c r="G844" s="198"/>
      <c r="H844" s="198"/>
      <c r="I844" s="615"/>
      <c r="J844" s="198"/>
      <c r="K844" s="198"/>
      <c r="L844" s="198"/>
      <c r="M844" s="616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ht="12.75" customHeight="1">
      <c r="A845" s="613"/>
      <c r="B845" s="613"/>
      <c r="C845" s="613"/>
      <c r="D845" s="615"/>
      <c r="E845" s="198"/>
      <c r="F845" s="198"/>
      <c r="G845" s="198"/>
      <c r="H845" s="198"/>
      <c r="I845" s="615"/>
      <c r="J845" s="198"/>
      <c r="K845" s="198"/>
      <c r="L845" s="198"/>
      <c r="M845" s="616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ht="12.75" customHeight="1">
      <c r="A846" s="613"/>
      <c r="B846" s="613"/>
      <c r="C846" s="613"/>
      <c r="D846" s="615"/>
      <c r="E846" s="198"/>
      <c r="F846" s="198"/>
      <c r="G846" s="198"/>
      <c r="H846" s="198"/>
      <c r="I846" s="615"/>
      <c r="J846" s="198"/>
      <c r="K846" s="198"/>
      <c r="L846" s="198"/>
      <c r="M846" s="616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ht="12.75" customHeight="1">
      <c r="A847" s="613"/>
      <c r="B847" s="613"/>
      <c r="C847" s="613"/>
      <c r="D847" s="615"/>
      <c r="E847" s="198"/>
      <c r="F847" s="198"/>
      <c r="G847" s="198"/>
      <c r="H847" s="198"/>
      <c r="I847" s="615"/>
      <c r="J847" s="198"/>
      <c r="K847" s="198"/>
      <c r="L847" s="198"/>
      <c r="M847" s="616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ht="12.75" customHeight="1">
      <c r="A848" s="613"/>
      <c r="B848" s="613"/>
      <c r="C848" s="613"/>
      <c r="D848" s="615"/>
      <c r="E848" s="198"/>
      <c r="F848" s="198"/>
      <c r="G848" s="198"/>
      <c r="H848" s="198"/>
      <c r="I848" s="615"/>
      <c r="J848" s="198"/>
      <c r="K848" s="198"/>
      <c r="L848" s="198"/>
      <c r="M848" s="616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ht="12.75" customHeight="1">
      <c r="A849" s="613"/>
      <c r="B849" s="613"/>
      <c r="C849" s="613"/>
      <c r="D849" s="615"/>
      <c r="E849" s="198"/>
      <c r="F849" s="198"/>
      <c r="G849" s="198"/>
      <c r="H849" s="198"/>
      <c r="I849" s="615"/>
      <c r="J849" s="198"/>
      <c r="K849" s="198"/>
      <c r="L849" s="198"/>
      <c r="M849" s="616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ht="12.75" customHeight="1">
      <c r="A850" s="613"/>
      <c r="B850" s="613"/>
      <c r="C850" s="613"/>
      <c r="D850" s="615"/>
      <c r="E850" s="198"/>
      <c r="F850" s="198"/>
      <c r="G850" s="198"/>
      <c r="H850" s="198"/>
      <c r="I850" s="615"/>
      <c r="J850" s="198"/>
      <c r="K850" s="198"/>
      <c r="L850" s="198"/>
      <c r="M850" s="616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ht="12.75" customHeight="1">
      <c r="A851" s="613"/>
      <c r="B851" s="613"/>
      <c r="C851" s="613"/>
      <c r="D851" s="615"/>
      <c r="E851" s="198"/>
      <c r="F851" s="198"/>
      <c r="G851" s="198"/>
      <c r="H851" s="198"/>
      <c r="I851" s="615"/>
      <c r="J851" s="198"/>
      <c r="K851" s="198"/>
      <c r="L851" s="198"/>
      <c r="M851" s="616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ht="12.75" customHeight="1">
      <c r="A852" s="613"/>
      <c r="B852" s="613"/>
      <c r="C852" s="613"/>
      <c r="D852" s="615"/>
      <c r="E852" s="198"/>
      <c r="F852" s="198"/>
      <c r="G852" s="198"/>
      <c r="H852" s="198"/>
      <c r="I852" s="615"/>
      <c r="J852" s="198"/>
      <c r="K852" s="198"/>
      <c r="L852" s="198"/>
      <c r="M852" s="616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ht="12.75" customHeight="1">
      <c r="A853" s="613"/>
      <c r="B853" s="613"/>
      <c r="C853" s="613"/>
      <c r="D853" s="615"/>
      <c r="E853" s="198"/>
      <c r="F853" s="198"/>
      <c r="G853" s="198"/>
      <c r="H853" s="198"/>
      <c r="I853" s="615"/>
      <c r="J853" s="198"/>
      <c r="K853" s="198"/>
      <c r="L853" s="198"/>
      <c r="M853" s="616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ht="12.75" customHeight="1">
      <c r="A854" s="613"/>
      <c r="B854" s="613"/>
      <c r="C854" s="613"/>
      <c r="D854" s="615"/>
      <c r="E854" s="198"/>
      <c r="F854" s="198"/>
      <c r="G854" s="198"/>
      <c r="H854" s="198"/>
      <c r="I854" s="615"/>
      <c r="J854" s="198"/>
      <c r="K854" s="198"/>
      <c r="L854" s="198"/>
      <c r="M854" s="616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ht="12.75" customHeight="1">
      <c r="A855" s="613"/>
      <c r="B855" s="613"/>
      <c r="C855" s="613"/>
      <c r="D855" s="615"/>
      <c r="E855" s="198"/>
      <c r="F855" s="198"/>
      <c r="G855" s="198"/>
      <c r="H855" s="198"/>
      <c r="I855" s="615"/>
      <c r="J855" s="198"/>
      <c r="K855" s="198"/>
      <c r="L855" s="198"/>
      <c r="M855" s="616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ht="12.75" customHeight="1">
      <c r="A856" s="613"/>
      <c r="B856" s="613"/>
      <c r="C856" s="613"/>
      <c r="D856" s="615"/>
      <c r="E856" s="198"/>
      <c r="F856" s="198"/>
      <c r="G856" s="198"/>
      <c r="H856" s="198"/>
      <c r="I856" s="615"/>
      <c r="J856" s="198"/>
      <c r="K856" s="198"/>
      <c r="L856" s="198"/>
      <c r="M856" s="616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ht="12.75" customHeight="1">
      <c r="A857" s="613"/>
      <c r="B857" s="613"/>
      <c r="C857" s="613"/>
      <c r="D857" s="615"/>
      <c r="E857" s="198"/>
      <c r="F857" s="198"/>
      <c r="G857" s="198"/>
      <c r="H857" s="198"/>
      <c r="I857" s="615"/>
      <c r="J857" s="198"/>
      <c r="K857" s="198"/>
      <c r="L857" s="198"/>
      <c r="M857" s="616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ht="12.75" customHeight="1">
      <c r="A858" s="613"/>
      <c r="B858" s="613"/>
      <c r="C858" s="613"/>
      <c r="D858" s="615"/>
      <c r="E858" s="198"/>
      <c r="F858" s="198"/>
      <c r="G858" s="198"/>
      <c r="H858" s="198"/>
      <c r="I858" s="615"/>
      <c r="J858" s="198"/>
      <c r="K858" s="198"/>
      <c r="L858" s="198"/>
      <c r="M858" s="616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ht="12.75" customHeight="1">
      <c r="A859" s="613"/>
      <c r="B859" s="613"/>
      <c r="C859" s="613"/>
      <c r="D859" s="615"/>
      <c r="E859" s="198"/>
      <c r="F859" s="198"/>
      <c r="G859" s="198"/>
      <c r="H859" s="198"/>
      <c r="I859" s="615"/>
      <c r="J859" s="198"/>
      <c r="K859" s="198"/>
      <c r="L859" s="198"/>
      <c r="M859" s="616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ht="12.75" customHeight="1">
      <c r="A860" s="613"/>
      <c r="B860" s="613"/>
      <c r="C860" s="613"/>
      <c r="D860" s="615"/>
      <c r="E860" s="198"/>
      <c r="F860" s="198"/>
      <c r="G860" s="198"/>
      <c r="H860" s="198"/>
      <c r="I860" s="615"/>
      <c r="J860" s="198"/>
      <c r="K860" s="198"/>
      <c r="L860" s="198"/>
      <c r="M860" s="616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ht="12.75" customHeight="1">
      <c r="A861" s="613"/>
      <c r="B861" s="613"/>
      <c r="C861" s="613"/>
      <c r="D861" s="615"/>
      <c r="E861" s="198"/>
      <c r="F861" s="198"/>
      <c r="G861" s="198"/>
      <c r="H861" s="198"/>
      <c r="I861" s="615"/>
      <c r="J861" s="198"/>
      <c r="K861" s="198"/>
      <c r="L861" s="198"/>
      <c r="M861" s="616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ht="12.75" customHeight="1">
      <c r="A862" s="613"/>
      <c r="B862" s="613"/>
      <c r="C862" s="613"/>
      <c r="D862" s="615"/>
      <c r="E862" s="198"/>
      <c r="F862" s="198"/>
      <c r="G862" s="198"/>
      <c r="H862" s="198"/>
      <c r="I862" s="615"/>
      <c r="J862" s="198"/>
      <c r="K862" s="198"/>
      <c r="L862" s="198"/>
      <c r="M862" s="616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ht="12.75" customHeight="1">
      <c r="A863" s="613"/>
      <c r="B863" s="613"/>
      <c r="C863" s="613"/>
      <c r="D863" s="615"/>
      <c r="E863" s="198"/>
      <c r="F863" s="198"/>
      <c r="G863" s="198"/>
      <c r="H863" s="198"/>
      <c r="I863" s="615"/>
      <c r="J863" s="198"/>
      <c r="K863" s="198"/>
      <c r="L863" s="198"/>
      <c r="M863" s="616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ht="12.75" customHeight="1">
      <c r="A864" s="613"/>
      <c r="B864" s="613"/>
      <c r="C864" s="613"/>
      <c r="D864" s="615"/>
      <c r="E864" s="198"/>
      <c r="F864" s="198"/>
      <c r="G864" s="198"/>
      <c r="H864" s="198"/>
      <c r="I864" s="615"/>
      <c r="J864" s="198"/>
      <c r="K864" s="198"/>
      <c r="L864" s="198"/>
      <c r="M864" s="616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ht="12.75" customHeight="1">
      <c r="A865" s="613"/>
      <c r="B865" s="613"/>
      <c r="C865" s="613"/>
      <c r="D865" s="615"/>
      <c r="E865" s="198"/>
      <c r="F865" s="198"/>
      <c r="G865" s="198"/>
      <c r="H865" s="198"/>
      <c r="I865" s="615"/>
      <c r="J865" s="198"/>
      <c r="K865" s="198"/>
      <c r="L865" s="198"/>
      <c r="M865" s="616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ht="12.75" customHeight="1">
      <c r="A866" s="613"/>
      <c r="B866" s="613"/>
      <c r="C866" s="613"/>
      <c r="D866" s="615"/>
      <c r="E866" s="198"/>
      <c r="F866" s="198"/>
      <c r="G866" s="198"/>
      <c r="H866" s="198"/>
      <c r="I866" s="615"/>
      <c r="J866" s="198"/>
      <c r="K866" s="198"/>
      <c r="L866" s="198"/>
      <c r="M866" s="616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ht="12.75" customHeight="1">
      <c r="A867" s="613"/>
      <c r="B867" s="613"/>
      <c r="C867" s="613"/>
      <c r="D867" s="615"/>
      <c r="E867" s="198"/>
      <c r="F867" s="198"/>
      <c r="G867" s="198"/>
      <c r="H867" s="198"/>
      <c r="I867" s="615"/>
      <c r="J867" s="198"/>
      <c r="K867" s="198"/>
      <c r="L867" s="198"/>
      <c r="M867" s="616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ht="12.75" customHeight="1">
      <c r="A868" s="613"/>
      <c r="B868" s="613"/>
      <c r="C868" s="613"/>
      <c r="D868" s="615"/>
      <c r="E868" s="198"/>
      <c r="F868" s="198"/>
      <c r="G868" s="198"/>
      <c r="H868" s="198"/>
      <c r="I868" s="615"/>
      <c r="J868" s="198"/>
      <c r="K868" s="198"/>
      <c r="L868" s="198"/>
      <c r="M868" s="616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ht="12.75" customHeight="1">
      <c r="A869" s="613"/>
      <c r="B869" s="613"/>
      <c r="C869" s="613"/>
      <c r="D869" s="615"/>
      <c r="E869" s="198"/>
      <c r="F869" s="198"/>
      <c r="G869" s="198"/>
      <c r="H869" s="198"/>
      <c r="I869" s="615"/>
      <c r="J869" s="198"/>
      <c r="K869" s="198"/>
      <c r="L869" s="198"/>
      <c r="M869" s="616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ht="12.75" customHeight="1">
      <c r="A870" s="613"/>
      <c r="B870" s="613"/>
      <c r="C870" s="613"/>
      <c r="D870" s="615"/>
      <c r="E870" s="198"/>
      <c r="F870" s="198"/>
      <c r="G870" s="198"/>
      <c r="H870" s="198"/>
      <c r="I870" s="615"/>
      <c r="J870" s="198"/>
      <c r="K870" s="198"/>
      <c r="L870" s="198"/>
      <c r="M870" s="616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ht="12.75" customHeight="1">
      <c r="A871" s="613"/>
      <c r="B871" s="613"/>
      <c r="C871" s="613"/>
      <c r="D871" s="615"/>
      <c r="E871" s="198"/>
      <c r="F871" s="198"/>
      <c r="G871" s="198"/>
      <c r="H871" s="198"/>
      <c r="I871" s="615"/>
      <c r="J871" s="198"/>
      <c r="K871" s="198"/>
      <c r="L871" s="198"/>
      <c r="M871" s="616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ht="12.75" customHeight="1">
      <c r="A872" s="613"/>
      <c r="B872" s="613"/>
      <c r="C872" s="613"/>
      <c r="D872" s="615"/>
      <c r="E872" s="198"/>
      <c r="F872" s="198"/>
      <c r="G872" s="198"/>
      <c r="H872" s="198"/>
      <c r="I872" s="615"/>
      <c r="J872" s="198"/>
      <c r="K872" s="198"/>
      <c r="L872" s="198"/>
      <c r="M872" s="616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ht="12.75" customHeight="1">
      <c r="A873" s="613"/>
      <c r="B873" s="613"/>
      <c r="C873" s="613"/>
      <c r="D873" s="615"/>
      <c r="E873" s="198"/>
      <c r="F873" s="198"/>
      <c r="G873" s="198"/>
      <c r="H873" s="198"/>
      <c r="I873" s="615"/>
      <c r="J873" s="198"/>
      <c r="K873" s="198"/>
      <c r="L873" s="198"/>
      <c r="M873" s="616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ht="12.75" customHeight="1">
      <c r="A874" s="613"/>
      <c r="B874" s="613"/>
      <c r="C874" s="613"/>
      <c r="D874" s="615"/>
      <c r="E874" s="198"/>
      <c r="F874" s="198"/>
      <c r="G874" s="198"/>
      <c r="H874" s="198"/>
      <c r="I874" s="615"/>
      <c r="J874" s="198"/>
      <c r="K874" s="198"/>
      <c r="L874" s="198"/>
      <c r="M874" s="616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ht="12.75" customHeight="1">
      <c r="A875" s="613"/>
      <c r="B875" s="613"/>
      <c r="C875" s="613"/>
      <c r="D875" s="615"/>
      <c r="E875" s="198"/>
      <c r="F875" s="198"/>
      <c r="G875" s="198"/>
      <c r="H875" s="198"/>
      <c r="I875" s="615"/>
      <c r="J875" s="198"/>
      <c r="K875" s="198"/>
      <c r="L875" s="198"/>
      <c r="M875" s="616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ht="12.75" customHeight="1">
      <c r="A876" s="613"/>
      <c r="B876" s="613"/>
      <c r="C876" s="613"/>
      <c r="D876" s="615"/>
      <c r="E876" s="198"/>
      <c r="F876" s="198"/>
      <c r="G876" s="198"/>
      <c r="H876" s="198"/>
      <c r="I876" s="615"/>
      <c r="J876" s="198"/>
      <c r="K876" s="198"/>
      <c r="L876" s="198"/>
      <c r="M876" s="616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ht="12.75" customHeight="1">
      <c r="A877" s="613"/>
      <c r="B877" s="613"/>
      <c r="C877" s="613"/>
      <c r="D877" s="615"/>
      <c r="E877" s="198"/>
      <c r="F877" s="198"/>
      <c r="G877" s="198"/>
      <c r="H877" s="198"/>
      <c r="I877" s="615"/>
      <c r="J877" s="198"/>
      <c r="K877" s="198"/>
      <c r="L877" s="198"/>
      <c r="M877" s="616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ht="12.75" customHeight="1">
      <c r="A878" s="613"/>
      <c r="B878" s="613"/>
      <c r="C878" s="613"/>
      <c r="D878" s="615"/>
      <c r="E878" s="198"/>
      <c r="F878" s="198"/>
      <c r="G878" s="198"/>
      <c r="H878" s="198"/>
      <c r="I878" s="615"/>
      <c r="J878" s="198"/>
      <c r="K878" s="198"/>
      <c r="L878" s="198"/>
      <c r="M878" s="616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ht="12.75" customHeight="1">
      <c r="A879" s="613"/>
      <c r="B879" s="613"/>
      <c r="C879" s="613"/>
      <c r="D879" s="615"/>
      <c r="E879" s="198"/>
      <c r="F879" s="198"/>
      <c r="G879" s="198"/>
      <c r="H879" s="198"/>
      <c r="I879" s="615"/>
      <c r="J879" s="198"/>
      <c r="K879" s="198"/>
      <c r="L879" s="198"/>
      <c r="M879" s="616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ht="12.75" customHeight="1">
      <c r="A880" s="613"/>
      <c r="B880" s="613"/>
      <c r="C880" s="613"/>
      <c r="D880" s="615"/>
      <c r="E880" s="198"/>
      <c r="F880" s="198"/>
      <c r="G880" s="198"/>
      <c r="H880" s="198"/>
      <c r="I880" s="615"/>
      <c r="J880" s="198"/>
      <c r="K880" s="198"/>
      <c r="L880" s="198"/>
      <c r="M880" s="616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ht="12.75" customHeight="1">
      <c r="A881" s="613"/>
      <c r="B881" s="613"/>
      <c r="C881" s="613"/>
      <c r="D881" s="615"/>
      <c r="E881" s="198"/>
      <c r="F881" s="198"/>
      <c r="G881" s="198"/>
      <c r="H881" s="198"/>
      <c r="I881" s="615"/>
      <c r="J881" s="198"/>
      <c r="K881" s="198"/>
      <c r="L881" s="198"/>
      <c r="M881" s="616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ht="12.75" customHeight="1">
      <c r="A882" s="613"/>
      <c r="B882" s="613"/>
      <c r="C882" s="613"/>
      <c r="D882" s="615"/>
      <c r="E882" s="198"/>
      <c r="F882" s="198"/>
      <c r="G882" s="198"/>
      <c r="H882" s="198"/>
      <c r="I882" s="615"/>
      <c r="J882" s="198"/>
      <c r="K882" s="198"/>
      <c r="L882" s="198"/>
      <c r="M882" s="616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ht="12.75" customHeight="1">
      <c r="A883" s="613"/>
      <c r="B883" s="613"/>
      <c r="C883" s="613"/>
      <c r="D883" s="615"/>
      <c r="E883" s="198"/>
      <c r="F883" s="198"/>
      <c r="G883" s="198"/>
      <c r="H883" s="198"/>
      <c r="I883" s="615"/>
      <c r="J883" s="198"/>
      <c r="K883" s="198"/>
      <c r="L883" s="198"/>
      <c r="M883" s="616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ht="12.75" customHeight="1">
      <c r="A884" s="613"/>
      <c r="B884" s="613"/>
      <c r="C884" s="613"/>
      <c r="D884" s="615"/>
      <c r="E884" s="198"/>
      <c r="F884" s="198"/>
      <c r="G884" s="198"/>
      <c r="H884" s="198"/>
      <c r="I884" s="615"/>
      <c r="J884" s="198"/>
      <c r="K884" s="198"/>
      <c r="L884" s="198"/>
      <c r="M884" s="616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ht="12.75" customHeight="1">
      <c r="A885" s="613"/>
      <c r="B885" s="613"/>
      <c r="C885" s="613"/>
      <c r="D885" s="615"/>
      <c r="E885" s="198"/>
      <c r="F885" s="198"/>
      <c r="G885" s="198"/>
      <c r="H885" s="198"/>
      <c r="I885" s="615"/>
      <c r="J885" s="198"/>
      <c r="K885" s="198"/>
      <c r="L885" s="198"/>
      <c r="M885" s="616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ht="12.75" customHeight="1">
      <c r="A886" s="613"/>
      <c r="B886" s="613"/>
      <c r="C886" s="613"/>
      <c r="D886" s="615"/>
      <c r="E886" s="198"/>
      <c r="F886" s="198"/>
      <c r="G886" s="198"/>
      <c r="H886" s="198"/>
      <c r="I886" s="615"/>
      <c r="J886" s="198"/>
      <c r="K886" s="198"/>
      <c r="L886" s="198"/>
      <c r="M886" s="616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ht="12.75" customHeight="1">
      <c r="A887" s="613"/>
      <c r="B887" s="613"/>
      <c r="C887" s="613"/>
      <c r="D887" s="615"/>
      <c r="E887" s="198"/>
      <c r="F887" s="198"/>
      <c r="G887" s="198"/>
      <c r="H887" s="198"/>
      <c r="I887" s="615"/>
      <c r="J887" s="198"/>
      <c r="K887" s="198"/>
      <c r="L887" s="198"/>
      <c r="M887" s="616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ht="12.75" customHeight="1">
      <c r="A888" s="613"/>
      <c r="B888" s="613"/>
      <c r="C888" s="613"/>
      <c r="D888" s="615"/>
      <c r="E888" s="198"/>
      <c r="F888" s="198"/>
      <c r="G888" s="198"/>
      <c r="H888" s="198"/>
      <c r="I888" s="615"/>
      <c r="J888" s="198"/>
      <c r="K888" s="198"/>
      <c r="L888" s="198"/>
      <c r="M888" s="616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ht="12.75" customHeight="1">
      <c r="A889" s="613"/>
      <c r="B889" s="613"/>
      <c r="C889" s="613"/>
      <c r="D889" s="615"/>
      <c r="E889" s="198"/>
      <c r="F889" s="198"/>
      <c r="G889" s="198"/>
      <c r="H889" s="198"/>
      <c r="I889" s="615"/>
      <c r="J889" s="198"/>
      <c r="K889" s="198"/>
      <c r="L889" s="198"/>
      <c r="M889" s="616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ht="12.75" customHeight="1">
      <c r="A890" s="613"/>
      <c r="B890" s="613"/>
      <c r="C890" s="613"/>
      <c r="D890" s="615"/>
      <c r="E890" s="198"/>
      <c r="F890" s="198"/>
      <c r="G890" s="198"/>
      <c r="H890" s="198"/>
      <c r="I890" s="615"/>
      <c r="J890" s="198"/>
      <c r="K890" s="198"/>
      <c r="L890" s="198"/>
      <c r="M890" s="616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ht="12.75" customHeight="1">
      <c r="A891" s="613"/>
      <c r="B891" s="613"/>
      <c r="C891" s="613"/>
      <c r="D891" s="615"/>
      <c r="E891" s="198"/>
      <c r="F891" s="198"/>
      <c r="G891" s="198"/>
      <c r="H891" s="198"/>
      <c r="I891" s="615"/>
      <c r="J891" s="198"/>
      <c r="K891" s="198"/>
      <c r="L891" s="198"/>
      <c r="M891" s="616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ht="12.75" customHeight="1">
      <c r="A892" s="613"/>
      <c r="B892" s="613"/>
      <c r="C892" s="613"/>
      <c r="D892" s="615"/>
      <c r="E892" s="198"/>
      <c r="F892" s="198"/>
      <c r="G892" s="198"/>
      <c r="H892" s="198"/>
      <c r="I892" s="615"/>
      <c r="J892" s="198"/>
      <c r="K892" s="198"/>
      <c r="L892" s="198"/>
      <c r="M892" s="616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ht="12.75" customHeight="1">
      <c r="A893" s="613"/>
      <c r="B893" s="613"/>
      <c r="C893" s="613"/>
      <c r="D893" s="615"/>
      <c r="E893" s="198"/>
      <c r="F893" s="198"/>
      <c r="G893" s="198"/>
      <c r="H893" s="198"/>
      <c r="I893" s="615"/>
      <c r="J893" s="198"/>
      <c r="K893" s="198"/>
      <c r="L893" s="198"/>
      <c r="M893" s="616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ht="12.75" customHeight="1">
      <c r="A894" s="613"/>
      <c r="B894" s="613"/>
      <c r="C894" s="613"/>
      <c r="D894" s="615"/>
      <c r="E894" s="198"/>
      <c r="F894" s="198"/>
      <c r="G894" s="198"/>
      <c r="H894" s="198"/>
      <c r="I894" s="615"/>
      <c r="J894" s="198"/>
      <c r="K894" s="198"/>
      <c r="L894" s="198"/>
      <c r="M894" s="616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ht="12.75" customHeight="1">
      <c r="A895" s="613"/>
      <c r="B895" s="613"/>
      <c r="C895" s="613"/>
      <c r="D895" s="615"/>
      <c r="E895" s="198"/>
      <c r="F895" s="198"/>
      <c r="G895" s="198"/>
      <c r="H895" s="198"/>
      <c r="I895" s="615"/>
      <c r="J895" s="198"/>
      <c r="K895" s="198"/>
      <c r="L895" s="198"/>
      <c r="M895" s="616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ht="12.75" customHeight="1">
      <c r="A896" s="613"/>
      <c r="B896" s="613"/>
      <c r="C896" s="613"/>
      <c r="D896" s="615"/>
      <c r="E896" s="198"/>
      <c r="F896" s="198"/>
      <c r="G896" s="198"/>
      <c r="H896" s="198"/>
      <c r="I896" s="615"/>
      <c r="J896" s="198"/>
      <c r="K896" s="198"/>
      <c r="L896" s="198"/>
      <c r="M896" s="616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ht="12.75" customHeight="1">
      <c r="A897" s="613"/>
      <c r="B897" s="613"/>
      <c r="C897" s="613"/>
      <c r="D897" s="615"/>
      <c r="E897" s="198"/>
      <c r="F897" s="198"/>
      <c r="G897" s="198"/>
      <c r="H897" s="198"/>
      <c r="I897" s="615"/>
      <c r="J897" s="198"/>
      <c r="K897" s="198"/>
      <c r="L897" s="198"/>
      <c r="M897" s="616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ht="12.75" customHeight="1">
      <c r="A898" s="613"/>
      <c r="B898" s="613"/>
      <c r="C898" s="613"/>
      <c r="D898" s="615"/>
      <c r="E898" s="198"/>
      <c r="F898" s="198"/>
      <c r="G898" s="198"/>
      <c r="H898" s="198"/>
      <c r="I898" s="615"/>
      <c r="J898" s="198"/>
      <c r="K898" s="198"/>
      <c r="L898" s="198"/>
      <c r="M898" s="616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ht="12.75" customHeight="1">
      <c r="A899" s="613"/>
      <c r="B899" s="613"/>
      <c r="C899" s="613"/>
      <c r="D899" s="615"/>
      <c r="E899" s="198"/>
      <c r="F899" s="198"/>
      <c r="G899" s="198"/>
      <c r="H899" s="198"/>
      <c r="I899" s="615"/>
      <c r="J899" s="198"/>
      <c r="K899" s="198"/>
      <c r="L899" s="198"/>
      <c r="M899" s="616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ht="12.75" customHeight="1">
      <c r="A900" s="613"/>
      <c r="B900" s="613"/>
      <c r="C900" s="613"/>
      <c r="D900" s="615"/>
      <c r="E900" s="198"/>
      <c r="F900" s="198"/>
      <c r="G900" s="198"/>
      <c r="H900" s="198"/>
      <c r="I900" s="615"/>
      <c r="J900" s="198"/>
      <c r="K900" s="198"/>
      <c r="L900" s="198"/>
      <c r="M900" s="616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ht="12.75" customHeight="1">
      <c r="A901" s="613"/>
      <c r="B901" s="613"/>
      <c r="C901" s="613"/>
      <c r="D901" s="615"/>
      <c r="E901" s="198"/>
      <c r="F901" s="198"/>
      <c r="G901" s="198"/>
      <c r="H901" s="198"/>
      <c r="I901" s="615"/>
      <c r="J901" s="198"/>
      <c r="K901" s="198"/>
      <c r="L901" s="198"/>
      <c r="M901" s="616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ht="12.75" customHeight="1">
      <c r="A902" s="613"/>
      <c r="B902" s="613"/>
      <c r="C902" s="613"/>
      <c r="D902" s="615"/>
      <c r="E902" s="198"/>
      <c r="F902" s="198"/>
      <c r="G902" s="198"/>
      <c r="H902" s="198"/>
      <c r="I902" s="615"/>
      <c r="J902" s="198"/>
      <c r="K902" s="198"/>
      <c r="L902" s="198"/>
      <c r="M902" s="616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ht="12.75" customHeight="1">
      <c r="A903" s="613"/>
      <c r="B903" s="613"/>
      <c r="C903" s="613"/>
      <c r="D903" s="615"/>
      <c r="E903" s="198"/>
      <c r="F903" s="198"/>
      <c r="G903" s="198"/>
      <c r="H903" s="198"/>
      <c r="I903" s="615"/>
      <c r="J903" s="198"/>
      <c r="K903" s="198"/>
      <c r="L903" s="198"/>
      <c r="M903" s="616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ht="12.75" customHeight="1">
      <c r="A904" s="613"/>
      <c r="B904" s="613"/>
      <c r="C904" s="613"/>
      <c r="D904" s="615"/>
      <c r="E904" s="198"/>
      <c r="F904" s="198"/>
      <c r="G904" s="198"/>
      <c r="H904" s="198"/>
      <c r="I904" s="615"/>
      <c r="J904" s="198"/>
      <c r="K904" s="198"/>
      <c r="L904" s="198"/>
      <c r="M904" s="616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ht="12.75" customHeight="1">
      <c r="A905" s="613"/>
      <c r="B905" s="613"/>
      <c r="C905" s="613"/>
      <c r="D905" s="615"/>
      <c r="E905" s="198"/>
      <c r="F905" s="198"/>
      <c r="G905" s="198"/>
      <c r="H905" s="198"/>
      <c r="I905" s="615"/>
      <c r="J905" s="198"/>
      <c r="K905" s="198"/>
      <c r="L905" s="198"/>
      <c r="M905" s="616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ht="12.75" customHeight="1">
      <c r="A906" s="613"/>
      <c r="B906" s="613"/>
      <c r="C906" s="613"/>
      <c r="D906" s="615"/>
      <c r="E906" s="198"/>
      <c r="F906" s="198"/>
      <c r="G906" s="198"/>
      <c r="H906" s="198"/>
      <c r="I906" s="615"/>
      <c r="J906" s="198"/>
      <c r="K906" s="198"/>
      <c r="L906" s="198"/>
      <c r="M906" s="616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ht="12.75" customHeight="1">
      <c r="A907" s="613"/>
      <c r="B907" s="613"/>
      <c r="C907" s="613"/>
      <c r="D907" s="615"/>
      <c r="E907" s="198"/>
      <c r="F907" s="198"/>
      <c r="G907" s="198"/>
      <c r="H907" s="198"/>
      <c r="I907" s="615"/>
      <c r="J907" s="198"/>
      <c r="K907" s="198"/>
      <c r="L907" s="198"/>
      <c r="M907" s="616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ht="12.75" customHeight="1">
      <c r="A908" s="613"/>
      <c r="B908" s="613"/>
      <c r="C908" s="613"/>
      <c r="D908" s="615"/>
      <c r="E908" s="198"/>
      <c r="F908" s="198"/>
      <c r="G908" s="198"/>
      <c r="H908" s="198"/>
      <c r="I908" s="615"/>
      <c r="J908" s="198"/>
      <c r="K908" s="198"/>
      <c r="L908" s="198"/>
      <c r="M908" s="616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ht="12.75" customHeight="1">
      <c r="A909" s="613"/>
      <c r="B909" s="613"/>
      <c r="C909" s="613"/>
      <c r="D909" s="615"/>
      <c r="E909" s="198"/>
      <c r="F909" s="198"/>
      <c r="G909" s="198"/>
      <c r="H909" s="198"/>
      <c r="I909" s="615"/>
      <c r="J909" s="198"/>
      <c r="K909" s="198"/>
      <c r="L909" s="198"/>
      <c r="M909" s="616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ht="12.75" customHeight="1">
      <c r="A910" s="613"/>
      <c r="B910" s="613"/>
      <c r="C910" s="613"/>
      <c r="D910" s="615"/>
      <c r="E910" s="198"/>
      <c r="F910" s="198"/>
      <c r="G910" s="198"/>
      <c r="H910" s="198"/>
      <c r="I910" s="615"/>
      <c r="J910" s="198"/>
      <c r="K910" s="198"/>
      <c r="L910" s="198"/>
      <c r="M910" s="616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ht="12.75" customHeight="1">
      <c r="A911" s="613"/>
      <c r="B911" s="613"/>
      <c r="C911" s="613"/>
      <c r="D911" s="615"/>
      <c r="E911" s="198"/>
      <c r="F911" s="198"/>
      <c r="G911" s="198"/>
      <c r="H911" s="198"/>
      <c r="I911" s="615"/>
      <c r="J911" s="198"/>
      <c r="K911" s="198"/>
      <c r="L911" s="198"/>
      <c r="M911" s="616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ht="12.75" customHeight="1">
      <c r="A912" s="613"/>
      <c r="B912" s="613"/>
      <c r="C912" s="613"/>
      <c r="D912" s="615"/>
      <c r="E912" s="198"/>
      <c r="F912" s="198"/>
      <c r="G912" s="198"/>
      <c r="H912" s="198"/>
      <c r="I912" s="615"/>
      <c r="J912" s="198"/>
      <c r="K912" s="198"/>
      <c r="L912" s="198"/>
      <c r="M912" s="616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ht="12.75" customHeight="1">
      <c r="A913" s="613"/>
      <c r="B913" s="613"/>
      <c r="C913" s="613"/>
      <c r="D913" s="615"/>
      <c r="E913" s="198"/>
      <c r="F913" s="198"/>
      <c r="G913" s="198"/>
      <c r="H913" s="198"/>
      <c r="I913" s="615"/>
      <c r="J913" s="198"/>
      <c r="K913" s="198"/>
      <c r="L913" s="198"/>
      <c r="M913" s="616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ht="12.75" customHeight="1">
      <c r="A914" s="613"/>
      <c r="B914" s="613"/>
      <c r="C914" s="613"/>
      <c r="D914" s="615"/>
      <c r="E914" s="198"/>
      <c r="F914" s="198"/>
      <c r="G914" s="198"/>
      <c r="H914" s="198"/>
      <c r="I914" s="615"/>
      <c r="J914" s="198"/>
      <c r="K914" s="198"/>
      <c r="L914" s="198"/>
      <c r="M914" s="616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ht="12.75" customHeight="1">
      <c r="A915" s="613"/>
      <c r="B915" s="613"/>
      <c r="C915" s="613"/>
      <c r="D915" s="615"/>
      <c r="E915" s="198"/>
      <c r="F915" s="198"/>
      <c r="G915" s="198"/>
      <c r="H915" s="198"/>
      <c r="I915" s="615"/>
      <c r="J915" s="198"/>
      <c r="K915" s="198"/>
      <c r="L915" s="198"/>
      <c r="M915" s="616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ht="12.75" customHeight="1">
      <c r="A916" s="613"/>
      <c r="B916" s="613"/>
      <c r="C916" s="613"/>
      <c r="D916" s="615"/>
      <c r="E916" s="198"/>
      <c r="F916" s="198"/>
      <c r="G916" s="198"/>
      <c r="H916" s="198"/>
      <c r="I916" s="615"/>
      <c r="J916" s="198"/>
      <c r="K916" s="198"/>
      <c r="L916" s="198"/>
      <c r="M916" s="616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ht="12.75" customHeight="1">
      <c r="A917" s="613"/>
      <c r="B917" s="613"/>
      <c r="C917" s="613"/>
      <c r="D917" s="615"/>
      <c r="E917" s="198"/>
      <c r="F917" s="198"/>
      <c r="G917" s="198"/>
      <c r="H917" s="198"/>
      <c r="I917" s="615"/>
      <c r="J917" s="198"/>
      <c r="K917" s="198"/>
      <c r="L917" s="198"/>
      <c r="M917" s="616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ht="12.75" customHeight="1">
      <c r="A918" s="613"/>
      <c r="B918" s="613"/>
      <c r="C918" s="613"/>
      <c r="D918" s="615"/>
      <c r="E918" s="198"/>
      <c r="F918" s="198"/>
      <c r="G918" s="198"/>
      <c r="H918" s="198"/>
      <c r="I918" s="615"/>
      <c r="J918" s="198"/>
      <c r="K918" s="198"/>
      <c r="L918" s="198"/>
      <c r="M918" s="616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ht="12.75" customHeight="1">
      <c r="A919" s="613"/>
      <c r="B919" s="613"/>
      <c r="C919" s="613"/>
      <c r="D919" s="615"/>
      <c r="E919" s="198"/>
      <c r="F919" s="198"/>
      <c r="G919" s="198"/>
      <c r="H919" s="198"/>
      <c r="I919" s="615"/>
      <c r="J919" s="198"/>
      <c r="K919" s="198"/>
      <c r="L919" s="198"/>
      <c r="M919" s="616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ht="12.75" customHeight="1">
      <c r="A920" s="613"/>
      <c r="B920" s="613"/>
      <c r="C920" s="613"/>
      <c r="D920" s="615"/>
      <c r="E920" s="198"/>
      <c r="F920" s="198"/>
      <c r="G920" s="198"/>
      <c r="H920" s="198"/>
      <c r="I920" s="615"/>
      <c r="J920" s="198"/>
      <c r="K920" s="198"/>
      <c r="L920" s="198"/>
      <c r="M920" s="616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ht="12.75" customHeight="1">
      <c r="A921" s="613"/>
      <c r="B921" s="613"/>
      <c r="C921" s="613"/>
      <c r="D921" s="615"/>
      <c r="E921" s="198"/>
      <c r="F921" s="198"/>
      <c r="G921" s="198"/>
      <c r="H921" s="198"/>
      <c r="I921" s="615"/>
      <c r="J921" s="198"/>
      <c r="K921" s="198"/>
      <c r="L921" s="198"/>
      <c r="M921" s="616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ht="12.75" customHeight="1">
      <c r="A922" s="613"/>
      <c r="B922" s="613"/>
      <c r="C922" s="613"/>
      <c r="D922" s="615"/>
      <c r="E922" s="198"/>
      <c r="F922" s="198"/>
      <c r="G922" s="198"/>
      <c r="H922" s="198"/>
      <c r="I922" s="615"/>
      <c r="J922" s="198"/>
      <c r="K922" s="198"/>
      <c r="L922" s="198"/>
      <c r="M922" s="616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ht="12.75" customHeight="1">
      <c r="A923" s="613"/>
      <c r="B923" s="613"/>
      <c r="C923" s="613"/>
      <c r="D923" s="615"/>
      <c r="E923" s="198"/>
      <c r="F923" s="198"/>
      <c r="G923" s="198"/>
      <c r="H923" s="198"/>
      <c r="I923" s="615"/>
      <c r="J923" s="198"/>
      <c r="K923" s="198"/>
      <c r="L923" s="198"/>
      <c r="M923" s="616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ht="12.75" customHeight="1">
      <c r="A924" s="613"/>
      <c r="B924" s="613"/>
      <c r="C924" s="613"/>
      <c r="D924" s="615"/>
      <c r="E924" s="198"/>
      <c r="F924" s="198"/>
      <c r="G924" s="198"/>
      <c r="H924" s="198"/>
      <c r="I924" s="615"/>
      <c r="J924" s="198"/>
      <c r="K924" s="198"/>
      <c r="L924" s="198"/>
      <c r="M924" s="616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ht="12.75" customHeight="1">
      <c r="A925" s="613"/>
      <c r="B925" s="613"/>
      <c r="C925" s="613"/>
      <c r="D925" s="615"/>
      <c r="E925" s="198"/>
      <c r="F925" s="198"/>
      <c r="G925" s="198"/>
      <c r="H925" s="198"/>
      <c r="I925" s="615"/>
      <c r="J925" s="198"/>
      <c r="K925" s="198"/>
      <c r="L925" s="198"/>
      <c r="M925" s="616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ht="12.75" customHeight="1">
      <c r="A926" s="613"/>
      <c r="B926" s="613"/>
      <c r="C926" s="613"/>
      <c r="D926" s="615"/>
      <c r="E926" s="198"/>
      <c r="F926" s="198"/>
      <c r="G926" s="198"/>
      <c r="H926" s="198"/>
      <c r="I926" s="615"/>
      <c r="J926" s="198"/>
      <c r="K926" s="198"/>
      <c r="L926" s="198"/>
      <c r="M926" s="616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ht="12.75" customHeight="1">
      <c r="A927" s="613"/>
      <c r="B927" s="613"/>
      <c r="C927" s="613"/>
      <c r="D927" s="615"/>
      <c r="E927" s="198"/>
      <c r="F927" s="198"/>
      <c r="G927" s="198"/>
      <c r="H927" s="198"/>
      <c r="I927" s="615"/>
      <c r="J927" s="198"/>
      <c r="K927" s="198"/>
      <c r="L927" s="198"/>
      <c r="M927" s="616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ht="12.75" customHeight="1">
      <c r="A928" s="613"/>
      <c r="B928" s="613"/>
      <c r="C928" s="613"/>
      <c r="D928" s="615"/>
      <c r="E928" s="198"/>
      <c r="F928" s="198"/>
      <c r="G928" s="198"/>
      <c r="H928" s="198"/>
      <c r="I928" s="615"/>
      <c r="J928" s="198"/>
      <c r="K928" s="198"/>
      <c r="L928" s="198"/>
      <c r="M928" s="616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ht="12.75" customHeight="1">
      <c r="A929" s="613"/>
      <c r="B929" s="613"/>
      <c r="C929" s="613"/>
      <c r="D929" s="615"/>
      <c r="E929" s="198"/>
      <c r="F929" s="198"/>
      <c r="G929" s="198"/>
      <c r="H929" s="198"/>
      <c r="I929" s="615"/>
      <c r="J929" s="198"/>
      <c r="K929" s="198"/>
      <c r="L929" s="198"/>
      <c r="M929" s="616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ht="12.75" customHeight="1">
      <c r="A930" s="613"/>
      <c r="B930" s="613"/>
      <c r="C930" s="613"/>
      <c r="D930" s="615"/>
      <c r="E930" s="198"/>
      <c r="F930" s="198"/>
      <c r="G930" s="198"/>
      <c r="H930" s="198"/>
      <c r="I930" s="615"/>
      <c r="J930" s="198"/>
      <c r="K930" s="198"/>
      <c r="L930" s="198"/>
      <c r="M930" s="616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ht="12.75" customHeight="1">
      <c r="A931" s="613"/>
      <c r="B931" s="613"/>
      <c r="C931" s="613"/>
      <c r="D931" s="615"/>
      <c r="E931" s="198"/>
      <c r="F931" s="198"/>
      <c r="G931" s="198"/>
      <c r="H931" s="198"/>
      <c r="I931" s="615"/>
      <c r="J931" s="198"/>
      <c r="K931" s="198"/>
      <c r="L931" s="198"/>
      <c r="M931" s="616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ht="12.75" customHeight="1">
      <c r="A932" s="613"/>
      <c r="B932" s="613"/>
      <c r="C932" s="613"/>
      <c r="D932" s="615"/>
      <c r="E932" s="198"/>
      <c r="F932" s="198"/>
      <c r="G932" s="198"/>
      <c r="H932" s="198"/>
      <c r="I932" s="615"/>
      <c r="J932" s="198"/>
      <c r="K932" s="198"/>
      <c r="L932" s="198"/>
      <c r="M932" s="616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ht="12.75" customHeight="1">
      <c r="A933" s="613"/>
      <c r="B933" s="613"/>
      <c r="C933" s="613"/>
      <c r="D933" s="615"/>
      <c r="E933" s="198"/>
      <c r="F933" s="198"/>
      <c r="G933" s="198"/>
      <c r="H933" s="198"/>
      <c r="I933" s="615"/>
      <c r="J933" s="198"/>
      <c r="K933" s="198"/>
      <c r="L933" s="198"/>
      <c r="M933" s="616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ht="12.75" customHeight="1">
      <c r="A934" s="613"/>
      <c r="B934" s="613"/>
      <c r="C934" s="613"/>
      <c r="D934" s="615"/>
      <c r="E934" s="198"/>
      <c r="F934" s="198"/>
      <c r="G934" s="198"/>
      <c r="H934" s="198"/>
      <c r="I934" s="615"/>
      <c r="J934" s="198"/>
      <c r="K934" s="198"/>
      <c r="L934" s="198"/>
      <c r="M934" s="616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ht="12.75" customHeight="1">
      <c r="A935" s="613"/>
      <c r="B935" s="613"/>
      <c r="C935" s="613"/>
      <c r="D935" s="615"/>
      <c r="E935" s="198"/>
      <c r="F935" s="198"/>
      <c r="G935" s="198"/>
      <c r="H935" s="198"/>
      <c r="I935" s="615"/>
      <c r="J935" s="198"/>
      <c r="K935" s="198"/>
      <c r="L935" s="198"/>
      <c r="M935" s="616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ht="12.75" customHeight="1">
      <c r="A936" s="613"/>
      <c r="B936" s="613"/>
      <c r="C936" s="613"/>
      <c r="D936" s="615"/>
      <c r="E936" s="198"/>
      <c r="F936" s="198"/>
      <c r="G936" s="198"/>
      <c r="H936" s="198"/>
      <c r="I936" s="615"/>
      <c r="J936" s="198"/>
      <c r="K936" s="198"/>
      <c r="L936" s="198"/>
      <c r="M936" s="616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ht="12.75" customHeight="1">
      <c r="A937" s="613"/>
      <c r="B937" s="613"/>
      <c r="C937" s="613"/>
      <c r="D937" s="615"/>
      <c r="E937" s="198"/>
      <c r="F937" s="198"/>
      <c r="G937" s="198"/>
      <c r="H937" s="198"/>
      <c r="I937" s="615"/>
      <c r="J937" s="198"/>
      <c r="K937" s="198"/>
      <c r="L937" s="198"/>
      <c r="M937" s="616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ht="12.75" customHeight="1">
      <c r="A938" s="613"/>
      <c r="B938" s="613"/>
      <c r="C938" s="613"/>
      <c r="D938" s="615"/>
      <c r="E938" s="198"/>
      <c r="F938" s="198"/>
      <c r="G938" s="198"/>
      <c r="H938" s="198"/>
      <c r="I938" s="615"/>
      <c r="J938" s="198"/>
      <c r="K938" s="198"/>
      <c r="L938" s="198"/>
      <c r="M938" s="616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ht="12.75" customHeight="1">
      <c r="A939" s="613"/>
      <c r="B939" s="613"/>
      <c r="C939" s="613"/>
      <c r="D939" s="615"/>
      <c r="E939" s="198"/>
      <c r="F939" s="198"/>
      <c r="G939" s="198"/>
      <c r="H939" s="198"/>
      <c r="I939" s="615"/>
      <c r="J939" s="198"/>
      <c r="K939" s="198"/>
      <c r="L939" s="198"/>
      <c r="M939" s="616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ht="12.75" customHeight="1">
      <c r="A940" s="613"/>
      <c r="B940" s="613"/>
      <c r="C940" s="613"/>
      <c r="D940" s="615"/>
      <c r="E940" s="198"/>
      <c r="F940" s="198"/>
      <c r="G940" s="198"/>
      <c r="H940" s="198"/>
      <c r="I940" s="615"/>
      <c r="J940" s="198"/>
      <c r="K940" s="198"/>
      <c r="L940" s="198"/>
      <c r="M940" s="616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ht="12.75" customHeight="1">
      <c r="A941" s="613"/>
      <c r="B941" s="613"/>
      <c r="C941" s="613"/>
      <c r="D941" s="615"/>
      <c r="E941" s="198"/>
      <c r="F941" s="198"/>
      <c r="G941" s="198"/>
      <c r="H941" s="198"/>
      <c r="I941" s="615"/>
      <c r="J941" s="198"/>
      <c r="K941" s="198"/>
      <c r="L941" s="198"/>
      <c r="M941" s="616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ht="12.75" customHeight="1">
      <c r="A942" s="613"/>
      <c r="B942" s="613"/>
      <c r="C942" s="613"/>
      <c r="D942" s="615"/>
      <c r="E942" s="198"/>
      <c r="F942" s="198"/>
      <c r="G942" s="198"/>
      <c r="H942" s="198"/>
      <c r="I942" s="615"/>
      <c r="J942" s="198"/>
      <c r="K942" s="198"/>
      <c r="L942" s="198"/>
      <c r="M942" s="616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ht="12.75" customHeight="1">
      <c r="A943" s="613"/>
      <c r="B943" s="613"/>
      <c r="C943" s="613"/>
      <c r="D943" s="615"/>
      <c r="E943" s="198"/>
      <c r="F943" s="198"/>
      <c r="G943" s="198"/>
      <c r="H943" s="198"/>
      <c r="I943" s="615"/>
      <c r="J943" s="198"/>
      <c r="K943" s="198"/>
      <c r="L943" s="198"/>
      <c r="M943" s="616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ht="12.75" customHeight="1">
      <c r="A944" s="613"/>
      <c r="B944" s="613"/>
      <c r="C944" s="613"/>
      <c r="D944" s="615"/>
      <c r="E944" s="198"/>
      <c r="F944" s="198"/>
      <c r="G944" s="198"/>
      <c r="H944" s="198"/>
      <c r="I944" s="615"/>
      <c r="J944" s="198"/>
      <c r="K944" s="198"/>
      <c r="L944" s="198"/>
      <c r="M944" s="616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ht="12.75" customHeight="1">
      <c r="A945" s="613"/>
      <c r="B945" s="613"/>
      <c r="C945" s="613"/>
      <c r="D945" s="615"/>
      <c r="E945" s="198"/>
      <c r="F945" s="198"/>
      <c r="G945" s="198"/>
      <c r="H945" s="198"/>
      <c r="I945" s="615"/>
      <c r="J945" s="198"/>
      <c r="K945" s="198"/>
      <c r="L945" s="198"/>
      <c r="M945" s="616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ht="12.75" customHeight="1">
      <c r="A946" s="613"/>
      <c r="B946" s="613"/>
      <c r="C946" s="613"/>
      <c r="D946" s="615"/>
      <c r="E946" s="198"/>
      <c r="F946" s="198"/>
      <c r="G946" s="198"/>
      <c r="H946" s="198"/>
      <c r="I946" s="615"/>
      <c r="J946" s="198"/>
      <c r="K946" s="198"/>
      <c r="L946" s="198"/>
      <c r="M946" s="616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ht="12.75" customHeight="1">
      <c r="A947" s="613"/>
      <c r="B947" s="613"/>
      <c r="C947" s="613"/>
      <c r="D947" s="615"/>
      <c r="E947" s="198"/>
      <c r="F947" s="198"/>
      <c r="G947" s="198"/>
      <c r="H947" s="198"/>
      <c r="I947" s="615"/>
      <c r="J947" s="198"/>
      <c r="K947" s="198"/>
      <c r="L947" s="198"/>
      <c r="M947" s="616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ht="12.75" customHeight="1">
      <c r="A948" s="613"/>
      <c r="B948" s="613"/>
      <c r="C948" s="613"/>
      <c r="D948" s="615"/>
      <c r="E948" s="198"/>
      <c r="F948" s="198"/>
      <c r="G948" s="198"/>
      <c r="H948" s="198"/>
      <c r="I948" s="615"/>
      <c r="J948" s="198"/>
      <c r="K948" s="198"/>
      <c r="L948" s="198"/>
      <c r="M948" s="616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ht="12.75" customHeight="1">
      <c r="A949" s="613"/>
      <c r="B949" s="613"/>
      <c r="C949" s="613"/>
      <c r="D949" s="615"/>
      <c r="E949" s="198"/>
      <c r="F949" s="198"/>
      <c r="G949" s="198"/>
      <c r="H949" s="198"/>
      <c r="I949" s="615"/>
      <c r="J949" s="198"/>
      <c r="K949" s="198"/>
      <c r="L949" s="198"/>
      <c r="M949" s="616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ht="12.75" customHeight="1">
      <c r="A950" s="613"/>
      <c r="B950" s="613"/>
      <c r="C950" s="613"/>
      <c r="D950" s="615"/>
      <c r="E950" s="198"/>
      <c r="F950" s="198"/>
      <c r="G950" s="198"/>
      <c r="H950" s="198"/>
      <c r="I950" s="615"/>
      <c r="J950" s="198"/>
      <c r="K950" s="198"/>
      <c r="L950" s="198"/>
      <c r="M950" s="616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ht="12.75" customHeight="1">
      <c r="A951" s="613"/>
      <c r="B951" s="613"/>
      <c r="C951" s="613"/>
      <c r="D951" s="615"/>
      <c r="E951" s="198"/>
      <c r="F951" s="198"/>
      <c r="G951" s="198"/>
      <c r="H951" s="198"/>
      <c r="I951" s="615"/>
      <c r="J951" s="198"/>
      <c r="K951" s="198"/>
      <c r="L951" s="198"/>
      <c r="M951" s="616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ht="12.75" customHeight="1">
      <c r="A952" s="613"/>
      <c r="B952" s="613"/>
      <c r="C952" s="613"/>
      <c r="D952" s="615"/>
      <c r="E952" s="198"/>
      <c r="F952" s="198"/>
      <c r="G952" s="198"/>
      <c r="H952" s="198"/>
      <c r="I952" s="615"/>
      <c r="J952" s="198"/>
      <c r="K952" s="198"/>
      <c r="L952" s="198"/>
      <c r="M952" s="616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ht="12.75" customHeight="1">
      <c r="A953" s="613"/>
      <c r="B953" s="613"/>
      <c r="C953" s="613"/>
      <c r="D953" s="615"/>
      <c r="E953" s="198"/>
      <c r="F953" s="198"/>
      <c r="G953" s="198"/>
      <c r="H953" s="198"/>
      <c r="I953" s="615"/>
      <c r="J953" s="198"/>
      <c r="K953" s="198"/>
      <c r="L953" s="198"/>
      <c r="M953" s="616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ht="12.75" customHeight="1">
      <c r="A954" s="613"/>
      <c r="B954" s="613"/>
      <c r="C954" s="613"/>
      <c r="D954" s="615"/>
      <c r="E954" s="198"/>
      <c r="F954" s="198"/>
      <c r="G954" s="198"/>
      <c r="H954" s="198"/>
      <c r="I954" s="615"/>
      <c r="J954" s="198"/>
      <c r="K954" s="198"/>
      <c r="L954" s="198"/>
      <c r="M954" s="616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ht="12.75" customHeight="1">
      <c r="A955" s="613"/>
      <c r="B955" s="613"/>
      <c r="C955" s="613"/>
      <c r="D955" s="615"/>
      <c r="E955" s="198"/>
      <c r="F955" s="198"/>
      <c r="G955" s="198"/>
      <c r="H955" s="198"/>
      <c r="I955" s="615"/>
      <c r="J955" s="198"/>
      <c r="K955" s="198"/>
      <c r="L955" s="198"/>
      <c r="M955" s="616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ht="12.75" customHeight="1">
      <c r="A956" s="613"/>
      <c r="B956" s="613"/>
      <c r="C956" s="613"/>
      <c r="D956" s="615"/>
      <c r="E956" s="198"/>
      <c r="F956" s="198"/>
      <c r="G956" s="198"/>
      <c r="H956" s="198"/>
      <c r="I956" s="615"/>
      <c r="J956" s="198"/>
      <c r="K956" s="198"/>
      <c r="L956" s="198"/>
      <c r="M956" s="616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ht="12.75" customHeight="1">
      <c r="A957" s="613"/>
      <c r="B957" s="613"/>
      <c r="C957" s="613"/>
      <c r="D957" s="615"/>
      <c r="E957" s="198"/>
      <c r="F957" s="198"/>
      <c r="G957" s="198"/>
      <c r="H957" s="198"/>
      <c r="I957" s="615"/>
      <c r="J957" s="198"/>
      <c r="K957" s="198"/>
      <c r="L957" s="198"/>
      <c r="M957" s="616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ht="12.75" customHeight="1">
      <c r="A958" s="613"/>
      <c r="B958" s="613"/>
      <c r="C958" s="613"/>
      <c r="D958" s="615"/>
      <c r="E958" s="198"/>
      <c r="F958" s="198"/>
      <c r="G958" s="198"/>
      <c r="H958" s="198"/>
      <c r="I958" s="615"/>
      <c r="J958" s="198"/>
      <c r="K958" s="198"/>
      <c r="L958" s="198"/>
      <c r="M958" s="616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ht="12.75" customHeight="1">
      <c r="A959" s="613"/>
      <c r="B959" s="613"/>
      <c r="C959" s="613"/>
      <c r="D959" s="615"/>
      <c r="E959" s="198"/>
      <c r="F959" s="198"/>
      <c r="G959" s="198"/>
      <c r="H959" s="198"/>
      <c r="I959" s="615"/>
      <c r="J959" s="198"/>
      <c r="K959" s="198"/>
      <c r="L959" s="198"/>
      <c r="M959" s="616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ht="12.75" customHeight="1">
      <c r="A960" s="613"/>
      <c r="B960" s="613"/>
      <c r="C960" s="613"/>
      <c r="D960" s="615"/>
      <c r="E960" s="198"/>
      <c r="F960" s="198"/>
      <c r="G960" s="198"/>
      <c r="H960" s="198"/>
      <c r="I960" s="615"/>
      <c r="J960" s="198"/>
      <c r="K960" s="198"/>
      <c r="L960" s="198"/>
      <c r="M960" s="616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ht="12.75" customHeight="1">
      <c r="A961" s="613"/>
      <c r="B961" s="613"/>
      <c r="C961" s="613"/>
      <c r="D961" s="615"/>
      <c r="E961" s="198"/>
      <c r="F961" s="198"/>
      <c r="G961" s="198"/>
      <c r="H961" s="198"/>
      <c r="I961" s="615"/>
      <c r="J961" s="198"/>
      <c r="K961" s="198"/>
      <c r="L961" s="198"/>
      <c r="M961" s="616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ht="12.75" customHeight="1">
      <c r="A962" s="613"/>
      <c r="B962" s="613"/>
      <c r="C962" s="613"/>
      <c r="D962" s="615"/>
      <c r="E962" s="198"/>
      <c r="F962" s="198"/>
      <c r="G962" s="198"/>
      <c r="H962" s="198"/>
      <c r="I962" s="615"/>
      <c r="J962" s="198"/>
      <c r="K962" s="198"/>
      <c r="L962" s="198"/>
      <c r="M962" s="616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ht="12.75" customHeight="1">
      <c r="A963" s="613"/>
      <c r="B963" s="613"/>
      <c r="C963" s="613"/>
      <c r="D963" s="615"/>
      <c r="E963" s="198"/>
      <c r="F963" s="198"/>
      <c r="G963" s="198"/>
      <c r="H963" s="198"/>
      <c r="I963" s="615"/>
      <c r="J963" s="198"/>
      <c r="K963" s="198"/>
      <c r="L963" s="198"/>
      <c r="M963" s="616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ht="12.75" customHeight="1">
      <c r="A964" s="613"/>
      <c r="B964" s="613"/>
      <c r="C964" s="613"/>
      <c r="D964" s="615"/>
      <c r="E964" s="198"/>
      <c r="F964" s="198"/>
      <c r="G964" s="198"/>
      <c r="H964" s="198"/>
      <c r="I964" s="615"/>
      <c r="J964" s="198"/>
      <c r="K964" s="198"/>
      <c r="L964" s="198"/>
      <c r="M964" s="616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ht="12.75" customHeight="1">
      <c r="A965" s="613"/>
      <c r="B965" s="613"/>
      <c r="C965" s="613"/>
      <c r="D965" s="615"/>
      <c r="E965" s="198"/>
      <c r="F965" s="198"/>
      <c r="G965" s="198"/>
      <c r="H965" s="198"/>
      <c r="I965" s="615"/>
      <c r="J965" s="198"/>
      <c r="K965" s="198"/>
      <c r="L965" s="198"/>
      <c r="M965" s="616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ht="12.75" customHeight="1">
      <c r="A966" s="613"/>
      <c r="B966" s="613"/>
      <c r="C966" s="613"/>
      <c r="D966" s="615"/>
      <c r="E966" s="198"/>
      <c r="F966" s="198"/>
      <c r="G966" s="198"/>
      <c r="H966" s="198"/>
      <c r="I966" s="615"/>
      <c r="J966" s="198"/>
      <c r="K966" s="198"/>
      <c r="L966" s="198"/>
      <c r="M966" s="616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ht="12.75" customHeight="1">
      <c r="A967" s="613"/>
      <c r="B967" s="613"/>
      <c r="C967" s="613"/>
      <c r="D967" s="615"/>
      <c r="E967" s="198"/>
      <c r="F967" s="198"/>
      <c r="G967" s="198"/>
      <c r="H967" s="198"/>
      <c r="I967" s="615"/>
      <c r="J967" s="198"/>
      <c r="K967" s="198"/>
      <c r="L967" s="198"/>
      <c r="M967" s="616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ht="12.75" customHeight="1">
      <c r="A968" s="613"/>
      <c r="B968" s="613"/>
      <c r="C968" s="613"/>
      <c r="D968" s="615"/>
      <c r="E968" s="198"/>
      <c r="F968" s="198"/>
      <c r="G968" s="198"/>
      <c r="H968" s="198"/>
      <c r="I968" s="615"/>
      <c r="J968" s="198"/>
      <c r="K968" s="198"/>
      <c r="L968" s="198"/>
      <c r="M968" s="616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ht="12.75" customHeight="1">
      <c r="A969" s="613"/>
      <c r="B969" s="613"/>
      <c r="C969" s="613"/>
      <c r="D969" s="615"/>
      <c r="E969" s="198"/>
      <c r="F969" s="198"/>
      <c r="G969" s="198"/>
      <c r="H969" s="198"/>
      <c r="I969" s="615"/>
      <c r="J969" s="198"/>
      <c r="K969" s="198"/>
      <c r="L969" s="198"/>
      <c r="M969" s="616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ht="12.75" customHeight="1">
      <c r="A970" s="613"/>
      <c r="B970" s="613"/>
      <c r="C970" s="613"/>
      <c r="D970" s="615"/>
      <c r="E970" s="198"/>
      <c r="F970" s="198"/>
      <c r="G970" s="198"/>
      <c r="H970" s="198"/>
      <c r="I970" s="615"/>
      <c r="J970" s="198"/>
      <c r="K970" s="198"/>
      <c r="L970" s="198"/>
      <c r="M970" s="616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ht="12.75" customHeight="1">
      <c r="A971" s="613"/>
      <c r="B971" s="613"/>
      <c r="C971" s="613"/>
      <c r="D971" s="615"/>
      <c r="E971" s="198"/>
      <c r="F971" s="198"/>
      <c r="G971" s="198"/>
      <c r="H971" s="198"/>
      <c r="I971" s="615"/>
      <c r="J971" s="198"/>
      <c r="K971" s="198"/>
      <c r="L971" s="198"/>
      <c r="M971" s="616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ht="12.75" customHeight="1">
      <c r="A972" s="613"/>
      <c r="B972" s="613"/>
      <c r="C972" s="613"/>
      <c r="D972" s="615"/>
      <c r="E972" s="198"/>
      <c r="F972" s="198"/>
      <c r="G972" s="198"/>
      <c r="H972" s="198"/>
      <c r="I972" s="615"/>
      <c r="J972" s="198"/>
      <c r="K972" s="198"/>
      <c r="L972" s="198"/>
      <c r="M972" s="616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ht="12.75" customHeight="1">
      <c r="A973" s="613"/>
      <c r="B973" s="613"/>
      <c r="C973" s="613"/>
      <c r="D973" s="615"/>
      <c r="E973" s="198"/>
      <c r="F973" s="198"/>
      <c r="G973" s="198"/>
      <c r="H973" s="198"/>
      <c r="I973" s="615"/>
      <c r="J973" s="198"/>
      <c r="K973" s="198"/>
      <c r="L973" s="198"/>
      <c r="M973" s="616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ht="12.75" customHeight="1">
      <c r="A974" s="613"/>
      <c r="B974" s="613"/>
      <c r="C974" s="613"/>
      <c r="D974" s="615"/>
      <c r="E974" s="198"/>
      <c r="F974" s="198"/>
      <c r="G974" s="198"/>
      <c r="H974" s="198"/>
      <c r="I974" s="615"/>
      <c r="J974" s="198"/>
      <c r="K974" s="198"/>
      <c r="L974" s="198"/>
      <c r="M974" s="616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ht="12.75" customHeight="1">
      <c r="A975" s="613"/>
      <c r="B975" s="613"/>
      <c r="C975" s="613"/>
      <c r="D975" s="615"/>
      <c r="E975" s="198"/>
      <c r="F975" s="198"/>
      <c r="G975" s="198"/>
      <c r="H975" s="198"/>
      <c r="I975" s="615"/>
      <c r="J975" s="198"/>
      <c r="K975" s="198"/>
      <c r="L975" s="198"/>
      <c r="M975" s="616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ht="12.75" customHeight="1">
      <c r="A976" s="613"/>
      <c r="B976" s="613"/>
      <c r="C976" s="613"/>
      <c r="D976" s="615"/>
      <c r="E976" s="198"/>
      <c r="F976" s="198"/>
      <c r="G976" s="198"/>
      <c r="H976" s="198"/>
      <c r="I976" s="615"/>
      <c r="J976" s="198"/>
      <c r="K976" s="198"/>
      <c r="L976" s="198"/>
      <c r="M976" s="616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ht="12.75" customHeight="1">
      <c r="A977" s="613"/>
      <c r="B977" s="613"/>
      <c r="C977" s="613"/>
      <c r="D977" s="615"/>
      <c r="E977" s="198"/>
      <c r="F977" s="198"/>
      <c r="G977" s="198"/>
      <c r="H977" s="198"/>
      <c r="I977" s="615"/>
      <c r="J977" s="198"/>
      <c r="K977" s="198"/>
      <c r="L977" s="198"/>
      <c r="M977" s="616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ht="12.75" customHeight="1">
      <c r="A978" s="613"/>
      <c r="B978" s="613"/>
      <c r="C978" s="613"/>
      <c r="D978" s="615"/>
      <c r="E978" s="198"/>
      <c r="F978" s="198"/>
      <c r="G978" s="198"/>
      <c r="H978" s="198"/>
      <c r="I978" s="615"/>
      <c r="J978" s="198"/>
      <c r="K978" s="198"/>
      <c r="L978" s="198"/>
      <c r="M978" s="616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ht="12.75" customHeight="1">
      <c r="A979" s="613"/>
      <c r="B979" s="613"/>
      <c r="C979" s="613"/>
      <c r="D979" s="615"/>
      <c r="E979" s="198"/>
      <c r="F979" s="198"/>
      <c r="G979" s="198"/>
      <c r="H979" s="198"/>
      <c r="I979" s="615"/>
      <c r="J979" s="198"/>
      <c r="K979" s="198"/>
      <c r="L979" s="198"/>
      <c r="M979" s="616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ht="12.75" customHeight="1">
      <c r="A980" s="613"/>
      <c r="B980" s="613"/>
      <c r="C980" s="613"/>
      <c r="D980" s="615"/>
      <c r="E980" s="198"/>
      <c r="F980" s="198"/>
      <c r="G980" s="198"/>
      <c r="H980" s="198"/>
      <c r="I980" s="615"/>
      <c r="J980" s="198"/>
      <c r="K980" s="198"/>
      <c r="L980" s="198"/>
      <c r="M980" s="616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ht="12.75" customHeight="1">
      <c r="A981" s="613"/>
      <c r="B981" s="613"/>
      <c r="C981" s="613"/>
      <c r="D981" s="615"/>
      <c r="E981" s="198"/>
      <c r="F981" s="198"/>
      <c r="G981" s="198"/>
      <c r="H981" s="198"/>
      <c r="I981" s="615"/>
      <c r="J981" s="198"/>
      <c r="K981" s="198"/>
      <c r="L981" s="198"/>
      <c r="M981" s="616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ht="12.75" customHeight="1">
      <c r="A982" s="613"/>
      <c r="B982" s="613"/>
      <c r="C982" s="613"/>
      <c r="D982" s="615"/>
      <c r="E982" s="198"/>
      <c r="F982" s="198"/>
      <c r="G982" s="198"/>
      <c r="H982" s="198"/>
      <c r="I982" s="615"/>
      <c r="J982" s="198"/>
      <c r="K982" s="198"/>
      <c r="L982" s="198"/>
      <c r="M982" s="616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ht="12.75" customHeight="1">
      <c r="A983" s="613"/>
      <c r="B983" s="613"/>
      <c r="C983" s="613"/>
      <c r="D983" s="615"/>
      <c r="E983" s="198"/>
      <c r="F983" s="198"/>
      <c r="G983" s="198"/>
      <c r="H983" s="198"/>
      <c r="I983" s="615"/>
      <c r="J983" s="198"/>
      <c r="K983" s="198"/>
      <c r="L983" s="198"/>
      <c r="M983" s="616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ht="12.75" customHeight="1">
      <c r="A984" s="613"/>
      <c r="B984" s="613"/>
      <c r="C984" s="613"/>
      <c r="D984" s="615"/>
      <c r="E984" s="198"/>
      <c r="F984" s="198"/>
      <c r="G984" s="198"/>
      <c r="H984" s="198"/>
      <c r="I984" s="615"/>
      <c r="J984" s="198"/>
      <c r="K984" s="198"/>
      <c r="L984" s="198"/>
      <c r="M984" s="616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ht="12.75" customHeight="1">
      <c r="A985" s="613"/>
      <c r="B985" s="613"/>
      <c r="C985" s="613"/>
      <c r="D985" s="615"/>
      <c r="E985" s="198"/>
      <c r="F985" s="198"/>
      <c r="G985" s="198"/>
      <c r="H985" s="198"/>
      <c r="I985" s="615"/>
      <c r="J985" s="198"/>
      <c r="K985" s="198"/>
      <c r="L985" s="198"/>
      <c r="M985" s="616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ht="12.75" customHeight="1">
      <c r="A986" s="613"/>
      <c r="B986" s="613"/>
      <c r="C986" s="613"/>
      <c r="D986" s="615"/>
      <c r="E986" s="198"/>
      <c r="F986" s="198"/>
      <c r="G986" s="198"/>
      <c r="H986" s="198"/>
      <c r="I986" s="615"/>
      <c r="J986" s="198"/>
      <c r="K986" s="198"/>
      <c r="L986" s="198"/>
      <c r="M986" s="616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ht="12.75" customHeight="1">
      <c r="A987" s="613"/>
      <c r="B987" s="613"/>
      <c r="C987" s="613"/>
      <c r="D987" s="615"/>
      <c r="E987" s="198"/>
      <c r="F987" s="198"/>
      <c r="G987" s="198"/>
      <c r="H987" s="198"/>
      <c r="I987" s="615"/>
      <c r="J987" s="198"/>
      <c r="K987" s="198"/>
      <c r="L987" s="198"/>
      <c r="M987" s="616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ht="12.75" customHeight="1">
      <c r="A988" s="613"/>
      <c r="B988" s="613"/>
      <c r="C988" s="613"/>
      <c r="D988" s="615"/>
      <c r="E988" s="198"/>
      <c r="F988" s="198"/>
      <c r="G988" s="198"/>
      <c r="H988" s="198"/>
      <c r="I988" s="615"/>
      <c r="J988" s="198"/>
      <c r="K988" s="198"/>
      <c r="L988" s="198"/>
      <c r="M988" s="616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ht="12.75" customHeight="1">
      <c r="A989" s="613"/>
      <c r="B989" s="613"/>
      <c r="C989" s="613"/>
      <c r="D989" s="615"/>
      <c r="E989" s="198"/>
      <c r="F989" s="198"/>
      <c r="G989" s="198"/>
      <c r="H989" s="198"/>
      <c r="I989" s="615"/>
      <c r="J989" s="198"/>
      <c r="K989" s="198"/>
      <c r="L989" s="198"/>
      <c r="M989" s="616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ht="12.75" customHeight="1">
      <c r="A990" s="613"/>
      <c r="B990" s="613"/>
      <c r="C990" s="613"/>
      <c r="D990" s="615"/>
      <c r="E990" s="198"/>
      <c r="F990" s="198"/>
      <c r="G990" s="198"/>
      <c r="H990" s="198"/>
      <c r="I990" s="615"/>
      <c r="J990" s="198"/>
      <c r="K990" s="198"/>
      <c r="L990" s="198"/>
      <c r="M990" s="616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ht="12.75" customHeight="1">
      <c r="A991" s="613"/>
      <c r="B991" s="613"/>
      <c r="C991" s="613"/>
      <c r="D991" s="615"/>
      <c r="E991" s="198"/>
      <c r="F991" s="198"/>
      <c r="G991" s="198"/>
      <c r="H991" s="198"/>
      <c r="I991" s="615"/>
      <c r="J991" s="198"/>
      <c r="K991" s="198"/>
      <c r="L991" s="198"/>
      <c r="M991" s="616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ht="12.75" customHeight="1">
      <c r="A992" s="613"/>
      <c r="B992" s="613"/>
      <c r="C992" s="613"/>
      <c r="D992" s="615"/>
      <c r="E992" s="198"/>
      <c r="F992" s="198"/>
      <c r="G992" s="198"/>
      <c r="H992" s="198"/>
      <c r="I992" s="615"/>
      <c r="J992" s="198"/>
      <c r="K992" s="198"/>
      <c r="L992" s="198"/>
      <c r="M992" s="616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ht="12.75" customHeight="1">
      <c r="A993" s="613"/>
      <c r="B993" s="613"/>
      <c r="C993" s="613"/>
      <c r="D993" s="615"/>
      <c r="E993" s="198"/>
      <c r="F993" s="198"/>
      <c r="G993" s="198"/>
      <c r="H993" s="198"/>
      <c r="I993" s="615"/>
      <c r="J993" s="198"/>
      <c r="K993" s="198"/>
      <c r="L993" s="198"/>
      <c r="M993" s="616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ht="12.75" customHeight="1">
      <c r="A994" s="613"/>
      <c r="B994" s="613"/>
      <c r="C994" s="613"/>
      <c r="D994" s="615"/>
      <c r="E994" s="198"/>
      <c r="F994" s="198"/>
      <c r="G994" s="198"/>
      <c r="H994" s="198"/>
      <c r="I994" s="615"/>
      <c r="J994" s="198"/>
      <c r="K994" s="198"/>
      <c r="L994" s="198"/>
      <c r="M994" s="616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ht="12.75" customHeight="1">
      <c r="A995" s="613"/>
      <c r="B995" s="613"/>
      <c r="C995" s="613"/>
      <c r="D995" s="615"/>
      <c r="E995" s="198"/>
      <c r="F995" s="198"/>
      <c r="G995" s="198"/>
      <c r="H995" s="198"/>
      <c r="I995" s="615"/>
      <c r="J995" s="198"/>
      <c r="K995" s="198"/>
      <c r="L995" s="198"/>
      <c r="M995" s="616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ht="12.75" customHeight="1">
      <c r="A996" s="613"/>
      <c r="B996" s="613"/>
      <c r="C996" s="613"/>
      <c r="D996" s="615"/>
      <c r="E996" s="198"/>
      <c r="F996" s="198"/>
      <c r="G996" s="198"/>
      <c r="H996" s="198"/>
      <c r="I996" s="615"/>
      <c r="J996" s="198"/>
      <c r="K996" s="198"/>
      <c r="L996" s="198"/>
      <c r="M996" s="616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ht="12.75" customHeight="1">
      <c r="A997" s="613"/>
      <c r="B997" s="613"/>
      <c r="C997" s="613"/>
      <c r="D997" s="615"/>
      <c r="E997" s="198"/>
      <c r="F997" s="198"/>
      <c r="G997" s="198"/>
      <c r="H997" s="198"/>
      <c r="I997" s="615"/>
      <c r="J997" s="198"/>
      <c r="K997" s="198"/>
      <c r="L997" s="198"/>
      <c r="M997" s="616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ht="12.75" customHeight="1">
      <c r="A998" s="613"/>
      <c r="B998" s="613"/>
      <c r="C998" s="613"/>
      <c r="D998" s="615"/>
      <c r="E998" s="198"/>
      <c r="F998" s="198"/>
      <c r="G998" s="198"/>
      <c r="H998" s="198"/>
      <c r="I998" s="615"/>
      <c r="J998" s="198"/>
      <c r="K998" s="198"/>
      <c r="L998" s="198"/>
      <c r="M998" s="616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ht="12.75" customHeight="1">
      <c r="A999" s="613"/>
      <c r="B999" s="613"/>
      <c r="C999" s="613"/>
      <c r="D999" s="615"/>
      <c r="E999" s="198"/>
      <c r="F999" s="198"/>
      <c r="G999" s="198"/>
      <c r="H999" s="198"/>
      <c r="I999" s="615"/>
      <c r="J999" s="198"/>
      <c r="K999" s="198"/>
      <c r="L999" s="198"/>
      <c r="M999" s="616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ht="12.75" customHeight="1">
      <c r="A1000" s="613"/>
      <c r="B1000" s="613"/>
      <c r="C1000" s="613"/>
      <c r="D1000" s="615"/>
      <c r="E1000" s="198"/>
      <c r="F1000" s="198"/>
      <c r="G1000" s="198"/>
      <c r="H1000" s="198"/>
      <c r="I1000" s="615"/>
      <c r="J1000" s="198"/>
      <c r="K1000" s="198"/>
      <c r="L1000" s="198"/>
      <c r="M1000" s="616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0.0"/>
    <col customWidth="1" min="2" max="12" width="9.71"/>
    <col customWidth="1" min="13" max="13" width="9.43"/>
    <col customWidth="1" min="14" max="17" width="9.71"/>
    <col customWidth="1" min="18" max="25" width="9.14"/>
    <col customWidth="1" min="26" max="27" width="8.71"/>
  </cols>
  <sheetData>
    <row r="1">
      <c r="A1" s="195"/>
      <c r="B1" s="196"/>
      <c r="C1" s="196"/>
      <c r="D1" s="196"/>
      <c r="E1" s="196"/>
      <c r="F1" s="196"/>
      <c r="G1" s="196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8"/>
      <c r="S1" s="198"/>
      <c r="T1" s="198"/>
      <c r="U1" s="196"/>
      <c r="V1" s="196"/>
      <c r="W1" s="196"/>
      <c r="X1" s="196"/>
      <c r="Y1" s="196"/>
      <c r="Z1" s="196"/>
      <c r="AA1" s="196"/>
    </row>
    <row r="2">
      <c r="A2" s="196"/>
      <c r="B2" s="199" t="s">
        <v>786</v>
      </c>
      <c r="R2" s="197"/>
      <c r="S2" s="198"/>
      <c r="T2" s="198"/>
      <c r="U2" s="196"/>
      <c r="V2" s="196"/>
      <c r="W2" s="196"/>
      <c r="X2" s="196"/>
      <c r="Y2" s="196"/>
      <c r="Z2" s="196"/>
      <c r="AA2" s="196"/>
    </row>
    <row r="3">
      <c r="A3" s="196"/>
      <c r="B3" s="199" t="s">
        <v>787</v>
      </c>
      <c r="R3" s="200"/>
      <c r="S3" s="198"/>
      <c r="T3" s="198"/>
      <c r="U3" s="196"/>
      <c r="V3" s="196"/>
      <c r="W3" s="196"/>
      <c r="X3" s="196"/>
      <c r="Y3" s="196"/>
      <c r="Z3" s="196"/>
      <c r="AA3" s="196"/>
    </row>
    <row r="4">
      <c r="A4" s="196"/>
      <c r="B4" s="199" t="s">
        <v>788</v>
      </c>
      <c r="R4" s="200"/>
      <c r="S4" s="198"/>
      <c r="T4" s="198"/>
      <c r="U4" s="196"/>
      <c r="V4" s="196"/>
      <c r="W4" s="196"/>
      <c r="X4" s="196"/>
      <c r="Y4" s="196"/>
      <c r="Z4" s="196"/>
      <c r="AA4" s="196"/>
    </row>
    <row r="5">
      <c r="A5" s="196"/>
      <c r="B5" s="199" t="s">
        <v>789</v>
      </c>
      <c r="R5" s="200"/>
      <c r="S5" s="198"/>
      <c r="T5" s="198"/>
      <c r="U5" s="196"/>
      <c r="V5" s="196"/>
      <c r="W5" s="196"/>
      <c r="X5" s="196"/>
      <c r="Y5" s="196"/>
      <c r="Z5" s="196"/>
      <c r="AA5" s="196"/>
    </row>
    <row r="6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ht="12.75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ht="33.0" customHeight="1">
      <c r="A8" s="201"/>
      <c r="B8" s="202" t="s">
        <v>790</v>
      </c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4"/>
      <c r="Z8" s="196"/>
      <c r="AA8" s="196"/>
    </row>
    <row r="9">
      <c r="A9" s="201"/>
      <c r="B9" s="205">
        <v>2000.0</v>
      </c>
      <c r="C9" s="206">
        <v>2001.0</v>
      </c>
      <c r="D9" s="206">
        <v>2002.0</v>
      </c>
      <c r="E9" s="206">
        <v>2003.0</v>
      </c>
      <c r="F9" s="206">
        <v>2004.0</v>
      </c>
      <c r="G9" s="206">
        <v>2005.0</v>
      </c>
      <c r="H9" s="207">
        <v>2006.0</v>
      </c>
      <c r="I9" s="207">
        <v>2007.0</v>
      </c>
      <c r="J9" s="207">
        <v>2008.0</v>
      </c>
      <c r="K9" s="207">
        <v>2009.0</v>
      </c>
      <c r="L9" s="207">
        <v>2010.0</v>
      </c>
      <c r="M9" s="207">
        <v>2011.0</v>
      </c>
      <c r="N9" s="207">
        <v>2012.0</v>
      </c>
      <c r="O9" s="207">
        <v>2013.0</v>
      </c>
      <c r="P9" s="207">
        <v>2014.0</v>
      </c>
      <c r="Q9" s="207">
        <v>2015.0</v>
      </c>
      <c r="R9" s="207">
        <v>2016.0</v>
      </c>
      <c r="S9" s="207">
        <v>2017.0</v>
      </c>
      <c r="T9" s="207">
        <v>2018.0</v>
      </c>
      <c r="U9" s="207">
        <v>2019.0</v>
      </c>
      <c r="V9" s="208">
        <v>2020.0</v>
      </c>
      <c r="W9" s="207">
        <v>2021.0</v>
      </c>
      <c r="X9" s="209">
        <v>2022.0</v>
      </c>
      <c r="Y9" s="210">
        <v>2023.0</v>
      </c>
      <c r="Z9" s="196"/>
      <c r="AA9" s="196"/>
    </row>
    <row r="10">
      <c r="A10" s="211" t="s">
        <v>791</v>
      </c>
      <c r="B10" s="212">
        <f>'2000'!$P$3</f>
        <v>20</v>
      </c>
      <c r="C10" s="213">
        <f>'2001'!$P$3</f>
        <v>23</v>
      </c>
      <c r="D10" s="213">
        <f>'2002'!$P$3</f>
        <v>13</v>
      </c>
      <c r="E10" s="213">
        <f>'2003'!$P$3</f>
        <v>21</v>
      </c>
      <c r="F10" s="213">
        <f>'2004'!$P$3</f>
        <v>21</v>
      </c>
      <c r="G10" s="213">
        <f>'2005'!$P$3</f>
        <v>23</v>
      </c>
      <c r="H10" s="213">
        <f>'2006'!$P$3</f>
        <v>18</v>
      </c>
      <c r="I10" s="213">
        <f>'2007'!$P$3</f>
        <v>2</v>
      </c>
      <c r="J10" s="213">
        <f>'2008'!$P$3</f>
        <v>3</v>
      </c>
      <c r="K10" s="213">
        <f>'2009'!$P$3</f>
        <v>4</v>
      </c>
      <c r="L10" s="213">
        <f>'2010'!$P$3</f>
        <v>2</v>
      </c>
      <c r="M10" s="213">
        <f>'2011'!$P$3</f>
        <v>0</v>
      </c>
      <c r="N10" s="213">
        <f>'2012'!$P$3</f>
        <v>0</v>
      </c>
      <c r="O10" s="213">
        <f>'2013'!$P$3</f>
        <v>1</v>
      </c>
      <c r="P10" s="213">
        <f>'2014'!$P$3</f>
        <v>0</v>
      </c>
      <c r="Q10" s="213">
        <f>'2015'!$P$3</f>
        <v>0</v>
      </c>
      <c r="R10" s="213">
        <f>'2016'!$P$3</f>
        <v>1</v>
      </c>
      <c r="S10" s="213">
        <f>'2017'!$P$3</f>
        <v>0</v>
      </c>
      <c r="T10" s="213">
        <f>'2018'!$P$3</f>
        <v>0</v>
      </c>
      <c r="U10" s="213">
        <f>'2019'!$P$3</f>
        <v>1</v>
      </c>
      <c r="V10" s="213">
        <f>'2020'!$P$3</f>
        <v>3</v>
      </c>
      <c r="W10" s="213">
        <f>'2021'!$P$3</f>
        <v>1</v>
      </c>
      <c r="X10" s="213">
        <f>'2022'!$P$3</f>
        <v>0</v>
      </c>
      <c r="Y10" s="214">
        <f>'2023 PT'!$P$3</f>
        <v>0</v>
      </c>
      <c r="Z10" s="196"/>
      <c r="AA10" s="196"/>
    </row>
    <row r="11">
      <c r="A11" s="211" t="s">
        <v>792</v>
      </c>
      <c r="B11" s="215">
        <f>'2000'!$P$4</f>
        <v>9</v>
      </c>
      <c r="C11" s="216">
        <f>'2001'!$P$4</f>
        <v>11</v>
      </c>
      <c r="D11" s="216">
        <f>'2002'!$P$4</f>
        <v>5</v>
      </c>
      <c r="E11" s="216">
        <f>'2003'!$P$4</f>
        <v>8</v>
      </c>
      <c r="F11" s="216">
        <f>'2004'!$P$4</f>
        <v>4</v>
      </c>
      <c r="G11" s="216">
        <f>'2005'!$P$4</f>
        <v>5</v>
      </c>
      <c r="H11" s="216">
        <f>'2006'!$P$4</f>
        <v>5</v>
      </c>
      <c r="I11" s="216">
        <f>'2007'!$P$4</f>
        <v>2</v>
      </c>
      <c r="J11" s="216">
        <f>'2008'!$P$4</f>
        <v>6</v>
      </c>
      <c r="K11" s="216">
        <f>'2009'!$P$4</f>
        <v>4</v>
      </c>
      <c r="L11" s="216">
        <f>'2010'!$P$4</f>
        <v>0</v>
      </c>
      <c r="M11" s="216">
        <f>'2011'!$P$4</f>
        <v>1</v>
      </c>
      <c r="N11" s="216">
        <f>'2012'!$P$4</f>
        <v>1</v>
      </c>
      <c r="O11" s="216">
        <f>'2013'!$P$4</f>
        <v>2</v>
      </c>
      <c r="P11" s="216">
        <f>'2014'!$P$4</f>
        <v>5</v>
      </c>
      <c r="Q11" s="216">
        <f>'2015'!$P$4</f>
        <v>2</v>
      </c>
      <c r="R11" s="216">
        <f>'2016'!$P$4</f>
        <v>1</v>
      </c>
      <c r="S11" s="216">
        <f>'2017'!$P$4</f>
        <v>5</v>
      </c>
      <c r="T11" s="216">
        <f>'2018'!$P$4</f>
        <v>2</v>
      </c>
      <c r="U11" s="216">
        <f>'2019'!$P$4</f>
        <v>3</v>
      </c>
      <c r="V11" s="216">
        <f>'2020'!$P$4</f>
        <v>5</v>
      </c>
      <c r="W11" s="216">
        <f>'2021'!$P$4</f>
        <v>7</v>
      </c>
      <c r="X11" s="216">
        <f>'2022'!$P$4</f>
        <v>8</v>
      </c>
      <c r="Y11" s="217">
        <f>'2023 PT'!$P$4</f>
        <v>2</v>
      </c>
      <c r="Z11" s="196"/>
      <c r="AA11" s="196"/>
    </row>
    <row r="12">
      <c r="A12" s="211" t="s">
        <v>793</v>
      </c>
      <c r="B12" s="218">
        <f>'2000'!$P$5</f>
        <v>0</v>
      </c>
      <c r="C12" s="219">
        <f>'2001'!$P$5</f>
        <v>0</v>
      </c>
      <c r="D12" s="219">
        <f>'2002'!$P$5</f>
        <v>0</v>
      </c>
      <c r="E12" s="219">
        <f>'2003'!$P$5</f>
        <v>0</v>
      </c>
      <c r="F12" s="219">
        <f>'2004'!$P$5</f>
        <v>0</v>
      </c>
      <c r="G12" s="219">
        <f>'2005'!$P$5</f>
        <v>0</v>
      </c>
      <c r="H12" s="219">
        <f>'2006'!$P$5</f>
        <v>15</v>
      </c>
      <c r="I12" s="219">
        <f>'2007'!$P$5</f>
        <v>50</v>
      </c>
      <c r="J12" s="219">
        <f>'2008'!$P$5</f>
        <v>45</v>
      </c>
      <c r="K12" s="219">
        <f>'2009'!$P$5</f>
        <v>28</v>
      </c>
      <c r="L12" s="219">
        <f>'2010'!$P$5</f>
        <v>35</v>
      </c>
      <c r="M12" s="219">
        <f>'2011'!$P$5</f>
        <v>60</v>
      </c>
      <c r="N12" s="219">
        <f>'2012'!$P$5</f>
        <v>64</v>
      </c>
      <c r="O12" s="219">
        <f>'2013'!$P$5</f>
        <v>45</v>
      </c>
      <c r="P12" s="219">
        <f>'2014'!$P$5</f>
        <v>79</v>
      </c>
      <c r="Q12" s="219">
        <f>'2015'!$P$5</f>
        <v>46</v>
      </c>
      <c r="R12" s="219">
        <f>'2016'!$P$5</f>
        <v>160</v>
      </c>
      <c r="S12" s="219">
        <f>'2017'!$P$5</f>
        <v>177</v>
      </c>
      <c r="T12" s="219">
        <f>'2018'!$P$5</f>
        <v>193</v>
      </c>
      <c r="U12" s="219">
        <f>'2019'!$P$5</f>
        <v>269</v>
      </c>
      <c r="V12" s="219">
        <f>'2020'!$P$5</f>
        <v>162</v>
      </c>
      <c r="W12" s="219">
        <f>'2021'!$P$5</f>
        <v>182</v>
      </c>
      <c r="X12" s="219">
        <f>'2022'!$P$5</f>
        <v>271</v>
      </c>
      <c r="Y12" s="220">
        <f>'2023 PT'!$P$5</f>
        <v>34</v>
      </c>
      <c r="Z12" s="196"/>
      <c r="AA12" s="196"/>
    </row>
    <row r="13">
      <c r="A13" s="221" t="s">
        <v>46</v>
      </c>
      <c r="B13" s="222">
        <f>'2000'!$P$6</f>
        <v>0</v>
      </c>
      <c r="C13" s="223">
        <f>'2001'!$P$6</f>
        <v>2</v>
      </c>
      <c r="D13" s="223">
        <f>'2002'!$P$6</f>
        <v>0</v>
      </c>
      <c r="E13" s="223">
        <f>'2003'!$P$6</f>
        <v>0</v>
      </c>
      <c r="F13" s="223">
        <f>'2004'!$P$6</f>
        <v>1</v>
      </c>
      <c r="G13" s="223">
        <f>'2005'!$P$6</f>
        <v>1</v>
      </c>
      <c r="H13" s="223">
        <f>'2006'!$P$6</f>
        <v>1</v>
      </c>
      <c r="I13" s="223">
        <f>'2007'!$P$6</f>
        <v>0</v>
      </c>
      <c r="J13" s="223">
        <f>'2008'!$P$6</f>
        <v>0</v>
      </c>
      <c r="K13" s="223">
        <f>'2009'!$P$6</f>
        <v>0</v>
      </c>
      <c r="L13" s="223">
        <f>'2010'!$P$6</f>
        <v>2</v>
      </c>
      <c r="M13" s="223">
        <f>'2011'!$P$6</f>
        <v>0</v>
      </c>
      <c r="N13" s="223">
        <f>'2012'!$P$6</f>
        <v>0</v>
      </c>
      <c r="O13" s="223">
        <f>'2013'!$P$6</f>
        <v>0</v>
      </c>
      <c r="P13" s="223">
        <f>'2014'!$P$6</f>
        <v>0</v>
      </c>
      <c r="Q13" s="223">
        <f>'2015'!$P$6</f>
        <v>0</v>
      </c>
      <c r="R13" s="223">
        <f>'2016'!$P$6</f>
        <v>1</v>
      </c>
      <c r="S13" s="223">
        <f>'2017'!$P$6</f>
        <v>4</v>
      </c>
      <c r="T13" s="223">
        <f>'2018'!$P$6</f>
        <v>2</v>
      </c>
      <c r="U13" s="223">
        <f>'2019'!$P$6</f>
        <v>0</v>
      </c>
      <c r="V13" s="223">
        <f>'2020'!$P$6</f>
        <v>2</v>
      </c>
      <c r="W13" s="223">
        <f>'2021'!$P$6</f>
        <v>1</v>
      </c>
      <c r="X13" s="223">
        <f>'2022'!$P$6</f>
        <v>0</v>
      </c>
      <c r="Y13" s="224">
        <f>'2023 PT'!$P$6</f>
        <v>0</v>
      </c>
      <c r="Z13" s="196"/>
      <c r="AA13" s="196"/>
    </row>
    <row r="14">
      <c r="A14" s="225" t="s">
        <v>794</v>
      </c>
      <c r="B14" s="226">
        <f t="shared" ref="B14:Y14" si="1">SUM(B10:B13)</f>
        <v>29</v>
      </c>
      <c r="C14" s="227">
        <f t="shared" si="1"/>
        <v>36</v>
      </c>
      <c r="D14" s="227">
        <f t="shared" si="1"/>
        <v>18</v>
      </c>
      <c r="E14" s="227">
        <f t="shared" si="1"/>
        <v>29</v>
      </c>
      <c r="F14" s="227">
        <f t="shared" si="1"/>
        <v>26</v>
      </c>
      <c r="G14" s="227">
        <f t="shared" si="1"/>
        <v>29</v>
      </c>
      <c r="H14" s="227">
        <f t="shared" si="1"/>
        <v>39</v>
      </c>
      <c r="I14" s="227">
        <f t="shared" si="1"/>
        <v>54</v>
      </c>
      <c r="J14" s="227">
        <f t="shared" si="1"/>
        <v>54</v>
      </c>
      <c r="K14" s="227">
        <f t="shared" si="1"/>
        <v>36</v>
      </c>
      <c r="L14" s="227">
        <f t="shared" si="1"/>
        <v>39</v>
      </c>
      <c r="M14" s="227">
        <f t="shared" si="1"/>
        <v>61</v>
      </c>
      <c r="N14" s="227">
        <f t="shared" si="1"/>
        <v>65</v>
      </c>
      <c r="O14" s="227">
        <f t="shared" si="1"/>
        <v>48</v>
      </c>
      <c r="P14" s="227">
        <f t="shared" si="1"/>
        <v>84</v>
      </c>
      <c r="Q14" s="227">
        <f t="shared" si="1"/>
        <v>48</v>
      </c>
      <c r="R14" s="227">
        <f t="shared" si="1"/>
        <v>163</v>
      </c>
      <c r="S14" s="227">
        <f t="shared" si="1"/>
        <v>186</v>
      </c>
      <c r="T14" s="227">
        <f t="shared" si="1"/>
        <v>197</v>
      </c>
      <c r="U14" s="227">
        <f t="shared" si="1"/>
        <v>273</v>
      </c>
      <c r="V14" s="228">
        <f t="shared" si="1"/>
        <v>172</v>
      </c>
      <c r="W14" s="228">
        <f t="shared" si="1"/>
        <v>191</v>
      </c>
      <c r="X14" s="228">
        <f t="shared" si="1"/>
        <v>279</v>
      </c>
      <c r="Y14" s="229">
        <f t="shared" si="1"/>
        <v>36</v>
      </c>
      <c r="Z14" s="196"/>
      <c r="AA14" s="196"/>
    </row>
    <row r="15">
      <c r="A15" s="230" t="s">
        <v>795</v>
      </c>
      <c r="B15" s="231">
        <f>'2000'!$P$7</f>
        <v>38</v>
      </c>
      <c r="C15" s="232">
        <f>'2001'!$P$7</f>
        <v>54</v>
      </c>
      <c r="D15" s="232">
        <f>'2002'!$P$7</f>
        <v>23</v>
      </c>
      <c r="E15" s="232">
        <f>'2003'!$P$7</f>
        <v>40</v>
      </c>
      <c r="F15" s="232">
        <f>'2004'!$P$7</f>
        <v>45</v>
      </c>
      <c r="G15" s="232">
        <f>'2005'!$P$7</f>
        <v>45</v>
      </c>
      <c r="H15" s="232">
        <f>'2006'!$P$7</f>
        <v>56</v>
      </c>
      <c r="I15" s="232">
        <f>'2007'!$P$7</f>
        <v>57</v>
      </c>
      <c r="J15" s="232">
        <f>'2008'!$P$7</f>
        <v>57</v>
      </c>
      <c r="K15" s="232">
        <f>'2009'!$P$7</f>
        <v>30</v>
      </c>
      <c r="L15" s="232">
        <f>'2010'!$P$7</f>
        <v>26</v>
      </c>
      <c r="M15" s="232">
        <f>'2011'!$P$7</f>
        <v>32</v>
      </c>
      <c r="N15" s="232">
        <f>'2012'!$P$7</f>
        <v>10</v>
      </c>
      <c r="O15" s="232">
        <f>'2013'!$P$7</f>
        <v>18</v>
      </c>
      <c r="P15" s="232">
        <f>'2014'!$P$7</f>
        <v>16</v>
      </c>
      <c r="Q15" s="232">
        <f>'2015'!$P$7</f>
        <v>12</v>
      </c>
      <c r="R15" s="232">
        <f>'2016'!$P$7</f>
        <v>19</v>
      </c>
      <c r="S15" s="232">
        <f>'2017'!$P$7</f>
        <v>36</v>
      </c>
      <c r="T15" s="232">
        <f>'2018'!$P$7</f>
        <v>48</v>
      </c>
      <c r="U15" s="232">
        <f>'2019'!$P$7</f>
        <v>36</v>
      </c>
      <c r="V15" s="232">
        <f>'2020'!$P$7</f>
        <v>70</v>
      </c>
      <c r="W15" s="232">
        <f>'2021'!$P$7</f>
        <v>60</v>
      </c>
      <c r="X15" s="232">
        <f>'2022'!$P$7</f>
        <v>34</v>
      </c>
      <c r="Y15" s="233">
        <f>'2023 PF'!$P$3</f>
        <v>8</v>
      </c>
      <c r="Z15" s="196"/>
      <c r="AA15" s="196"/>
    </row>
    <row r="16">
      <c r="A16" s="211" t="s">
        <v>796</v>
      </c>
      <c r="B16" s="218">
        <f>'2000'!$P$8</f>
        <v>13</v>
      </c>
      <c r="C16" s="219">
        <f>'2001'!$P$8</f>
        <v>14</v>
      </c>
      <c r="D16" s="219">
        <f>'2002'!$P$8</f>
        <v>6</v>
      </c>
      <c r="E16" s="219">
        <f>'2003'!$P$8</f>
        <v>3</v>
      </c>
      <c r="F16" s="219">
        <f>'2004'!$P$8</f>
        <v>7</v>
      </c>
      <c r="G16" s="219">
        <f>'2005'!$P$8</f>
        <v>5</v>
      </c>
      <c r="H16" s="219">
        <f>'2006'!$P$8</f>
        <v>7</v>
      </c>
      <c r="I16" s="219">
        <f>'2007'!$P$8</f>
        <v>5</v>
      </c>
      <c r="J16" s="219">
        <f>'2008'!$P$8</f>
        <v>5</v>
      </c>
      <c r="K16" s="219">
        <f>'2009'!$P$8</f>
        <v>7</v>
      </c>
      <c r="L16" s="219">
        <f>'2010'!$P$8</f>
        <v>1</v>
      </c>
      <c r="M16" s="219">
        <f>'2011'!$P$8</f>
        <v>1</v>
      </c>
      <c r="N16" s="219">
        <f>'2012'!$P$8</f>
        <v>1</v>
      </c>
      <c r="O16" s="219">
        <f>'2013'!$P$8</f>
        <v>3</v>
      </c>
      <c r="P16" s="219">
        <f>'2014'!$P$8</f>
        <v>7</v>
      </c>
      <c r="Q16" s="219">
        <f>'2015'!$P$8</f>
        <v>1</v>
      </c>
      <c r="R16" s="219">
        <f>'2016'!$P$8</f>
        <v>10</v>
      </c>
      <c r="S16" s="219">
        <f>'2017'!$P$8</f>
        <v>9</v>
      </c>
      <c r="T16" s="219">
        <f>'2018'!$P$8</f>
        <v>4</v>
      </c>
      <c r="U16" s="219">
        <f>'2019'!$P$8</f>
        <v>19</v>
      </c>
      <c r="V16" s="219">
        <f>'2020'!$P$8</f>
        <v>9</v>
      </c>
      <c r="W16" s="219">
        <f>'2021'!$P$8</f>
        <v>12</v>
      </c>
      <c r="X16" s="219">
        <f>'2022'!$P$8</f>
        <v>35</v>
      </c>
      <c r="Y16" s="220">
        <f>'2023 PF'!$P$4</f>
        <v>5</v>
      </c>
      <c r="Z16" s="196"/>
      <c r="AA16" s="196"/>
    </row>
    <row r="17">
      <c r="A17" s="211" t="s">
        <v>797</v>
      </c>
      <c r="B17" s="215">
        <f>'2000'!$P$9</f>
        <v>0</v>
      </c>
      <c r="C17" s="216">
        <f>'2001'!$P$9</f>
        <v>0</v>
      </c>
      <c r="D17" s="216">
        <f>'2002'!$P$9</f>
        <v>0</v>
      </c>
      <c r="E17" s="216">
        <f>'2003'!$P$9</f>
        <v>0</v>
      </c>
      <c r="F17" s="216">
        <f>'2004'!$P$9</f>
        <v>0</v>
      </c>
      <c r="G17" s="216">
        <f>'2005'!$P$9</f>
        <v>0</v>
      </c>
      <c r="H17" s="216">
        <f>'2006'!$P$9</f>
        <v>0</v>
      </c>
      <c r="I17" s="216">
        <f>'2007'!$P$9</f>
        <v>79</v>
      </c>
      <c r="J17" s="216">
        <f>'2008'!$P$9</f>
        <v>72</v>
      </c>
      <c r="K17" s="216">
        <f>'2009'!$P$9</f>
        <v>62</v>
      </c>
      <c r="L17" s="216">
        <f>'2010'!$P$9</f>
        <v>34</v>
      </c>
      <c r="M17" s="216">
        <f>'2011'!$P$9</f>
        <v>36</v>
      </c>
      <c r="N17" s="216">
        <f>'2012'!$P$9</f>
        <v>75</v>
      </c>
      <c r="O17" s="216">
        <f>'2013'!$P$9</f>
        <v>30</v>
      </c>
      <c r="P17" s="216">
        <f>'2014'!$P$9</f>
        <v>33</v>
      </c>
      <c r="Q17" s="216">
        <f>'2015'!$P$9</f>
        <v>47</v>
      </c>
      <c r="R17" s="216">
        <f>'2016'!$P$9</f>
        <v>46</v>
      </c>
      <c r="S17" s="216">
        <f>'2017'!$P$9</f>
        <v>131</v>
      </c>
      <c r="T17" s="216">
        <f>'2018'!$P$9</f>
        <v>148</v>
      </c>
      <c r="U17" s="216">
        <f>'2019'!$P$9</f>
        <v>104</v>
      </c>
      <c r="V17" s="216">
        <f>'2020'!$P$9</f>
        <v>147</v>
      </c>
      <c r="W17" s="216">
        <f>'2021'!$P$9</f>
        <v>207</v>
      </c>
      <c r="X17" s="216">
        <f>'2022'!$P$9</f>
        <v>168</v>
      </c>
      <c r="Y17" s="217">
        <f>'2023 PF'!$P$5</f>
        <v>38</v>
      </c>
      <c r="Z17" s="196"/>
      <c r="AA17" s="196"/>
    </row>
    <row r="18">
      <c r="A18" s="211" t="s">
        <v>798</v>
      </c>
      <c r="B18" s="218">
        <f>'2000'!$P$10</f>
        <v>2</v>
      </c>
      <c r="C18" s="219">
        <f>'2001'!$P$10</f>
        <v>11</v>
      </c>
      <c r="D18" s="219">
        <f>'2002'!$P$10</f>
        <v>6</v>
      </c>
      <c r="E18" s="219">
        <f>'2003'!$P$10</f>
        <v>5</v>
      </c>
      <c r="F18" s="219">
        <f>'2004'!$P$10</f>
        <v>6</v>
      </c>
      <c r="G18" s="219">
        <f>'2005'!$P$10</f>
        <v>10</v>
      </c>
      <c r="H18" s="219">
        <f>'2006'!$P$10</f>
        <v>7</v>
      </c>
      <c r="I18" s="219">
        <f>'2007'!$P$10</f>
        <v>7</v>
      </c>
      <c r="J18" s="219">
        <f>'2008'!$P$10</f>
        <v>3</v>
      </c>
      <c r="K18" s="219">
        <f>'2009'!$P$10</f>
        <v>2</v>
      </c>
      <c r="L18" s="219">
        <f>'2010'!$P$10</f>
        <v>4</v>
      </c>
      <c r="M18" s="219">
        <f>'2011'!$P$10</f>
        <v>13</v>
      </c>
      <c r="N18" s="219">
        <f>'2012'!$P$10</f>
        <v>5</v>
      </c>
      <c r="O18" s="219">
        <f>'2013'!$P$10</f>
        <v>6</v>
      </c>
      <c r="P18" s="219">
        <f>'2014'!$P$10</f>
        <v>1</v>
      </c>
      <c r="Q18" s="219">
        <f>'2015'!$P$10</f>
        <v>7</v>
      </c>
      <c r="R18" s="219">
        <f>'2016'!$P$10</f>
        <v>15</v>
      </c>
      <c r="S18" s="219">
        <f>'2017'!$P$10</f>
        <v>21</v>
      </c>
      <c r="T18" s="219">
        <f>'2018'!$P$10</f>
        <v>35</v>
      </c>
      <c r="U18" s="219">
        <f>'2019'!$P$10</f>
        <v>31</v>
      </c>
      <c r="V18" s="219">
        <f>'2020'!$P$10</f>
        <v>57</v>
      </c>
      <c r="W18" s="219">
        <f>'2021'!$P$10</f>
        <v>41</v>
      </c>
      <c r="X18" s="219">
        <f>'2022'!$P$10</f>
        <v>57</v>
      </c>
      <c r="Y18" s="220">
        <f>'2023 PF'!$P$6</f>
        <v>6</v>
      </c>
      <c r="Z18" s="196"/>
      <c r="AA18" s="196"/>
    </row>
    <row r="19">
      <c r="A19" s="234" t="s">
        <v>799</v>
      </c>
      <c r="B19" s="222">
        <f>'2000'!$P$11</f>
        <v>0</v>
      </c>
      <c r="C19" s="223">
        <f>'2001'!$P$11</f>
        <v>0</v>
      </c>
      <c r="D19" s="223">
        <f>'2002'!$P$11</f>
        <v>0</v>
      </c>
      <c r="E19" s="223">
        <f>'2003'!$P$11</f>
        <v>0</v>
      </c>
      <c r="F19" s="223">
        <f>'2004'!$P$11</f>
        <v>0</v>
      </c>
      <c r="G19" s="223">
        <f>'2005'!$P$11</f>
        <v>0</v>
      </c>
      <c r="H19" s="223">
        <f>'2006'!$P$11</f>
        <v>0</v>
      </c>
      <c r="I19" s="223">
        <f>'2007'!$P$11</f>
        <v>0</v>
      </c>
      <c r="J19" s="223">
        <f>'2008'!$P$11</f>
        <v>0</v>
      </c>
      <c r="K19" s="223">
        <f>'2009'!$P$11</f>
        <v>0</v>
      </c>
      <c r="L19" s="223">
        <f>'2010'!$P$11</f>
        <v>0</v>
      </c>
      <c r="M19" s="223">
        <f>'2011'!$P$11</f>
        <v>3</v>
      </c>
      <c r="N19" s="223">
        <f>'2012'!$P$11</f>
        <v>12</v>
      </c>
      <c r="O19" s="223">
        <f>'2013'!$P$11</f>
        <v>5</v>
      </c>
      <c r="P19" s="223">
        <f>'2014'!$P$11</f>
        <v>7</v>
      </c>
      <c r="Q19" s="223">
        <f>'2015'!$P$11</f>
        <v>24</v>
      </c>
      <c r="R19" s="223">
        <f>'2016'!$P$11</f>
        <v>24</v>
      </c>
      <c r="S19" s="223">
        <f>'2017'!$P$11</f>
        <v>21</v>
      </c>
      <c r="T19" s="223">
        <f>'2018'!$P$11</f>
        <v>17</v>
      </c>
      <c r="U19" s="223">
        <f>'2019'!$P$11</f>
        <v>12</v>
      </c>
      <c r="V19" s="223">
        <f>'2020'!$P$11</f>
        <v>38</v>
      </c>
      <c r="W19" s="223">
        <f>'2021'!$P$11</f>
        <v>51</v>
      </c>
      <c r="X19" s="223">
        <f>'2022'!$P$11</f>
        <v>79</v>
      </c>
      <c r="Y19" s="224">
        <f>'2023 PF'!$P$7</f>
        <v>9</v>
      </c>
      <c r="Z19" s="196"/>
      <c r="AA19" s="196"/>
    </row>
    <row r="20">
      <c r="A20" s="225" t="s">
        <v>800</v>
      </c>
      <c r="B20" s="235">
        <f t="shared" ref="B20:Y20" si="2">SUM(B18:B19)</f>
        <v>2</v>
      </c>
      <c r="C20" s="236">
        <f t="shared" si="2"/>
        <v>11</v>
      </c>
      <c r="D20" s="236">
        <f t="shared" si="2"/>
        <v>6</v>
      </c>
      <c r="E20" s="236">
        <f t="shared" si="2"/>
        <v>5</v>
      </c>
      <c r="F20" s="236">
        <f t="shared" si="2"/>
        <v>6</v>
      </c>
      <c r="G20" s="236">
        <f t="shared" si="2"/>
        <v>10</v>
      </c>
      <c r="H20" s="236">
        <f t="shared" si="2"/>
        <v>7</v>
      </c>
      <c r="I20" s="236">
        <f t="shared" si="2"/>
        <v>7</v>
      </c>
      <c r="J20" s="236">
        <f t="shared" si="2"/>
        <v>3</v>
      </c>
      <c r="K20" s="236">
        <f t="shared" si="2"/>
        <v>2</v>
      </c>
      <c r="L20" s="236">
        <f t="shared" si="2"/>
        <v>4</v>
      </c>
      <c r="M20" s="236">
        <f t="shared" si="2"/>
        <v>16</v>
      </c>
      <c r="N20" s="236">
        <f t="shared" si="2"/>
        <v>17</v>
      </c>
      <c r="O20" s="236">
        <f t="shared" si="2"/>
        <v>11</v>
      </c>
      <c r="P20" s="236">
        <f t="shared" si="2"/>
        <v>8</v>
      </c>
      <c r="Q20" s="236">
        <f t="shared" si="2"/>
        <v>31</v>
      </c>
      <c r="R20" s="236">
        <f t="shared" si="2"/>
        <v>39</v>
      </c>
      <c r="S20" s="236">
        <f t="shared" si="2"/>
        <v>42</v>
      </c>
      <c r="T20" s="236">
        <f t="shared" si="2"/>
        <v>52</v>
      </c>
      <c r="U20" s="236">
        <f t="shared" si="2"/>
        <v>43</v>
      </c>
      <c r="V20" s="236">
        <f t="shared" si="2"/>
        <v>95</v>
      </c>
      <c r="W20" s="236">
        <f t="shared" si="2"/>
        <v>92</v>
      </c>
      <c r="X20" s="236">
        <f t="shared" si="2"/>
        <v>136</v>
      </c>
      <c r="Y20" s="237">
        <f t="shared" si="2"/>
        <v>15</v>
      </c>
      <c r="Z20" s="238"/>
      <c r="AA20" s="196"/>
    </row>
    <row r="21">
      <c r="A21" s="239" t="s">
        <v>801</v>
      </c>
      <c r="B21" s="240">
        <f t="shared" ref="B21:Y21" si="3">SUM(B15:B17)</f>
        <v>51</v>
      </c>
      <c r="C21" s="241">
        <f t="shared" si="3"/>
        <v>68</v>
      </c>
      <c r="D21" s="241">
        <f t="shared" si="3"/>
        <v>29</v>
      </c>
      <c r="E21" s="241">
        <f t="shared" si="3"/>
        <v>43</v>
      </c>
      <c r="F21" s="241">
        <f t="shared" si="3"/>
        <v>52</v>
      </c>
      <c r="G21" s="241">
        <f t="shared" si="3"/>
        <v>50</v>
      </c>
      <c r="H21" s="241">
        <f t="shared" si="3"/>
        <v>63</v>
      </c>
      <c r="I21" s="241">
        <f t="shared" si="3"/>
        <v>141</v>
      </c>
      <c r="J21" s="241">
        <f t="shared" si="3"/>
        <v>134</v>
      </c>
      <c r="K21" s="241">
        <f t="shared" si="3"/>
        <v>99</v>
      </c>
      <c r="L21" s="241">
        <f t="shared" si="3"/>
        <v>61</v>
      </c>
      <c r="M21" s="241">
        <f t="shared" si="3"/>
        <v>69</v>
      </c>
      <c r="N21" s="241">
        <f t="shared" si="3"/>
        <v>86</v>
      </c>
      <c r="O21" s="241">
        <f t="shared" si="3"/>
        <v>51</v>
      </c>
      <c r="P21" s="241">
        <f t="shared" si="3"/>
        <v>56</v>
      </c>
      <c r="Q21" s="241">
        <f t="shared" si="3"/>
        <v>60</v>
      </c>
      <c r="R21" s="241">
        <f t="shared" si="3"/>
        <v>75</v>
      </c>
      <c r="S21" s="241">
        <f t="shared" si="3"/>
        <v>176</v>
      </c>
      <c r="T21" s="241">
        <f t="shared" si="3"/>
        <v>200</v>
      </c>
      <c r="U21" s="241">
        <f t="shared" si="3"/>
        <v>159</v>
      </c>
      <c r="V21" s="241">
        <f t="shared" si="3"/>
        <v>226</v>
      </c>
      <c r="W21" s="241">
        <f t="shared" si="3"/>
        <v>279</v>
      </c>
      <c r="X21" s="241">
        <f t="shared" si="3"/>
        <v>237</v>
      </c>
      <c r="Y21" s="242">
        <f t="shared" si="3"/>
        <v>51</v>
      </c>
      <c r="Z21" s="196"/>
      <c r="AA21" s="196"/>
    </row>
    <row r="22">
      <c r="A22" s="225" t="s">
        <v>802</v>
      </c>
      <c r="B22" s="243">
        <f t="shared" ref="B22:Y22" si="4">B20+B21</f>
        <v>53</v>
      </c>
      <c r="C22" s="244">
        <f t="shared" si="4"/>
        <v>79</v>
      </c>
      <c r="D22" s="244">
        <f t="shared" si="4"/>
        <v>35</v>
      </c>
      <c r="E22" s="244">
        <f t="shared" si="4"/>
        <v>48</v>
      </c>
      <c r="F22" s="244">
        <f t="shared" si="4"/>
        <v>58</v>
      </c>
      <c r="G22" s="244">
        <f t="shared" si="4"/>
        <v>60</v>
      </c>
      <c r="H22" s="244">
        <f t="shared" si="4"/>
        <v>70</v>
      </c>
      <c r="I22" s="244">
        <f t="shared" si="4"/>
        <v>148</v>
      </c>
      <c r="J22" s="244">
        <f t="shared" si="4"/>
        <v>137</v>
      </c>
      <c r="K22" s="244">
        <f t="shared" si="4"/>
        <v>101</v>
      </c>
      <c r="L22" s="244">
        <f t="shared" si="4"/>
        <v>65</v>
      </c>
      <c r="M22" s="244">
        <f t="shared" si="4"/>
        <v>85</v>
      </c>
      <c r="N22" s="244">
        <f t="shared" si="4"/>
        <v>103</v>
      </c>
      <c r="O22" s="244">
        <f t="shared" si="4"/>
        <v>62</v>
      </c>
      <c r="P22" s="244">
        <f t="shared" si="4"/>
        <v>64</v>
      </c>
      <c r="Q22" s="244">
        <f t="shared" si="4"/>
        <v>91</v>
      </c>
      <c r="R22" s="244">
        <f t="shared" si="4"/>
        <v>114</v>
      </c>
      <c r="S22" s="244">
        <f t="shared" si="4"/>
        <v>218</v>
      </c>
      <c r="T22" s="244">
        <f t="shared" si="4"/>
        <v>252</v>
      </c>
      <c r="U22" s="244">
        <f t="shared" si="4"/>
        <v>202</v>
      </c>
      <c r="V22" s="244">
        <f t="shared" si="4"/>
        <v>321</v>
      </c>
      <c r="W22" s="244">
        <f t="shared" si="4"/>
        <v>371</v>
      </c>
      <c r="X22" s="244">
        <f t="shared" si="4"/>
        <v>373</v>
      </c>
      <c r="Y22" s="245">
        <f t="shared" si="4"/>
        <v>66</v>
      </c>
      <c r="Z22" s="196"/>
      <c r="AA22" s="196"/>
    </row>
    <row r="23">
      <c r="A23" s="225" t="s">
        <v>803</v>
      </c>
      <c r="B23" s="246">
        <f t="shared" ref="B23:Y23" si="5">SUM(B14+B22)</f>
        <v>82</v>
      </c>
      <c r="C23" s="247">
        <f t="shared" si="5"/>
        <v>115</v>
      </c>
      <c r="D23" s="247">
        <f t="shared" si="5"/>
        <v>53</v>
      </c>
      <c r="E23" s="247">
        <f t="shared" si="5"/>
        <v>77</v>
      </c>
      <c r="F23" s="247">
        <f t="shared" si="5"/>
        <v>84</v>
      </c>
      <c r="G23" s="247">
        <f t="shared" si="5"/>
        <v>89</v>
      </c>
      <c r="H23" s="247">
        <f t="shared" si="5"/>
        <v>109</v>
      </c>
      <c r="I23" s="247">
        <f t="shared" si="5"/>
        <v>202</v>
      </c>
      <c r="J23" s="247">
        <f t="shared" si="5"/>
        <v>191</v>
      </c>
      <c r="K23" s="247">
        <f t="shared" si="5"/>
        <v>137</v>
      </c>
      <c r="L23" s="247">
        <f t="shared" si="5"/>
        <v>104</v>
      </c>
      <c r="M23" s="247">
        <f t="shared" si="5"/>
        <v>146</v>
      </c>
      <c r="N23" s="247">
        <f t="shared" si="5"/>
        <v>168</v>
      </c>
      <c r="O23" s="247">
        <f t="shared" si="5"/>
        <v>110</v>
      </c>
      <c r="P23" s="247">
        <f t="shared" si="5"/>
        <v>148</v>
      </c>
      <c r="Q23" s="247">
        <f t="shared" si="5"/>
        <v>139</v>
      </c>
      <c r="R23" s="247">
        <f t="shared" si="5"/>
        <v>277</v>
      </c>
      <c r="S23" s="247">
        <f t="shared" si="5"/>
        <v>404</v>
      </c>
      <c r="T23" s="247">
        <f t="shared" si="5"/>
        <v>449</v>
      </c>
      <c r="U23" s="247">
        <f t="shared" si="5"/>
        <v>475</v>
      </c>
      <c r="V23" s="247">
        <f t="shared" si="5"/>
        <v>493</v>
      </c>
      <c r="W23" s="247">
        <f t="shared" si="5"/>
        <v>562</v>
      </c>
      <c r="X23" s="247">
        <f t="shared" si="5"/>
        <v>652</v>
      </c>
      <c r="Y23" s="248">
        <f t="shared" si="5"/>
        <v>102</v>
      </c>
      <c r="Z23" s="196"/>
      <c r="AA23" s="196"/>
    </row>
    <row r="24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196"/>
      <c r="AA24" s="196"/>
    </row>
    <row r="25">
      <c r="A25" s="250" t="s">
        <v>804</v>
      </c>
      <c r="B25" s="251" t="s">
        <v>805</v>
      </c>
      <c r="C25" s="40"/>
      <c r="D25" s="40"/>
      <c r="E25" s="41"/>
      <c r="F25" s="252" t="s">
        <v>806</v>
      </c>
      <c r="G25" s="40"/>
      <c r="H25" s="40"/>
      <c r="I25" s="41"/>
      <c r="J25" s="252" t="s">
        <v>807</v>
      </c>
      <c r="K25" s="40"/>
      <c r="L25" s="40"/>
      <c r="M25" s="40"/>
      <c r="N25" s="40"/>
      <c r="O25" s="40"/>
      <c r="P25" s="41"/>
      <c r="Q25" s="252" t="s">
        <v>808</v>
      </c>
      <c r="R25" s="40"/>
      <c r="S25" s="40"/>
      <c r="T25" s="40"/>
      <c r="U25" s="40"/>
      <c r="V25" s="40"/>
      <c r="W25" s="40"/>
      <c r="X25" s="40"/>
      <c r="Y25" s="41"/>
      <c r="Z25" s="196"/>
      <c r="AA25" s="196"/>
    </row>
    <row r="26">
      <c r="A26" s="253"/>
      <c r="B26" s="252" t="s">
        <v>809</v>
      </c>
      <c r="C26" s="40"/>
      <c r="D26" s="40"/>
      <c r="E26" s="40"/>
      <c r="F26" s="40"/>
      <c r="G26" s="40"/>
      <c r="H26" s="40"/>
      <c r="I26" s="41"/>
      <c r="J26" s="252" t="s">
        <v>810</v>
      </c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1"/>
      <c r="Z26" s="196"/>
      <c r="AA26" s="196"/>
    </row>
    <row r="27">
      <c r="A27" s="193"/>
      <c r="B27" s="252" t="s">
        <v>811</v>
      </c>
      <c r="C27" s="40"/>
      <c r="D27" s="40"/>
      <c r="E27" s="40"/>
      <c r="F27" s="41"/>
      <c r="G27" s="254" t="s">
        <v>46</v>
      </c>
      <c r="H27" s="40"/>
      <c r="I27" s="41"/>
      <c r="J27" s="255" t="s">
        <v>812</v>
      </c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1"/>
      <c r="Z27" s="196"/>
      <c r="AA27" s="196"/>
    </row>
    <row r="28" ht="12.75" customHeight="1">
      <c r="A28" s="256"/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7"/>
      <c r="Z28" s="196"/>
      <c r="AA28" s="196"/>
    </row>
    <row r="29" ht="15.0" customHeight="1">
      <c r="A29" s="258" t="s">
        <v>813</v>
      </c>
      <c r="B29" s="259" t="s">
        <v>814</v>
      </c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1"/>
      <c r="Z29" s="196"/>
      <c r="AA29" s="196"/>
    </row>
    <row r="30" ht="15.0" customHeight="1">
      <c r="B30" s="262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4"/>
      <c r="Z30" s="196"/>
      <c r="AA30" s="196"/>
    </row>
    <row r="31" ht="15.0" customHeight="1">
      <c r="B31" s="265" t="s">
        <v>815</v>
      </c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1"/>
      <c r="Z31" s="196"/>
      <c r="AA31" s="196"/>
    </row>
    <row r="32" ht="15.0" customHeight="1">
      <c r="B32" s="262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4"/>
      <c r="Z32" s="196"/>
      <c r="AA32" s="196"/>
    </row>
    <row r="33" ht="15.0" customHeight="1">
      <c r="B33" s="265" t="s">
        <v>816</v>
      </c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1"/>
      <c r="Z33" s="196"/>
      <c r="AA33" s="196"/>
    </row>
    <row r="34" ht="15.0" customHeight="1">
      <c r="A34" s="266"/>
      <c r="B34" s="262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4"/>
      <c r="Z34" s="196"/>
      <c r="AA34" s="196"/>
    </row>
    <row r="35" ht="12.75" customHeight="1">
      <c r="A35" s="267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57"/>
      <c r="Z35" s="196"/>
      <c r="AA35" s="196"/>
    </row>
    <row r="36" ht="15.0" customHeight="1">
      <c r="A36" s="269" t="s">
        <v>817</v>
      </c>
      <c r="B36" s="265" t="s">
        <v>818</v>
      </c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1"/>
      <c r="Z36" s="196"/>
      <c r="AA36" s="196"/>
    </row>
    <row r="37" ht="15.0" customHeight="1">
      <c r="A37" s="270"/>
      <c r="B37" s="262"/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4"/>
      <c r="Z37" s="196"/>
      <c r="AA37" s="196"/>
    </row>
    <row r="38" ht="15.0" customHeight="1">
      <c r="A38" s="270"/>
      <c r="B38" s="265" t="s">
        <v>819</v>
      </c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1"/>
      <c r="Z38" s="196"/>
      <c r="AA38" s="196"/>
    </row>
    <row r="39" ht="15.0" customHeight="1">
      <c r="A39" s="271"/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4"/>
      <c r="Z39" s="196"/>
      <c r="AA39" s="196"/>
    </row>
    <row r="40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ht="12.75" hidden="1" customHeight="1">
      <c r="A41" s="196"/>
      <c r="B41" s="196"/>
      <c r="C41" s="196"/>
      <c r="D41" s="196"/>
      <c r="E41" s="196"/>
      <c r="F41" s="196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ht="12.75" hidden="1" customHeight="1">
      <c r="A42" s="196"/>
      <c r="B42" s="196"/>
      <c r="C42" s="196"/>
      <c r="D42" s="196"/>
      <c r="E42" s="196"/>
      <c r="F42" s="196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ht="12.75" hidden="1" customHeight="1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272"/>
      <c r="M43" s="272"/>
      <c r="N43" s="272"/>
      <c r="O43" s="272"/>
      <c r="P43" s="272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ht="12.75" hidden="1" customHeight="1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ht="12.75" hidden="1" customHeight="1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ht="12.75" hidden="1" customHeight="1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ht="12.75" hidden="1" customHeight="1">
      <c r="A47" s="196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ht="12.75" hidden="1" customHeight="1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ht="12.75" hidden="1" customHeight="1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  <row r="50" ht="12.75" hidden="1" customHeight="1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</row>
    <row r="51" ht="12.75" hidden="1" customHeight="1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</row>
    <row r="52" ht="12.75" hidden="1" customHeight="1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</row>
    <row r="53" ht="12.75" hidden="1" customHeight="1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</row>
    <row r="54" ht="12.75" hidden="1" customHeight="1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</row>
    <row r="55" ht="12.75" hidden="1" customHeight="1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</row>
    <row r="56" ht="12.75" hidden="1" customHeight="1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</row>
    <row r="57" ht="12.75" hidden="1" customHeight="1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</row>
    <row r="58" ht="12.75" hidden="1" customHeight="1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</row>
    <row r="59" ht="12.75" hidden="1" customHeight="1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</row>
    <row r="60" ht="12.75" hidden="1" customHeight="1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</row>
    <row r="61" ht="12.75" hidden="1" customHeight="1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</row>
    <row r="62" ht="12.75" hidden="1" customHeight="1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</row>
    <row r="63" ht="12.75" hidden="1" customHeight="1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</row>
    <row r="64" ht="12.75" hidden="1" customHeight="1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</row>
    <row r="65" ht="12.75" hidden="1" customHeight="1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</row>
    <row r="66" ht="12.75" hidden="1" customHeight="1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ht="12.75" hidden="1" customHeight="1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</row>
    <row r="68" ht="12.75" hidden="1" customHeight="1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</row>
    <row r="69" ht="12.75" hidden="1" customHeight="1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</row>
    <row r="70" ht="12.75" hidden="1" customHeight="1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</row>
    <row r="71" ht="12.75" hidden="1" customHeight="1">
      <c r="A71" s="196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</row>
    <row r="72" ht="12.75" hidden="1" customHeight="1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</row>
    <row r="73" ht="12.75" hidden="1" customHeight="1">
      <c r="A73" s="196"/>
      <c r="B73" s="196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</row>
    <row r="74" ht="12.75" hidden="1" customHeight="1">
      <c r="A74" s="196"/>
      <c r="B74" s="196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</row>
    <row r="75" ht="12.75" hidden="1" customHeight="1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</row>
    <row r="76" ht="12.75" hidden="1" customHeight="1">
      <c r="A76" s="196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</row>
    <row r="77" ht="12.75" hidden="1" customHeight="1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</row>
    <row r="78" ht="12.75" hidden="1" customHeight="1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</row>
    <row r="79" ht="12.75" hidden="1" customHeight="1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</row>
    <row r="80" ht="12.75" hidden="1" customHeight="1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</row>
    <row r="81" ht="12.75" hidden="1" customHeight="1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</row>
    <row r="82" ht="12.75" hidden="1" customHeight="1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</row>
    <row r="83" ht="12.75" hidden="1" customHeight="1">
      <c r="A83" s="196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</row>
    <row r="84" ht="12.75" hidden="1" customHeight="1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</row>
    <row r="85" ht="12.75" hidden="1" customHeight="1">
      <c r="A85" s="196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</row>
    <row r="86" ht="12.75" hidden="1" customHeight="1">
      <c r="A86" s="196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</row>
    <row r="87" ht="12.75" hidden="1" customHeight="1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</row>
    <row r="88" ht="12.75" hidden="1" customHeight="1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</row>
    <row r="89" ht="12.75" hidden="1" customHeight="1">
      <c r="A89" s="196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</row>
    <row r="90" ht="12.75" hidden="1" customHeight="1">
      <c r="A90" s="196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</row>
    <row r="91" ht="12.75" hidden="1" customHeight="1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</row>
    <row r="92" ht="12.75" hidden="1" customHeight="1">
      <c r="A92" s="196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</row>
    <row r="93" ht="12.75" hidden="1" customHeight="1">
      <c r="A93" s="196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</row>
    <row r="94" ht="12.75" hidden="1" customHeight="1">
      <c r="A94" s="196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</row>
    <row r="95" ht="12.75" hidden="1" customHeight="1">
      <c r="A95" s="196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</row>
    <row r="96" ht="12.75" hidden="1" customHeight="1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</row>
    <row r="97" ht="12.75" hidden="1" customHeight="1">
      <c r="A97" s="196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</row>
    <row r="98" ht="12.75" hidden="1" customHeight="1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</row>
    <row r="99" ht="12.75" hidden="1" customHeight="1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</row>
    <row r="100" ht="12.75" hidden="1" customHeight="1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</row>
    <row r="101" ht="12.75" hidden="1" customHeight="1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</row>
    <row r="102" ht="12.75" hidden="1" customHeight="1">
      <c r="A102" s="196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</row>
    <row r="103" ht="12.75" hidden="1" customHeight="1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</row>
    <row r="104" ht="12.75" hidden="1" customHeight="1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</row>
    <row r="105" ht="12.75" hidden="1" customHeight="1">
      <c r="A105" s="196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</row>
    <row r="106" ht="12.75" hidden="1" customHeight="1">
      <c r="A106" s="196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</row>
    <row r="107" ht="12.75" hidden="1" customHeight="1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</row>
    <row r="108" ht="12.75" hidden="1" customHeight="1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</row>
    <row r="109" ht="12.75" hidden="1" customHeight="1">
      <c r="A109" s="196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</row>
    <row r="110" ht="12.75" hidden="1" customHeight="1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</row>
    <row r="111" ht="12.75" hidden="1" customHeight="1">
      <c r="A111" s="196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</row>
    <row r="112" ht="12.75" hidden="1" customHeight="1">
      <c r="A112" s="196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</row>
    <row r="113" ht="12.75" hidden="1" customHeight="1">
      <c r="A113" s="196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</row>
    <row r="114" ht="12.75" hidden="1" customHeight="1">
      <c r="A114" s="196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</row>
    <row r="115" ht="12.75" hidden="1" customHeight="1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</row>
    <row r="116" ht="12.75" hidden="1" customHeight="1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</row>
    <row r="117" ht="12.75" hidden="1" customHeight="1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</row>
    <row r="118" ht="12.75" hidden="1" customHeight="1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</row>
    <row r="119" ht="12.75" hidden="1" customHeight="1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</row>
    <row r="120" ht="12.75" hidden="1" customHeight="1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</row>
    <row r="121" ht="12.75" hidden="1" customHeight="1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</row>
    <row r="122" ht="12.75" hidden="1" customHeight="1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</row>
    <row r="123" ht="12.75" hidden="1" customHeight="1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</row>
    <row r="124" ht="12.75" hidden="1" customHeight="1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</row>
    <row r="125" ht="12.75" hidden="1" customHeight="1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</row>
    <row r="126" ht="12.75" hidden="1" customHeight="1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</row>
    <row r="127" ht="12.75" hidden="1" customHeight="1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</row>
    <row r="128" ht="12.75" hidden="1" customHeight="1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</row>
    <row r="129" ht="12.75" hidden="1" customHeight="1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</row>
    <row r="130" ht="12.75" hidden="1" customHeight="1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</row>
    <row r="131" ht="12.75" hidden="1" customHeight="1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</row>
    <row r="132" ht="12.75" hidden="1" customHeight="1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</row>
    <row r="133" ht="12.75" hidden="1" customHeight="1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</row>
    <row r="134" ht="12.75" hidden="1" customHeight="1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</row>
    <row r="135" ht="12.75" hidden="1" customHeight="1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</row>
    <row r="136" ht="12.75" hidden="1" customHeight="1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</row>
    <row r="137" ht="12.75" hidden="1" customHeight="1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</row>
    <row r="138" ht="12.75" hidden="1" customHeight="1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</row>
    <row r="139" ht="12.75" hidden="1" customHeight="1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</row>
    <row r="140" ht="12.75" hidden="1" customHeight="1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</row>
    <row r="141" ht="12.75" hidden="1" customHeight="1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</row>
    <row r="142" ht="12.75" hidden="1" customHeight="1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</row>
    <row r="143" ht="12.75" hidden="1" customHeight="1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</row>
    <row r="144" ht="12.75" hidden="1" customHeight="1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</row>
    <row r="145" ht="12.75" hidden="1" customHeight="1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</row>
    <row r="146" ht="12.75" hidden="1" customHeight="1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</row>
    <row r="147" ht="12.75" hidden="1" customHeight="1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</row>
    <row r="148" ht="12.75" hidden="1" customHeight="1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</row>
    <row r="149" ht="12.75" hidden="1" customHeight="1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</row>
    <row r="150" ht="12.75" hidden="1" customHeight="1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</row>
    <row r="151" ht="12.75" hidden="1" customHeight="1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</row>
    <row r="152" ht="12.75" hidden="1" customHeight="1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</row>
    <row r="153" ht="12.75" hidden="1" customHeight="1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</row>
    <row r="154" ht="12.75" hidden="1" customHeight="1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</row>
    <row r="155" ht="12.75" hidden="1" customHeight="1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</row>
    <row r="156" ht="12.75" hidden="1" customHeight="1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</row>
    <row r="157" ht="12.75" hidden="1" customHeight="1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</row>
    <row r="158" ht="12.75" hidden="1" customHeight="1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</row>
    <row r="159" ht="12.75" hidden="1" customHeight="1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</row>
    <row r="160" ht="12.75" hidden="1" customHeight="1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</row>
    <row r="161" ht="12.75" hidden="1" customHeight="1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</row>
    <row r="162" ht="12.75" hidden="1" customHeight="1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</row>
    <row r="163" ht="12.75" hidden="1" customHeight="1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</row>
    <row r="164" ht="12.75" hidden="1" customHeight="1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</row>
    <row r="165" ht="12.75" hidden="1" customHeight="1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</row>
    <row r="166" ht="12.75" hidden="1" customHeight="1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</row>
    <row r="167" ht="12.75" hidden="1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</row>
    <row r="168" ht="12.75" hidden="1" customHeight="1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</row>
    <row r="169" ht="12.75" hidden="1" customHeight="1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</row>
    <row r="170" ht="12.75" hidden="1" customHeight="1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</row>
    <row r="171" ht="12.75" hidden="1" customHeight="1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</row>
    <row r="172" ht="12.75" hidden="1" customHeight="1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</row>
    <row r="173" ht="12.75" hidden="1" customHeight="1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</row>
    <row r="174" ht="12.75" hidden="1" customHeight="1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</row>
    <row r="175" ht="12.75" hidden="1" customHeight="1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</row>
    <row r="176" ht="12.75" hidden="1" customHeight="1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</row>
    <row r="177" ht="12.75" hidden="1" customHeight="1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</row>
    <row r="178" ht="12.75" hidden="1" customHeight="1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</row>
    <row r="179" ht="12.75" hidden="1" customHeight="1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</row>
    <row r="180" ht="12.75" hidden="1" customHeight="1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</row>
    <row r="181" ht="12.75" hidden="1" customHeight="1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</row>
    <row r="182" ht="12.75" hidden="1" customHeight="1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</row>
    <row r="183" ht="12.75" hidden="1" customHeight="1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</row>
    <row r="184" ht="12.75" hidden="1" customHeight="1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</row>
    <row r="185" ht="12.75" hidden="1" customHeight="1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</row>
    <row r="186" ht="12.75" hidden="1" customHeight="1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</row>
    <row r="187" ht="12.75" hidden="1" customHeight="1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</row>
    <row r="188" ht="12.75" hidden="1" customHeight="1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</row>
    <row r="189" ht="12.75" hidden="1" customHeight="1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</row>
    <row r="190" ht="12.75" hidden="1" customHeight="1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</row>
    <row r="191" ht="12.75" hidden="1" customHeight="1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</row>
    <row r="192" ht="12.75" hidden="1" customHeight="1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</row>
    <row r="193" ht="12.75" hidden="1" customHeight="1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</row>
    <row r="194" ht="12.75" hidden="1" customHeight="1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</row>
    <row r="195" ht="12.75" hidden="1" customHeight="1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</row>
    <row r="196" ht="12.75" hidden="1" customHeight="1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</row>
    <row r="197" ht="12.75" hidden="1" customHeight="1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</row>
    <row r="198" ht="12.75" hidden="1" customHeight="1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</row>
    <row r="199" ht="12.75" hidden="1" customHeight="1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/>
    </row>
    <row r="200" ht="12.75" hidden="1" customHeight="1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  <c r="AA200" s="196"/>
    </row>
    <row r="201" ht="12.75" hidden="1" customHeight="1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</row>
    <row r="202" ht="12.75" hidden="1" customHeight="1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</row>
    <row r="203" ht="12.75" hidden="1" customHeight="1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</row>
    <row r="204" ht="12.75" hidden="1" customHeight="1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</row>
    <row r="205" ht="12.75" hidden="1" customHeight="1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</row>
    <row r="206" ht="12.75" hidden="1" customHeight="1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</row>
    <row r="207" ht="12.75" hidden="1" customHeight="1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</row>
    <row r="208" ht="12.75" hidden="1" customHeight="1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  <c r="AA208" s="196"/>
    </row>
    <row r="209" ht="12.75" hidden="1" customHeight="1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  <c r="AA209" s="196"/>
    </row>
    <row r="210" ht="12.75" hidden="1" customHeight="1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  <c r="AA210" s="196"/>
    </row>
    <row r="211" ht="12.75" hidden="1" customHeight="1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  <c r="AA211" s="196"/>
    </row>
    <row r="212" ht="12.75" hidden="1" customHeight="1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  <c r="AA212" s="196"/>
    </row>
    <row r="213" ht="12.75" hidden="1" customHeight="1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</row>
    <row r="214" ht="12.75" hidden="1" customHeight="1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  <c r="AA214" s="196"/>
    </row>
    <row r="215" ht="12.75" hidden="1" customHeight="1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  <c r="AA215" s="196"/>
    </row>
    <row r="216" ht="12.75" hidden="1" customHeight="1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</row>
    <row r="217" ht="12.75" hidden="1" customHeight="1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</row>
    <row r="218" ht="12.75" hidden="1" customHeight="1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</row>
    <row r="219" ht="12.75" hidden="1" customHeight="1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</row>
    <row r="220" ht="12.75" hidden="1" customHeight="1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</row>
    <row r="221" ht="12.75" hidden="1" customHeight="1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</row>
    <row r="222" ht="12.75" hidden="1" customHeight="1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</row>
    <row r="223" ht="12.75" hidden="1" customHeight="1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</row>
    <row r="224" ht="12.75" hidden="1" customHeight="1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</row>
    <row r="225" ht="12.75" hidden="1" customHeight="1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</row>
    <row r="226" ht="12.75" hidden="1" customHeight="1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</row>
    <row r="227" ht="12.75" hidden="1" customHeight="1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</row>
    <row r="228" ht="12.75" hidden="1" customHeight="1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</row>
    <row r="229" ht="12.75" hidden="1" customHeight="1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</row>
    <row r="230" ht="12.75" hidden="1" customHeight="1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</row>
    <row r="231" ht="12.75" hidden="1" customHeight="1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</row>
    <row r="232" ht="12.75" hidden="1" customHeight="1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</row>
    <row r="233" ht="12.75" hidden="1" customHeight="1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  <c r="AA233" s="196"/>
    </row>
    <row r="234" ht="12.75" hidden="1" customHeight="1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  <c r="AA234" s="196"/>
    </row>
    <row r="235" ht="12.75" hidden="1" customHeight="1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  <c r="X235" s="196"/>
      <c r="Y235" s="196"/>
      <c r="Z235" s="196"/>
      <c r="AA235" s="196"/>
    </row>
    <row r="236" ht="12.75" hidden="1" customHeight="1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  <c r="AA236" s="196"/>
    </row>
    <row r="237" ht="12.75" hidden="1" customHeight="1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  <c r="AA237" s="196"/>
    </row>
    <row r="238" ht="12.75" hidden="1" customHeight="1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  <c r="X238" s="196"/>
      <c r="Y238" s="196"/>
      <c r="Z238" s="196"/>
      <c r="AA238" s="196"/>
    </row>
    <row r="239" ht="12.75" hidden="1" customHeight="1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  <c r="AA239" s="196"/>
    </row>
    <row r="240" ht="12.75" hidden="1" customHeight="1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  <c r="AA240" s="196"/>
    </row>
    <row r="241" ht="12.75" hidden="1" customHeight="1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  <c r="AA241" s="196"/>
    </row>
    <row r="242" ht="12.75" hidden="1" customHeight="1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  <c r="AA242" s="196"/>
    </row>
    <row r="243" ht="12.75" hidden="1" customHeight="1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  <c r="AA243" s="196"/>
    </row>
    <row r="244" ht="12.75" hidden="1" customHeight="1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96"/>
      <c r="Z244" s="196"/>
      <c r="AA244" s="196"/>
    </row>
    <row r="245" ht="12.75" hidden="1" customHeight="1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  <c r="AA245" s="196"/>
    </row>
    <row r="246" ht="12.75" hidden="1" customHeight="1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  <c r="Y246" s="196"/>
      <c r="Z246" s="196"/>
      <c r="AA246" s="196"/>
    </row>
    <row r="247" ht="12.75" hidden="1" customHeight="1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  <c r="Y247" s="196"/>
      <c r="Z247" s="196"/>
      <c r="AA247" s="196"/>
    </row>
    <row r="248" ht="12.75" hidden="1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  <c r="Y248" s="196"/>
      <c r="Z248" s="196"/>
      <c r="AA248" s="196"/>
    </row>
    <row r="249" ht="12.75" hidden="1" customHeight="1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  <c r="AA249" s="196"/>
    </row>
    <row r="250" ht="12.75" hidden="1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  <c r="AA250" s="196"/>
    </row>
    <row r="251" ht="12.75" hidden="1" customHeight="1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  <c r="AA251" s="196"/>
    </row>
    <row r="252" ht="12.75" hidden="1" customHeight="1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  <c r="AA252" s="196"/>
    </row>
    <row r="253" ht="12.75" hidden="1" customHeight="1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  <c r="AA253" s="196"/>
    </row>
    <row r="254" ht="12.75" hidden="1" customHeight="1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</row>
    <row r="255" ht="12.75" hidden="1" customHeight="1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  <c r="Y255" s="196"/>
      <c r="Z255" s="196"/>
      <c r="AA255" s="196"/>
    </row>
    <row r="256" ht="12.75" hidden="1" customHeight="1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</row>
    <row r="257" ht="12.75" hidden="1" customHeight="1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  <c r="AA257" s="196"/>
    </row>
    <row r="258" ht="12.75" hidden="1" customHeight="1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  <c r="Y258" s="196"/>
      <c r="Z258" s="196"/>
      <c r="AA258" s="196"/>
    </row>
    <row r="259" ht="12.75" hidden="1" customHeight="1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196"/>
      <c r="AA259" s="196"/>
    </row>
    <row r="260" ht="12.75" hidden="1" customHeight="1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  <c r="AA260" s="196"/>
    </row>
    <row r="261" ht="12.75" hidden="1" customHeight="1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  <c r="Z261" s="196"/>
      <c r="AA261" s="196"/>
    </row>
    <row r="262" ht="12.75" hidden="1" customHeight="1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  <c r="AA262" s="196"/>
    </row>
    <row r="263" ht="12.75" hidden="1" customHeight="1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  <c r="AA263" s="196"/>
    </row>
    <row r="264" ht="12.75" hidden="1" customHeight="1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  <c r="AA264" s="196"/>
    </row>
    <row r="265" ht="12.75" hidden="1" customHeight="1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196"/>
    </row>
    <row r="266" ht="12.75" hidden="1" customHeight="1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196"/>
    </row>
    <row r="267" ht="12.75" hidden="1" customHeight="1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</row>
    <row r="268" ht="12.75" hidden="1" customHeight="1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196"/>
    </row>
    <row r="269" ht="12.75" hidden="1" customHeight="1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196"/>
    </row>
    <row r="270" ht="12.75" hidden="1" customHeight="1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  <c r="AA270" s="196"/>
    </row>
    <row r="271" ht="12.75" hidden="1" customHeight="1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  <c r="Y271" s="196"/>
      <c r="Z271" s="196"/>
      <c r="AA271" s="196"/>
    </row>
    <row r="272" ht="12.75" hidden="1" customHeight="1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  <c r="Y272" s="196"/>
      <c r="Z272" s="196"/>
      <c r="AA272" s="196"/>
    </row>
    <row r="273" ht="12.75" hidden="1" customHeight="1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  <c r="Y273" s="196"/>
      <c r="Z273" s="196"/>
      <c r="AA273" s="196"/>
    </row>
    <row r="274" ht="12.75" hidden="1" customHeight="1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  <c r="AA274" s="196"/>
    </row>
    <row r="275" ht="12.75" hidden="1" customHeight="1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  <c r="AA275" s="196"/>
    </row>
    <row r="276" ht="12.75" hidden="1" customHeight="1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  <c r="AA276" s="196"/>
    </row>
    <row r="277" ht="12.75" hidden="1" customHeight="1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  <c r="AA277" s="196"/>
    </row>
    <row r="278" ht="12.75" hidden="1" customHeight="1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  <c r="AA278" s="196"/>
    </row>
    <row r="279" ht="12.75" hidden="1" customHeight="1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</row>
    <row r="280" ht="12.75" hidden="1" customHeight="1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  <c r="AA280" s="196"/>
    </row>
    <row r="281" ht="12.75" hidden="1" customHeight="1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  <c r="AA281" s="196"/>
    </row>
    <row r="282" ht="12.75" hidden="1" customHeight="1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  <c r="AA282" s="196"/>
    </row>
    <row r="283" ht="12.75" hidden="1" customHeight="1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</row>
    <row r="284" ht="12.75" hidden="1" customHeight="1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</row>
    <row r="285" ht="12.75" hidden="1" customHeight="1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</row>
    <row r="286" ht="12.75" hidden="1" customHeight="1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  <c r="AA286" s="196"/>
    </row>
    <row r="287" ht="12.75" hidden="1" customHeight="1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  <c r="AA287" s="196"/>
    </row>
    <row r="288" ht="12.75" hidden="1" customHeight="1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</row>
    <row r="289" ht="12.75" hidden="1" customHeight="1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</row>
    <row r="290" ht="12.75" hidden="1" customHeight="1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</row>
    <row r="291" ht="12.75" hidden="1" customHeight="1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</row>
    <row r="292" ht="12.75" hidden="1" customHeight="1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</row>
    <row r="293" ht="12.75" hidden="1" customHeight="1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</row>
    <row r="294" ht="12.75" hidden="1" customHeight="1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</row>
    <row r="295" ht="12.75" hidden="1" customHeight="1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</row>
    <row r="296" ht="12.75" hidden="1" customHeight="1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  <c r="AA296" s="196"/>
    </row>
    <row r="297" ht="12.75" hidden="1" customHeight="1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</row>
    <row r="298" ht="12.75" hidden="1" customHeight="1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  <c r="AA298" s="196"/>
    </row>
    <row r="299" ht="12.75" hidden="1" customHeight="1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</row>
    <row r="300" ht="12.75" hidden="1" customHeight="1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  <c r="AA300" s="196"/>
    </row>
    <row r="301" ht="12.75" hidden="1" customHeight="1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  <c r="AA301" s="196"/>
    </row>
    <row r="302" ht="12.75" hidden="1" customHeight="1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  <c r="AA302" s="196"/>
    </row>
    <row r="303" ht="12.75" hidden="1" customHeight="1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</row>
    <row r="304" ht="12.75" hidden="1" customHeight="1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  <c r="AA304" s="196"/>
    </row>
    <row r="305" ht="12.75" hidden="1" customHeight="1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  <c r="AA305" s="196"/>
    </row>
    <row r="306" ht="12.75" hidden="1" customHeight="1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</row>
    <row r="307" ht="12.75" hidden="1" customHeight="1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</row>
    <row r="308" ht="12.75" hidden="1" customHeight="1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  <c r="AA308" s="196"/>
    </row>
    <row r="309" ht="12.75" hidden="1" customHeight="1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  <c r="AA309" s="196"/>
    </row>
    <row r="310" ht="12.75" hidden="1" customHeight="1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196"/>
    </row>
    <row r="311" ht="12.75" hidden="1" customHeight="1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</row>
    <row r="312" ht="12.75" hidden="1" customHeight="1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</row>
    <row r="313" ht="12.75" hidden="1" customHeight="1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</row>
    <row r="314" ht="12.75" hidden="1" customHeight="1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</row>
    <row r="315" ht="12.75" hidden="1" customHeight="1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</row>
    <row r="316" ht="12.75" hidden="1" customHeight="1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</row>
    <row r="317" ht="12.75" hidden="1" customHeight="1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  <c r="AA317" s="196"/>
    </row>
    <row r="318" ht="12.75" hidden="1" customHeight="1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  <c r="AA318" s="196"/>
    </row>
    <row r="319" ht="12.75" hidden="1" customHeight="1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</row>
    <row r="320" ht="12.75" hidden="1" customHeight="1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  <c r="AA320" s="196"/>
    </row>
    <row r="321" ht="12.75" hidden="1" customHeight="1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</row>
    <row r="322" ht="12.75" hidden="1" customHeight="1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  <c r="AA322" s="196"/>
    </row>
    <row r="323" ht="12.75" hidden="1" customHeight="1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</row>
    <row r="324" ht="12.75" hidden="1" customHeight="1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  <c r="AA324" s="196"/>
    </row>
    <row r="325" ht="12.75" hidden="1" customHeight="1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  <c r="AA325" s="196"/>
    </row>
    <row r="326" ht="12.75" hidden="1" customHeight="1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</row>
    <row r="327" ht="12.75" hidden="1" customHeight="1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</row>
    <row r="328" ht="12.75" hidden="1" customHeight="1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</row>
    <row r="329" ht="12.75" hidden="1" customHeight="1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  <c r="AA329" s="196"/>
    </row>
    <row r="330" ht="12.75" hidden="1" customHeight="1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  <c r="AA330" s="196"/>
    </row>
    <row r="331" ht="12.75" hidden="1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</row>
    <row r="332" ht="12.75" hidden="1" customHeight="1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</row>
    <row r="333" ht="12.75" hidden="1" customHeight="1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</row>
    <row r="334" ht="12.75" hidden="1" customHeight="1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</row>
    <row r="335" ht="12.75" hidden="1" customHeight="1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  <c r="AA335" s="196"/>
    </row>
    <row r="336" ht="12.75" hidden="1" customHeight="1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</row>
    <row r="337" ht="12.75" hidden="1" customHeight="1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</row>
    <row r="338" ht="12.75" hidden="1" customHeight="1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  <c r="AA338" s="196"/>
    </row>
    <row r="339" ht="12.75" hidden="1" customHeight="1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  <c r="AA339" s="196"/>
    </row>
    <row r="340" ht="12.75" hidden="1" customHeight="1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  <c r="AA340" s="196"/>
    </row>
    <row r="341" ht="12.75" hidden="1" customHeight="1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  <c r="AA341" s="196"/>
    </row>
    <row r="342" ht="12.75" hidden="1" customHeight="1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</row>
    <row r="343" ht="12.75" hidden="1" customHeight="1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  <c r="AA343" s="196"/>
    </row>
    <row r="344" ht="12.75" hidden="1" customHeight="1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</row>
    <row r="345" ht="12.75" hidden="1" customHeight="1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</row>
    <row r="346" ht="12.75" hidden="1" customHeight="1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  <c r="AA346" s="196"/>
    </row>
    <row r="347" ht="12.75" hidden="1" customHeight="1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  <c r="AA347" s="196"/>
    </row>
    <row r="348" ht="12.75" hidden="1" customHeight="1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</row>
    <row r="349" ht="12.75" hidden="1" customHeight="1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  <c r="AA349" s="196"/>
    </row>
    <row r="350" ht="12.75" hidden="1" customHeight="1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  <c r="AA350" s="196"/>
    </row>
    <row r="351" ht="12.75" hidden="1" customHeight="1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</row>
    <row r="352" ht="12.75" hidden="1" customHeight="1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</row>
    <row r="353" ht="12.75" hidden="1" customHeight="1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</row>
    <row r="354" ht="12.75" hidden="1" customHeight="1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  <c r="AA354" s="196"/>
    </row>
    <row r="355" ht="12.75" hidden="1" customHeight="1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</row>
    <row r="356" ht="12.75" hidden="1" customHeight="1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196"/>
    </row>
    <row r="357" ht="12.75" hidden="1" customHeight="1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</row>
    <row r="358" ht="12.75" hidden="1" customHeight="1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196"/>
    </row>
    <row r="359" ht="12.75" hidden="1" customHeight="1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6"/>
    </row>
    <row r="360" ht="12.75" hidden="1" customHeight="1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  <c r="AA360" s="196"/>
    </row>
    <row r="361" ht="12.75" hidden="1" customHeight="1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</row>
    <row r="362" ht="12.75" hidden="1" customHeight="1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  <c r="AA362" s="196"/>
    </row>
    <row r="363" ht="12.75" hidden="1" customHeight="1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  <c r="AA363" s="196"/>
    </row>
    <row r="364" ht="12.75" hidden="1" customHeight="1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</row>
    <row r="365" ht="12.75" hidden="1" customHeight="1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</row>
    <row r="366" ht="12.75" hidden="1" customHeight="1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</row>
    <row r="367" ht="12.75" hidden="1" customHeight="1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</row>
    <row r="368" ht="12.75" hidden="1" customHeight="1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</row>
    <row r="369" ht="12.75" hidden="1" customHeight="1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</row>
    <row r="370" ht="12.75" hidden="1" customHeight="1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</row>
    <row r="371" ht="12.75" hidden="1" customHeight="1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</row>
    <row r="372" ht="12.75" hidden="1" customHeight="1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  <c r="AA372" s="196"/>
    </row>
    <row r="373" ht="12.75" hidden="1" customHeight="1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  <c r="AA373" s="196"/>
    </row>
    <row r="374" ht="12.75" hidden="1" customHeight="1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  <c r="AA374" s="196"/>
    </row>
    <row r="375" ht="12.75" hidden="1" customHeight="1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</row>
    <row r="376" ht="12.75" hidden="1" customHeight="1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</row>
    <row r="377" ht="12.75" hidden="1" customHeight="1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</row>
    <row r="378" ht="12.75" hidden="1" customHeight="1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</row>
    <row r="379" ht="12.75" hidden="1" customHeight="1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</row>
    <row r="380" ht="12.75" hidden="1" customHeight="1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</row>
    <row r="381" ht="12.75" hidden="1" customHeight="1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</row>
    <row r="382" ht="12.75" hidden="1" customHeight="1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  <c r="AA382" s="196"/>
    </row>
    <row r="383" ht="12.75" hidden="1" customHeight="1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  <c r="AA383" s="196"/>
    </row>
    <row r="384" ht="12.75" hidden="1" customHeight="1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</row>
    <row r="385" ht="12.75" hidden="1" customHeight="1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</row>
    <row r="386" ht="12.75" hidden="1" customHeight="1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</row>
    <row r="387" ht="12.75" hidden="1" customHeight="1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</row>
    <row r="388" ht="12.75" hidden="1" customHeight="1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</row>
    <row r="389" ht="12.75" hidden="1" customHeight="1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</row>
    <row r="390" ht="12.75" hidden="1" customHeight="1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</row>
    <row r="391" ht="12.75" hidden="1" customHeight="1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</row>
    <row r="392" ht="12.75" hidden="1" customHeight="1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  <c r="AA392" s="196"/>
    </row>
    <row r="393" ht="12.75" hidden="1" customHeight="1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</row>
    <row r="394" ht="12.75" hidden="1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ht="12.75" hidden="1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ht="12.75" hidden="1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ht="12.75" hidden="1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ht="12.75" hidden="1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ht="12.75" hidden="1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ht="12.75" hidden="1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ht="12.75" hidden="1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ht="12.75" hidden="1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ht="12.75" hidden="1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ht="12.75" hidden="1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ht="12.75" hidden="1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ht="12.75" hidden="1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ht="12.75" hidden="1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ht="12.75" hidden="1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ht="12.75" hidden="1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ht="12.75" hidden="1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ht="12.75" hidden="1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ht="12.75" hidden="1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ht="12.75" hidden="1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ht="12.75" hidden="1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ht="12.75" hidden="1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ht="12.75" hidden="1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ht="12.75" hidden="1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ht="12.75" hidden="1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ht="12.75" hidden="1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ht="12.75" hidden="1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ht="12.75" hidden="1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ht="12.75" hidden="1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ht="12.75" hidden="1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ht="12.75" hidden="1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ht="12.75" hidden="1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ht="12.75" hidden="1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ht="12.75" hidden="1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ht="12.75" hidden="1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ht="12.75" hidden="1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ht="12.75" hidden="1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ht="12.75" hidden="1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ht="12.75" hidden="1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ht="12.75" hidden="1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ht="12.75" hidden="1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ht="12.75" hidden="1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ht="12.75" hidden="1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ht="12.75" hidden="1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ht="12.75" hidden="1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ht="12.75" hidden="1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ht="12.75" hidden="1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ht="12.75" hidden="1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ht="12.75" hidden="1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ht="12.75" hidden="1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ht="12.75" hidden="1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ht="12.75" hidden="1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ht="12.75" hidden="1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ht="12.75" hidden="1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ht="12.75" hidden="1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ht="12.75" hidden="1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ht="12.75" hidden="1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ht="12.75" hidden="1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ht="12.75" hidden="1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ht="12.75" hidden="1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ht="12.75" hidden="1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ht="12.75" hidden="1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ht="12.75" hidden="1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ht="12.75" hidden="1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ht="12.75" hidden="1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ht="12.75" hidden="1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ht="12.75" hidden="1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ht="12.75" hidden="1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ht="12.75" hidden="1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ht="12.75" hidden="1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ht="12.75" hidden="1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ht="12.75" hidden="1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ht="12.75" hidden="1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ht="12.75" hidden="1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ht="12.75" hidden="1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ht="12.75" hidden="1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ht="12.75" hidden="1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ht="12.75" hidden="1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ht="12.75" hidden="1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ht="12.75" hidden="1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ht="12.75" hidden="1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ht="12.75" hidden="1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ht="12.75" hidden="1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ht="12.75" hidden="1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ht="12.75" hidden="1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ht="12.75" hidden="1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ht="12.75" hidden="1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ht="12.75" hidden="1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  <row r="482" ht="12.75" hidden="1" customHeight="1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  <c r="AA482" s="196"/>
    </row>
    <row r="483" ht="12.75" hidden="1" customHeight="1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</row>
    <row r="484" ht="12.75" hidden="1" customHeight="1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</row>
    <row r="485" ht="12.75" hidden="1" customHeight="1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  <c r="AA485" s="196"/>
    </row>
    <row r="486" ht="12.75" hidden="1" customHeight="1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  <c r="AA486" s="196"/>
    </row>
    <row r="487" ht="12.75" hidden="1" customHeight="1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</row>
    <row r="488" ht="12.75" hidden="1" customHeight="1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  <c r="AA488" s="196"/>
    </row>
    <row r="489" ht="12.75" hidden="1" customHeight="1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</row>
    <row r="490" ht="12.75" hidden="1" customHeight="1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</row>
    <row r="491" ht="12.75" hidden="1" customHeight="1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196"/>
    </row>
    <row r="492" ht="12.75" hidden="1" customHeight="1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196"/>
    </row>
    <row r="493" ht="12.75" hidden="1" customHeight="1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196"/>
    </row>
    <row r="494" ht="12.75" hidden="1" customHeight="1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</row>
    <row r="495" ht="12.75" hidden="1" customHeight="1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</row>
    <row r="496" ht="12.75" hidden="1" customHeight="1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</row>
    <row r="497" ht="12.75" hidden="1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  <c r="AA497" s="196"/>
    </row>
    <row r="498" ht="12.75" hidden="1" customHeight="1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</row>
    <row r="499" ht="12.75" hidden="1" customHeight="1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</row>
    <row r="500" ht="12.75" hidden="1" customHeight="1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  <c r="AA500" s="196"/>
    </row>
    <row r="501" ht="12.75" hidden="1" customHeight="1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  <c r="AA501" s="196"/>
    </row>
    <row r="502" ht="12.75" hidden="1" customHeight="1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  <c r="AA502" s="196"/>
    </row>
    <row r="503" ht="12.75" hidden="1" customHeight="1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  <c r="AA503" s="196"/>
    </row>
    <row r="504" ht="12.75" hidden="1" customHeight="1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  <c r="AA504" s="196"/>
    </row>
    <row r="505" ht="12.75" hidden="1" customHeight="1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</row>
    <row r="506" ht="12.75" hidden="1" customHeight="1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  <c r="AA506" s="196"/>
    </row>
    <row r="507" ht="12.75" hidden="1" customHeight="1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</row>
    <row r="508" ht="12.75" hidden="1" customHeight="1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  <c r="AA508" s="196"/>
    </row>
    <row r="509" ht="12.75" hidden="1" customHeight="1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</row>
    <row r="510" ht="12.75" hidden="1" customHeight="1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</row>
    <row r="511" ht="12.75" hidden="1" customHeight="1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  <c r="AA511" s="196"/>
    </row>
    <row r="512" ht="12.75" hidden="1" customHeight="1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  <c r="AA512" s="196"/>
    </row>
    <row r="513" ht="12.75" hidden="1" customHeight="1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  <c r="AA513" s="196"/>
    </row>
    <row r="514" ht="12.75" hidden="1" customHeight="1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  <c r="AA514" s="196"/>
    </row>
    <row r="515" ht="12.75" hidden="1" customHeight="1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</row>
    <row r="516" ht="12.75" hidden="1" customHeight="1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  <c r="AA516" s="196"/>
    </row>
    <row r="517" ht="12.75" hidden="1" customHeight="1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</row>
    <row r="518" ht="12.75" hidden="1" customHeight="1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</row>
    <row r="519" ht="12.75" hidden="1" customHeight="1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</row>
    <row r="520" ht="12.75" hidden="1" customHeight="1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</row>
    <row r="521" ht="12.75" hidden="1" customHeight="1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</row>
    <row r="522" ht="12.75" hidden="1" customHeight="1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</row>
    <row r="523" ht="12.75" hidden="1" customHeight="1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</row>
    <row r="524" ht="12.75" hidden="1" customHeight="1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  <c r="AA524" s="196"/>
    </row>
    <row r="525" ht="12.75" hidden="1" customHeight="1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  <c r="AA525" s="196"/>
    </row>
    <row r="526" ht="12.75" hidden="1" customHeight="1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  <c r="AA526" s="196"/>
    </row>
    <row r="527" ht="12.75" hidden="1" customHeight="1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</row>
    <row r="528" ht="12.75" hidden="1" customHeight="1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</row>
    <row r="529" ht="12.75" hidden="1" customHeight="1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</row>
    <row r="530" ht="12.75" hidden="1" customHeight="1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</row>
    <row r="531" ht="12.75" hidden="1" customHeight="1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</row>
    <row r="532" ht="12.75" hidden="1" customHeight="1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</row>
    <row r="533" ht="12.75" hidden="1" customHeight="1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</row>
    <row r="534" ht="12.75" hidden="1" customHeight="1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  <c r="AA534" s="196"/>
    </row>
    <row r="535" ht="12.75" hidden="1" customHeight="1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196"/>
    </row>
    <row r="536" ht="12.75" hidden="1" customHeight="1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196"/>
    </row>
    <row r="537" ht="12.75" hidden="1" customHeight="1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196"/>
    </row>
    <row r="538" ht="12.75" hidden="1" customHeight="1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196"/>
    </row>
    <row r="539" ht="12.75" hidden="1" customHeight="1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196"/>
    </row>
    <row r="540" ht="12.75" hidden="1" customHeight="1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  <c r="AA540" s="196"/>
    </row>
    <row r="541" ht="12.75" hidden="1" customHeight="1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</row>
    <row r="542" ht="12.75" hidden="1" customHeight="1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</row>
    <row r="543" ht="12.75" hidden="1" customHeight="1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  <c r="AA543" s="196"/>
    </row>
    <row r="544" ht="12.75" hidden="1" customHeight="1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</row>
    <row r="545" ht="12.75" hidden="1" customHeight="1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</row>
    <row r="546" ht="12.75" hidden="1" customHeight="1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</row>
    <row r="547" ht="12.75" hidden="1" customHeight="1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  <c r="AA547" s="196"/>
    </row>
    <row r="548" ht="12.75" hidden="1" customHeight="1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  <c r="AA548" s="196"/>
    </row>
    <row r="549" ht="12.75" hidden="1" customHeight="1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  <c r="AA549" s="196"/>
    </row>
    <row r="550" ht="12.75" hidden="1" customHeight="1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  <c r="AA550" s="196"/>
    </row>
    <row r="551" ht="12.75" hidden="1" customHeight="1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</row>
    <row r="552" ht="12.75" hidden="1" customHeight="1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  <c r="AA552" s="196"/>
    </row>
    <row r="553" ht="12.75" hidden="1" customHeight="1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  <c r="AA553" s="196"/>
    </row>
    <row r="554" ht="12.75" hidden="1" customHeight="1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</row>
    <row r="555" ht="12.75" hidden="1" customHeight="1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</row>
    <row r="556" ht="12.75" hidden="1" customHeight="1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</row>
    <row r="557" ht="12.75" hidden="1" customHeight="1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  <c r="AA557" s="196"/>
    </row>
    <row r="558" ht="12.75" hidden="1" customHeight="1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  <c r="AA558" s="196"/>
    </row>
    <row r="559" ht="12.75" hidden="1" customHeight="1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  <c r="AA559" s="196"/>
    </row>
    <row r="560" ht="12.75" hidden="1" customHeight="1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  <c r="AA560" s="196"/>
    </row>
    <row r="561" ht="12.75" hidden="1" customHeight="1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  <c r="AA561" s="196"/>
    </row>
    <row r="562" ht="12.75" hidden="1" customHeight="1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  <c r="AA562" s="196"/>
    </row>
    <row r="563" ht="12.75" hidden="1" customHeight="1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  <c r="AA563" s="196"/>
    </row>
    <row r="564" ht="12.75" hidden="1" customHeight="1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  <c r="AA564" s="196"/>
    </row>
    <row r="565" ht="12.75" hidden="1" customHeight="1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  <c r="AA565" s="196"/>
    </row>
    <row r="566" ht="12.75" hidden="1" customHeight="1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  <c r="AA566" s="196"/>
    </row>
    <row r="567" ht="12.75" hidden="1" customHeight="1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  <c r="AA567" s="196"/>
    </row>
    <row r="568" ht="12.75" hidden="1" customHeight="1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  <c r="AA568" s="196"/>
    </row>
    <row r="569" ht="12.75" hidden="1" customHeight="1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  <c r="AA569" s="196"/>
    </row>
    <row r="570" ht="12.75" hidden="1" customHeight="1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  <c r="AA570" s="196"/>
    </row>
    <row r="571" ht="12.75" hidden="1" customHeight="1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  <c r="AA571" s="196"/>
    </row>
    <row r="572" ht="12.75" hidden="1" customHeight="1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  <c r="AA572" s="196"/>
    </row>
    <row r="573" ht="12.75" hidden="1" customHeight="1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  <c r="AA573" s="196"/>
    </row>
    <row r="574" ht="12.75" hidden="1" customHeight="1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  <c r="AA574" s="196"/>
    </row>
    <row r="575" ht="12.75" hidden="1" customHeight="1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  <c r="AA575" s="196"/>
    </row>
    <row r="576" ht="12.75" hidden="1" customHeight="1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  <c r="AA576" s="196"/>
    </row>
    <row r="577" ht="12.75" hidden="1" customHeight="1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  <c r="AA577" s="196"/>
    </row>
    <row r="578" ht="12.75" hidden="1" customHeight="1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  <c r="AA578" s="196"/>
    </row>
    <row r="579" ht="12.75" hidden="1" customHeight="1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</row>
    <row r="580" ht="12.75" hidden="1" customHeight="1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196"/>
    </row>
    <row r="581" ht="12.75" hidden="1" customHeight="1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196"/>
    </row>
    <row r="582" ht="12.75" hidden="1" customHeight="1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196"/>
    </row>
    <row r="583" ht="12.75" hidden="1" customHeight="1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196"/>
    </row>
    <row r="584" ht="12.75" hidden="1" customHeight="1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196"/>
    </row>
    <row r="585" ht="12.75" hidden="1" customHeight="1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  <c r="AA585" s="196"/>
    </row>
    <row r="586" ht="12.75" hidden="1" customHeight="1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  <c r="AA586" s="196"/>
    </row>
    <row r="587" ht="12.75" hidden="1" customHeight="1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  <c r="AA587" s="196"/>
    </row>
    <row r="588" ht="12.75" hidden="1" customHeight="1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  <c r="AA588" s="196"/>
    </row>
    <row r="589" ht="12.75" hidden="1" customHeight="1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  <c r="AA589" s="196"/>
    </row>
    <row r="590" ht="12.75" hidden="1" customHeight="1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  <c r="AA590" s="196"/>
    </row>
    <row r="591" ht="12.75" hidden="1" customHeight="1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  <c r="AA591" s="196"/>
    </row>
    <row r="592" ht="12.75" hidden="1" customHeight="1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  <c r="AA592" s="196"/>
    </row>
    <row r="593" ht="12.75" hidden="1" customHeight="1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  <c r="AA593" s="196"/>
    </row>
    <row r="594" ht="12.75" hidden="1" customHeight="1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  <c r="AA594" s="196"/>
    </row>
    <row r="595" ht="12.75" hidden="1" customHeight="1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  <c r="AA595" s="196"/>
    </row>
    <row r="596" ht="12.75" hidden="1" customHeight="1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  <c r="AA596" s="196"/>
    </row>
    <row r="597" ht="12.75" hidden="1" customHeight="1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  <c r="AA597" s="196"/>
    </row>
    <row r="598" ht="12.75" hidden="1" customHeight="1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</row>
    <row r="599" ht="12.75" hidden="1" customHeight="1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  <c r="AA599" s="196"/>
    </row>
    <row r="600" ht="12.75" hidden="1" customHeight="1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  <c r="AA600" s="196"/>
    </row>
    <row r="601" ht="12.75" hidden="1" customHeight="1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  <c r="AA601" s="196"/>
    </row>
    <row r="602" ht="12.75" hidden="1" customHeight="1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  <c r="AA602" s="196"/>
    </row>
    <row r="603" ht="12.75" hidden="1" customHeight="1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</row>
    <row r="604" ht="12.75" hidden="1" customHeight="1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  <c r="AA604" s="196"/>
    </row>
    <row r="605" ht="12.75" hidden="1" customHeight="1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  <c r="AA605" s="196"/>
    </row>
    <row r="606" ht="12.75" hidden="1" customHeight="1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  <c r="AA606" s="196"/>
    </row>
    <row r="607" ht="12.75" hidden="1" customHeight="1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  <c r="AA607" s="196"/>
    </row>
    <row r="608" ht="12.75" hidden="1" customHeight="1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  <c r="AA608" s="196"/>
    </row>
    <row r="609" ht="12.75" hidden="1" customHeight="1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  <c r="AA609" s="196"/>
    </row>
    <row r="610" ht="12.75" hidden="1" customHeight="1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  <c r="AA610" s="196"/>
    </row>
    <row r="611" ht="12.75" hidden="1" customHeight="1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  <c r="AA611" s="196"/>
    </row>
    <row r="612" ht="12.75" hidden="1" customHeight="1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  <c r="AA612" s="196"/>
    </row>
    <row r="613" ht="12.75" hidden="1" customHeight="1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  <c r="AA613" s="196"/>
    </row>
    <row r="614" ht="12.75" hidden="1" customHeight="1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  <c r="AA614" s="196"/>
    </row>
    <row r="615" ht="12.75" hidden="1" customHeight="1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  <c r="AA615" s="196"/>
    </row>
    <row r="616" ht="12.75" hidden="1" customHeight="1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  <c r="AA616" s="196"/>
    </row>
    <row r="617" ht="12.75" hidden="1" customHeight="1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</row>
    <row r="618" ht="12.75" hidden="1" customHeight="1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  <c r="AA618" s="196"/>
    </row>
    <row r="619" ht="12.75" hidden="1" customHeight="1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  <c r="AA619" s="196"/>
    </row>
    <row r="620" ht="12.75" hidden="1" customHeight="1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  <c r="AA620" s="196"/>
    </row>
    <row r="621" ht="12.75" hidden="1" customHeight="1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  <c r="AA621" s="196"/>
    </row>
    <row r="622" ht="12.75" hidden="1" customHeight="1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  <c r="AA622" s="196"/>
    </row>
    <row r="623" ht="12.75" hidden="1" customHeight="1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  <c r="AA623" s="196"/>
    </row>
    <row r="624" ht="12.75" hidden="1" customHeight="1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  <c r="AA624" s="196"/>
    </row>
    <row r="625" ht="12.75" hidden="1" customHeight="1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196"/>
    </row>
    <row r="626" ht="12.75" hidden="1" customHeight="1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196"/>
    </row>
    <row r="627" ht="12.75" hidden="1" customHeight="1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196"/>
    </row>
    <row r="628" ht="12.75" hidden="1" customHeight="1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196"/>
    </row>
    <row r="629" ht="12.75" hidden="1" customHeight="1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196"/>
    </row>
    <row r="630" ht="12.75" hidden="1" customHeight="1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  <c r="AA630" s="196"/>
    </row>
    <row r="631" ht="12.75" hidden="1" customHeight="1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  <c r="AA631" s="196"/>
    </row>
    <row r="632" ht="12.75" hidden="1" customHeight="1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  <c r="AA632" s="196"/>
    </row>
    <row r="633" ht="12.75" hidden="1" customHeight="1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  <c r="AA633" s="196"/>
    </row>
    <row r="634" ht="12.75" hidden="1" customHeight="1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  <c r="AA634" s="196"/>
    </row>
    <row r="635" ht="12.75" hidden="1" customHeight="1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  <c r="AA635" s="196"/>
    </row>
    <row r="636" ht="12.75" hidden="1" customHeight="1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  <c r="AA636" s="196"/>
    </row>
    <row r="637" ht="12.75" hidden="1" customHeight="1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  <c r="AA637" s="196"/>
    </row>
    <row r="638" ht="12.75" hidden="1" customHeight="1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  <c r="AA638" s="196"/>
    </row>
    <row r="639" ht="12.75" hidden="1" customHeight="1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  <c r="AA639" s="196"/>
    </row>
    <row r="640" ht="12.75" hidden="1" customHeight="1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  <c r="AA640" s="196"/>
    </row>
    <row r="641" ht="12.75" hidden="1" customHeight="1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  <c r="AA641" s="196"/>
    </row>
    <row r="642" ht="12.75" hidden="1" customHeight="1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  <c r="AA642" s="196"/>
    </row>
    <row r="643" ht="12.75" hidden="1" customHeight="1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  <c r="AA643" s="196"/>
    </row>
    <row r="644" ht="12.75" hidden="1" customHeight="1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  <c r="AA644" s="196"/>
    </row>
    <row r="645" ht="12.75" hidden="1" customHeight="1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  <c r="AA645" s="196"/>
    </row>
    <row r="646" ht="12.75" hidden="1" customHeight="1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  <c r="AA646" s="196"/>
    </row>
    <row r="647" ht="12.75" hidden="1" customHeight="1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  <c r="AA647" s="196"/>
    </row>
    <row r="648" ht="12.75" hidden="1" customHeight="1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  <c r="AA648" s="196"/>
    </row>
    <row r="649" ht="12.75" hidden="1" customHeight="1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  <c r="AA649" s="196"/>
    </row>
    <row r="650" ht="12.75" hidden="1" customHeight="1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  <c r="AA650" s="196"/>
    </row>
    <row r="651" ht="12.75" hidden="1" customHeight="1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  <c r="AA651" s="196"/>
    </row>
    <row r="652" ht="12.75" hidden="1" customHeight="1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  <c r="AA652" s="196"/>
    </row>
    <row r="653" ht="12.75" hidden="1" customHeight="1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  <c r="AA653" s="196"/>
    </row>
    <row r="654" ht="12.75" hidden="1" customHeight="1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  <c r="AA654" s="196"/>
    </row>
    <row r="655" ht="12.75" hidden="1" customHeight="1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  <c r="AA655" s="196"/>
    </row>
    <row r="656" ht="12.75" hidden="1" customHeight="1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  <c r="AA656" s="196"/>
    </row>
    <row r="657" ht="12.75" hidden="1" customHeight="1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  <c r="AA657" s="196"/>
    </row>
    <row r="658" ht="12.75" hidden="1" customHeight="1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  <c r="AA658" s="196"/>
    </row>
    <row r="659" ht="12.75" hidden="1" customHeight="1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  <c r="AA659" s="196"/>
    </row>
    <row r="660" ht="12.75" hidden="1" customHeight="1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  <c r="AA660" s="196"/>
    </row>
    <row r="661" ht="12.75" hidden="1" customHeight="1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  <c r="AA661" s="196"/>
    </row>
    <row r="662" ht="12.75" hidden="1" customHeight="1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  <c r="AA662" s="196"/>
    </row>
    <row r="663" ht="12.75" hidden="1" customHeight="1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  <c r="AA663" s="196"/>
    </row>
    <row r="664" ht="12.75" hidden="1" customHeight="1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  <c r="AA664" s="196"/>
    </row>
    <row r="665" ht="12.75" hidden="1" customHeight="1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  <c r="AA665" s="196"/>
    </row>
    <row r="666" ht="12.75" hidden="1" customHeight="1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  <c r="AA666" s="196"/>
    </row>
    <row r="667" ht="12.75" hidden="1" customHeight="1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  <c r="AA667" s="196"/>
    </row>
    <row r="668" ht="12.75" hidden="1" customHeight="1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  <c r="AA668" s="196"/>
    </row>
    <row r="669" ht="12.75" hidden="1" customHeight="1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</row>
    <row r="670" ht="12.75" hidden="1" customHeight="1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</row>
    <row r="671" ht="12.75" hidden="1" customHeight="1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</row>
    <row r="672" ht="12.75" hidden="1" customHeight="1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196"/>
    </row>
    <row r="673" ht="12.75" hidden="1" customHeight="1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</row>
    <row r="674" ht="12.75" hidden="1" customHeight="1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</row>
    <row r="675" ht="12.75" hidden="1" customHeight="1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  <c r="AA675" s="196"/>
    </row>
    <row r="676" ht="12.75" hidden="1" customHeight="1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  <c r="AA676" s="196"/>
    </row>
    <row r="677" ht="12.75" hidden="1" customHeight="1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  <c r="AA677" s="196"/>
    </row>
    <row r="678" ht="12.75" hidden="1" customHeight="1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  <c r="AA678" s="196"/>
    </row>
    <row r="679" ht="12.75" hidden="1" customHeight="1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</row>
    <row r="680" ht="12.75" hidden="1" customHeight="1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</row>
    <row r="681" ht="12.75" hidden="1" customHeight="1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</row>
    <row r="682" ht="12.75" hidden="1" customHeight="1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  <c r="AA682" s="196"/>
    </row>
    <row r="683" ht="12.75" hidden="1" customHeight="1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</row>
    <row r="684" ht="12.75" hidden="1" customHeight="1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  <c r="AA684" s="196"/>
    </row>
    <row r="685" ht="12.75" hidden="1" customHeight="1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  <c r="AA685" s="196"/>
    </row>
    <row r="686" ht="12.75" hidden="1" customHeight="1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  <c r="AA686" s="196"/>
    </row>
    <row r="687" ht="12.75" hidden="1" customHeight="1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  <c r="AA687" s="196"/>
    </row>
    <row r="688" ht="12.75" hidden="1" customHeight="1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  <c r="AA688" s="196"/>
    </row>
    <row r="689" ht="12.75" hidden="1" customHeight="1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  <c r="AA689" s="196"/>
    </row>
    <row r="690" ht="12.75" hidden="1" customHeight="1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  <c r="AA690" s="196"/>
    </row>
    <row r="691" ht="12.75" hidden="1" customHeight="1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  <c r="AA691" s="196"/>
    </row>
    <row r="692" ht="12.75" hidden="1" customHeight="1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  <c r="AA692" s="196"/>
    </row>
    <row r="693" ht="12.75" hidden="1" customHeight="1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  <c r="AA693" s="196"/>
    </row>
    <row r="694" ht="12.75" hidden="1" customHeight="1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  <c r="AA694" s="196"/>
    </row>
    <row r="695" ht="12.75" hidden="1" customHeight="1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  <c r="AA695" s="196"/>
    </row>
    <row r="696" ht="12.75" hidden="1" customHeight="1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  <c r="AA696" s="196"/>
    </row>
    <row r="697" ht="12.75" hidden="1" customHeight="1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  <c r="AA697" s="196"/>
    </row>
    <row r="698" ht="12.75" hidden="1" customHeight="1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  <c r="AA698" s="196"/>
    </row>
    <row r="699" ht="12.75" hidden="1" customHeight="1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  <c r="AA699" s="196"/>
    </row>
    <row r="700" ht="12.75" hidden="1" customHeight="1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  <c r="AA700" s="196"/>
    </row>
    <row r="701" ht="12.75" hidden="1" customHeight="1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  <c r="AA701" s="196"/>
    </row>
    <row r="702" ht="12.75" hidden="1" customHeight="1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  <c r="AA702" s="196"/>
    </row>
    <row r="703" ht="12.75" hidden="1" customHeight="1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  <c r="AA703" s="196"/>
    </row>
    <row r="704" ht="12.75" hidden="1" customHeight="1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  <c r="AA704" s="196"/>
    </row>
    <row r="705" ht="12.75" hidden="1" customHeight="1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  <c r="AA705" s="196"/>
    </row>
    <row r="706" ht="12.75" hidden="1" customHeight="1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</row>
    <row r="707" ht="12.75" hidden="1" customHeight="1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</row>
    <row r="708" ht="12.75" hidden="1" customHeight="1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</row>
    <row r="709" ht="12.75" hidden="1" customHeight="1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</row>
    <row r="710" ht="12.75" hidden="1" customHeight="1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</row>
    <row r="711" ht="12.75" hidden="1" customHeight="1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</row>
    <row r="712" ht="12.75" hidden="1" customHeight="1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</row>
    <row r="713" ht="12.75" hidden="1" customHeight="1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  <c r="AA713" s="196"/>
    </row>
    <row r="714" ht="12.75" hidden="1" customHeight="1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  <c r="AA714" s="196"/>
    </row>
    <row r="715" ht="12.75" hidden="1" customHeight="1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196"/>
    </row>
    <row r="716" ht="12.75" hidden="1" customHeight="1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196"/>
    </row>
    <row r="717" ht="12.75" hidden="1" customHeight="1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196"/>
    </row>
    <row r="718" ht="12.75" hidden="1" customHeight="1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196"/>
    </row>
    <row r="719" ht="12.75" hidden="1" customHeight="1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196"/>
    </row>
    <row r="720" ht="12.75" hidden="1" customHeight="1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  <c r="AA720" s="196"/>
    </row>
    <row r="721" ht="12.75" hidden="1" customHeight="1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  <c r="AA721" s="196"/>
    </row>
    <row r="722" ht="12.75" hidden="1" customHeight="1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  <c r="AA722" s="196"/>
    </row>
    <row r="723" ht="12.75" hidden="1" customHeight="1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  <c r="AA723" s="196"/>
    </row>
    <row r="724" ht="12.75" hidden="1" customHeight="1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  <c r="AA724" s="196"/>
    </row>
    <row r="725" ht="12.75" hidden="1" customHeight="1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  <c r="AA725" s="196"/>
    </row>
    <row r="726" ht="12.75" hidden="1" customHeight="1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  <c r="AA726" s="196"/>
    </row>
    <row r="727" ht="12.75" hidden="1" customHeight="1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  <c r="AA727" s="196"/>
    </row>
    <row r="728" ht="12.75" hidden="1" customHeight="1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  <c r="AA728" s="196"/>
    </row>
    <row r="729" ht="12.75" hidden="1" customHeight="1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  <c r="AA729" s="196"/>
    </row>
    <row r="730" ht="12.75" hidden="1" customHeight="1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  <c r="AA730" s="196"/>
    </row>
    <row r="731" ht="12.75" hidden="1" customHeight="1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  <c r="AA731" s="196"/>
    </row>
    <row r="732" ht="12.75" hidden="1" customHeight="1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  <c r="AA732" s="196"/>
    </row>
    <row r="733" ht="12.75" hidden="1" customHeight="1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  <c r="AA733" s="196"/>
    </row>
    <row r="734" ht="12.75" hidden="1" customHeight="1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  <c r="AA734" s="196"/>
    </row>
    <row r="735" ht="12.75" hidden="1" customHeight="1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  <c r="AA735" s="196"/>
    </row>
    <row r="736" ht="12.75" hidden="1" customHeight="1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  <c r="AA736" s="196"/>
    </row>
    <row r="737" ht="12.75" hidden="1" customHeight="1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  <c r="AA737" s="196"/>
    </row>
    <row r="738" ht="12.75" hidden="1" customHeight="1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  <c r="AA738" s="196"/>
    </row>
    <row r="739" ht="12.75" hidden="1" customHeight="1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  <c r="AA739" s="196"/>
    </row>
    <row r="740" ht="12.75" hidden="1" customHeight="1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  <c r="AA740" s="196"/>
    </row>
    <row r="741" ht="12.75" hidden="1" customHeight="1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  <c r="AA741" s="196"/>
    </row>
    <row r="742" ht="12.75" hidden="1" customHeight="1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  <c r="AA742" s="196"/>
    </row>
    <row r="743" ht="12.75" hidden="1" customHeight="1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  <c r="AA743" s="196"/>
    </row>
    <row r="744" ht="12.75" hidden="1" customHeight="1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  <c r="AA744" s="196"/>
    </row>
    <row r="745" ht="12.75" hidden="1" customHeight="1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6"/>
    </row>
    <row r="746" ht="12.75" hidden="1" customHeight="1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  <c r="AA746" s="196"/>
    </row>
    <row r="747" ht="12.75" hidden="1" customHeight="1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  <c r="AA747" s="196"/>
    </row>
    <row r="748" ht="12.75" hidden="1" customHeight="1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  <c r="AA748" s="196"/>
    </row>
    <row r="749" ht="12.75" hidden="1" customHeight="1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  <c r="AA749" s="196"/>
    </row>
    <row r="750" ht="12.75" hidden="1" customHeight="1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</row>
    <row r="751" ht="12.75" hidden="1" customHeight="1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  <c r="AA751" s="196"/>
    </row>
    <row r="752" ht="12.75" hidden="1" customHeight="1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  <c r="AA752" s="196"/>
    </row>
    <row r="753" ht="12.75" hidden="1" customHeight="1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  <c r="AA753" s="196"/>
    </row>
    <row r="754" ht="12.75" hidden="1" customHeight="1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  <c r="AA754" s="196"/>
    </row>
    <row r="755" ht="12.75" hidden="1" customHeight="1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</row>
    <row r="756" ht="12.75" hidden="1" customHeight="1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  <c r="AA756" s="196"/>
    </row>
    <row r="757" ht="12.75" hidden="1" customHeight="1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  <c r="AA757" s="196"/>
    </row>
    <row r="758" ht="12.75" hidden="1" customHeight="1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  <c r="AA758" s="196"/>
    </row>
    <row r="759" ht="12.75" hidden="1" customHeight="1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  <c r="AA759" s="196"/>
    </row>
    <row r="760" ht="12.75" hidden="1" customHeight="1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196"/>
    </row>
    <row r="761" ht="12.75" hidden="1" customHeight="1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196"/>
    </row>
    <row r="762" ht="12.75" hidden="1" customHeight="1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196"/>
    </row>
    <row r="763" ht="12.75" hidden="1" customHeight="1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196"/>
    </row>
    <row r="764" ht="12.75" hidden="1" customHeight="1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196"/>
    </row>
    <row r="765" ht="12.75" hidden="1" customHeight="1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  <c r="AA765" s="196"/>
    </row>
    <row r="766" ht="12.75" hidden="1" customHeight="1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  <c r="AA766" s="196"/>
    </row>
    <row r="767" ht="12.75" hidden="1" customHeight="1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  <c r="AA767" s="196"/>
    </row>
    <row r="768" ht="12.75" hidden="1" customHeight="1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  <c r="AA768" s="196"/>
    </row>
    <row r="769" ht="12.75" hidden="1" customHeight="1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  <c r="AA769" s="196"/>
    </row>
    <row r="770" ht="12.75" hidden="1" customHeight="1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  <c r="AA770" s="196"/>
    </row>
    <row r="771" ht="12.75" hidden="1" customHeight="1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  <c r="AA771" s="196"/>
    </row>
    <row r="772" ht="12.75" hidden="1" customHeight="1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  <c r="AA772" s="196"/>
    </row>
    <row r="773" ht="12.75" hidden="1" customHeight="1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  <c r="AA773" s="196"/>
    </row>
    <row r="774" ht="12.75" hidden="1" customHeight="1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  <c r="AA774" s="196"/>
    </row>
    <row r="775" ht="12.75" hidden="1" customHeight="1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  <c r="AA775" s="196"/>
    </row>
    <row r="776" ht="12.75" hidden="1" customHeight="1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  <c r="AA776" s="196"/>
    </row>
    <row r="777" ht="12.75" hidden="1" customHeight="1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  <c r="AA777" s="196"/>
    </row>
    <row r="778" ht="12.75" hidden="1" customHeight="1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  <c r="AA778" s="196"/>
    </row>
    <row r="779" ht="12.75" hidden="1" customHeight="1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  <c r="AA779" s="196"/>
    </row>
    <row r="780" ht="12.75" hidden="1" customHeight="1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  <c r="AA780" s="196"/>
    </row>
    <row r="781" ht="12.75" hidden="1" customHeight="1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  <c r="AA781" s="196"/>
    </row>
    <row r="782" ht="12.75" hidden="1" customHeight="1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  <c r="AA782" s="196"/>
    </row>
    <row r="783" ht="12.75" hidden="1" customHeight="1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  <c r="AA783" s="196"/>
    </row>
    <row r="784" ht="12.75" hidden="1" customHeight="1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  <c r="AA784" s="196"/>
    </row>
    <row r="785" ht="12.75" hidden="1" customHeight="1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  <c r="AA785" s="196"/>
    </row>
    <row r="786" ht="12.75" hidden="1" customHeight="1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  <c r="AA786" s="196"/>
    </row>
    <row r="787" ht="12.75" hidden="1" customHeight="1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  <c r="AA787" s="196"/>
    </row>
    <row r="788" ht="12.75" hidden="1" customHeight="1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  <c r="AA788" s="196"/>
    </row>
    <row r="789" ht="12.75" hidden="1" customHeight="1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  <c r="AA789" s="196"/>
    </row>
    <row r="790" ht="12.75" hidden="1" customHeight="1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  <c r="AA790" s="196"/>
    </row>
    <row r="791" ht="12.75" hidden="1" customHeight="1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  <c r="AA791" s="196"/>
    </row>
    <row r="792" ht="12.75" hidden="1" customHeight="1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  <c r="AA792" s="196"/>
    </row>
    <row r="793" ht="12.75" hidden="1" customHeight="1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  <c r="AA793" s="196"/>
    </row>
    <row r="794" ht="12.75" hidden="1" customHeight="1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  <c r="AA794" s="196"/>
    </row>
    <row r="795" ht="12.75" hidden="1" customHeight="1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  <c r="AA795" s="196"/>
    </row>
    <row r="796" ht="12.75" hidden="1" customHeight="1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  <c r="AA796" s="196"/>
    </row>
    <row r="797" ht="12.75" hidden="1" customHeight="1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  <c r="AA797" s="196"/>
    </row>
    <row r="798" ht="12.75" hidden="1" customHeight="1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  <c r="AA798" s="196"/>
    </row>
    <row r="799" ht="12.75" hidden="1" customHeight="1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  <c r="AA799" s="196"/>
    </row>
    <row r="800" ht="12.75" hidden="1" customHeight="1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  <c r="AA800" s="196"/>
    </row>
    <row r="801" ht="12.75" hidden="1" customHeight="1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  <c r="AA801" s="196"/>
    </row>
    <row r="802" ht="12.75" hidden="1" customHeight="1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  <c r="AA802" s="196"/>
    </row>
    <row r="803" ht="12.75" hidden="1" customHeight="1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  <c r="AA803" s="196"/>
    </row>
    <row r="804" ht="12.75" hidden="1" customHeight="1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  <c r="AA804" s="196"/>
    </row>
    <row r="805" ht="12.75" hidden="1" customHeight="1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196"/>
    </row>
    <row r="806" ht="12.75" hidden="1" customHeight="1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196"/>
    </row>
    <row r="807" ht="12.75" hidden="1" customHeight="1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196"/>
    </row>
    <row r="808" ht="12.75" hidden="1" customHeight="1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196"/>
    </row>
    <row r="809" ht="12.75" hidden="1" customHeight="1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196"/>
    </row>
    <row r="810" ht="12.75" hidden="1" customHeight="1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  <c r="AA810" s="196"/>
    </row>
    <row r="811" ht="12.75" hidden="1" customHeight="1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  <c r="AA811" s="196"/>
    </row>
    <row r="812" ht="12.75" hidden="1" customHeight="1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  <c r="AA812" s="196"/>
    </row>
    <row r="813" ht="12.75" hidden="1" customHeight="1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  <c r="X813" s="196"/>
      <c r="Y813" s="196"/>
      <c r="Z813" s="196"/>
      <c r="AA813" s="196"/>
    </row>
    <row r="814" ht="12.75" hidden="1" customHeight="1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  <c r="X814" s="196"/>
      <c r="Y814" s="196"/>
      <c r="Z814" s="196"/>
      <c r="AA814" s="196"/>
    </row>
    <row r="815" ht="12.75" hidden="1" customHeight="1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6"/>
      <c r="Z815" s="196"/>
      <c r="AA815" s="196"/>
    </row>
    <row r="816" ht="12.75" hidden="1" customHeight="1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  <c r="X816" s="196"/>
      <c r="Y816" s="196"/>
      <c r="Z816" s="196"/>
      <c r="AA816" s="196"/>
    </row>
    <row r="817" ht="12.75" hidden="1" customHeight="1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  <c r="X817" s="196"/>
      <c r="Y817" s="196"/>
      <c r="Z817" s="196"/>
      <c r="AA817" s="196"/>
    </row>
    <row r="818" ht="12.75" hidden="1" customHeight="1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  <c r="X818" s="196"/>
      <c r="Y818" s="196"/>
      <c r="Z818" s="196"/>
      <c r="AA818" s="196"/>
    </row>
    <row r="819" ht="12.75" hidden="1" customHeight="1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  <c r="X819" s="196"/>
      <c r="Y819" s="196"/>
      <c r="Z819" s="196"/>
      <c r="AA819" s="196"/>
    </row>
    <row r="820" ht="12.75" hidden="1" customHeight="1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6"/>
      <c r="Z820" s="196"/>
      <c r="AA820" s="196"/>
    </row>
    <row r="821" ht="12.75" hidden="1" customHeight="1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  <c r="X821" s="196"/>
      <c r="Y821" s="196"/>
      <c r="Z821" s="196"/>
      <c r="AA821" s="196"/>
    </row>
    <row r="822" ht="12.75" hidden="1" customHeight="1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  <c r="X822" s="196"/>
      <c r="Y822" s="196"/>
      <c r="Z822" s="196"/>
      <c r="AA822" s="196"/>
    </row>
    <row r="823" ht="12.75" hidden="1" customHeight="1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  <c r="X823" s="196"/>
      <c r="Y823" s="196"/>
      <c r="Z823" s="196"/>
      <c r="AA823" s="196"/>
    </row>
    <row r="824" ht="12.75" hidden="1" customHeight="1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  <c r="X824" s="196"/>
      <c r="Y824" s="196"/>
      <c r="Z824" s="196"/>
      <c r="AA824" s="196"/>
    </row>
    <row r="825" ht="12.75" hidden="1" customHeight="1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  <c r="X825" s="196"/>
      <c r="Y825" s="196"/>
      <c r="Z825" s="196"/>
      <c r="AA825" s="196"/>
    </row>
    <row r="826" ht="12.75" hidden="1" customHeight="1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  <c r="X826" s="196"/>
      <c r="Y826" s="196"/>
      <c r="Z826" s="196"/>
      <c r="AA826" s="196"/>
    </row>
    <row r="827" ht="12.75" hidden="1" customHeight="1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  <c r="X827" s="196"/>
      <c r="Y827" s="196"/>
      <c r="Z827" s="196"/>
      <c r="AA827" s="196"/>
    </row>
    <row r="828" ht="12.75" hidden="1" customHeight="1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  <c r="X828" s="196"/>
      <c r="Y828" s="196"/>
      <c r="Z828" s="196"/>
      <c r="AA828" s="196"/>
    </row>
    <row r="829" ht="12.75" hidden="1" customHeight="1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  <c r="X829" s="196"/>
      <c r="Y829" s="196"/>
      <c r="Z829" s="196"/>
      <c r="AA829" s="196"/>
    </row>
    <row r="830" ht="12.75" hidden="1" customHeight="1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  <c r="X830" s="196"/>
      <c r="Y830" s="196"/>
      <c r="Z830" s="196"/>
      <c r="AA830" s="196"/>
    </row>
    <row r="831" ht="12.75" hidden="1" customHeight="1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  <c r="X831" s="196"/>
      <c r="Y831" s="196"/>
      <c r="Z831" s="196"/>
      <c r="AA831" s="196"/>
    </row>
    <row r="832" ht="12.75" hidden="1" customHeight="1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  <c r="X832" s="196"/>
      <c r="Y832" s="196"/>
      <c r="Z832" s="196"/>
      <c r="AA832" s="196"/>
    </row>
    <row r="833" ht="12.75" hidden="1" customHeight="1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  <c r="X833" s="196"/>
      <c r="Y833" s="196"/>
      <c r="Z833" s="196"/>
      <c r="AA833" s="196"/>
    </row>
    <row r="834" ht="12.75" hidden="1" customHeight="1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</row>
    <row r="835" ht="12.75" hidden="1" customHeight="1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  <c r="X835" s="196"/>
      <c r="Y835" s="196"/>
      <c r="Z835" s="196"/>
      <c r="AA835" s="196"/>
    </row>
    <row r="836" ht="12.75" hidden="1" customHeight="1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  <c r="X836" s="196"/>
      <c r="Y836" s="196"/>
      <c r="Z836" s="196"/>
      <c r="AA836" s="196"/>
    </row>
    <row r="837" ht="12.75" hidden="1" customHeight="1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  <c r="X837" s="196"/>
      <c r="Y837" s="196"/>
      <c r="Z837" s="196"/>
      <c r="AA837" s="196"/>
    </row>
    <row r="838" ht="12.75" hidden="1" customHeight="1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  <c r="X838" s="196"/>
      <c r="Y838" s="196"/>
      <c r="Z838" s="196"/>
      <c r="AA838" s="196"/>
    </row>
    <row r="839" ht="12.75" hidden="1" customHeight="1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  <c r="X839" s="196"/>
      <c r="Y839" s="196"/>
      <c r="Z839" s="196"/>
      <c r="AA839" s="196"/>
    </row>
    <row r="840" ht="12.75" hidden="1" customHeight="1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  <c r="X840" s="196"/>
      <c r="Y840" s="196"/>
      <c r="Z840" s="196"/>
      <c r="AA840" s="196"/>
    </row>
    <row r="841" ht="12.75" hidden="1" customHeight="1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  <c r="X841" s="196"/>
      <c r="Y841" s="196"/>
      <c r="Z841" s="196"/>
      <c r="AA841" s="196"/>
    </row>
    <row r="842" ht="12.75" hidden="1" customHeight="1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  <c r="X842" s="196"/>
      <c r="Y842" s="196"/>
      <c r="Z842" s="196"/>
      <c r="AA842" s="196"/>
    </row>
    <row r="843" ht="12.75" hidden="1" customHeight="1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  <c r="X843" s="196"/>
      <c r="Y843" s="196"/>
      <c r="Z843" s="196"/>
      <c r="AA843" s="196"/>
    </row>
    <row r="844" ht="12.75" hidden="1" customHeight="1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  <c r="X844" s="196"/>
      <c r="Y844" s="196"/>
      <c r="Z844" s="196"/>
      <c r="AA844" s="196"/>
    </row>
    <row r="845" ht="12.75" hidden="1" customHeight="1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  <c r="X845" s="196"/>
      <c r="Y845" s="196"/>
      <c r="Z845" s="196"/>
      <c r="AA845" s="196"/>
    </row>
    <row r="846" ht="12.75" hidden="1" customHeight="1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  <c r="X846" s="196"/>
      <c r="Y846" s="196"/>
      <c r="Z846" s="196"/>
      <c r="AA846" s="196"/>
    </row>
    <row r="847" ht="12.75" hidden="1" customHeight="1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  <c r="X847" s="196"/>
      <c r="Y847" s="196"/>
      <c r="Z847" s="196"/>
      <c r="AA847" s="196"/>
    </row>
    <row r="848" ht="12.75" hidden="1" customHeight="1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  <c r="X848" s="196"/>
      <c r="Y848" s="196"/>
      <c r="Z848" s="196"/>
      <c r="AA848" s="196"/>
    </row>
    <row r="849" ht="12.75" hidden="1" customHeight="1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6"/>
      <c r="Z849" s="196"/>
      <c r="AA849" s="196"/>
    </row>
    <row r="850" ht="12.75" hidden="1" customHeight="1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196"/>
    </row>
    <row r="851" ht="12.75" hidden="1" customHeight="1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196"/>
    </row>
    <row r="852" ht="12.75" hidden="1" customHeight="1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196"/>
    </row>
    <row r="853" ht="12.75" hidden="1" customHeight="1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196"/>
    </row>
    <row r="854" ht="12.75" hidden="1" customHeight="1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196"/>
    </row>
    <row r="855" ht="12.75" hidden="1" customHeight="1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  <c r="X855" s="196"/>
      <c r="Y855" s="196"/>
      <c r="Z855" s="196"/>
      <c r="AA855" s="196"/>
    </row>
    <row r="856" ht="12.75" hidden="1" customHeight="1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  <c r="X856" s="196"/>
      <c r="Y856" s="196"/>
      <c r="Z856" s="196"/>
      <c r="AA856" s="196"/>
    </row>
    <row r="857" ht="12.75" hidden="1" customHeight="1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  <c r="X857" s="196"/>
      <c r="Y857" s="196"/>
      <c r="Z857" s="196"/>
      <c r="AA857" s="196"/>
    </row>
    <row r="858" ht="12.75" hidden="1" customHeight="1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</row>
    <row r="859" ht="12.75" hidden="1" customHeight="1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</row>
    <row r="860" ht="12.75" hidden="1" customHeight="1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</row>
    <row r="861" ht="12.75" hidden="1" customHeight="1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</row>
    <row r="862" ht="12.75" hidden="1" customHeight="1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</row>
    <row r="863" ht="12.75" hidden="1" customHeight="1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</row>
    <row r="864" ht="12.75" hidden="1" customHeight="1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</row>
    <row r="865" ht="12.75" hidden="1" customHeight="1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</row>
    <row r="866" ht="12.75" hidden="1" customHeight="1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  <c r="X866" s="196"/>
      <c r="Y866" s="196"/>
      <c r="Z866" s="196"/>
      <c r="AA866" s="196"/>
    </row>
    <row r="867" ht="12.75" hidden="1" customHeight="1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  <c r="X867" s="196"/>
      <c r="Y867" s="196"/>
      <c r="Z867" s="196"/>
      <c r="AA867" s="196"/>
    </row>
    <row r="868" ht="12.75" hidden="1" customHeight="1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  <c r="X868" s="196"/>
      <c r="Y868" s="196"/>
      <c r="Z868" s="196"/>
      <c r="AA868" s="196"/>
    </row>
    <row r="869" ht="12.75" hidden="1" customHeight="1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  <c r="X869" s="196"/>
      <c r="Y869" s="196"/>
      <c r="Z869" s="196"/>
      <c r="AA869" s="196"/>
    </row>
    <row r="870" ht="12.75" hidden="1" customHeight="1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  <c r="X870" s="196"/>
      <c r="Y870" s="196"/>
      <c r="Z870" s="196"/>
      <c r="AA870" s="196"/>
    </row>
    <row r="871" ht="12.75" hidden="1" customHeight="1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  <c r="X871" s="196"/>
      <c r="Y871" s="196"/>
      <c r="Z871" s="196"/>
      <c r="AA871" s="196"/>
    </row>
    <row r="872" ht="12.75" hidden="1" customHeight="1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  <c r="X872" s="196"/>
      <c r="Y872" s="196"/>
      <c r="Z872" s="196"/>
      <c r="AA872" s="196"/>
    </row>
    <row r="873" ht="12.75" hidden="1" customHeight="1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  <c r="X873" s="196"/>
      <c r="Y873" s="196"/>
      <c r="Z873" s="196"/>
      <c r="AA873" s="196"/>
    </row>
    <row r="874" ht="12.75" hidden="1" customHeight="1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  <c r="X874" s="196"/>
      <c r="Y874" s="196"/>
      <c r="Z874" s="196"/>
      <c r="AA874" s="196"/>
    </row>
    <row r="875" ht="12.75" hidden="1" customHeight="1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  <c r="X875" s="196"/>
      <c r="Y875" s="196"/>
      <c r="Z875" s="196"/>
      <c r="AA875" s="196"/>
    </row>
    <row r="876" ht="12.75" hidden="1" customHeight="1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  <c r="X876" s="196"/>
      <c r="Y876" s="196"/>
      <c r="Z876" s="196"/>
      <c r="AA876" s="196"/>
    </row>
    <row r="877" ht="12.75" hidden="1" customHeight="1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  <c r="X877" s="196"/>
      <c r="Y877" s="196"/>
      <c r="Z877" s="196"/>
      <c r="AA877" s="196"/>
    </row>
    <row r="878" ht="12.75" hidden="1" customHeight="1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  <c r="X878" s="196"/>
      <c r="Y878" s="196"/>
      <c r="Z878" s="196"/>
      <c r="AA878" s="196"/>
    </row>
    <row r="879" ht="12.75" hidden="1" customHeight="1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  <c r="X879" s="196"/>
      <c r="Y879" s="196"/>
      <c r="Z879" s="196"/>
      <c r="AA879" s="196"/>
    </row>
    <row r="880" ht="12.75" hidden="1" customHeight="1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  <c r="X880" s="196"/>
      <c r="Y880" s="196"/>
      <c r="Z880" s="196"/>
      <c r="AA880" s="196"/>
    </row>
    <row r="881" ht="12.75" hidden="1" customHeight="1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  <c r="X881" s="196"/>
      <c r="Y881" s="196"/>
      <c r="Z881" s="196"/>
      <c r="AA881" s="196"/>
    </row>
    <row r="882" ht="12.75" hidden="1" customHeight="1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  <c r="X882" s="196"/>
      <c r="Y882" s="196"/>
      <c r="Z882" s="196"/>
      <c r="AA882" s="196"/>
    </row>
    <row r="883" ht="12.75" hidden="1" customHeight="1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  <c r="X883" s="196"/>
      <c r="Y883" s="196"/>
      <c r="Z883" s="196"/>
      <c r="AA883" s="196"/>
    </row>
    <row r="884" ht="12.75" hidden="1" customHeight="1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  <c r="X884" s="196"/>
      <c r="Y884" s="196"/>
      <c r="Z884" s="196"/>
      <c r="AA884" s="196"/>
    </row>
    <row r="885" ht="12.75" hidden="1" customHeight="1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  <c r="X885" s="196"/>
      <c r="Y885" s="196"/>
      <c r="Z885" s="196"/>
      <c r="AA885" s="196"/>
    </row>
    <row r="886" ht="12.75" hidden="1" customHeight="1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  <c r="X886" s="196"/>
      <c r="Y886" s="196"/>
      <c r="Z886" s="196"/>
      <c r="AA886" s="196"/>
    </row>
    <row r="887" ht="12.75" hidden="1" customHeight="1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  <c r="X887" s="196"/>
      <c r="Y887" s="196"/>
      <c r="Z887" s="196"/>
      <c r="AA887" s="196"/>
    </row>
    <row r="888" ht="12.75" hidden="1" customHeight="1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  <c r="X888" s="196"/>
      <c r="Y888" s="196"/>
      <c r="Z888" s="196"/>
      <c r="AA888" s="196"/>
    </row>
    <row r="889" ht="12.75" hidden="1" customHeight="1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  <c r="X889" s="196"/>
      <c r="Y889" s="196"/>
      <c r="Z889" s="196"/>
      <c r="AA889" s="196"/>
    </row>
    <row r="890" ht="12.75" hidden="1" customHeight="1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  <c r="X890" s="196"/>
      <c r="Y890" s="196"/>
      <c r="Z890" s="196"/>
      <c r="AA890" s="196"/>
    </row>
    <row r="891" ht="12.75" hidden="1" customHeight="1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  <c r="X891" s="196"/>
      <c r="Y891" s="196"/>
      <c r="Z891" s="196"/>
      <c r="AA891" s="196"/>
    </row>
    <row r="892" ht="12.75" hidden="1" customHeight="1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  <c r="X892" s="196"/>
      <c r="Y892" s="196"/>
      <c r="Z892" s="196"/>
      <c r="AA892" s="196"/>
    </row>
    <row r="893" ht="12.75" hidden="1" customHeight="1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  <c r="X893" s="196"/>
      <c r="Y893" s="196"/>
      <c r="Z893" s="196"/>
      <c r="AA893" s="196"/>
    </row>
    <row r="894" ht="12.75" hidden="1" customHeight="1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  <c r="X894" s="196"/>
      <c r="Y894" s="196"/>
      <c r="Z894" s="196"/>
      <c r="AA894" s="196"/>
    </row>
    <row r="895" ht="12.75" hidden="1" customHeight="1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196"/>
    </row>
    <row r="896" ht="12.75" hidden="1" customHeight="1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196"/>
    </row>
    <row r="897" ht="12.75" hidden="1" customHeight="1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196"/>
    </row>
    <row r="898" ht="12.75" hidden="1" customHeight="1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196"/>
    </row>
    <row r="899" ht="12.75" hidden="1" customHeight="1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196"/>
    </row>
    <row r="900" ht="12.75" hidden="1" customHeight="1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  <c r="X900" s="196"/>
      <c r="Y900" s="196"/>
      <c r="Z900" s="196"/>
      <c r="AA900" s="196"/>
    </row>
    <row r="901" ht="12.75" hidden="1" customHeight="1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  <c r="X901" s="196"/>
      <c r="Y901" s="196"/>
      <c r="Z901" s="196"/>
      <c r="AA901" s="196"/>
    </row>
    <row r="902" ht="12.75" hidden="1" customHeight="1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  <c r="X902" s="196"/>
      <c r="Y902" s="196"/>
      <c r="Z902" s="196"/>
      <c r="AA902" s="196"/>
    </row>
    <row r="903" ht="12.75" hidden="1" customHeight="1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  <c r="X903" s="196"/>
      <c r="Y903" s="196"/>
      <c r="Z903" s="196"/>
      <c r="AA903" s="196"/>
    </row>
    <row r="904" ht="12.75" hidden="1" customHeight="1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  <c r="X904" s="196"/>
      <c r="Y904" s="196"/>
      <c r="Z904" s="196"/>
      <c r="AA904" s="196"/>
    </row>
    <row r="905" ht="12.75" hidden="1" customHeight="1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  <c r="X905" s="196"/>
      <c r="Y905" s="196"/>
      <c r="Z905" s="196"/>
      <c r="AA905" s="196"/>
    </row>
    <row r="906" ht="12.75" hidden="1" customHeight="1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  <c r="X906" s="196"/>
      <c r="Y906" s="196"/>
      <c r="Z906" s="196"/>
      <c r="AA906" s="196"/>
    </row>
    <row r="907" ht="12.75" hidden="1" customHeight="1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  <c r="X907" s="196"/>
      <c r="Y907" s="196"/>
      <c r="Z907" s="196"/>
      <c r="AA907" s="196"/>
    </row>
    <row r="908" ht="12.75" hidden="1" customHeight="1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  <c r="X908" s="196"/>
      <c r="Y908" s="196"/>
      <c r="Z908" s="196"/>
      <c r="AA908" s="196"/>
    </row>
    <row r="909" ht="12.75" hidden="1" customHeight="1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  <c r="X909" s="196"/>
      <c r="Y909" s="196"/>
      <c r="Z909" s="196"/>
      <c r="AA909" s="196"/>
    </row>
    <row r="910" ht="12.75" hidden="1" customHeight="1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  <c r="X910" s="196"/>
      <c r="Y910" s="196"/>
      <c r="Z910" s="196"/>
      <c r="AA910" s="196"/>
    </row>
    <row r="911" ht="12.75" hidden="1" customHeight="1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  <c r="X911" s="196"/>
      <c r="Y911" s="196"/>
      <c r="Z911" s="196"/>
      <c r="AA911" s="196"/>
    </row>
    <row r="912" ht="12.75" hidden="1" customHeight="1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  <c r="X912" s="196"/>
      <c r="Y912" s="196"/>
      <c r="Z912" s="196"/>
      <c r="AA912" s="196"/>
    </row>
    <row r="913" ht="12.75" hidden="1" customHeight="1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  <c r="X913" s="196"/>
      <c r="Y913" s="196"/>
      <c r="Z913" s="196"/>
      <c r="AA913" s="196"/>
    </row>
    <row r="914" ht="12.75" hidden="1" customHeight="1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  <c r="X914" s="196"/>
      <c r="Y914" s="196"/>
      <c r="Z914" s="196"/>
      <c r="AA914" s="196"/>
    </row>
    <row r="915" ht="12.75" hidden="1" customHeight="1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  <c r="X915" s="196"/>
      <c r="Y915" s="196"/>
      <c r="Z915" s="196"/>
      <c r="AA915" s="196"/>
    </row>
    <row r="916" ht="12.75" hidden="1" customHeight="1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  <c r="X916" s="196"/>
      <c r="Y916" s="196"/>
      <c r="Z916" s="196"/>
      <c r="AA916" s="196"/>
    </row>
    <row r="917" ht="12.75" hidden="1" customHeight="1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  <c r="X917" s="196"/>
      <c r="Y917" s="196"/>
      <c r="Z917" s="196"/>
      <c r="AA917" s="196"/>
    </row>
    <row r="918" ht="12.75" hidden="1" customHeight="1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  <c r="X918" s="196"/>
      <c r="Y918" s="196"/>
      <c r="Z918" s="196"/>
      <c r="AA918" s="196"/>
    </row>
    <row r="919" ht="12.75" hidden="1" customHeight="1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  <c r="X919" s="196"/>
      <c r="Y919" s="196"/>
      <c r="Z919" s="196"/>
      <c r="AA919" s="196"/>
    </row>
    <row r="920" ht="12.75" hidden="1" customHeight="1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  <c r="X920" s="196"/>
      <c r="Y920" s="196"/>
      <c r="Z920" s="196"/>
      <c r="AA920" s="196"/>
    </row>
    <row r="921" ht="12.75" hidden="1" customHeight="1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  <c r="X921" s="196"/>
      <c r="Y921" s="196"/>
      <c r="Z921" s="196"/>
      <c r="AA921" s="196"/>
    </row>
    <row r="922" ht="12.75" hidden="1" customHeight="1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  <c r="X922" s="196"/>
      <c r="Y922" s="196"/>
      <c r="Z922" s="196"/>
      <c r="AA922" s="196"/>
    </row>
    <row r="923" ht="12.75" hidden="1" customHeight="1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  <c r="X923" s="196"/>
      <c r="Y923" s="196"/>
      <c r="Z923" s="196"/>
      <c r="AA923" s="196"/>
    </row>
    <row r="924" ht="12.75" hidden="1" customHeight="1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  <c r="X924" s="196"/>
      <c r="Y924" s="196"/>
      <c r="Z924" s="196"/>
      <c r="AA924" s="196"/>
    </row>
    <row r="925" ht="12.75" hidden="1" customHeight="1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  <c r="X925" s="196"/>
      <c r="Y925" s="196"/>
      <c r="Z925" s="196"/>
      <c r="AA925" s="196"/>
    </row>
    <row r="926" ht="12.75" hidden="1" customHeight="1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  <c r="X926" s="196"/>
      <c r="Y926" s="196"/>
      <c r="Z926" s="196"/>
      <c r="AA926" s="196"/>
    </row>
    <row r="927" ht="12.75" hidden="1" customHeight="1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  <c r="X927" s="196"/>
      <c r="Y927" s="196"/>
      <c r="Z927" s="196"/>
      <c r="AA927" s="196"/>
    </row>
    <row r="928" ht="12.75" hidden="1" customHeight="1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  <c r="X928" s="196"/>
      <c r="Y928" s="196"/>
      <c r="Z928" s="196"/>
      <c r="AA928" s="196"/>
    </row>
    <row r="929" ht="12.75" hidden="1" customHeight="1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  <c r="X929" s="196"/>
      <c r="Y929" s="196"/>
      <c r="Z929" s="196"/>
      <c r="AA929" s="196"/>
    </row>
    <row r="930" ht="12.75" hidden="1" customHeight="1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  <c r="X930" s="196"/>
      <c r="Y930" s="196"/>
      <c r="Z930" s="196"/>
      <c r="AA930" s="196"/>
    </row>
    <row r="931" ht="12.75" hidden="1" customHeight="1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  <c r="X931" s="196"/>
      <c r="Y931" s="196"/>
      <c r="Z931" s="196"/>
      <c r="AA931" s="196"/>
    </row>
    <row r="932" ht="12.75" hidden="1" customHeight="1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  <c r="X932" s="196"/>
      <c r="Y932" s="196"/>
      <c r="Z932" s="196"/>
      <c r="AA932" s="196"/>
    </row>
    <row r="933" ht="12.75" hidden="1" customHeight="1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  <c r="X933" s="196"/>
      <c r="Y933" s="196"/>
      <c r="Z933" s="196"/>
      <c r="AA933" s="196"/>
    </row>
    <row r="934" ht="12.75" hidden="1" customHeight="1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  <c r="X934" s="196"/>
      <c r="Y934" s="196"/>
      <c r="Z934" s="196"/>
      <c r="AA934" s="196"/>
    </row>
    <row r="935" ht="12.75" hidden="1" customHeight="1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  <c r="X935" s="196"/>
      <c r="Y935" s="196"/>
      <c r="Z935" s="196"/>
      <c r="AA935" s="196"/>
    </row>
    <row r="936" ht="12.75" hidden="1" customHeight="1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  <c r="X936" s="196"/>
      <c r="Y936" s="196"/>
      <c r="Z936" s="196"/>
      <c r="AA936" s="196"/>
    </row>
    <row r="937" ht="12.75" hidden="1" customHeight="1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  <c r="X937" s="196"/>
      <c r="Y937" s="196"/>
      <c r="Z937" s="196"/>
      <c r="AA937" s="196"/>
    </row>
    <row r="938" ht="12.75" hidden="1" customHeight="1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  <c r="X938" s="196"/>
      <c r="Y938" s="196"/>
      <c r="Z938" s="196"/>
      <c r="AA938" s="196"/>
    </row>
    <row r="939" ht="12.75" hidden="1" customHeight="1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  <c r="P939" s="196"/>
      <c r="Q939" s="196"/>
      <c r="R939" s="196"/>
      <c r="S939" s="196"/>
      <c r="T939" s="196"/>
      <c r="U939" s="196"/>
      <c r="V939" s="196"/>
      <c r="W939" s="196"/>
      <c r="X939" s="196"/>
      <c r="Y939" s="196"/>
      <c r="Z939" s="196"/>
      <c r="AA939" s="196"/>
    </row>
    <row r="940" ht="12.75" hidden="1" customHeight="1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196"/>
    </row>
    <row r="941" ht="12.75" hidden="1" customHeight="1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196"/>
    </row>
    <row r="942" ht="12.75" hidden="1" customHeight="1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196"/>
    </row>
    <row r="943" ht="12.75" hidden="1" customHeight="1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196"/>
    </row>
    <row r="944" ht="12.75" hidden="1" customHeight="1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196"/>
    </row>
    <row r="945" ht="12.75" hidden="1" customHeight="1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  <c r="P945" s="196"/>
      <c r="Q945" s="196"/>
      <c r="R945" s="196"/>
      <c r="S945" s="196"/>
      <c r="T945" s="196"/>
      <c r="U945" s="196"/>
      <c r="V945" s="196"/>
      <c r="W945" s="196"/>
      <c r="X945" s="196"/>
      <c r="Y945" s="196"/>
      <c r="Z945" s="196"/>
      <c r="AA945" s="196"/>
    </row>
    <row r="946" ht="12.75" hidden="1" customHeight="1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196"/>
      <c r="T946" s="196"/>
      <c r="U946" s="196"/>
      <c r="V946" s="196"/>
      <c r="W946" s="196"/>
      <c r="X946" s="196"/>
      <c r="Y946" s="196"/>
      <c r="Z946" s="196"/>
      <c r="AA946" s="196"/>
    </row>
    <row r="947" ht="12.75" hidden="1" customHeight="1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  <c r="P947" s="196"/>
      <c r="Q947" s="196"/>
      <c r="R947" s="196"/>
      <c r="S947" s="196"/>
      <c r="T947" s="196"/>
      <c r="U947" s="196"/>
      <c r="V947" s="196"/>
      <c r="W947" s="196"/>
      <c r="X947" s="196"/>
      <c r="Y947" s="196"/>
      <c r="Z947" s="196"/>
      <c r="AA947" s="196"/>
    </row>
    <row r="948" ht="12.75" hidden="1" customHeight="1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196"/>
      <c r="T948" s="196"/>
      <c r="U948" s="196"/>
      <c r="V948" s="196"/>
      <c r="W948" s="196"/>
      <c r="X948" s="196"/>
      <c r="Y948" s="196"/>
      <c r="Z948" s="196"/>
      <c r="AA948" s="196"/>
    </row>
    <row r="949" ht="12.75" hidden="1" customHeight="1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  <c r="P949" s="196"/>
      <c r="Q949" s="196"/>
      <c r="R949" s="196"/>
      <c r="S949" s="196"/>
      <c r="T949" s="196"/>
      <c r="U949" s="196"/>
      <c r="V949" s="196"/>
      <c r="W949" s="196"/>
      <c r="X949" s="196"/>
      <c r="Y949" s="196"/>
      <c r="Z949" s="196"/>
      <c r="AA949" s="196"/>
    </row>
    <row r="950" ht="12.75" hidden="1" customHeight="1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  <c r="P950" s="196"/>
      <c r="Q950" s="196"/>
      <c r="R950" s="196"/>
      <c r="S950" s="196"/>
      <c r="T950" s="196"/>
      <c r="U950" s="196"/>
      <c r="V950" s="196"/>
      <c r="W950" s="196"/>
      <c r="X950" s="196"/>
      <c r="Y950" s="196"/>
      <c r="Z950" s="196"/>
      <c r="AA950" s="196"/>
    </row>
    <row r="951" ht="12.75" hidden="1" customHeight="1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  <c r="P951" s="196"/>
      <c r="Q951" s="196"/>
      <c r="R951" s="196"/>
      <c r="S951" s="196"/>
      <c r="T951" s="196"/>
      <c r="U951" s="196"/>
      <c r="V951" s="196"/>
      <c r="W951" s="196"/>
      <c r="X951" s="196"/>
      <c r="Y951" s="196"/>
      <c r="Z951" s="196"/>
      <c r="AA951" s="196"/>
    </row>
    <row r="952" ht="12.75" hidden="1" customHeight="1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  <c r="P952" s="196"/>
      <c r="Q952" s="196"/>
      <c r="R952" s="196"/>
      <c r="S952" s="196"/>
      <c r="T952" s="196"/>
      <c r="U952" s="196"/>
      <c r="V952" s="196"/>
      <c r="W952" s="196"/>
      <c r="X952" s="196"/>
      <c r="Y952" s="196"/>
      <c r="Z952" s="196"/>
      <c r="AA952" s="196"/>
    </row>
    <row r="953" ht="12.75" hidden="1" customHeight="1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  <c r="P953" s="196"/>
      <c r="Q953" s="196"/>
      <c r="R953" s="196"/>
      <c r="S953" s="196"/>
      <c r="T953" s="196"/>
      <c r="U953" s="196"/>
      <c r="V953" s="196"/>
      <c r="W953" s="196"/>
      <c r="X953" s="196"/>
      <c r="Y953" s="196"/>
      <c r="Z953" s="196"/>
      <c r="AA953" s="196"/>
    </row>
    <row r="954" ht="12.75" hidden="1" customHeight="1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  <c r="P954" s="196"/>
      <c r="Q954" s="196"/>
      <c r="R954" s="196"/>
      <c r="S954" s="196"/>
      <c r="T954" s="196"/>
      <c r="U954" s="196"/>
      <c r="V954" s="196"/>
      <c r="W954" s="196"/>
      <c r="X954" s="196"/>
      <c r="Y954" s="196"/>
      <c r="Z954" s="196"/>
      <c r="AA954" s="196"/>
    </row>
    <row r="955" ht="12.75" hidden="1" customHeight="1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  <c r="P955" s="196"/>
      <c r="Q955" s="196"/>
      <c r="R955" s="196"/>
      <c r="S955" s="196"/>
      <c r="T955" s="196"/>
      <c r="U955" s="196"/>
      <c r="V955" s="196"/>
      <c r="W955" s="196"/>
      <c r="X955" s="196"/>
      <c r="Y955" s="196"/>
      <c r="Z955" s="196"/>
      <c r="AA955" s="196"/>
    </row>
    <row r="956" ht="12.75" hidden="1" customHeight="1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196"/>
      <c r="T956" s="196"/>
      <c r="U956" s="196"/>
      <c r="V956" s="196"/>
      <c r="W956" s="196"/>
      <c r="X956" s="196"/>
      <c r="Y956" s="196"/>
      <c r="Z956" s="196"/>
      <c r="AA956" s="196"/>
    </row>
    <row r="957" ht="12.75" hidden="1" customHeight="1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196"/>
      <c r="T957" s="196"/>
      <c r="U957" s="196"/>
      <c r="V957" s="196"/>
      <c r="W957" s="196"/>
      <c r="X957" s="196"/>
      <c r="Y957" s="196"/>
      <c r="Z957" s="196"/>
      <c r="AA957" s="196"/>
    </row>
    <row r="958" ht="12.75" hidden="1" customHeight="1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  <c r="P958" s="196"/>
      <c r="Q958" s="196"/>
      <c r="R958" s="196"/>
      <c r="S958" s="196"/>
      <c r="T958" s="196"/>
      <c r="U958" s="196"/>
      <c r="V958" s="196"/>
      <c r="W958" s="196"/>
      <c r="X958" s="196"/>
      <c r="Y958" s="196"/>
      <c r="Z958" s="196"/>
      <c r="AA958" s="196"/>
    </row>
    <row r="959" ht="12.75" hidden="1" customHeight="1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  <c r="P959" s="196"/>
      <c r="Q959" s="196"/>
      <c r="R959" s="196"/>
      <c r="S959" s="196"/>
      <c r="T959" s="196"/>
      <c r="U959" s="196"/>
      <c r="V959" s="196"/>
      <c r="W959" s="196"/>
      <c r="X959" s="196"/>
      <c r="Y959" s="196"/>
      <c r="Z959" s="196"/>
      <c r="AA959" s="196"/>
    </row>
    <row r="960" ht="12.75" hidden="1" customHeight="1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196"/>
      <c r="S960" s="196"/>
      <c r="T960" s="196"/>
      <c r="U960" s="196"/>
      <c r="V960" s="196"/>
      <c r="W960" s="196"/>
      <c r="X960" s="196"/>
      <c r="Y960" s="196"/>
      <c r="Z960" s="196"/>
      <c r="AA960" s="196"/>
    </row>
    <row r="961" ht="12.75" hidden="1" customHeight="1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  <c r="P961" s="196"/>
      <c r="Q961" s="196"/>
      <c r="R961" s="196"/>
      <c r="S961" s="196"/>
      <c r="T961" s="196"/>
      <c r="U961" s="196"/>
      <c r="V961" s="196"/>
      <c r="W961" s="196"/>
      <c r="X961" s="196"/>
      <c r="Y961" s="196"/>
      <c r="Z961" s="196"/>
      <c r="AA961" s="196"/>
    </row>
    <row r="962" ht="12.75" hidden="1" customHeight="1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  <c r="P962" s="196"/>
      <c r="Q962" s="196"/>
      <c r="R962" s="196"/>
      <c r="S962" s="196"/>
      <c r="T962" s="196"/>
      <c r="U962" s="196"/>
      <c r="V962" s="196"/>
      <c r="W962" s="196"/>
      <c r="X962" s="196"/>
      <c r="Y962" s="196"/>
      <c r="Z962" s="196"/>
      <c r="AA962" s="196"/>
    </row>
    <row r="963" ht="12.75" hidden="1" customHeight="1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196"/>
      <c r="S963" s="196"/>
      <c r="T963" s="196"/>
      <c r="U963" s="196"/>
      <c r="V963" s="196"/>
      <c r="W963" s="196"/>
      <c r="X963" s="196"/>
      <c r="Y963" s="196"/>
      <c r="Z963" s="196"/>
      <c r="AA963" s="196"/>
    </row>
    <row r="964" ht="12.75" hidden="1" customHeight="1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196"/>
      <c r="T964" s="196"/>
      <c r="U964" s="196"/>
      <c r="V964" s="196"/>
      <c r="W964" s="196"/>
      <c r="X964" s="196"/>
      <c r="Y964" s="196"/>
      <c r="Z964" s="196"/>
      <c r="AA964" s="196"/>
    </row>
    <row r="965" ht="12.75" hidden="1" customHeight="1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  <c r="P965" s="196"/>
      <c r="Q965" s="196"/>
      <c r="R965" s="196"/>
      <c r="S965" s="196"/>
      <c r="T965" s="196"/>
      <c r="U965" s="196"/>
      <c r="V965" s="196"/>
      <c r="W965" s="196"/>
      <c r="X965" s="196"/>
      <c r="Y965" s="196"/>
      <c r="Z965" s="196"/>
      <c r="AA965" s="196"/>
    </row>
    <row r="966" ht="12.75" hidden="1" customHeight="1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  <c r="P966" s="196"/>
      <c r="Q966" s="196"/>
      <c r="R966" s="196"/>
      <c r="S966" s="196"/>
      <c r="T966" s="196"/>
      <c r="U966" s="196"/>
      <c r="V966" s="196"/>
      <c r="W966" s="196"/>
      <c r="X966" s="196"/>
      <c r="Y966" s="196"/>
      <c r="Z966" s="196"/>
      <c r="AA966" s="196"/>
    </row>
    <row r="967" ht="12.75" hidden="1" customHeight="1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196"/>
      <c r="T967" s="196"/>
      <c r="U967" s="196"/>
      <c r="V967" s="196"/>
      <c r="W967" s="196"/>
      <c r="X967" s="196"/>
      <c r="Y967" s="196"/>
      <c r="Z967" s="196"/>
      <c r="AA967" s="196"/>
    </row>
    <row r="968" ht="12.75" hidden="1" customHeight="1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  <c r="P968" s="196"/>
      <c r="Q968" s="196"/>
      <c r="R968" s="196"/>
      <c r="S968" s="196"/>
      <c r="T968" s="196"/>
      <c r="U968" s="196"/>
      <c r="V968" s="196"/>
      <c r="W968" s="196"/>
      <c r="X968" s="196"/>
      <c r="Y968" s="196"/>
      <c r="Z968" s="196"/>
      <c r="AA968" s="196"/>
    </row>
    <row r="969" ht="12.75" hidden="1" customHeight="1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  <c r="P969" s="196"/>
      <c r="Q969" s="196"/>
      <c r="R969" s="196"/>
      <c r="S969" s="196"/>
      <c r="T969" s="196"/>
      <c r="U969" s="196"/>
      <c r="V969" s="196"/>
      <c r="W969" s="196"/>
      <c r="X969" s="196"/>
      <c r="Y969" s="196"/>
      <c r="Z969" s="196"/>
      <c r="AA969" s="196"/>
    </row>
    <row r="970" ht="12.75" hidden="1" customHeight="1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196"/>
      <c r="T970" s="196"/>
      <c r="U970" s="196"/>
      <c r="V970" s="196"/>
      <c r="W970" s="196"/>
      <c r="X970" s="196"/>
      <c r="Y970" s="196"/>
      <c r="Z970" s="196"/>
      <c r="AA970" s="196"/>
    </row>
    <row r="971" ht="12.75" hidden="1" customHeight="1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  <c r="P971" s="196"/>
      <c r="Q971" s="196"/>
      <c r="R971" s="196"/>
      <c r="S971" s="196"/>
      <c r="T971" s="196"/>
      <c r="U971" s="196"/>
      <c r="V971" s="196"/>
      <c r="W971" s="196"/>
      <c r="X971" s="196"/>
      <c r="Y971" s="196"/>
      <c r="Z971" s="196"/>
      <c r="AA971" s="196"/>
    </row>
    <row r="972" ht="12.75" hidden="1" customHeight="1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196"/>
      <c r="T972" s="196"/>
      <c r="U972" s="196"/>
      <c r="V972" s="196"/>
      <c r="W972" s="196"/>
      <c r="X972" s="196"/>
      <c r="Y972" s="196"/>
      <c r="Z972" s="196"/>
      <c r="AA972" s="196"/>
    </row>
    <row r="973" ht="12.75" hidden="1" customHeight="1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196"/>
      <c r="T973" s="196"/>
      <c r="U973" s="196"/>
      <c r="V973" s="196"/>
      <c r="W973" s="196"/>
      <c r="X973" s="196"/>
      <c r="Y973" s="196"/>
      <c r="Z973" s="196"/>
      <c r="AA973" s="196"/>
    </row>
    <row r="974" ht="12.75" hidden="1" customHeight="1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196"/>
      <c r="T974" s="196"/>
      <c r="U974" s="196"/>
      <c r="V974" s="196"/>
      <c r="W974" s="196"/>
      <c r="X974" s="196"/>
      <c r="Y974" s="196"/>
      <c r="Z974" s="196"/>
      <c r="AA974" s="196"/>
    </row>
    <row r="975" ht="12.75" hidden="1" customHeight="1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196"/>
      <c r="T975" s="196"/>
      <c r="U975" s="196"/>
      <c r="V975" s="196"/>
      <c r="W975" s="196"/>
      <c r="X975" s="196"/>
      <c r="Y975" s="196"/>
      <c r="Z975" s="196"/>
      <c r="AA975" s="196"/>
    </row>
    <row r="976" ht="12.75" hidden="1" customHeight="1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196"/>
      <c r="T976" s="196"/>
      <c r="U976" s="196"/>
      <c r="V976" s="196"/>
      <c r="W976" s="196"/>
      <c r="X976" s="196"/>
      <c r="Y976" s="196"/>
      <c r="Z976" s="196"/>
      <c r="AA976" s="196"/>
    </row>
    <row r="977" ht="12.75" hidden="1" customHeight="1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196"/>
      <c r="T977" s="196"/>
      <c r="U977" s="196"/>
      <c r="V977" s="196"/>
      <c r="W977" s="196"/>
      <c r="X977" s="196"/>
      <c r="Y977" s="196"/>
      <c r="Z977" s="196"/>
      <c r="AA977" s="196"/>
    </row>
    <row r="978" ht="12.75" hidden="1" customHeight="1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196"/>
      <c r="T978" s="196"/>
      <c r="U978" s="196"/>
      <c r="V978" s="196"/>
      <c r="W978" s="196"/>
      <c r="X978" s="196"/>
      <c r="Y978" s="196"/>
      <c r="Z978" s="196"/>
      <c r="AA978" s="196"/>
    </row>
    <row r="979" ht="12.75" hidden="1" customHeight="1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196"/>
      <c r="T979" s="196"/>
      <c r="U979" s="196"/>
      <c r="V979" s="196"/>
      <c r="W979" s="196"/>
      <c r="X979" s="196"/>
      <c r="Y979" s="196"/>
      <c r="Z979" s="196"/>
      <c r="AA979" s="196"/>
    </row>
    <row r="980" ht="12.75" hidden="1" customHeight="1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  <c r="P980" s="196"/>
      <c r="Q980" s="196"/>
      <c r="R980" s="196"/>
      <c r="S980" s="196"/>
      <c r="T980" s="196"/>
      <c r="U980" s="196"/>
      <c r="V980" s="196"/>
      <c r="W980" s="196"/>
      <c r="X980" s="196"/>
      <c r="Y980" s="196"/>
      <c r="Z980" s="196"/>
      <c r="AA980" s="196"/>
    </row>
    <row r="981" ht="12.75" hidden="1" customHeight="1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  <c r="P981" s="196"/>
      <c r="Q981" s="196"/>
      <c r="R981" s="196"/>
      <c r="S981" s="196"/>
      <c r="T981" s="196"/>
      <c r="U981" s="196"/>
      <c r="V981" s="196"/>
      <c r="W981" s="196"/>
      <c r="X981" s="196"/>
      <c r="Y981" s="196"/>
      <c r="Z981" s="196"/>
      <c r="AA981" s="196"/>
    </row>
    <row r="982" ht="12.75" hidden="1" customHeight="1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  <c r="P982" s="196"/>
      <c r="Q982" s="196"/>
      <c r="R982" s="196"/>
      <c r="S982" s="196"/>
      <c r="T982" s="196"/>
      <c r="U982" s="196"/>
      <c r="V982" s="196"/>
      <c r="W982" s="196"/>
      <c r="X982" s="196"/>
      <c r="Y982" s="196"/>
      <c r="Z982" s="196"/>
      <c r="AA982" s="196"/>
    </row>
    <row r="983" ht="12.75" hidden="1" customHeight="1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  <c r="P983" s="196"/>
      <c r="Q983" s="196"/>
      <c r="R983" s="196"/>
      <c r="S983" s="196"/>
      <c r="T983" s="196"/>
      <c r="U983" s="196"/>
      <c r="V983" s="196"/>
      <c r="W983" s="196"/>
      <c r="X983" s="196"/>
      <c r="Y983" s="196"/>
      <c r="Z983" s="196"/>
      <c r="AA983" s="196"/>
    </row>
    <row r="984" ht="12.75" hidden="1" customHeight="1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196"/>
      <c r="S984" s="196"/>
      <c r="T984" s="196"/>
      <c r="U984" s="196"/>
      <c r="V984" s="196"/>
      <c r="W984" s="196"/>
      <c r="X984" s="196"/>
      <c r="Y984" s="196"/>
      <c r="Z984" s="196"/>
      <c r="AA984" s="196"/>
    </row>
    <row r="985" ht="12.75" hidden="1" customHeight="1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196"/>
    </row>
    <row r="986" ht="12.75" hidden="1" customHeight="1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196"/>
    </row>
    <row r="987" ht="12.75" hidden="1" customHeight="1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196"/>
    </row>
    <row r="988" ht="12.75" hidden="1" customHeight="1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196"/>
    </row>
    <row r="989" ht="12.75" hidden="1" customHeight="1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196"/>
    </row>
    <row r="990" ht="12.75" hidden="1" customHeight="1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  <c r="P990" s="196"/>
      <c r="Q990" s="196"/>
      <c r="R990" s="196"/>
      <c r="S990" s="196"/>
      <c r="T990" s="196"/>
      <c r="U990" s="196"/>
      <c r="V990" s="196"/>
      <c r="W990" s="196"/>
      <c r="X990" s="196"/>
      <c r="Y990" s="196"/>
      <c r="Z990" s="196"/>
      <c r="AA990" s="196"/>
    </row>
    <row r="991" ht="12.75" hidden="1" customHeight="1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  <c r="P991" s="196"/>
      <c r="Q991" s="196"/>
      <c r="R991" s="196"/>
      <c r="S991" s="196"/>
      <c r="T991" s="196"/>
      <c r="U991" s="196"/>
      <c r="V991" s="196"/>
      <c r="W991" s="196"/>
      <c r="X991" s="196"/>
      <c r="Y991" s="196"/>
      <c r="Z991" s="196"/>
      <c r="AA991" s="196"/>
    </row>
    <row r="992" ht="12.75" hidden="1" customHeight="1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  <c r="P992" s="196"/>
      <c r="Q992" s="196"/>
      <c r="R992" s="196"/>
      <c r="S992" s="196"/>
      <c r="T992" s="196"/>
      <c r="U992" s="196"/>
      <c r="V992" s="196"/>
      <c r="W992" s="196"/>
      <c r="X992" s="196"/>
      <c r="Y992" s="196"/>
      <c r="Z992" s="196"/>
      <c r="AA992" s="196"/>
    </row>
    <row r="993" ht="12.75" hidden="1" customHeight="1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  <c r="P993" s="196"/>
      <c r="Q993" s="196"/>
      <c r="R993" s="196"/>
      <c r="S993" s="196"/>
      <c r="T993" s="196"/>
      <c r="U993" s="196"/>
      <c r="V993" s="196"/>
      <c r="W993" s="196"/>
      <c r="X993" s="196"/>
      <c r="Y993" s="196"/>
      <c r="Z993" s="196"/>
      <c r="AA993" s="196"/>
    </row>
    <row r="994" ht="12.75" hidden="1" customHeight="1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196"/>
      <c r="T994" s="196"/>
      <c r="U994" s="196"/>
      <c r="V994" s="196"/>
      <c r="W994" s="196"/>
      <c r="X994" s="196"/>
      <c r="Y994" s="196"/>
      <c r="Z994" s="196"/>
      <c r="AA994" s="196"/>
    </row>
    <row r="995" ht="12.75" hidden="1" customHeight="1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  <c r="P995" s="196"/>
      <c r="Q995" s="196"/>
      <c r="R995" s="196"/>
      <c r="S995" s="196"/>
      <c r="T995" s="196"/>
      <c r="U995" s="196"/>
      <c r="V995" s="196"/>
      <c r="W995" s="196"/>
      <c r="X995" s="196"/>
      <c r="Y995" s="196"/>
      <c r="Z995" s="196"/>
      <c r="AA995" s="196"/>
    </row>
    <row r="996" ht="12.75" hidden="1" customHeight="1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196"/>
      <c r="T996" s="196"/>
      <c r="U996" s="196"/>
      <c r="V996" s="196"/>
      <c r="W996" s="196"/>
      <c r="X996" s="196"/>
      <c r="Y996" s="196"/>
      <c r="Z996" s="196"/>
      <c r="AA996" s="196"/>
    </row>
    <row r="997" ht="12.75" hidden="1" customHeight="1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196"/>
      <c r="T997" s="196"/>
      <c r="U997" s="196"/>
      <c r="V997" s="196"/>
      <c r="W997" s="196"/>
      <c r="X997" s="196"/>
      <c r="Y997" s="196"/>
      <c r="Z997" s="196"/>
      <c r="AA997" s="196"/>
    </row>
    <row r="998" ht="12.75" hidden="1" customHeight="1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  <c r="P998" s="196"/>
      <c r="Q998" s="196"/>
      <c r="R998" s="196"/>
      <c r="S998" s="196"/>
      <c r="T998" s="196"/>
      <c r="U998" s="196"/>
      <c r="V998" s="196"/>
      <c r="W998" s="196"/>
      <c r="X998" s="196"/>
      <c r="Y998" s="196"/>
      <c r="Z998" s="196"/>
      <c r="AA998" s="196"/>
    </row>
    <row r="999" ht="12.75" hidden="1" customHeight="1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  <c r="P999" s="196"/>
      <c r="Q999" s="196"/>
      <c r="R999" s="196"/>
      <c r="S999" s="196"/>
      <c r="T999" s="196"/>
      <c r="U999" s="196"/>
      <c r="V999" s="196"/>
      <c r="W999" s="196"/>
      <c r="X999" s="196"/>
      <c r="Y999" s="196"/>
      <c r="Z999" s="196"/>
      <c r="AA999" s="196"/>
    </row>
    <row r="1000" ht="12.75" hidden="1" customHeight="1">
      <c r="A1000" s="196"/>
      <c r="B1000" s="196"/>
      <c r="C1000" s="196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196"/>
      <c r="S1000" s="196"/>
      <c r="T1000" s="196"/>
      <c r="U1000" s="196"/>
      <c r="V1000" s="196"/>
      <c r="W1000" s="196"/>
      <c r="X1000" s="196"/>
      <c r="Y1000" s="196"/>
      <c r="Z1000" s="196"/>
      <c r="AA1000" s="196"/>
    </row>
    <row r="1001" ht="12.75" hidden="1" customHeight="1">
      <c r="A1001" s="196"/>
      <c r="B1001" s="196"/>
      <c r="C1001" s="196"/>
      <c r="D1001" s="196"/>
      <c r="E1001" s="196"/>
      <c r="F1001" s="196"/>
      <c r="G1001" s="196"/>
      <c r="H1001" s="196"/>
      <c r="I1001" s="196"/>
      <c r="J1001" s="196"/>
      <c r="K1001" s="196"/>
      <c r="L1001" s="196"/>
      <c r="M1001" s="196"/>
      <c r="N1001" s="196"/>
      <c r="O1001" s="196"/>
      <c r="P1001" s="196"/>
      <c r="Q1001" s="196"/>
      <c r="R1001" s="196"/>
      <c r="S1001" s="196"/>
      <c r="T1001" s="196"/>
      <c r="U1001" s="196"/>
      <c r="V1001" s="196"/>
      <c r="W1001" s="196"/>
      <c r="X1001" s="196"/>
      <c r="Y1001" s="196"/>
      <c r="Z1001" s="196"/>
      <c r="AA1001" s="196"/>
    </row>
    <row r="1002" ht="12.75" hidden="1" customHeight="1">
      <c r="A1002" s="196"/>
      <c r="B1002" s="196"/>
      <c r="C1002" s="196"/>
      <c r="D1002" s="196"/>
      <c r="E1002" s="196"/>
      <c r="F1002" s="196"/>
      <c r="G1002" s="196"/>
      <c r="H1002" s="196"/>
      <c r="I1002" s="196"/>
      <c r="J1002" s="196"/>
      <c r="K1002" s="196"/>
      <c r="L1002" s="196"/>
      <c r="M1002" s="196"/>
      <c r="N1002" s="196"/>
      <c r="O1002" s="196"/>
      <c r="P1002" s="196"/>
      <c r="Q1002" s="196"/>
      <c r="R1002" s="196"/>
      <c r="S1002" s="196"/>
      <c r="T1002" s="196"/>
      <c r="U1002" s="196"/>
      <c r="V1002" s="196"/>
      <c r="W1002" s="196"/>
      <c r="X1002" s="196"/>
      <c r="Y1002" s="196"/>
      <c r="Z1002" s="196"/>
      <c r="AA1002" s="196"/>
    </row>
    <row r="1003" ht="12.75" hidden="1" customHeight="1">
      <c r="A1003" s="196"/>
      <c r="B1003" s="196"/>
      <c r="C1003" s="196"/>
      <c r="D1003" s="196"/>
      <c r="E1003" s="196"/>
      <c r="F1003" s="196"/>
      <c r="G1003" s="196"/>
      <c r="H1003" s="196"/>
      <c r="I1003" s="196"/>
      <c r="J1003" s="196"/>
      <c r="K1003" s="196"/>
      <c r="L1003" s="196"/>
      <c r="M1003" s="196"/>
      <c r="N1003" s="196"/>
      <c r="O1003" s="196"/>
      <c r="P1003" s="196"/>
      <c r="Q1003" s="196"/>
      <c r="R1003" s="196"/>
      <c r="S1003" s="196"/>
      <c r="T1003" s="196"/>
      <c r="U1003" s="196"/>
      <c r="V1003" s="196"/>
      <c r="W1003" s="196"/>
      <c r="X1003" s="196"/>
      <c r="Y1003" s="196"/>
      <c r="Z1003" s="196"/>
      <c r="AA1003" s="196"/>
    </row>
  </sheetData>
  <mergeCells count="22">
    <mergeCell ref="F25:I25"/>
    <mergeCell ref="J25:P25"/>
    <mergeCell ref="B25:E25"/>
    <mergeCell ref="B26:I26"/>
    <mergeCell ref="G27:I27"/>
    <mergeCell ref="A25:A27"/>
    <mergeCell ref="B27:F27"/>
    <mergeCell ref="A29:A34"/>
    <mergeCell ref="A36:A39"/>
    <mergeCell ref="J27:Y27"/>
    <mergeCell ref="B29:Y30"/>
    <mergeCell ref="B31:Y32"/>
    <mergeCell ref="B33:Y34"/>
    <mergeCell ref="B36:Y37"/>
    <mergeCell ref="B38:Y39"/>
    <mergeCell ref="B2:Q2"/>
    <mergeCell ref="B3:Q3"/>
    <mergeCell ref="B4:Q4"/>
    <mergeCell ref="B5:Q5"/>
    <mergeCell ref="B8:Y8"/>
    <mergeCell ref="Q25:Y25"/>
    <mergeCell ref="J26:Y26"/>
  </mergeCells>
  <printOptions/>
  <pageMargins bottom="0.984251968503937" footer="0.0" header="0.0" left="0.15748031496062992" right="0.15748031496062992" top="0.984251968503937"/>
  <pageSetup paperSize="9" scale="57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57"/>
    <col customWidth="1" min="2" max="3" width="8.86"/>
    <col customWidth="1" min="4" max="4" width="94.71"/>
    <col customWidth="1" min="5" max="23" width="8.29"/>
    <col customWidth="1" min="24" max="25" width="7.86"/>
    <col customWidth="1" min="26" max="26" width="6.43"/>
    <col customWidth="1" min="27" max="27" width="8.29"/>
    <col customWidth="1" min="28" max="28" width="7.57"/>
    <col customWidth="1" min="29" max="29" width="22.0"/>
    <col customWidth="1" min="30" max="30" width="27.0"/>
    <col customWidth="1" min="31" max="31" width="9.86"/>
    <col customWidth="1" min="32" max="32" width="3.43"/>
    <col customWidth="1" min="33" max="33" width="28.29"/>
    <col customWidth="1" min="34" max="34" width="19.0"/>
  </cols>
  <sheetData>
    <row r="1" ht="12.75" customHeight="1">
      <c r="A1" s="33" t="s">
        <v>820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5"/>
      <c r="AD1" s="273" t="s">
        <v>821</v>
      </c>
      <c r="AE1" s="34"/>
      <c r="AF1" s="34"/>
      <c r="AG1" s="34"/>
      <c r="AH1" s="35"/>
    </row>
    <row r="2" ht="36.0" customHeight="1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8"/>
      <c r="AD2" s="36"/>
      <c r="AE2" s="37"/>
      <c r="AF2" s="37"/>
      <c r="AG2" s="37"/>
      <c r="AH2" s="38"/>
    </row>
    <row r="3" ht="12.75" customHeight="1">
      <c r="A3" s="274" t="s">
        <v>225</v>
      </c>
      <c r="B3" s="40"/>
      <c r="C3" s="40"/>
      <c r="D3" s="41"/>
      <c r="E3" s="4">
        <v>2000.0</v>
      </c>
      <c r="F3" s="4">
        <v>2001.0</v>
      </c>
      <c r="G3" s="4">
        <v>2002.0</v>
      </c>
      <c r="H3" s="4">
        <v>2003.0</v>
      </c>
      <c r="I3" s="4">
        <v>2004.0</v>
      </c>
      <c r="J3" s="4">
        <v>2005.0</v>
      </c>
      <c r="K3" s="4">
        <v>2006.0</v>
      </c>
      <c r="L3" s="4">
        <v>2007.0</v>
      </c>
      <c r="M3" s="4">
        <v>2008.0</v>
      </c>
      <c r="N3" s="4">
        <v>2009.0</v>
      </c>
      <c r="O3" s="4">
        <v>2010.0</v>
      </c>
      <c r="P3" s="4">
        <v>2011.0</v>
      </c>
      <c r="Q3" s="4">
        <v>2012.0</v>
      </c>
      <c r="R3" s="4">
        <v>2013.0</v>
      </c>
      <c r="S3" s="4">
        <v>2014.0</v>
      </c>
      <c r="T3" s="4">
        <v>2015.0</v>
      </c>
      <c r="U3" s="4">
        <v>2016.0</v>
      </c>
      <c r="V3" s="4">
        <v>2017.0</v>
      </c>
      <c r="W3" s="4">
        <v>2018.0</v>
      </c>
      <c r="X3" s="4">
        <v>2019.0</v>
      </c>
      <c r="Y3" s="4">
        <v>2020.0</v>
      </c>
      <c r="Z3" s="4">
        <v>2021.0</v>
      </c>
      <c r="AA3" s="4">
        <v>2022.0</v>
      </c>
      <c r="AB3" s="275">
        <v>2023.0</v>
      </c>
      <c r="AD3" s="4" t="s">
        <v>106</v>
      </c>
      <c r="AE3" s="274" t="s">
        <v>107</v>
      </c>
      <c r="AF3" s="40"/>
      <c r="AG3" s="41"/>
      <c r="AH3" s="4" t="s">
        <v>108</v>
      </c>
    </row>
    <row r="4" ht="12.75" customHeight="1">
      <c r="A4" s="89" t="s">
        <v>228</v>
      </c>
      <c r="B4" s="40"/>
      <c r="C4" s="40"/>
      <c r="D4" s="41"/>
      <c r="E4" s="276">
        <f>'2000'!$S$64</f>
        <v>9</v>
      </c>
      <c r="F4" s="276">
        <f>'2001'!$S$64</f>
        <v>17</v>
      </c>
      <c r="G4" s="276">
        <f>'2002'!$S$64</f>
        <v>11</v>
      </c>
      <c r="H4" s="276">
        <f>'2003'!$S$64</f>
        <v>21</v>
      </c>
      <c r="I4" s="276">
        <f>'2004'!$S$64</f>
        <v>14</v>
      </c>
      <c r="J4" s="276">
        <f>'2005'!$S$64</f>
        <v>16</v>
      </c>
      <c r="K4" s="276">
        <f>'2006'!$S$64</f>
        <v>32</v>
      </c>
      <c r="L4" s="276">
        <f>'2007'!$S$64</f>
        <v>62</v>
      </c>
      <c r="M4" s="276">
        <f>'2008'!$S$64</f>
        <v>72</v>
      </c>
      <c r="N4" s="276">
        <f>'2009'!$S$64</f>
        <v>68</v>
      </c>
      <c r="O4" s="276">
        <f>'2010'!$S$64</f>
        <v>46</v>
      </c>
      <c r="P4" s="276">
        <f>'2011'!$S$64</f>
        <v>44</v>
      </c>
      <c r="Q4" s="276">
        <f>'2012'!$S$64</f>
        <v>57</v>
      </c>
      <c r="R4" s="276">
        <f>'2013'!$S$64</f>
        <v>31</v>
      </c>
      <c r="S4" s="276">
        <f>'2014'!$S$64</f>
        <v>59</v>
      </c>
      <c r="T4" s="276">
        <f>'2015'!$S$64</f>
        <v>41</v>
      </c>
      <c r="U4" s="276">
        <f>'2016'!$S$64</f>
        <v>105</v>
      </c>
      <c r="V4" s="276">
        <f>'2017'!$S$64</f>
        <v>134</v>
      </c>
      <c r="W4" s="276">
        <f>'2018'!$S$64</f>
        <v>125</v>
      </c>
      <c r="X4" s="276">
        <f>'2019'!$S$64</f>
        <v>109</v>
      </c>
      <c r="Y4" s="276">
        <f>'2020'!$S$64</f>
        <v>1</v>
      </c>
      <c r="Z4" s="276">
        <f>'2021'!$S$65</f>
        <v>14</v>
      </c>
      <c r="AA4" s="276">
        <f>'2022'!S66</f>
        <v>1</v>
      </c>
      <c r="AB4" s="276">
        <f>'2023'!S68</f>
        <v>0</v>
      </c>
      <c r="AD4" s="123">
        <v>2008.0</v>
      </c>
      <c r="AE4" s="277">
        <f>'2023'!P29</f>
        <v>1</v>
      </c>
      <c r="AF4" s="40"/>
      <c r="AG4" s="41"/>
      <c r="AH4" s="278">
        <f t="shared" ref="AH4:AH19" si="1">(AE4/$AE$20)</f>
        <v>0.009803921569</v>
      </c>
    </row>
    <row r="5" ht="12.75" customHeight="1">
      <c r="A5" s="89" t="s">
        <v>230</v>
      </c>
      <c r="B5" s="40"/>
      <c r="C5" s="40"/>
      <c r="D5" s="41"/>
      <c r="E5" s="276">
        <f>'2000'!$S$65</f>
        <v>0</v>
      </c>
      <c r="F5" s="276">
        <f>'2001'!$S$65</f>
        <v>0</v>
      </c>
      <c r="G5" s="276">
        <f>'2002'!$S$65</f>
        <v>0</v>
      </c>
      <c r="H5" s="276">
        <f>'2003'!$S$65</f>
        <v>0</v>
      </c>
      <c r="I5" s="276">
        <f>'2004'!$S$65</f>
        <v>0</v>
      </c>
      <c r="J5" s="276">
        <f>'2005'!$S$65</f>
        <v>0</v>
      </c>
      <c r="K5" s="276">
        <f>'2006'!$S$65</f>
        <v>0</v>
      </c>
      <c r="L5" s="276">
        <f>'2007'!$S$65</f>
        <v>0</v>
      </c>
      <c r="M5" s="276">
        <f>'2008'!$S$65</f>
        <v>0</v>
      </c>
      <c r="N5" s="276">
        <f>'2009'!$S$65</f>
        <v>0</v>
      </c>
      <c r="O5" s="276">
        <f>'2010'!$S$65</f>
        <v>0</v>
      </c>
      <c r="P5" s="276">
        <f>'2011'!$S$65</f>
        <v>0</v>
      </c>
      <c r="Q5" s="276">
        <f>'2012'!$S$65</f>
        <v>0</v>
      </c>
      <c r="R5" s="276">
        <f>'2013'!$S$65</f>
        <v>0</v>
      </c>
      <c r="S5" s="276">
        <f>'2014'!$S$65</f>
        <v>0</v>
      </c>
      <c r="T5" s="276">
        <f>'2015'!$S$65</f>
        <v>0</v>
      </c>
      <c r="U5" s="276">
        <f>'2016'!$S$65</f>
        <v>0</v>
      </c>
      <c r="V5" s="276">
        <f>'2017'!$S$65</f>
        <v>0</v>
      </c>
      <c r="W5" s="276">
        <f>'2018'!$S$65</f>
        <v>0</v>
      </c>
      <c r="X5" s="276">
        <f>'2019'!$S$65</f>
        <v>0</v>
      </c>
      <c r="Y5" s="276">
        <f>'2020'!$S$65</f>
        <v>1</v>
      </c>
      <c r="Z5" s="276">
        <f>'2021'!$S$66</f>
        <v>0</v>
      </c>
      <c r="AA5" s="276">
        <f>'2022'!S67</f>
        <v>1</v>
      </c>
      <c r="AB5" s="276">
        <f>'2023'!S69</f>
        <v>0</v>
      </c>
      <c r="AD5" s="129">
        <v>2009.0</v>
      </c>
      <c r="AE5" s="279">
        <f>'2023'!P30</f>
        <v>1</v>
      </c>
      <c r="AF5" s="40"/>
      <c r="AG5" s="41"/>
      <c r="AH5" s="280">
        <f t="shared" si="1"/>
        <v>0.009803921569</v>
      </c>
    </row>
    <row r="6" ht="12.75" customHeight="1">
      <c r="A6" s="89" t="s">
        <v>232</v>
      </c>
      <c r="B6" s="40"/>
      <c r="C6" s="40"/>
      <c r="D6" s="41"/>
      <c r="E6" s="276">
        <f>'2000'!$S$66</f>
        <v>0</v>
      </c>
      <c r="F6" s="276">
        <f>'2001'!$S$66</f>
        <v>0</v>
      </c>
      <c r="G6" s="276">
        <f>'2002'!$S$66</f>
        <v>0</v>
      </c>
      <c r="H6" s="276">
        <f>'2003'!$S$66</f>
        <v>0</v>
      </c>
      <c r="I6" s="276">
        <f>'2004'!$S$66</f>
        <v>0</v>
      </c>
      <c r="J6" s="276">
        <f>'2005'!$S$66</f>
        <v>0</v>
      </c>
      <c r="K6" s="276">
        <f>'2006'!$S$66</f>
        <v>0</v>
      </c>
      <c r="L6" s="276">
        <f>'2007'!$S$66</f>
        <v>0</v>
      </c>
      <c r="M6" s="276">
        <f>'2008'!$S$66</f>
        <v>0</v>
      </c>
      <c r="N6" s="276">
        <f>'2009'!$S$66</f>
        <v>0</v>
      </c>
      <c r="O6" s="276">
        <f>'2010'!$S$66</f>
        <v>0</v>
      </c>
      <c r="P6" s="276">
        <f>'2011'!$S$66</f>
        <v>0</v>
      </c>
      <c r="Q6" s="276">
        <f>'2012'!$S$66</f>
        <v>0</v>
      </c>
      <c r="R6" s="276">
        <f>'2013'!$S$66</f>
        <v>0</v>
      </c>
      <c r="S6" s="276">
        <f>'2014'!$S$66</f>
        <v>0</v>
      </c>
      <c r="T6" s="276">
        <f>'2015'!$S$66</f>
        <v>0</v>
      </c>
      <c r="U6" s="276">
        <f>'2016'!$S$66</f>
        <v>0</v>
      </c>
      <c r="V6" s="276">
        <f>'2017'!$S$66</f>
        <v>0</v>
      </c>
      <c r="W6" s="276">
        <f>'2018'!$S$66</f>
        <v>0</v>
      </c>
      <c r="X6" s="276">
        <f>'2019'!$S$66</f>
        <v>0</v>
      </c>
      <c r="Y6" s="276">
        <f>'2020'!$S$66</f>
        <v>13</v>
      </c>
      <c r="Z6" s="276">
        <f>'2021'!$S$67</f>
        <v>8</v>
      </c>
      <c r="AA6" s="276">
        <f>'2022'!S68</f>
        <v>10</v>
      </c>
      <c r="AB6" s="276">
        <f>'2023'!S70</f>
        <v>4</v>
      </c>
      <c r="AD6" s="123">
        <v>2010.0</v>
      </c>
      <c r="AE6" s="277">
        <f>'2023'!P31</f>
        <v>1</v>
      </c>
      <c r="AF6" s="40"/>
      <c r="AG6" s="41"/>
      <c r="AH6" s="278">
        <f t="shared" si="1"/>
        <v>0.009803921569</v>
      </c>
    </row>
    <row r="7" ht="12.75" customHeight="1">
      <c r="A7" s="175" t="s">
        <v>234</v>
      </c>
      <c r="B7" s="40"/>
      <c r="C7" s="40"/>
      <c r="D7" s="41"/>
      <c r="E7" s="281">
        <f>'2000'!$S$67</f>
        <v>17</v>
      </c>
      <c r="F7" s="281">
        <f>'2001'!$S$67</f>
        <v>26</v>
      </c>
      <c r="G7" s="281">
        <f>'2002'!$S$67</f>
        <v>9</v>
      </c>
      <c r="H7" s="281">
        <f>'2003'!$S$67</f>
        <v>8</v>
      </c>
      <c r="I7" s="281">
        <f>'2004'!$S$67</f>
        <v>15</v>
      </c>
      <c r="J7" s="281">
        <f>'2005'!$S$67</f>
        <v>22</v>
      </c>
      <c r="K7" s="281">
        <f>'2006'!$S$67</f>
        <v>21</v>
      </c>
      <c r="L7" s="281">
        <f>'2007'!$S$67</f>
        <v>36</v>
      </c>
      <c r="M7" s="281">
        <f>'2008'!$S$67</f>
        <v>28</v>
      </c>
      <c r="N7" s="281">
        <f>'2009'!$S$67</f>
        <v>13</v>
      </c>
      <c r="O7" s="281">
        <f>'2010'!$S$67</f>
        <v>20</v>
      </c>
      <c r="P7" s="281">
        <f>'2011'!$S$67</f>
        <v>31</v>
      </c>
      <c r="Q7" s="281">
        <f>'2012'!$S$67</f>
        <v>44</v>
      </c>
      <c r="R7" s="281">
        <f>'2013'!$S$67</f>
        <v>22</v>
      </c>
      <c r="S7" s="281">
        <f>'2014'!$S$67</f>
        <v>22</v>
      </c>
      <c r="T7" s="281">
        <f>'2015'!$S$67</f>
        <v>16</v>
      </c>
      <c r="U7" s="281">
        <f>'2016'!$S$67</f>
        <v>35</v>
      </c>
      <c r="V7" s="281">
        <f>'2017'!$S$67</f>
        <v>56</v>
      </c>
      <c r="W7" s="281">
        <f>'2018'!$S$67</f>
        <v>58</v>
      </c>
      <c r="X7" s="281">
        <f>'2019'!$S$67</f>
        <v>47</v>
      </c>
      <c r="Y7" s="281">
        <f>'2020'!$S$67</f>
        <v>1</v>
      </c>
      <c r="Z7" s="281">
        <f>'2021'!$S$68</f>
        <v>0</v>
      </c>
      <c r="AA7" s="281">
        <f>'2022'!S69</f>
        <v>0</v>
      </c>
      <c r="AB7" s="281">
        <f>'2023'!S71</f>
        <v>1</v>
      </c>
      <c r="AD7" s="129">
        <v>2011.0</v>
      </c>
      <c r="AE7" s="279">
        <f>'2023'!P32</f>
        <v>5</v>
      </c>
      <c r="AF7" s="40"/>
      <c r="AG7" s="41"/>
      <c r="AH7" s="280">
        <f t="shared" si="1"/>
        <v>0.04901960784</v>
      </c>
    </row>
    <row r="8" ht="12.75" customHeight="1">
      <c r="A8" s="175" t="s">
        <v>236</v>
      </c>
      <c r="B8" s="40"/>
      <c r="C8" s="40"/>
      <c r="D8" s="41"/>
      <c r="E8" s="281">
        <f>'2000'!$S$68</f>
        <v>0</v>
      </c>
      <c r="F8" s="281">
        <f>'2001'!$S$68</f>
        <v>0</v>
      </c>
      <c r="G8" s="281">
        <f>'2002'!$S$68</f>
        <v>0</v>
      </c>
      <c r="H8" s="281">
        <f>'2003'!$S$68</f>
        <v>0</v>
      </c>
      <c r="I8" s="281">
        <f>'2004'!$S$68</f>
        <v>0</v>
      </c>
      <c r="J8" s="281">
        <f>'2005'!$S$68</f>
        <v>0</v>
      </c>
      <c r="K8" s="281">
        <f>'2006'!$S$68</f>
        <v>0</v>
      </c>
      <c r="L8" s="281">
        <f>'2007'!$S$68</f>
        <v>0</v>
      </c>
      <c r="M8" s="281">
        <f>'2008'!$S$68</f>
        <v>0</v>
      </c>
      <c r="N8" s="281">
        <f>'2009'!$S$68</f>
        <v>0</v>
      </c>
      <c r="O8" s="281">
        <f>'2010'!$S$68</f>
        <v>0</v>
      </c>
      <c r="P8" s="281">
        <f>'2011'!$S$68</f>
        <v>0</v>
      </c>
      <c r="Q8" s="281">
        <f>'2012'!$S$68</f>
        <v>0</v>
      </c>
      <c r="R8" s="281">
        <f>'2013'!$S$68</f>
        <v>0</v>
      </c>
      <c r="S8" s="281">
        <f>'2014'!$S$68</f>
        <v>0</v>
      </c>
      <c r="T8" s="281">
        <f>'2015'!$S$68</f>
        <v>0</v>
      </c>
      <c r="U8" s="281">
        <f>'2016'!$S$68</f>
        <v>0</v>
      </c>
      <c r="V8" s="281">
        <f>'2017'!$S$68</f>
        <v>0</v>
      </c>
      <c r="W8" s="281">
        <f>'2018'!$S$68</f>
        <v>0</v>
      </c>
      <c r="X8" s="281">
        <f>'2019'!$S$68</f>
        <v>0</v>
      </c>
      <c r="Y8" s="281">
        <f>'2020'!$S$68</f>
        <v>9</v>
      </c>
      <c r="Z8" s="281">
        <f>'2021'!$S$69</f>
        <v>28</v>
      </c>
      <c r="AA8" s="281">
        <f>'2022'!S70</f>
        <v>20</v>
      </c>
      <c r="AB8" s="281">
        <f>'2023'!S72</f>
        <v>2</v>
      </c>
      <c r="AD8" s="123">
        <v>2012.0</v>
      </c>
      <c r="AE8" s="277">
        <f>'2023'!P33</f>
        <v>3</v>
      </c>
      <c r="AF8" s="40"/>
      <c r="AG8" s="41"/>
      <c r="AH8" s="278">
        <f t="shared" si="1"/>
        <v>0.02941176471</v>
      </c>
    </row>
    <row r="9" ht="12.75" customHeight="1">
      <c r="A9" s="178" t="s">
        <v>238</v>
      </c>
      <c r="B9" s="40"/>
      <c r="C9" s="40"/>
      <c r="D9" s="41"/>
      <c r="E9" s="282">
        <f>'2000'!$S$69</f>
        <v>34</v>
      </c>
      <c r="F9" s="282">
        <f>'2001'!$S$69</f>
        <v>49</v>
      </c>
      <c r="G9" s="282">
        <f>'2002'!$S$69</f>
        <v>21</v>
      </c>
      <c r="H9" s="282">
        <f>'2003'!$S$69</f>
        <v>39</v>
      </c>
      <c r="I9" s="282">
        <f>'2004'!$S$69</f>
        <v>32</v>
      </c>
      <c r="J9" s="282">
        <f>'2005'!$S$69</f>
        <v>39</v>
      </c>
      <c r="K9" s="282">
        <f>'2006'!$S$69</f>
        <v>43</v>
      </c>
      <c r="L9" s="282">
        <f>'2007'!$S$69</f>
        <v>87</v>
      </c>
      <c r="M9" s="282">
        <f>'2008'!$S$69</f>
        <v>76</v>
      </c>
      <c r="N9" s="282">
        <f>'2009'!$S$69</f>
        <v>51</v>
      </c>
      <c r="O9" s="282">
        <f>'2010'!$S$69</f>
        <v>33</v>
      </c>
      <c r="P9" s="282">
        <f>'2011'!$S$69</f>
        <v>56</v>
      </c>
      <c r="Q9" s="282">
        <f>'2012'!$S$69</f>
        <v>50</v>
      </c>
      <c r="R9" s="282">
        <f>'2013'!$S$69</f>
        <v>47</v>
      </c>
      <c r="S9" s="282">
        <f>'2014'!$S$69</f>
        <v>60</v>
      </c>
      <c r="T9" s="282">
        <f>'2015'!$S$69</f>
        <v>52</v>
      </c>
      <c r="U9" s="282">
        <f>'2016'!$S$69</f>
        <v>89</v>
      </c>
      <c r="V9" s="282">
        <f>'2017'!$S$69</f>
        <v>165</v>
      </c>
      <c r="W9" s="282">
        <f>'2018'!$S$69</f>
        <v>205</v>
      </c>
      <c r="X9" s="282">
        <f>'2019'!$S$69</f>
        <v>160</v>
      </c>
      <c r="Y9" s="282">
        <f>'2020'!$S$69</f>
        <v>5</v>
      </c>
      <c r="Z9" s="282">
        <f>'2021'!$S$70</f>
        <v>7</v>
      </c>
      <c r="AA9" s="282">
        <f>'2022'!S71</f>
        <v>5</v>
      </c>
      <c r="AB9" s="282">
        <f>'2023'!S73</f>
        <v>0</v>
      </c>
      <c r="AD9" s="129">
        <v>2013.0</v>
      </c>
      <c r="AE9" s="279">
        <f>'2023'!P34</f>
        <v>1</v>
      </c>
      <c r="AF9" s="40"/>
      <c r="AG9" s="41"/>
      <c r="AH9" s="280">
        <f t="shared" si="1"/>
        <v>0.009803921569</v>
      </c>
    </row>
    <row r="10" ht="12.75" customHeight="1">
      <c r="A10" s="178" t="s">
        <v>240</v>
      </c>
      <c r="B10" s="40"/>
      <c r="C10" s="40"/>
      <c r="D10" s="41"/>
      <c r="E10" s="282">
        <f>'2000'!$S$70</f>
        <v>0</v>
      </c>
      <c r="F10" s="282">
        <f>'2001'!$S$70</f>
        <v>0</v>
      </c>
      <c r="G10" s="282">
        <f>'2002'!$S$70</f>
        <v>0</v>
      </c>
      <c r="H10" s="282">
        <f>'2003'!$S$70</f>
        <v>0</v>
      </c>
      <c r="I10" s="282">
        <f>'2004'!$S$70</f>
        <v>0</v>
      </c>
      <c r="J10" s="282">
        <f>'2005'!$S$70</f>
        <v>0</v>
      </c>
      <c r="K10" s="282">
        <f>'2006'!$S$70</f>
        <v>0</v>
      </c>
      <c r="L10" s="282">
        <f>'2007'!$S$70</f>
        <v>0</v>
      </c>
      <c r="M10" s="282">
        <f>'2008'!$S$70</f>
        <v>0</v>
      </c>
      <c r="N10" s="282">
        <f>'2009'!$S$70</f>
        <v>0</v>
      </c>
      <c r="O10" s="282">
        <f>'2010'!$S$70</f>
        <v>0</v>
      </c>
      <c r="P10" s="282">
        <f>'2011'!$S$70</f>
        <v>0</v>
      </c>
      <c r="Q10" s="282">
        <f>'2012'!$S$70</f>
        <v>0</v>
      </c>
      <c r="R10" s="282">
        <f>'2013'!$S$70</f>
        <v>0</v>
      </c>
      <c r="S10" s="282">
        <f>'2014'!$S$70</f>
        <v>0</v>
      </c>
      <c r="T10" s="282">
        <f>'2015'!$S$70</f>
        <v>0</v>
      </c>
      <c r="U10" s="282">
        <f>'2016'!$S$70</f>
        <v>0</v>
      </c>
      <c r="V10" s="282">
        <f>'2017'!$S$70</f>
        <v>0</v>
      </c>
      <c r="W10" s="282">
        <f>'2018'!$S$70</f>
        <v>0</v>
      </c>
      <c r="X10" s="282">
        <f>'2019'!$S$70</f>
        <v>5</v>
      </c>
      <c r="Y10" s="282">
        <f>'2020'!$S$70</f>
        <v>74</v>
      </c>
      <c r="Z10" s="282">
        <f>'2021'!$S$71</f>
        <v>74</v>
      </c>
      <c r="AA10" s="282">
        <f>'2022'!S72</f>
        <v>81</v>
      </c>
      <c r="AB10" s="282">
        <f>'2023'!S74</f>
        <v>13</v>
      </c>
      <c r="AD10" s="123">
        <v>2014.0</v>
      </c>
      <c r="AE10" s="277">
        <f>'2023'!P35</f>
        <v>3</v>
      </c>
      <c r="AF10" s="40"/>
      <c r="AG10" s="41"/>
      <c r="AH10" s="278">
        <f t="shared" si="1"/>
        <v>0.02941176471</v>
      </c>
    </row>
    <row r="11" ht="12.75" customHeight="1">
      <c r="A11" s="178" t="s">
        <v>242</v>
      </c>
      <c r="B11" s="40"/>
      <c r="C11" s="40"/>
      <c r="D11" s="41"/>
      <c r="E11" s="282">
        <f>'2000'!$S$71</f>
        <v>0</v>
      </c>
      <c r="F11" s="282">
        <f>'2001'!$S$71</f>
        <v>0</v>
      </c>
      <c r="G11" s="282">
        <f>'2002'!$S$71</f>
        <v>0</v>
      </c>
      <c r="H11" s="282">
        <f>'2003'!$S$71</f>
        <v>0</v>
      </c>
      <c r="I11" s="282">
        <f>'2004'!$S$71</f>
        <v>0</v>
      </c>
      <c r="J11" s="282">
        <f>'2005'!$S$71</f>
        <v>0</v>
      </c>
      <c r="K11" s="282">
        <f>'2006'!$S$71</f>
        <v>0</v>
      </c>
      <c r="L11" s="282">
        <f>'2007'!$S$71</f>
        <v>0</v>
      </c>
      <c r="M11" s="282">
        <f>'2008'!$S$71</f>
        <v>0</v>
      </c>
      <c r="N11" s="282">
        <f>'2009'!$S$71</f>
        <v>0</v>
      </c>
      <c r="O11" s="282">
        <f>'2010'!$S$71</f>
        <v>0</v>
      </c>
      <c r="P11" s="282">
        <f>'2011'!$S$71</f>
        <v>0</v>
      </c>
      <c r="Q11" s="282">
        <f>'2012'!$S$71</f>
        <v>0</v>
      </c>
      <c r="R11" s="282">
        <f>'2013'!$S$71</f>
        <v>0</v>
      </c>
      <c r="S11" s="282">
        <f>'2014'!$S$71</f>
        <v>0</v>
      </c>
      <c r="T11" s="282">
        <f>'2015'!$S$71</f>
        <v>0</v>
      </c>
      <c r="U11" s="282">
        <f>'2016'!$S$71</f>
        <v>0</v>
      </c>
      <c r="V11" s="282">
        <f>'2017'!$S$71</f>
        <v>0</v>
      </c>
      <c r="W11" s="282">
        <f>'2018'!$S$71</f>
        <v>0</v>
      </c>
      <c r="X11" s="282">
        <f>'2019'!$S$71</f>
        <v>12</v>
      </c>
      <c r="Y11" s="282">
        <f>'2020'!$S$71</f>
        <v>161</v>
      </c>
      <c r="Z11" s="282">
        <f>'2021'!$S$72</f>
        <v>186</v>
      </c>
      <c r="AA11" s="282">
        <f>'2022'!S73</f>
        <v>210</v>
      </c>
      <c r="AB11" s="282">
        <f>'2023'!S75</f>
        <v>39</v>
      </c>
      <c r="AD11" s="129">
        <v>2015.0</v>
      </c>
      <c r="AE11" s="279">
        <f>'2023'!P36</f>
        <v>7</v>
      </c>
      <c r="AF11" s="40"/>
      <c r="AG11" s="41"/>
      <c r="AH11" s="280">
        <f t="shared" si="1"/>
        <v>0.06862745098</v>
      </c>
    </row>
    <row r="12" ht="12.75" customHeight="1">
      <c r="A12" s="181" t="s">
        <v>244</v>
      </c>
      <c r="B12" s="40"/>
      <c r="C12" s="40"/>
      <c r="D12" s="41"/>
      <c r="E12" s="283">
        <f>'2000'!$S$72</f>
        <v>22</v>
      </c>
      <c r="F12" s="283">
        <f>'2001'!$S$72</f>
        <v>23</v>
      </c>
      <c r="G12" s="283">
        <f>'2002'!$S$72</f>
        <v>12</v>
      </c>
      <c r="H12" s="283">
        <f>'2003'!$S$72</f>
        <v>9</v>
      </c>
      <c r="I12" s="283">
        <f>'2004'!$S$72</f>
        <v>23</v>
      </c>
      <c r="J12" s="283">
        <f>'2005'!$S$72</f>
        <v>12</v>
      </c>
      <c r="K12" s="283">
        <f>'2006'!$S$72</f>
        <v>13</v>
      </c>
      <c r="L12" s="283">
        <f>'2007'!$S$72</f>
        <v>17</v>
      </c>
      <c r="M12" s="283">
        <f>'2008'!$S$72</f>
        <v>15</v>
      </c>
      <c r="N12" s="283">
        <f>'2009'!$S$72</f>
        <v>5</v>
      </c>
      <c r="O12" s="283">
        <f>'2010'!$S$72</f>
        <v>3</v>
      </c>
      <c r="P12" s="283">
        <f>'2011'!$S$72</f>
        <v>10</v>
      </c>
      <c r="Q12" s="283">
        <f>'2012'!$S$72</f>
        <v>6</v>
      </c>
      <c r="R12" s="283">
        <f>'2013'!$S$72</f>
        <v>7</v>
      </c>
      <c r="S12" s="283">
        <f>'2014'!$S$72</f>
        <v>2</v>
      </c>
      <c r="T12" s="283">
        <f>'2015'!$S$72</f>
        <v>18</v>
      </c>
      <c r="U12" s="283">
        <f>'2016'!$S$72</f>
        <v>44</v>
      </c>
      <c r="V12" s="283">
        <f>'2017'!$S$72</f>
        <v>43</v>
      </c>
      <c r="W12" s="283">
        <f>'2018'!$S$72</f>
        <v>55</v>
      </c>
      <c r="X12" s="283">
        <f>'2019'!$S$72</f>
        <v>51</v>
      </c>
      <c r="Y12" s="283">
        <f>'2020'!$S$72</f>
        <v>5</v>
      </c>
      <c r="Z12" s="283">
        <f>'2021'!$S$73</f>
        <v>2</v>
      </c>
      <c r="AA12" s="283">
        <f>'2022'!S74</f>
        <v>0</v>
      </c>
      <c r="AB12" s="283">
        <f>'2023'!S76</f>
        <v>0</v>
      </c>
      <c r="AD12" s="123">
        <v>2016.0</v>
      </c>
      <c r="AE12" s="277">
        <f>'2023'!P37</f>
        <v>17</v>
      </c>
      <c r="AF12" s="40"/>
      <c r="AG12" s="41"/>
      <c r="AH12" s="278">
        <f t="shared" si="1"/>
        <v>0.1666666667</v>
      </c>
    </row>
    <row r="13" ht="12.75" customHeight="1">
      <c r="A13" s="181" t="s">
        <v>822</v>
      </c>
      <c r="B13" s="40"/>
      <c r="C13" s="40"/>
      <c r="D13" s="41"/>
      <c r="E13" s="283">
        <f>'2000'!$S$73</f>
        <v>0</v>
      </c>
      <c r="F13" s="283">
        <f>'2001'!$S$73</f>
        <v>0</v>
      </c>
      <c r="G13" s="283">
        <f>'2002'!$S$73</f>
        <v>0</v>
      </c>
      <c r="H13" s="283">
        <f>'2003'!$S$73</f>
        <v>0</v>
      </c>
      <c r="I13" s="283">
        <f>'2004'!$S$73</f>
        <v>0</v>
      </c>
      <c r="J13" s="283">
        <f>'2005'!$S$73</f>
        <v>0</v>
      </c>
      <c r="K13" s="283">
        <f>'2006'!$S$73</f>
        <v>0</v>
      </c>
      <c r="L13" s="283">
        <f>'2007'!$S$73</f>
        <v>0</v>
      </c>
      <c r="M13" s="283">
        <f>'2008'!$S$73</f>
        <v>0</v>
      </c>
      <c r="N13" s="283">
        <f>'2009'!$S$73</f>
        <v>0</v>
      </c>
      <c r="O13" s="283">
        <f>'2010'!$S$73</f>
        <v>0</v>
      </c>
      <c r="P13" s="283">
        <f>'2011'!$S$73</f>
        <v>0</v>
      </c>
      <c r="Q13" s="283">
        <f>'2012'!$S$73</f>
        <v>0</v>
      </c>
      <c r="R13" s="283">
        <f>'2013'!$S$73</f>
        <v>0</v>
      </c>
      <c r="S13" s="283">
        <f>'2014'!$S$73</f>
        <v>0</v>
      </c>
      <c r="T13" s="283">
        <f>'2015'!$S$73</f>
        <v>0</v>
      </c>
      <c r="U13" s="283">
        <f>'2016'!$S$73</f>
        <v>0</v>
      </c>
      <c r="V13" s="283">
        <f>'2017'!$S$73</f>
        <v>0</v>
      </c>
      <c r="W13" s="283">
        <f>'2018'!$S$73</f>
        <v>0</v>
      </c>
      <c r="X13" s="283">
        <f>'2019'!$S$73</f>
        <v>5</v>
      </c>
      <c r="Y13" s="283">
        <f>'2020'!$S$73</f>
        <v>61</v>
      </c>
      <c r="Z13" s="283">
        <f>'2021'!$S$74</f>
        <v>61</v>
      </c>
      <c r="AA13" s="283">
        <f>'2022'!S75</f>
        <v>52</v>
      </c>
      <c r="AB13" s="283">
        <f>'2023'!S77</f>
        <v>9</v>
      </c>
      <c r="AD13" s="129">
        <v>2017.0</v>
      </c>
      <c r="AE13" s="279">
        <f>'2023'!P38</f>
        <v>4</v>
      </c>
      <c r="AF13" s="40"/>
      <c r="AG13" s="41"/>
      <c r="AH13" s="280">
        <f t="shared" si="1"/>
        <v>0.03921568627</v>
      </c>
    </row>
    <row r="14" ht="12.75" customHeight="1">
      <c r="A14" s="181" t="s">
        <v>823</v>
      </c>
      <c r="B14" s="40"/>
      <c r="C14" s="40"/>
      <c r="D14" s="41"/>
      <c r="E14" s="283">
        <f>'2000'!$S$74</f>
        <v>0</v>
      </c>
      <c r="F14" s="283">
        <f>'2001'!$S$74</f>
        <v>0</v>
      </c>
      <c r="G14" s="283">
        <f>'2002'!$S$74</f>
        <v>0</v>
      </c>
      <c r="H14" s="283">
        <f>'2003'!$S$74</f>
        <v>0</v>
      </c>
      <c r="I14" s="283">
        <f>'2004'!$S$74</f>
        <v>0</v>
      </c>
      <c r="J14" s="283">
        <f>'2005'!$S$74</f>
        <v>0</v>
      </c>
      <c r="K14" s="283">
        <f>'2006'!$S$74</f>
        <v>0</v>
      </c>
      <c r="L14" s="283">
        <f>'2007'!$S$74</f>
        <v>0</v>
      </c>
      <c r="M14" s="283">
        <f>'2008'!$S$74</f>
        <v>0</v>
      </c>
      <c r="N14" s="283">
        <f>'2009'!$S$74</f>
        <v>0</v>
      </c>
      <c r="O14" s="283">
        <f>'2010'!$S$74</f>
        <v>2</v>
      </c>
      <c r="P14" s="283">
        <f>'2011'!$S$74</f>
        <v>5</v>
      </c>
      <c r="Q14" s="283">
        <f>'2012'!$S$74</f>
        <v>11</v>
      </c>
      <c r="R14" s="283">
        <f>'2013'!$S$74</f>
        <v>3</v>
      </c>
      <c r="S14" s="283">
        <f>'2014'!$S$74</f>
        <v>5</v>
      </c>
      <c r="T14" s="283">
        <f>'2015'!$S$74</f>
        <v>12</v>
      </c>
      <c r="U14" s="283">
        <f>'2016'!$S$74</f>
        <v>4</v>
      </c>
      <c r="V14" s="283">
        <f>'2017'!$S$74</f>
        <v>6</v>
      </c>
      <c r="W14" s="283">
        <f>'2018'!$S$74</f>
        <v>6</v>
      </c>
      <c r="X14" s="283">
        <f>'2019'!$S$74</f>
        <v>2</v>
      </c>
      <c r="Y14" s="283">
        <f>'2020'!$S$74</f>
        <v>0</v>
      </c>
      <c r="Z14" s="283">
        <f>'2021'!$S$75</f>
        <v>0</v>
      </c>
      <c r="AA14" s="283">
        <f>'2022'!S76</f>
        <v>0</v>
      </c>
      <c r="AB14" s="283">
        <f>'2023'!S78</f>
        <v>0</v>
      </c>
      <c r="AD14" s="123">
        <v>2018.0</v>
      </c>
      <c r="AE14" s="277">
        <f>'2023'!P39</f>
        <v>12</v>
      </c>
      <c r="AF14" s="40"/>
      <c r="AG14" s="41"/>
      <c r="AH14" s="278">
        <f t="shared" si="1"/>
        <v>0.1176470588</v>
      </c>
    </row>
    <row r="15" ht="12.75" customHeight="1">
      <c r="A15" s="181" t="s">
        <v>19</v>
      </c>
      <c r="B15" s="40"/>
      <c r="C15" s="40"/>
      <c r="D15" s="41"/>
      <c r="E15" s="283">
        <v>0.0</v>
      </c>
      <c r="F15" s="283">
        <v>0.0</v>
      </c>
      <c r="G15" s="283">
        <v>0.0</v>
      </c>
      <c r="H15" s="283">
        <v>0.0</v>
      </c>
      <c r="I15" s="283">
        <v>0.0</v>
      </c>
      <c r="J15" s="283">
        <v>0.0</v>
      </c>
      <c r="K15" s="283">
        <v>0.0</v>
      </c>
      <c r="L15" s="283">
        <v>0.0</v>
      </c>
      <c r="M15" s="283">
        <v>0.0</v>
      </c>
      <c r="N15" s="283">
        <v>0.0</v>
      </c>
      <c r="O15" s="283">
        <v>0.0</v>
      </c>
      <c r="P15" s="283">
        <v>0.0</v>
      </c>
      <c r="Q15" s="283">
        <v>0.0</v>
      </c>
      <c r="R15" s="283">
        <v>0.0</v>
      </c>
      <c r="S15" s="283">
        <v>0.0</v>
      </c>
      <c r="T15" s="283">
        <v>0.0</v>
      </c>
      <c r="U15" s="283">
        <v>0.0</v>
      </c>
      <c r="V15" s="283">
        <v>0.0</v>
      </c>
      <c r="W15" s="283">
        <f>'2018'!$S$75</f>
        <v>0</v>
      </c>
      <c r="X15" s="283">
        <f>'2019'!$S$75</f>
        <v>84</v>
      </c>
      <c r="Y15" s="283">
        <f>'2020'!$S$75</f>
        <v>162</v>
      </c>
      <c r="Z15" s="283">
        <f>'2021'!$S$76</f>
        <v>182</v>
      </c>
      <c r="AA15" s="283">
        <f>'2022'!S77</f>
        <v>272</v>
      </c>
      <c r="AB15" s="283">
        <f>'2023'!S79</f>
        <v>34</v>
      </c>
      <c r="AD15" s="129">
        <v>2019.0</v>
      </c>
      <c r="AE15" s="279">
        <f>'2023'!P40</f>
        <v>16</v>
      </c>
      <c r="AF15" s="40"/>
      <c r="AG15" s="41"/>
      <c r="AH15" s="280">
        <f t="shared" si="1"/>
        <v>0.1568627451</v>
      </c>
    </row>
    <row r="16" ht="12.75" customHeight="1">
      <c r="A16" s="274" t="s">
        <v>219</v>
      </c>
      <c r="B16" s="40"/>
      <c r="C16" s="40"/>
      <c r="D16" s="41"/>
      <c r="E16" s="2">
        <f t="shared" ref="E16:AB16" si="2">SUM(E4:E15)</f>
        <v>82</v>
      </c>
      <c r="F16" s="2">
        <f t="shared" si="2"/>
        <v>115</v>
      </c>
      <c r="G16" s="2">
        <f t="shared" si="2"/>
        <v>53</v>
      </c>
      <c r="H16" s="2">
        <f t="shared" si="2"/>
        <v>77</v>
      </c>
      <c r="I16" s="2">
        <f t="shared" si="2"/>
        <v>84</v>
      </c>
      <c r="J16" s="2">
        <f t="shared" si="2"/>
        <v>89</v>
      </c>
      <c r="K16" s="2">
        <f t="shared" si="2"/>
        <v>109</v>
      </c>
      <c r="L16" s="2">
        <f t="shared" si="2"/>
        <v>202</v>
      </c>
      <c r="M16" s="2">
        <f t="shared" si="2"/>
        <v>191</v>
      </c>
      <c r="N16" s="2">
        <f t="shared" si="2"/>
        <v>137</v>
      </c>
      <c r="O16" s="2">
        <f t="shared" si="2"/>
        <v>104</v>
      </c>
      <c r="P16" s="2">
        <f t="shared" si="2"/>
        <v>146</v>
      </c>
      <c r="Q16" s="2">
        <f t="shared" si="2"/>
        <v>168</v>
      </c>
      <c r="R16" s="2">
        <f t="shared" si="2"/>
        <v>110</v>
      </c>
      <c r="S16" s="2">
        <f t="shared" si="2"/>
        <v>148</v>
      </c>
      <c r="T16" s="2">
        <f t="shared" si="2"/>
        <v>139</v>
      </c>
      <c r="U16" s="2">
        <f t="shared" si="2"/>
        <v>277</v>
      </c>
      <c r="V16" s="2">
        <f t="shared" si="2"/>
        <v>404</v>
      </c>
      <c r="W16" s="2">
        <f t="shared" si="2"/>
        <v>449</v>
      </c>
      <c r="X16" s="2">
        <f t="shared" si="2"/>
        <v>475</v>
      </c>
      <c r="Y16" s="2">
        <f t="shared" si="2"/>
        <v>493</v>
      </c>
      <c r="Z16" s="2">
        <f t="shared" si="2"/>
        <v>562</v>
      </c>
      <c r="AA16" s="2">
        <f t="shared" si="2"/>
        <v>652</v>
      </c>
      <c r="AB16" s="2">
        <f t="shared" si="2"/>
        <v>102</v>
      </c>
      <c r="AD16" s="123">
        <v>2020.0</v>
      </c>
      <c r="AE16" s="277">
        <f>'2023'!P41</f>
        <v>6</v>
      </c>
      <c r="AF16" s="40"/>
      <c r="AG16" s="41"/>
      <c r="AH16" s="278">
        <f t="shared" si="1"/>
        <v>0.05882352941</v>
      </c>
    </row>
    <row r="17" ht="12.75" customHeight="1">
      <c r="AD17" s="129">
        <v>2021.0</v>
      </c>
      <c r="AE17" s="279">
        <f>'2023'!P42</f>
        <v>7</v>
      </c>
      <c r="AF17" s="40"/>
      <c r="AG17" s="41"/>
      <c r="AH17" s="280">
        <f t="shared" si="1"/>
        <v>0.06862745098</v>
      </c>
    </row>
    <row r="18" ht="12.75" customHeight="1">
      <c r="AD18" s="123">
        <v>2022.0</v>
      </c>
      <c r="AE18" s="277">
        <f>'2023'!P43</f>
        <v>18</v>
      </c>
      <c r="AF18" s="40"/>
      <c r="AG18" s="41"/>
      <c r="AH18" s="278">
        <f t="shared" si="1"/>
        <v>0.1764705882</v>
      </c>
    </row>
    <row r="19" ht="12.75" customHeight="1">
      <c r="A19" s="284" t="s">
        <v>824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5"/>
      <c r="AD19" s="163">
        <v>2023.0</v>
      </c>
      <c r="AE19" s="279">
        <f>'2023'!P44</f>
        <v>0</v>
      </c>
      <c r="AF19" s="40"/>
      <c r="AG19" s="41"/>
      <c r="AH19" s="280">
        <f t="shared" si="1"/>
        <v>0</v>
      </c>
    </row>
    <row r="20" ht="14.25" customHeight="1">
      <c r="A20" s="285"/>
      <c r="AB20" s="286"/>
      <c r="AD20" s="4" t="s">
        <v>179</v>
      </c>
      <c r="AE20" s="274">
        <f>SUM(AE4:AG18)</f>
        <v>102</v>
      </c>
      <c r="AF20" s="40"/>
      <c r="AG20" s="41"/>
      <c r="AH20" s="287">
        <f>SUM(AH4:AH18)</f>
        <v>1</v>
      </c>
    </row>
    <row r="21" ht="13.5" customHeight="1">
      <c r="A21" s="36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8"/>
      <c r="AD21" s="33" t="s">
        <v>692</v>
      </c>
      <c r="AE21" s="34"/>
      <c r="AF21" s="34"/>
      <c r="AG21" s="34"/>
      <c r="AH21" s="35"/>
    </row>
    <row r="22" ht="15.75" customHeight="1">
      <c r="A22" s="274" t="s">
        <v>225</v>
      </c>
      <c r="B22" s="40"/>
      <c r="C22" s="40"/>
      <c r="D22" s="41"/>
      <c r="E22" s="4">
        <v>2000.0</v>
      </c>
      <c r="F22" s="4">
        <v>2001.0</v>
      </c>
      <c r="G22" s="4">
        <v>2002.0</v>
      </c>
      <c r="H22" s="4">
        <v>2003.0</v>
      </c>
      <c r="I22" s="4">
        <v>2004.0</v>
      </c>
      <c r="J22" s="4">
        <v>2005.0</v>
      </c>
      <c r="K22" s="4">
        <v>2006.0</v>
      </c>
      <c r="L22" s="4">
        <v>2007.0</v>
      </c>
      <c r="M22" s="4">
        <v>2008.0</v>
      </c>
      <c r="N22" s="4">
        <v>2009.0</v>
      </c>
      <c r="O22" s="4">
        <v>2010.0</v>
      </c>
      <c r="P22" s="4">
        <v>2011.0</v>
      </c>
      <c r="Q22" s="4">
        <v>2012.0</v>
      </c>
      <c r="R22" s="4">
        <v>2013.0</v>
      </c>
      <c r="S22" s="4">
        <v>2014.0</v>
      </c>
      <c r="T22" s="4">
        <v>2015.0</v>
      </c>
      <c r="U22" s="4">
        <v>2016.0</v>
      </c>
      <c r="V22" s="4">
        <v>2017.0</v>
      </c>
      <c r="W22" s="4">
        <v>2018.0</v>
      </c>
      <c r="X22" s="4">
        <v>2019.0</v>
      </c>
      <c r="Y22" s="4">
        <v>2020.0</v>
      </c>
      <c r="Z22" s="4">
        <v>2021.0</v>
      </c>
      <c r="AA22" s="4">
        <v>2022.0</v>
      </c>
      <c r="AB22" s="275">
        <v>2023.0</v>
      </c>
      <c r="AD22" s="36"/>
      <c r="AE22" s="37"/>
      <c r="AF22" s="37"/>
      <c r="AG22" s="37"/>
      <c r="AH22" s="38"/>
    </row>
    <row r="23" ht="15.75" customHeight="1">
      <c r="A23" s="89" t="s">
        <v>254</v>
      </c>
      <c r="B23" s="40"/>
      <c r="C23" s="40"/>
      <c r="D23" s="41"/>
      <c r="E23" s="276">
        <f>'2000'!$S$81</f>
        <v>0</v>
      </c>
      <c r="F23" s="276">
        <f>'2001'!$S$81</f>
        <v>2</v>
      </c>
      <c r="G23" s="276">
        <f>'2002'!$S$81</f>
        <v>1</v>
      </c>
      <c r="H23" s="276">
        <f>'2003'!$S$81</f>
        <v>2</v>
      </c>
      <c r="I23" s="276">
        <f>'2004'!$S$81</f>
        <v>0</v>
      </c>
      <c r="J23" s="276">
        <f>'2005'!$S$81</f>
        <v>1</v>
      </c>
      <c r="K23" s="276">
        <f>'2006'!$S$81</f>
        <v>3</v>
      </c>
      <c r="L23" s="276">
        <f>'2007'!$S$81</f>
        <v>3</v>
      </c>
      <c r="M23" s="276">
        <f>'2008'!$S$81</f>
        <v>4</v>
      </c>
      <c r="N23" s="276">
        <f>'2009'!$S$81</f>
        <v>2</v>
      </c>
      <c r="O23" s="276">
        <f>'2010'!$S$81</f>
        <v>9</v>
      </c>
      <c r="P23" s="276">
        <f>'2011'!$S$81</f>
        <v>6</v>
      </c>
      <c r="Q23" s="276">
        <f>'2012'!$S$81</f>
        <v>3</v>
      </c>
      <c r="R23" s="276">
        <f>'2013'!$S$81</f>
        <v>6</v>
      </c>
      <c r="S23" s="276">
        <f>'2014'!$S$81</f>
        <v>3</v>
      </c>
      <c r="T23" s="276">
        <f>'2015'!$S$81</f>
        <v>5</v>
      </c>
      <c r="U23" s="276">
        <f>'2016'!$S$81</f>
        <v>14</v>
      </c>
      <c r="V23" s="276">
        <f>'2017'!$S$81</f>
        <v>13</v>
      </c>
      <c r="W23" s="276">
        <f>'2018'!$S$81</f>
        <v>6</v>
      </c>
      <c r="X23" s="276">
        <f>'2019'!$S$81</f>
        <v>14</v>
      </c>
      <c r="Y23" s="276">
        <f>'2020'!$S$81</f>
        <v>16</v>
      </c>
      <c r="Z23" s="276">
        <f>'2021'!$S$82</f>
        <v>4</v>
      </c>
      <c r="AA23" s="276">
        <f>'2022'!S83</f>
        <v>20</v>
      </c>
      <c r="AB23" s="276">
        <f>'2023'!S85</f>
        <v>2</v>
      </c>
      <c r="AD23" s="4" t="s">
        <v>193</v>
      </c>
      <c r="AE23" s="274" t="s">
        <v>107</v>
      </c>
      <c r="AF23" s="40"/>
      <c r="AG23" s="41"/>
      <c r="AH23" s="4" t="s">
        <v>108</v>
      </c>
    </row>
    <row r="24" ht="13.5" customHeight="1">
      <c r="A24" s="175" t="s">
        <v>256</v>
      </c>
      <c r="B24" s="40"/>
      <c r="C24" s="40"/>
      <c r="D24" s="41"/>
      <c r="E24" s="281">
        <f>'2000'!$S$82</f>
        <v>33</v>
      </c>
      <c r="F24" s="281">
        <f>'2001'!$S$82</f>
        <v>48</v>
      </c>
      <c r="G24" s="281">
        <f>'2002'!$S$82</f>
        <v>21</v>
      </c>
      <c r="H24" s="281">
        <f>'2003'!$S$82</f>
        <v>19</v>
      </c>
      <c r="I24" s="281">
        <f>'2004'!$S$82</f>
        <v>33</v>
      </c>
      <c r="J24" s="281">
        <f>'2005'!$S$82</f>
        <v>28</v>
      </c>
      <c r="K24" s="281">
        <f>'2006'!$S$82</f>
        <v>49</v>
      </c>
      <c r="L24" s="281">
        <f>'2007'!$S$82</f>
        <v>83</v>
      </c>
      <c r="M24" s="281">
        <f>'2008'!$S$82</f>
        <v>95</v>
      </c>
      <c r="N24" s="281">
        <f>'2009'!$S$82</f>
        <v>79</v>
      </c>
      <c r="O24" s="281">
        <f>'2010'!$S$82</f>
        <v>41</v>
      </c>
      <c r="P24" s="281">
        <f>'2011'!$S$82</f>
        <v>67</v>
      </c>
      <c r="Q24" s="281">
        <f>'2012'!$S$82</f>
        <v>89</v>
      </c>
      <c r="R24" s="281">
        <f>'2013'!$S$82</f>
        <v>51</v>
      </c>
      <c r="S24" s="281">
        <f>'2014'!$S$82</f>
        <v>65</v>
      </c>
      <c r="T24" s="281">
        <f>'2015'!$S$82</f>
        <v>52</v>
      </c>
      <c r="U24" s="281">
        <f>'2016'!$S$82</f>
        <v>122</v>
      </c>
      <c r="V24" s="281">
        <f>'2017'!$S$82</f>
        <v>202</v>
      </c>
      <c r="W24" s="281">
        <f>'2018'!$S$82</f>
        <v>228</v>
      </c>
      <c r="X24" s="281">
        <f>'2019'!$S$82</f>
        <v>233</v>
      </c>
      <c r="Y24" s="281">
        <f>'2020'!$S$82</f>
        <v>235</v>
      </c>
      <c r="Z24" s="281">
        <f>'2021'!$S$83</f>
        <v>273</v>
      </c>
      <c r="AA24" s="281">
        <f>'2022'!S84</f>
        <v>254</v>
      </c>
      <c r="AB24" s="281">
        <f>'2023'!S86</f>
        <v>47</v>
      </c>
      <c r="AD24" s="129" t="s">
        <v>195</v>
      </c>
      <c r="AE24" s="279">
        <f>'2023'!P51</f>
        <v>36</v>
      </c>
      <c r="AF24" s="40"/>
      <c r="AG24" s="41"/>
      <c r="AH24" s="280">
        <f>(AE24/AE36)</f>
        <v>0.3529411765</v>
      </c>
    </row>
    <row r="25" ht="13.5" customHeight="1">
      <c r="A25" s="178" t="s">
        <v>258</v>
      </c>
      <c r="B25" s="40"/>
      <c r="C25" s="40"/>
      <c r="D25" s="41"/>
      <c r="E25" s="282">
        <f>'2000'!$S$83</f>
        <v>41</v>
      </c>
      <c r="F25" s="282">
        <f>'2001'!$S$83</f>
        <v>51</v>
      </c>
      <c r="G25" s="282">
        <f>'2002'!$S$83</f>
        <v>25</v>
      </c>
      <c r="H25" s="282">
        <f>'2003'!$S$83</f>
        <v>49</v>
      </c>
      <c r="I25" s="282">
        <f>'2004'!$S$83</f>
        <v>41</v>
      </c>
      <c r="J25" s="282">
        <f>'2005'!$S$83</f>
        <v>48</v>
      </c>
      <c r="K25" s="282">
        <f>'2006'!$S$83</f>
        <v>45</v>
      </c>
      <c r="L25" s="282">
        <f>'2007'!$S$83</f>
        <v>100</v>
      </c>
      <c r="M25" s="282">
        <f>'2008'!$S$83</f>
        <v>81</v>
      </c>
      <c r="N25" s="282">
        <f>'2009'!$S$83</f>
        <v>49</v>
      </c>
      <c r="O25" s="282">
        <f>'2010'!$S$83</f>
        <v>50</v>
      </c>
      <c r="P25" s="282">
        <f>'2011'!$S$83</f>
        <v>56</v>
      </c>
      <c r="Q25" s="282">
        <f>'2012'!$S$83</f>
        <v>59</v>
      </c>
      <c r="R25" s="282">
        <f>'2013'!$S$83</f>
        <v>41</v>
      </c>
      <c r="S25" s="282">
        <f>'2014'!$S$83</f>
        <v>70</v>
      </c>
      <c r="T25" s="282">
        <f>'2015'!$S$83</f>
        <v>50</v>
      </c>
      <c r="U25" s="282">
        <f>'2016'!$S$83</f>
        <v>102</v>
      </c>
      <c r="V25" s="282">
        <f>'2017'!$S$83</f>
        <v>141</v>
      </c>
      <c r="W25" s="282">
        <f>'2018'!$S$83</f>
        <v>163</v>
      </c>
      <c r="X25" s="282">
        <f>'2019'!$S$83</f>
        <v>183</v>
      </c>
      <c r="Y25" s="282">
        <f>'2020'!$S$83</f>
        <v>143</v>
      </c>
      <c r="Z25" s="282">
        <f>'2021'!$S$84</f>
        <v>190</v>
      </c>
      <c r="AA25" s="282">
        <f>'2022'!S85</f>
        <v>226</v>
      </c>
      <c r="AB25" s="282">
        <f>'2023'!S87</f>
        <v>37</v>
      </c>
      <c r="AD25" s="123" t="s">
        <v>197</v>
      </c>
      <c r="AE25" s="277">
        <f>'2023'!P52</f>
        <v>40</v>
      </c>
      <c r="AF25" s="40"/>
      <c r="AG25" s="41"/>
      <c r="AH25" s="278">
        <f>(AE25/AE36)</f>
        <v>0.3921568627</v>
      </c>
    </row>
    <row r="26" ht="14.25" customHeight="1">
      <c r="A26" s="181" t="s">
        <v>260</v>
      </c>
      <c r="B26" s="40"/>
      <c r="C26" s="40"/>
      <c r="D26" s="41"/>
      <c r="E26" s="283">
        <f>'2000'!$S$84</f>
        <v>8</v>
      </c>
      <c r="F26" s="283">
        <f>'2001'!$S$84</f>
        <v>14</v>
      </c>
      <c r="G26" s="283">
        <f>'2002'!$S$84</f>
        <v>6</v>
      </c>
      <c r="H26" s="283">
        <f>'2003'!$S$84</f>
        <v>7</v>
      </c>
      <c r="I26" s="283">
        <f>'2004'!$S$84</f>
        <v>10</v>
      </c>
      <c r="J26" s="283">
        <f>'2005'!$S$84</f>
        <v>12</v>
      </c>
      <c r="K26" s="283">
        <f>'2006'!$S$84</f>
        <v>12</v>
      </c>
      <c r="L26" s="283">
        <f>'2007'!$S$84</f>
        <v>16</v>
      </c>
      <c r="M26" s="283">
        <f>'2008'!$S$84</f>
        <v>11</v>
      </c>
      <c r="N26" s="283">
        <f>'2009'!$S$84</f>
        <v>7</v>
      </c>
      <c r="O26" s="283">
        <f>'2010'!$S$84</f>
        <v>4</v>
      </c>
      <c r="P26" s="283">
        <f>'2011'!$S$84</f>
        <v>17</v>
      </c>
      <c r="Q26" s="283">
        <f>'2012'!$S$84</f>
        <v>17</v>
      </c>
      <c r="R26" s="283">
        <f>'2013'!$S$84</f>
        <v>12</v>
      </c>
      <c r="S26" s="283">
        <f>'2014'!$S$84</f>
        <v>10</v>
      </c>
      <c r="T26" s="283">
        <f>'2015'!$S$84</f>
        <v>32</v>
      </c>
      <c r="U26" s="283">
        <f>'2016'!$S$84</f>
        <v>39</v>
      </c>
      <c r="V26" s="283">
        <f>'2017'!$S$84</f>
        <v>48</v>
      </c>
      <c r="W26" s="283">
        <f>'2018'!$S$84</f>
        <v>52</v>
      </c>
      <c r="X26" s="283">
        <f>'2019'!$S$84</f>
        <v>45</v>
      </c>
      <c r="Y26" s="283">
        <f>'2020'!$S$84</f>
        <v>99</v>
      </c>
      <c r="Z26" s="283">
        <f>'2021'!$S$85</f>
        <v>95</v>
      </c>
      <c r="AA26" s="283">
        <f>'2022'!S86</f>
        <v>152</v>
      </c>
      <c r="AB26" s="283">
        <f>'2023'!S88</f>
        <v>16</v>
      </c>
      <c r="AD26" s="129" t="s">
        <v>199</v>
      </c>
      <c r="AE26" s="279">
        <f>'2023'!P53</f>
        <v>26</v>
      </c>
      <c r="AF26" s="40"/>
      <c r="AG26" s="41"/>
      <c r="AH26" s="280">
        <f>(AE26/AE36)</f>
        <v>0.2549019608</v>
      </c>
    </row>
    <row r="27" ht="12.75" customHeight="1">
      <c r="A27" s="274" t="s">
        <v>219</v>
      </c>
      <c r="B27" s="40"/>
      <c r="C27" s="40"/>
      <c r="D27" s="41"/>
      <c r="E27" s="2">
        <f t="shared" ref="E27:AB27" si="3">SUM(E23:E26)</f>
        <v>82</v>
      </c>
      <c r="F27" s="2">
        <f t="shared" si="3"/>
        <v>115</v>
      </c>
      <c r="G27" s="2">
        <f t="shared" si="3"/>
        <v>53</v>
      </c>
      <c r="H27" s="2">
        <f t="shared" si="3"/>
        <v>77</v>
      </c>
      <c r="I27" s="2">
        <f t="shared" si="3"/>
        <v>84</v>
      </c>
      <c r="J27" s="2">
        <f t="shared" si="3"/>
        <v>89</v>
      </c>
      <c r="K27" s="2">
        <f t="shared" si="3"/>
        <v>109</v>
      </c>
      <c r="L27" s="2">
        <f t="shared" si="3"/>
        <v>202</v>
      </c>
      <c r="M27" s="2">
        <f t="shared" si="3"/>
        <v>191</v>
      </c>
      <c r="N27" s="2">
        <f t="shared" si="3"/>
        <v>137</v>
      </c>
      <c r="O27" s="2">
        <f t="shared" si="3"/>
        <v>104</v>
      </c>
      <c r="P27" s="2">
        <f t="shared" si="3"/>
        <v>146</v>
      </c>
      <c r="Q27" s="2">
        <f t="shared" si="3"/>
        <v>168</v>
      </c>
      <c r="R27" s="2">
        <f t="shared" si="3"/>
        <v>110</v>
      </c>
      <c r="S27" s="2">
        <f t="shared" si="3"/>
        <v>148</v>
      </c>
      <c r="T27" s="2">
        <f t="shared" si="3"/>
        <v>139</v>
      </c>
      <c r="U27" s="2">
        <f t="shared" si="3"/>
        <v>277</v>
      </c>
      <c r="V27" s="2">
        <f t="shared" si="3"/>
        <v>404</v>
      </c>
      <c r="W27" s="2">
        <f t="shared" si="3"/>
        <v>449</v>
      </c>
      <c r="X27" s="2">
        <f t="shared" si="3"/>
        <v>475</v>
      </c>
      <c r="Y27" s="2">
        <f t="shared" si="3"/>
        <v>493</v>
      </c>
      <c r="Z27" s="2">
        <f t="shared" si="3"/>
        <v>562</v>
      </c>
      <c r="AA27" s="2">
        <f t="shared" si="3"/>
        <v>652</v>
      </c>
      <c r="AB27" s="2">
        <f t="shared" si="3"/>
        <v>102</v>
      </c>
      <c r="AD27" s="123" t="s">
        <v>201</v>
      </c>
      <c r="AE27" s="277">
        <f>'2023'!P54</f>
        <v>0</v>
      </c>
      <c r="AF27" s="40"/>
      <c r="AG27" s="41"/>
      <c r="AH27" s="278">
        <f>(AE27/AE36)</f>
        <v>0</v>
      </c>
    </row>
    <row r="28" ht="12.75" customHeight="1">
      <c r="AD28" s="129" t="s">
        <v>203</v>
      </c>
      <c r="AE28" s="279">
        <f>'2023'!P55</f>
        <v>0</v>
      </c>
      <c r="AF28" s="40"/>
      <c r="AG28" s="41"/>
      <c r="AH28" s="280">
        <f>(AE28/AE36)</f>
        <v>0</v>
      </c>
    </row>
    <row r="29" ht="12.75" customHeight="1">
      <c r="A29" s="284" t="s">
        <v>825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5"/>
      <c r="AD29" s="123" t="s">
        <v>205</v>
      </c>
      <c r="AE29" s="277">
        <f>'2023'!P56</f>
        <v>0</v>
      </c>
      <c r="AF29" s="40"/>
      <c r="AG29" s="41"/>
      <c r="AH29" s="278">
        <f>(AE29/AE36)</f>
        <v>0</v>
      </c>
    </row>
    <row r="30" ht="13.5" customHeight="1">
      <c r="A30" s="285"/>
      <c r="AB30" s="286"/>
      <c r="AD30" s="129" t="s">
        <v>207</v>
      </c>
      <c r="AE30" s="279">
        <f>'2023'!P57</f>
        <v>0</v>
      </c>
      <c r="AF30" s="40"/>
      <c r="AG30" s="41"/>
      <c r="AH30" s="280">
        <f>(AE30/AE36)</f>
        <v>0</v>
      </c>
    </row>
    <row r="31" ht="14.25" customHeight="1">
      <c r="A31" s="36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8"/>
      <c r="AD31" s="123" t="s">
        <v>209</v>
      </c>
      <c r="AE31" s="277">
        <f>'2023'!P58</f>
        <v>0</v>
      </c>
      <c r="AF31" s="40"/>
      <c r="AG31" s="41"/>
      <c r="AH31" s="278">
        <f>(AE31/AE36)</f>
        <v>0</v>
      </c>
    </row>
    <row r="32" ht="12.75" customHeight="1">
      <c r="A32" s="274" t="s">
        <v>267</v>
      </c>
      <c r="B32" s="40"/>
      <c r="C32" s="40"/>
      <c r="D32" s="41"/>
      <c r="E32" s="4">
        <v>2000.0</v>
      </c>
      <c r="F32" s="4">
        <v>2001.0</v>
      </c>
      <c r="G32" s="4">
        <v>2002.0</v>
      </c>
      <c r="H32" s="4">
        <v>2003.0</v>
      </c>
      <c r="I32" s="4">
        <v>2004.0</v>
      </c>
      <c r="J32" s="4">
        <v>2005.0</v>
      </c>
      <c r="K32" s="4">
        <v>2006.0</v>
      </c>
      <c r="L32" s="4">
        <v>2007.0</v>
      </c>
      <c r="M32" s="4">
        <v>2008.0</v>
      </c>
      <c r="N32" s="4">
        <v>2009.0</v>
      </c>
      <c r="O32" s="4">
        <v>2010.0</v>
      </c>
      <c r="P32" s="4">
        <v>2011.0</v>
      </c>
      <c r="Q32" s="4">
        <v>2012.0</v>
      </c>
      <c r="R32" s="4">
        <v>2013.0</v>
      </c>
      <c r="S32" s="4">
        <v>2014.0</v>
      </c>
      <c r="T32" s="4">
        <v>2015.0</v>
      </c>
      <c r="U32" s="4">
        <v>2016.0</v>
      </c>
      <c r="V32" s="4">
        <v>2017.0</v>
      </c>
      <c r="W32" s="4">
        <v>2018.0</v>
      </c>
      <c r="X32" s="4">
        <v>2019.0</v>
      </c>
      <c r="Y32" s="4">
        <v>2020.0</v>
      </c>
      <c r="Z32" s="4">
        <v>2021.0</v>
      </c>
      <c r="AA32" s="4">
        <v>2022.0</v>
      </c>
      <c r="AB32" s="275">
        <v>2023.0</v>
      </c>
      <c r="AC32" s="288"/>
      <c r="AD32" s="129" t="s">
        <v>211</v>
      </c>
      <c r="AE32" s="279">
        <f>'2023'!P59</f>
        <v>0</v>
      </c>
      <c r="AF32" s="40"/>
      <c r="AG32" s="41"/>
      <c r="AH32" s="280">
        <f>(AE32/AE36)</f>
        <v>0</v>
      </c>
    </row>
    <row r="33" ht="12.75" customHeight="1">
      <c r="A33" s="50" t="s">
        <v>826</v>
      </c>
      <c r="B33" s="40"/>
      <c r="C33" s="40"/>
      <c r="D33" s="41"/>
      <c r="E33" s="289">
        <f>'2000'!$P$90/30</f>
        <v>50.13684211</v>
      </c>
      <c r="F33" s="289">
        <f>'2001'!$P$90/30</f>
        <v>31.72173913</v>
      </c>
      <c r="G33" s="289">
        <f>'2002'!$P$90/30</f>
        <v>45.23589744</v>
      </c>
      <c r="H33" s="289">
        <f>'2003'!$P$90/30</f>
        <v>36.52539683</v>
      </c>
      <c r="I33" s="289">
        <f>'2004'!$P$90/30</f>
        <v>37.30793651</v>
      </c>
      <c r="J33" s="289">
        <f>'2005'!$P$91/30</f>
        <v>36.12463768</v>
      </c>
      <c r="K33" s="289">
        <f>'2006'!$P$90/30</f>
        <v>42.95555556</v>
      </c>
      <c r="L33" s="289">
        <f>'2007'!$P$90/30</f>
        <v>71.73333333</v>
      </c>
      <c r="M33" s="289">
        <f>'2008'!$P$90/30</f>
        <v>50.75555556</v>
      </c>
      <c r="N33" s="289">
        <f>'2009'!$P$90/30</f>
        <v>37.5</v>
      </c>
      <c r="O33" s="289">
        <f>'2010'!$P$90/30</f>
        <v>59.66666667</v>
      </c>
      <c r="P33" s="289" t="str">
        <f t="shared" ref="P33:Q33" si="4">#N/A</f>
        <v>#N/A</v>
      </c>
      <c r="Q33" s="289" t="str">
        <f t="shared" si="4"/>
        <v>#N/A</v>
      </c>
      <c r="R33" s="289">
        <f>'2013'!$P$90/30</f>
        <v>81.2</v>
      </c>
      <c r="S33" s="289" t="str">
        <f t="shared" ref="S33:T33" si="5">#N/A</f>
        <v>#N/A</v>
      </c>
      <c r="T33" s="289" t="str">
        <f t="shared" si="5"/>
        <v>#N/A</v>
      </c>
      <c r="U33" s="289">
        <f>'2016'!$P$90/30</f>
        <v>103.6</v>
      </c>
      <c r="V33" s="289" t="str">
        <f t="shared" ref="V33:W33" si="6">#N/A</f>
        <v>#N/A</v>
      </c>
      <c r="W33" s="289" t="str">
        <f t="shared" si="6"/>
        <v>#N/A</v>
      </c>
      <c r="X33" s="289">
        <f>'2019'!$P$90/30</f>
        <v>62.76666667</v>
      </c>
      <c r="Y33" s="289">
        <f>'2020'!$P$90/30</f>
        <v>97.08888889</v>
      </c>
      <c r="Z33" s="289">
        <f>'2021'!$P$91/30</f>
        <v>85.66666667</v>
      </c>
      <c r="AA33" s="289" t="str">
        <f t="shared" ref="AA33:AB33" si="7">#N/A</f>
        <v>#N/A</v>
      </c>
      <c r="AB33" s="289" t="str">
        <f t="shared" si="7"/>
        <v>#N/A</v>
      </c>
      <c r="AD33" s="123" t="s">
        <v>213</v>
      </c>
      <c r="AE33" s="277">
        <f>'2023'!P60</f>
        <v>0</v>
      </c>
      <c r="AF33" s="40"/>
      <c r="AG33" s="41"/>
      <c r="AH33" s="278">
        <f>(AE33/AE36)</f>
        <v>0</v>
      </c>
    </row>
    <row r="34" ht="12.75" customHeight="1">
      <c r="A34" s="39" t="s">
        <v>827</v>
      </c>
      <c r="B34" s="40"/>
      <c r="C34" s="40"/>
      <c r="D34" s="41"/>
      <c r="E34" s="290">
        <f>'2000'!$P$91/30</f>
        <v>20.6962963</v>
      </c>
      <c r="F34" s="290">
        <f>'2001'!$P$91/30</f>
        <v>27.50909091</v>
      </c>
      <c r="G34" s="290">
        <f>'2002'!$P$91/30</f>
        <v>25.48666667</v>
      </c>
      <c r="H34" s="290">
        <f>'2003'!$P$91/30</f>
        <v>24.12916667</v>
      </c>
      <c r="I34" s="290">
        <f>'2004'!$P$91/30</f>
        <v>35.29166667</v>
      </c>
      <c r="J34" s="290">
        <f>'2005'!$P$92/30</f>
        <v>27.85333333</v>
      </c>
      <c r="K34" s="290">
        <f>'2006'!$P$91/30</f>
        <v>36.07333333</v>
      </c>
      <c r="L34" s="290">
        <f>'2007'!$P$91/30</f>
        <v>30.58333333</v>
      </c>
      <c r="M34" s="290">
        <f>'2008'!$P$91/30</f>
        <v>44.3</v>
      </c>
      <c r="N34" s="290">
        <f>'2009'!$P$91/30</f>
        <v>43.225</v>
      </c>
      <c r="O34" s="290" t="str">
        <f>#N/A</f>
        <v>#N/A</v>
      </c>
      <c r="P34" s="290">
        <f>'2011'!$P$91/30</f>
        <v>56</v>
      </c>
      <c r="Q34" s="290">
        <f>'2012'!$P$91/30</f>
        <v>49</v>
      </c>
      <c r="R34" s="290">
        <f>'2013'!$P$91/30</f>
        <v>58.5</v>
      </c>
      <c r="S34" s="290">
        <f>'2014'!$P$91/30</f>
        <v>61.4</v>
      </c>
      <c r="T34" s="290">
        <f>'2015'!$P$91/30</f>
        <v>68.4</v>
      </c>
      <c r="U34" s="290">
        <f>'2016'!$P$91/30</f>
        <v>79.76666667</v>
      </c>
      <c r="V34" s="290">
        <f>'2017'!$P$91/30</f>
        <v>66.22666667</v>
      </c>
      <c r="W34" s="290">
        <f>'2018'!$P$91/30</f>
        <v>59.05</v>
      </c>
      <c r="X34" s="290">
        <f>'2019'!$P$91/30</f>
        <v>86.83333333</v>
      </c>
      <c r="Y34" s="290">
        <f>'2020'!$P$91/30</f>
        <v>99.16666667</v>
      </c>
      <c r="Z34" s="290">
        <f>'2021'!$P$92/30</f>
        <v>85.41428571</v>
      </c>
      <c r="AA34" s="290">
        <f>'2022'!P93/30</f>
        <v>87.58333333</v>
      </c>
      <c r="AB34" s="290">
        <f>'2023'!P95/30</f>
        <v>99.91666667</v>
      </c>
      <c r="AD34" s="129" t="s">
        <v>215</v>
      </c>
      <c r="AE34" s="279">
        <f>'2023'!P61</f>
        <v>0</v>
      </c>
      <c r="AF34" s="40"/>
      <c r="AG34" s="41"/>
      <c r="AH34" s="280">
        <f>(AE34/AE36)</f>
        <v>0</v>
      </c>
    </row>
    <row r="35" ht="12.75" customHeight="1">
      <c r="A35" s="50" t="s">
        <v>828</v>
      </c>
      <c r="B35" s="40"/>
      <c r="C35" s="40"/>
      <c r="D35" s="41"/>
      <c r="E35" s="289" t="str">
        <f t="shared" ref="E35:J35" si="8">#N/A</f>
        <v>#N/A</v>
      </c>
      <c r="F35" s="289" t="str">
        <f t="shared" si="8"/>
        <v>#N/A</v>
      </c>
      <c r="G35" s="289" t="str">
        <f t="shared" si="8"/>
        <v>#N/A</v>
      </c>
      <c r="H35" s="289" t="str">
        <f t="shared" si="8"/>
        <v>#N/A</v>
      </c>
      <c r="I35" s="289" t="str">
        <f t="shared" si="8"/>
        <v>#N/A</v>
      </c>
      <c r="J35" s="289" t="str">
        <f t="shared" si="8"/>
        <v>#N/A</v>
      </c>
      <c r="K35" s="289">
        <f>'2006'!$P$92/30</f>
        <v>27.54444444</v>
      </c>
      <c r="L35" s="289">
        <f>'2007'!$P$92/30</f>
        <v>31.21333333</v>
      </c>
      <c r="M35" s="289">
        <f>'2008'!$P$92/30</f>
        <v>19.82222222</v>
      </c>
      <c r="N35" s="289">
        <f>'2009'!$P$92/30</f>
        <v>19.54047619</v>
      </c>
      <c r="O35" s="289">
        <f>'2010'!$P$92/30</f>
        <v>25.9847619</v>
      </c>
      <c r="P35" s="289">
        <f>'2011'!$P$92/30</f>
        <v>30.925</v>
      </c>
      <c r="Q35" s="289">
        <f>'2012'!$P$92/30</f>
        <v>33.75</v>
      </c>
      <c r="R35" s="289">
        <f>'2013'!$P$92/30</f>
        <v>39.03185185</v>
      </c>
      <c r="S35" s="289">
        <f>'2014'!$P$92/30</f>
        <v>41.69367089</v>
      </c>
      <c r="T35" s="289">
        <f>'2015'!$P$92/30</f>
        <v>51.90507246</v>
      </c>
      <c r="U35" s="289">
        <f>'2016'!$P$92/30</f>
        <v>45.651875</v>
      </c>
      <c r="V35" s="289">
        <f>'2017'!$P$92/30</f>
        <v>51.2653484</v>
      </c>
      <c r="W35" s="289">
        <f>'2018'!$P$92/30</f>
        <v>51.78791019</v>
      </c>
      <c r="X35" s="289">
        <f>'2019'!$P$92/30</f>
        <v>48.32701363</v>
      </c>
      <c r="Y35" s="289">
        <f>'2020'!$P$92/30</f>
        <v>48.97057613</v>
      </c>
      <c r="Z35" s="289">
        <f>'2021'!$P$93/30</f>
        <v>49.94230769</v>
      </c>
      <c r="AA35" s="289">
        <f>'2022'!P94/30</f>
        <v>57.37170972</v>
      </c>
      <c r="AB35" s="289">
        <f>'2023'!P96/30</f>
        <v>58.65</v>
      </c>
      <c r="AD35" s="123" t="s">
        <v>217</v>
      </c>
      <c r="AE35" s="277">
        <f>'2023'!P62</f>
        <v>0</v>
      </c>
      <c r="AF35" s="40"/>
      <c r="AG35" s="41"/>
      <c r="AH35" s="278">
        <f>(AE35/AE36)</f>
        <v>0</v>
      </c>
    </row>
    <row r="36" ht="12.75" customHeight="1">
      <c r="A36" s="39" t="s">
        <v>829</v>
      </c>
      <c r="B36" s="40"/>
      <c r="C36" s="40"/>
      <c r="D36" s="41"/>
      <c r="E36" s="290">
        <f>'2001'!$P$93/30</f>
        <v>25.41666667</v>
      </c>
      <c r="F36" s="290">
        <f>'2001'!$P$93/30</f>
        <v>25.41666667</v>
      </c>
      <c r="G36" s="290" t="str">
        <f t="shared" ref="G36:H36" si="9">#N/A</f>
        <v>#N/A</v>
      </c>
      <c r="H36" s="290" t="str">
        <f t="shared" si="9"/>
        <v>#N/A</v>
      </c>
      <c r="I36" s="290">
        <f>'2004'!$P$93/30</f>
        <v>31</v>
      </c>
      <c r="J36" s="290">
        <f>'2005'!$P$94/30</f>
        <v>6.533333333</v>
      </c>
      <c r="K36" s="290">
        <f>'2006'!$P$93/30</f>
        <v>32.83333333</v>
      </c>
      <c r="L36" s="290" t="str">
        <f t="shared" ref="L36:N36" si="10">#N/A</f>
        <v>#N/A</v>
      </c>
      <c r="M36" s="290" t="str">
        <f t="shared" si="10"/>
        <v>#N/A</v>
      </c>
      <c r="N36" s="290" t="str">
        <f t="shared" si="10"/>
        <v>#N/A</v>
      </c>
      <c r="O36" s="290">
        <f>'2010'!$P$93/30</f>
        <v>57.8</v>
      </c>
      <c r="P36" s="290" t="str">
        <f t="shared" ref="P36:T36" si="11">#N/A</f>
        <v>#N/A</v>
      </c>
      <c r="Q36" s="290" t="str">
        <f t="shared" si="11"/>
        <v>#N/A</v>
      </c>
      <c r="R36" s="290" t="str">
        <f t="shared" si="11"/>
        <v>#N/A</v>
      </c>
      <c r="S36" s="290" t="str">
        <f t="shared" si="11"/>
        <v>#N/A</v>
      </c>
      <c r="T36" s="290" t="str">
        <f t="shared" si="11"/>
        <v>#N/A</v>
      </c>
      <c r="U36" s="290">
        <f>'2016'!$P$93/30</f>
        <v>56.4</v>
      </c>
      <c r="V36" s="290">
        <f>'2017'!$P$93/30</f>
        <v>37.58333333</v>
      </c>
      <c r="W36" s="290">
        <f>'2018'!$P$93/30</f>
        <v>44.6</v>
      </c>
      <c r="X36" s="290" t="str">
        <f>#N/A</f>
        <v>#N/A</v>
      </c>
      <c r="Y36" s="290">
        <f>'2020'!$P$93/30</f>
        <v>62.51666667</v>
      </c>
      <c r="Z36" s="290">
        <f>'2021'!$P$94/30</f>
        <v>63.66666667</v>
      </c>
      <c r="AA36" s="290" t="str">
        <f t="shared" ref="AA36:AB36" si="12">#N/A</f>
        <v>#N/A</v>
      </c>
      <c r="AB36" s="290" t="str">
        <f t="shared" si="12"/>
        <v>#N/A</v>
      </c>
      <c r="AD36" s="4" t="s">
        <v>219</v>
      </c>
      <c r="AE36" s="274">
        <f>SUM(AE24:AG35)</f>
        <v>102</v>
      </c>
      <c r="AF36" s="40"/>
      <c r="AG36" s="41"/>
      <c r="AH36" s="287">
        <f>SUM(AH24:AH35)</f>
        <v>1</v>
      </c>
    </row>
    <row r="37" ht="12.75" customHeight="1">
      <c r="A37" s="50" t="s">
        <v>830</v>
      </c>
      <c r="B37" s="40"/>
      <c r="C37" s="40"/>
      <c r="D37" s="41"/>
      <c r="E37" s="289">
        <f>'2000'!$P$94/30</f>
        <v>26.54313725</v>
      </c>
      <c r="F37" s="289">
        <f>'2001'!$P$94/30</f>
        <v>35.75490196</v>
      </c>
      <c r="G37" s="289">
        <f>'2002'!$P$94/30</f>
        <v>36.60144928</v>
      </c>
      <c r="H37" s="289">
        <f>'2003'!$P$94/30</f>
        <v>39.17416667</v>
      </c>
      <c r="I37" s="289">
        <f>'2004'!$P$94/30</f>
        <v>35.78888889</v>
      </c>
      <c r="J37" s="289">
        <f>'2005'!$P$95/30</f>
        <v>39.66962963</v>
      </c>
      <c r="K37" s="289">
        <f>'2006'!$P$94/30</f>
        <v>48.47202381</v>
      </c>
      <c r="L37" s="289">
        <f>'2007'!$P$94/30</f>
        <v>43.79298246</v>
      </c>
      <c r="M37" s="289">
        <f>'2008'!$P$94/30</f>
        <v>36.3754386</v>
      </c>
      <c r="N37" s="289">
        <f>'2009'!$P$94/30</f>
        <v>42.58666667</v>
      </c>
      <c r="O37" s="289">
        <f>'2010'!$P$94/30</f>
        <v>63.2474359</v>
      </c>
      <c r="P37" s="289">
        <f>'2011'!$P$94/30</f>
        <v>41.828125</v>
      </c>
      <c r="Q37" s="289">
        <f>'2012'!$P$94/30</f>
        <v>52.59333333</v>
      </c>
      <c r="R37" s="289">
        <f>'2013'!$P$94/30</f>
        <v>53.6962963</v>
      </c>
      <c r="S37" s="289">
        <f>'2014'!$P$94/30</f>
        <v>67.7</v>
      </c>
      <c r="T37" s="289">
        <f>'2015'!$P$94/30</f>
        <v>71.66388889</v>
      </c>
      <c r="U37" s="289">
        <f>'2016'!$P$94/30</f>
        <v>50.17017544</v>
      </c>
      <c r="V37" s="289">
        <f>'2017'!$P$94/30</f>
        <v>59.51388889</v>
      </c>
      <c r="W37" s="289">
        <f>'2018'!$P$94/30</f>
        <v>58.89166667</v>
      </c>
      <c r="X37" s="289">
        <f>'2019'!$P$94/30</f>
        <v>68.65185185</v>
      </c>
      <c r="Y37" s="289">
        <f>'2020'!$P$94/30</f>
        <v>84.41761905</v>
      </c>
      <c r="Z37" s="289">
        <f>'2021'!$P$95/30</f>
        <v>67.64833333</v>
      </c>
      <c r="AA37" s="289">
        <f>'2022'!P96/30</f>
        <v>64.85402299</v>
      </c>
      <c r="AB37" s="289">
        <f>'2023'!P98/30</f>
        <v>61.77083333</v>
      </c>
    </row>
    <row r="38" ht="12.75" customHeight="1">
      <c r="A38" s="39" t="s">
        <v>831</v>
      </c>
      <c r="B38" s="40"/>
      <c r="C38" s="40"/>
      <c r="D38" s="41"/>
      <c r="E38" s="290">
        <f>'2000'!$P$95/30</f>
        <v>20.29722222</v>
      </c>
      <c r="F38" s="290">
        <f>'2001'!$P$95/30</f>
        <v>20.42857143</v>
      </c>
      <c r="G38" s="290">
        <f>'2002'!$P$95/30</f>
        <v>42.67222222</v>
      </c>
      <c r="H38" s="290">
        <f>'2003'!$P$95/30</f>
        <v>19.94444444</v>
      </c>
      <c r="I38" s="290">
        <f>'2004'!$P$95/30</f>
        <v>30.55714286</v>
      </c>
      <c r="J38" s="290">
        <f>'2005'!$P$96/30</f>
        <v>35.10666667</v>
      </c>
      <c r="K38" s="290">
        <f>'2006'!$P$95/30</f>
        <v>34.07619048</v>
      </c>
      <c r="L38" s="290">
        <f>'2007'!$P$95/30</f>
        <v>28.18666667</v>
      </c>
      <c r="M38" s="290">
        <f>'2008'!$P$95/30</f>
        <v>43.14</v>
      </c>
      <c r="N38" s="290">
        <f>'2009'!$P$95/30</f>
        <v>39.27619048</v>
      </c>
      <c r="O38" s="290">
        <f>'2010'!$P$95/30</f>
        <v>15.43333333</v>
      </c>
      <c r="P38" s="290">
        <f>'2011'!$P$95/30</f>
        <v>56.1</v>
      </c>
      <c r="Q38" s="290">
        <f>'2012'!$P$95/30</f>
        <v>24</v>
      </c>
      <c r="R38" s="290">
        <f>'2013'!$P$95/30</f>
        <v>52.58888889</v>
      </c>
      <c r="S38" s="290">
        <f>'2014'!$P$95/30</f>
        <v>54.74285714</v>
      </c>
      <c r="T38" s="290">
        <f>'2015'!$P$95/30</f>
        <v>53.83333333</v>
      </c>
      <c r="U38" s="290">
        <f>'2016'!$P$95/30</f>
        <v>59.53666667</v>
      </c>
      <c r="V38" s="290">
        <f>'2017'!$P$95/30</f>
        <v>49.27037037</v>
      </c>
      <c r="W38" s="290">
        <f>'2018'!$P$95/30</f>
        <v>26.825</v>
      </c>
      <c r="X38" s="290">
        <f>'2019'!$P$95/30</f>
        <v>53.9</v>
      </c>
      <c r="Y38" s="290">
        <f>'2020'!$P$95/30</f>
        <v>70.35925926</v>
      </c>
      <c r="Z38" s="290">
        <f>'2021'!$P$96/30</f>
        <v>70.65277778</v>
      </c>
      <c r="AA38" s="290">
        <f>'2022'!P97/30</f>
        <v>76.644</v>
      </c>
      <c r="AB38" s="290">
        <f>'2023'!P99/30</f>
        <v>79.62666667</v>
      </c>
    </row>
    <row r="39" ht="12.75" customHeight="1">
      <c r="A39" s="50" t="s">
        <v>832</v>
      </c>
      <c r="B39" s="40"/>
      <c r="C39" s="40"/>
      <c r="D39" s="41"/>
      <c r="E39" s="289" t="str">
        <f t="shared" ref="E39:K39" si="13">#N/A</f>
        <v>#N/A</v>
      </c>
      <c r="F39" s="289" t="str">
        <f t="shared" si="13"/>
        <v>#N/A</v>
      </c>
      <c r="G39" s="289" t="str">
        <f t="shared" si="13"/>
        <v>#N/A</v>
      </c>
      <c r="H39" s="289" t="str">
        <f t="shared" si="13"/>
        <v>#N/A</v>
      </c>
      <c r="I39" s="289" t="str">
        <f t="shared" si="13"/>
        <v>#N/A</v>
      </c>
      <c r="J39" s="289" t="str">
        <f t="shared" si="13"/>
        <v>#N/A</v>
      </c>
      <c r="K39" s="289" t="str">
        <f t="shared" si="13"/>
        <v>#N/A</v>
      </c>
      <c r="L39" s="289">
        <f>'2007'!$P$96/30</f>
        <v>38.62658228</v>
      </c>
      <c r="M39" s="289">
        <f>'2008'!$P$96/30</f>
        <v>29.29398148</v>
      </c>
      <c r="N39" s="289">
        <f>'2009'!$P$96/30</f>
        <v>28.02903226</v>
      </c>
      <c r="O39" s="289">
        <f>'2010'!$P$96/30</f>
        <v>31.71862745</v>
      </c>
      <c r="P39" s="289">
        <f>'2011'!$P$96/30</f>
        <v>32.5462963</v>
      </c>
      <c r="Q39" s="289">
        <f>'2012'!$P$96/30</f>
        <v>38.94933333</v>
      </c>
      <c r="R39" s="289">
        <f>'2013'!$P$96/30</f>
        <v>42.69444444</v>
      </c>
      <c r="S39" s="289">
        <f>'2014'!$P$96/30</f>
        <v>51.04444444</v>
      </c>
      <c r="T39" s="289">
        <f>'2015'!$P$96/30</f>
        <v>52.41489362</v>
      </c>
      <c r="U39" s="289">
        <f>'2016'!$P$96/30</f>
        <v>59.18768116</v>
      </c>
      <c r="V39" s="289">
        <f>'2017'!$P$96/30</f>
        <v>61.23994911</v>
      </c>
      <c r="W39" s="289">
        <f>'2018'!$P$96/30</f>
        <v>64.1463964</v>
      </c>
      <c r="X39" s="289">
        <f>'2019'!$P$96/30</f>
        <v>67.19134615</v>
      </c>
      <c r="Y39" s="289">
        <f>'2020'!$P$96/30</f>
        <v>63.00258216</v>
      </c>
      <c r="Z39" s="289">
        <f>'2021'!$P$97/30</f>
        <v>68.90323625</v>
      </c>
      <c r="AA39" s="289">
        <f>'2022'!P98/30</f>
        <v>68.39051095</v>
      </c>
      <c r="AB39" s="289">
        <f>'2023'!P100/30</f>
        <v>75.29298246</v>
      </c>
    </row>
    <row r="40" ht="12.75" customHeight="1">
      <c r="A40" s="39" t="s">
        <v>833</v>
      </c>
      <c r="B40" s="40"/>
      <c r="C40" s="40"/>
      <c r="D40" s="41"/>
      <c r="E40" s="290">
        <f>'2000'!$P$97/30</f>
        <v>15.8</v>
      </c>
      <c r="F40" s="290">
        <f>'2001'!$P$97/30</f>
        <v>27.13636364</v>
      </c>
      <c r="G40" s="290">
        <f>'2002'!$P$97/30</f>
        <v>27.57222222</v>
      </c>
      <c r="H40" s="290">
        <f>'2003'!$P$97/30</f>
        <v>19.68</v>
      </c>
      <c r="I40" s="290">
        <f>'2004'!$P$97/30</f>
        <v>31.26666667</v>
      </c>
      <c r="J40" s="290">
        <f>'2005'!$P$98/30</f>
        <v>35.84333333</v>
      </c>
      <c r="K40" s="290">
        <f>'2006'!$P$97/30</f>
        <v>18.32857143</v>
      </c>
      <c r="L40" s="290">
        <f>'2007'!$P$97/30</f>
        <v>18.56190476</v>
      </c>
      <c r="M40" s="290">
        <f>'2008'!$P$97/30</f>
        <v>27.71111111</v>
      </c>
      <c r="N40" s="290">
        <f>'2009'!$P$97/30</f>
        <v>26.8</v>
      </c>
      <c r="O40" s="290">
        <f>'2010'!$P$97/30</f>
        <v>21.94166667</v>
      </c>
      <c r="P40" s="290">
        <f>'2011'!$P$97/30</f>
        <v>25.51282051</v>
      </c>
      <c r="Q40" s="290">
        <f>'2012'!$P$97/30</f>
        <v>31.64</v>
      </c>
      <c r="R40" s="290">
        <f>'2013'!$P$97/30</f>
        <v>34.71111111</v>
      </c>
      <c r="S40" s="290">
        <f>'2014'!$P$97/30</f>
        <v>30.96666667</v>
      </c>
      <c r="T40" s="290">
        <f>'2015'!$P$97/30</f>
        <v>24.22380952</v>
      </c>
      <c r="U40" s="290">
        <f>'2016'!$P$97/30</f>
        <v>22.98888889</v>
      </c>
      <c r="V40" s="290">
        <f>'2017'!$P$97/30</f>
        <v>23.78571429</v>
      </c>
      <c r="W40" s="290">
        <f>'2018'!$P$97/30</f>
        <v>16.05619048</v>
      </c>
      <c r="X40" s="290">
        <f>'2019'!$P$97/30</f>
        <v>11.19139785</v>
      </c>
      <c r="Y40" s="290">
        <f>'2020'!$P$97/30</f>
        <v>13.30892857</v>
      </c>
      <c r="Z40" s="290">
        <f>'2021'!$P$98/30</f>
        <v>11.85811966</v>
      </c>
      <c r="AA40" s="290">
        <f>'2022'!P99/30</f>
        <v>9.475438596</v>
      </c>
      <c r="AB40" s="290">
        <f>'2023'!P101/30</f>
        <v>11.64444444</v>
      </c>
    </row>
    <row r="41" ht="14.25" customHeight="1">
      <c r="A41" s="50" t="s">
        <v>834</v>
      </c>
      <c r="B41" s="40"/>
      <c r="C41" s="40"/>
      <c r="D41" s="41"/>
      <c r="E41" s="289" t="str">
        <f t="shared" ref="E41:O41" si="14">#N/A</f>
        <v>#N/A</v>
      </c>
      <c r="F41" s="289" t="str">
        <f t="shared" si="14"/>
        <v>#N/A</v>
      </c>
      <c r="G41" s="289" t="str">
        <f t="shared" si="14"/>
        <v>#N/A</v>
      </c>
      <c r="H41" s="289" t="str">
        <f t="shared" si="14"/>
        <v>#N/A</v>
      </c>
      <c r="I41" s="289" t="str">
        <f t="shared" si="14"/>
        <v>#N/A</v>
      </c>
      <c r="J41" s="289" t="str">
        <f t="shared" si="14"/>
        <v>#N/A</v>
      </c>
      <c r="K41" s="289" t="str">
        <f t="shared" si="14"/>
        <v>#N/A</v>
      </c>
      <c r="L41" s="289" t="str">
        <f t="shared" si="14"/>
        <v>#N/A</v>
      </c>
      <c r="M41" s="289" t="str">
        <f t="shared" si="14"/>
        <v>#N/A</v>
      </c>
      <c r="N41" s="289" t="str">
        <f t="shared" si="14"/>
        <v>#N/A</v>
      </c>
      <c r="O41" s="289" t="str">
        <f t="shared" si="14"/>
        <v>#N/A</v>
      </c>
      <c r="P41" s="289">
        <f>'2011'!$P$98/30</f>
        <v>3.322222222</v>
      </c>
      <c r="Q41" s="289">
        <f>'2012'!$P$98/30</f>
        <v>7.533333333</v>
      </c>
      <c r="R41" s="289">
        <f>'2013'!$P$98/30</f>
        <v>10.30666667</v>
      </c>
      <c r="S41" s="289">
        <f>'2014'!$P$98/30</f>
        <v>15.2</v>
      </c>
      <c r="T41" s="289">
        <f>'2015'!$P$98/30</f>
        <v>19.26111111</v>
      </c>
      <c r="U41" s="289">
        <f>'2016'!$P$98/30</f>
        <v>17.25138889</v>
      </c>
      <c r="V41" s="289">
        <f>'2017'!$P$98/30</f>
        <v>12.61111111</v>
      </c>
      <c r="W41" s="289">
        <f>'2018'!$P$98/30</f>
        <v>8.492156863</v>
      </c>
      <c r="X41" s="289">
        <f>'2019'!$P$98/30</f>
        <v>9.277777778</v>
      </c>
      <c r="Y41" s="289">
        <f>'2020'!$P$98/30</f>
        <v>7.896491228</v>
      </c>
      <c r="Z41" s="289">
        <f>'2021'!$P$99/30</f>
        <v>7.053594771</v>
      </c>
      <c r="AA41" s="289">
        <f>'2022'!P100/30</f>
        <v>7.885185185</v>
      </c>
      <c r="AB41" s="289">
        <f>'2023'!P102/30</f>
        <v>4.796296296</v>
      </c>
    </row>
    <row r="42" ht="12.75" customHeight="1">
      <c r="A42" s="274" t="s">
        <v>275</v>
      </c>
      <c r="B42" s="40"/>
      <c r="C42" s="40"/>
      <c r="D42" s="41"/>
      <c r="E42" s="291">
        <f>'2000'!$P$99/30</f>
        <v>30.48026316</v>
      </c>
      <c r="F42" s="291">
        <f>'2001'!$P$99/30</f>
        <v>31.16994048</v>
      </c>
      <c r="G42" s="291">
        <f>'2002'!$P$99/30</f>
        <v>37.33584906</v>
      </c>
      <c r="H42" s="291">
        <f>'2003'!$P$99/30</f>
        <v>34.87359307</v>
      </c>
      <c r="I42" s="291">
        <f>'2004'!$P$99/30</f>
        <v>35.32896825</v>
      </c>
      <c r="J42" s="291">
        <f>'2005'!$P$100/30</f>
        <v>37.03108614</v>
      </c>
      <c r="K42" s="291">
        <f>'2006'!$P$99/30</f>
        <v>41.10856269</v>
      </c>
      <c r="L42" s="291">
        <f>'2007'!$P$99/30</f>
        <v>37.54389439</v>
      </c>
      <c r="M42" s="291">
        <f>'2008'!$P$99/30</f>
        <v>30.32181501</v>
      </c>
      <c r="N42" s="291">
        <f>'2009'!$P$99/30</f>
        <v>30.75888078</v>
      </c>
      <c r="O42" s="291">
        <f>'2010'!$P$99/30</f>
        <v>38.1775641</v>
      </c>
      <c r="P42" s="291">
        <f>'2011'!$P$99/30</f>
        <v>33.00958904</v>
      </c>
      <c r="Q42" s="291">
        <f>'2012'!$P$99/30</f>
        <v>35.29007937</v>
      </c>
      <c r="R42" s="291">
        <f>'2013'!$P$99/30</f>
        <v>41.99606061</v>
      </c>
      <c r="S42" s="291">
        <f>'2014'!$P$99/30</f>
        <v>46.54752252</v>
      </c>
      <c r="T42" s="291">
        <f>'2015'!$P$99/30</f>
        <v>47.00407674</v>
      </c>
      <c r="U42" s="291">
        <f>'2016'!$P$99/30</f>
        <v>45.39410349</v>
      </c>
      <c r="V42" s="291">
        <f>'2017'!$P$99/30</f>
        <v>51.80231023</v>
      </c>
      <c r="W42" s="291">
        <f>'2018'!$P$99/30</f>
        <v>51.97431329</v>
      </c>
      <c r="X42" s="291">
        <f>'2019'!$P$99/30</f>
        <v>51.08414035</v>
      </c>
      <c r="Y42" s="291">
        <f>'2020'!$P$99/30</f>
        <v>52.29146341</v>
      </c>
      <c r="Z42" s="291">
        <f>'2021'!$P$100/30</f>
        <v>53.08817588</v>
      </c>
      <c r="AA42" s="291">
        <f>'2022'!$P$101/30</f>
        <v>53.75415184</v>
      </c>
      <c r="AB42" s="291">
        <f>'2023'!$P$103/30</f>
        <v>59.41568627</v>
      </c>
    </row>
    <row r="43" ht="12.75" customHeight="1"/>
    <row r="44" ht="12.75" customHeight="1">
      <c r="A44" s="33" t="s">
        <v>835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5"/>
      <c r="AA44" s="292"/>
      <c r="AB44" s="292"/>
      <c r="AC44" s="293" t="s">
        <v>836</v>
      </c>
    </row>
    <row r="45" ht="12.75" customHeight="1">
      <c r="A45" s="285"/>
      <c r="Z45" s="286"/>
      <c r="AA45" s="292"/>
      <c r="AB45" s="292"/>
      <c r="AC45" s="294"/>
    </row>
    <row r="46" ht="12.75" customHeight="1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8"/>
      <c r="AA46" s="292"/>
      <c r="AB46" s="292"/>
      <c r="AC46" s="294"/>
    </row>
    <row r="47" ht="17.25" customHeight="1">
      <c r="A47" s="33" t="s">
        <v>2</v>
      </c>
      <c r="B47" s="295"/>
      <c r="C47" s="295"/>
      <c r="D47" s="296"/>
      <c r="E47" s="297" t="s">
        <v>837</v>
      </c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1"/>
      <c r="AB47" s="292"/>
      <c r="AC47" s="294"/>
    </row>
    <row r="48">
      <c r="A48" s="46" t="s">
        <v>2</v>
      </c>
      <c r="B48" s="40"/>
      <c r="C48" s="40"/>
      <c r="D48" s="41"/>
      <c r="E48" s="4">
        <v>2000.0</v>
      </c>
      <c r="F48" s="4">
        <v>2001.0</v>
      </c>
      <c r="G48" s="4">
        <v>2002.0</v>
      </c>
      <c r="H48" s="4">
        <v>2003.0</v>
      </c>
      <c r="I48" s="4">
        <v>2004.0</v>
      </c>
      <c r="J48" s="4">
        <v>2005.0</v>
      </c>
      <c r="K48" s="4">
        <v>2006.0</v>
      </c>
      <c r="L48" s="4">
        <v>2007.0</v>
      </c>
      <c r="M48" s="4">
        <v>2008.0</v>
      </c>
      <c r="N48" s="4">
        <v>2009.0</v>
      </c>
      <c r="O48" s="4">
        <v>2010.0</v>
      </c>
      <c r="P48" s="4">
        <v>2011.0</v>
      </c>
      <c r="Q48" s="4">
        <v>2012.0</v>
      </c>
      <c r="R48" s="4">
        <v>2013.0</v>
      </c>
      <c r="S48" s="4">
        <v>2014.0</v>
      </c>
      <c r="T48" s="4">
        <v>2015.0</v>
      </c>
      <c r="U48" s="4">
        <v>2016.0</v>
      </c>
      <c r="V48" s="4">
        <v>2017.0</v>
      </c>
      <c r="W48" s="4">
        <v>2018.0</v>
      </c>
      <c r="X48" s="4">
        <v>2019.0</v>
      </c>
      <c r="Y48" s="4">
        <v>2020.0</v>
      </c>
      <c r="Z48" s="4">
        <v>2021.0</v>
      </c>
      <c r="AA48" s="4">
        <v>2022.0</v>
      </c>
      <c r="AB48" s="274">
        <v>2023.0</v>
      </c>
      <c r="AC48" s="298"/>
      <c r="AG48" s="299"/>
    </row>
    <row r="49" ht="12.75" customHeight="1">
      <c r="A49" s="170">
        <v>1990.0</v>
      </c>
      <c r="B49" s="40"/>
      <c r="C49" s="40"/>
      <c r="D49" s="41"/>
      <c r="E49" s="300">
        <f>'2000'!P31</f>
        <v>1</v>
      </c>
      <c r="F49" s="300">
        <f>'2001'!P30</f>
        <v>0</v>
      </c>
      <c r="G49" s="300">
        <f>'2002'!P29</f>
        <v>1</v>
      </c>
      <c r="H49" s="300">
        <v>0.0</v>
      </c>
      <c r="I49" s="300">
        <v>0.0</v>
      </c>
      <c r="J49" s="300">
        <v>0.0</v>
      </c>
      <c r="K49" s="300">
        <v>0.0</v>
      </c>
      <c r="L49" s="300">
        <v>0.0</v>
      </c>
      <c r="M49" s="300">
        <v>0.0</v>
      </c>
      <c r="N49" s="300">
        <v>0.0</v>
      </c>
      <c r="O49" s="300">
        <v>0.0</v>
      </c>
      <c r="P49" s="300">
        <v>0.0</v>
      </c>
      <c r="Q49" s="300">
        <v>0.0</v>
      </c>
      <c r="R49" s="300">
        <v>0.0</v>
      </c>
      <c r="S49" s="300">
        <v>0.0</v>
      </c>
      <c r="T49" s="300">
        <v>0.0</v>
      </c>
      <c r="U49" s="300">
        <v>0.0</v>
      </c>
      <c r="V49" s="300">
        <v>0.0</v>
      </c>
      <c r="W49" s="300">
        <v>0.0</v>
      </c>
      <c r="X49" s="300">
        <v>0.0</v>
      </c>
      <c r="Y49" s="300">
        <v>0.0</v>
      </c>
      <c r="Z49" s="300">
        <v>0.0</v>
      </c>
      <c r="AA49" s="301">
        <v>0.0</v>
      </c>
      <c r="AB49" s="302">
        <v>0.0</v>
      </c>
      <c r="AC49" s="303">
        <f t="shared" ref="AC49:AC82" si="15">SUM(E49:AB49)</f>
        <v>2</v>
      </c>
      <c r="AD49" s="304">
        <v>1990.0</v>
      </c>
    </row>
    <row r="50" ht="12.75" customHeight="1">
      <c r="A50" s="171">
        <v>1991.0</v>
      </c>
      <c r="B50" s="40"/>
      <c r="C50" s="40"/>
      <c r="D50" s="41"/>
      <c r="E50" s="305">
        <f>'2000'!P32</f>
        <v>0</v>
      </c>
      <c r="F50" s="305">
        <f>'2001'!P31</f>
        <v>1</v>
      </c>
      <c r="G50" s="305">
        <f>'2002'!P30</f>
        <v>1</v>
      </c>
      <c r="H50" s="305">
        <v>0.0</v>
      </c>
      <c r="I50" s="305">
        <v>0.0</v>
      </c>
      <c r="J50" s="305">
        <v>0.0</v>
      </c>
      <c r="K50" s="305">
        <v>0.0</v>
      </c>
      <c r="L50" s="305">
        <v>0.0</v>
      </c>
      <c r="M50" s="305">
        <v>0.0</v>
      </c>
      <c r="N50" s="305">
        <v>0.0</v>
      </c>
      <c r="O50" s="305">
        <v>0.0</v>
      </c>
      <c r="P50" s="305">
        <v>0.0</v>
      </c>
      <c r="Q50" s="305">
        <v>0.0</v>
      </c>
      <c r="R50" s="305">
        <v>0.0</v>
      </c>
      <c r="S50" s="305">
        <v>0.0</v>
      </c>
      <c r="T50" s="305">
        <v>0.0</v>
      </c>
      <c r="U50" s="305">
        <v>0.0</v>
      </c>
      <c r="V50" s="305">
        <v>0.0</v>
      </c>
      <c r="W50" s="305">
        <v>0.0</v>
      </c>
      <c r="X50" s="305">
        <v>0.0</v>
      </c>
      <c r="Y50" s="305">
        <v>0.0</v>
      </c>
      <c r="Z50" s="305">
        <v>0.0</v>
      </c>
      <c r="AA50" s="305">
        <v>0.0</v>
      </c>
      <c r="AB50" s="306">
        <v>0.0</v>
      </c>
      <c r="AC50" s="303">
        <f t="shared" si="15"/>
        <v>2</v>
      </c>
      <c r="AD50" s="307">
        <v>1991.0</v>
      </c>
    </row>
    <row r="51" ht="12.75" customHeight="1">
      <c r="A51" s="170">
        <v>1992.0</v>
      </c>
      <c r="B51" s="40"/>
      <c r="C51" s="40"/>
      <c r="D51" s="41"/>
      <c r="E51" s="300">
        <f>'2000'!P33</f>
        <v>4</v>
      </c>
      <c r="F51" s="300">
        <f>'2001'!P32</f>
        <v>0</v>
      </c>
      <c r="G51" s="300">
        <f>'2002'!P31</f>
        <v>0</v>
      </c>
      <c r="H51" s="300">
        <v>0.0</v>
      </c>
      <c r="I51" s="300">
        <v>0.0</v>
      </c>
      <c r="J51" s="300">
        <v>0.0</v>
      </c>
      <c r="K51" s="300">
        <v>0.0</v>
      </c>
      <c r="L51" s="300">
        <v>0.0</v>
      </c>
      <c r="M51" s="300">
        <v>0.0</v>
      </c>
      <c r="N51" s="300">
        <v>0.0</v>
      </c>
      <c r="O51" s="300">
        <v>0.0</v>
      </c>
      <c r="P51" s="300">
        <v>0.0</v>
      </c>
      <c r="Q51" s="300">
        <v>0.0</v>
      </c>
      <c r="R51" s="300">
        <v>0.0</v>
      </c>
      <c r="S51" s="300">
        <v>0.0</v>
      </c>
      <c r="T51" s="300">
        <v>0.0</v>
      </c>
      <c r="U51" s="300">
        <v>0.0</v>
      </c>
      <c r="V51" s="300">
        <v>0.0</v>
      </c>
      <c r="W51" s="300">
        <v>0.0</v>
      </c>
      <c r="X51" s="300">
        <v>0.0</v>
      </c>
      <c r="Y51" s="300">
        <v>0.0</v>
      </c>
      <c r="Z51" s="300">
        <v>0.0</v>
      </c>
      <c r="AA51" s="301">
        <v>0.0</v>
      </c>
      <c r="AB51" s="302">
        <v>0.0</v>
      </c>
      <c r="AC51" s="303">
        <f t="shared" si="15"/>
        <v>4</v>
      </c>
      <c r="AD51" s="304">
        <v>1992.0</v>
      </c>
    </row>
    <row r="52" ht="12.75" customHeight="1">
      <c r="A52" s="171">
        <v>1993.0</v>
      </c>
      <c r="B52" s="40"/>
      <c r="C52" s="40"/>
      <c r="D52" s="41"/>
      <c r="E52" s="305">
        <f>'2000'!P34</f>
        <v>1</v>
      </c>
      <c r="F52" s="305">
        <f>'2001'!P33</f>
        <v>3</v>
      </c>
      <c r="G52" s="305">
        <f>'2002'!P32</f>
        <v>0</v>
      </c>
      <c r="H52" s="305">
        <f>'2003'!P31</f>
        <v>1</v>
      </c>
      <c r="I52" s="305">
        <f>'2004'!P30</f>
        <v>0</v>
      </c>
      <c r="J52" s="305">
        <f>'2005'!P29</f>
        <v>0</v>
      </c>
      <c r="K52" s="305">
        <v>0.0</v>
      </c>
      <c r="L52" s="305">
        <v>0.0</v>
      </c>
      <c r="M52" s="305">
        <v>0.0</v>
      </c>
      <c r="N52" s="305">
        <v>0.0</v>
      </c>
      <c r="O52" s="305">
        <v>0.0</v>
      </c>
      <c r="P52" s="305">
        <v>0.0</v>
      </c>
      <c r="Q52" s="305">
        <v>0.0</v>
      </c>
      <c r="R52" s="305">
        <v>0.0</v>
      </c>
      <c r="S52" s="305">
        <v>0.0</v>
      </c>
      <c r="T52" s="305">
        <v>0.0</v>
      </c>
      <c r="U52" s="305">
        <v>0.0</v>
      </c>
      <c r="V52" s="305">
        <v>0.0</v>
      </c>
      <c r="W52" s="305">
        <v>0.0</v>
      </c>
      <c r="X52" s="305">
        <v>0.0</v>
      </c>
      <c r="Y52" s="305">
        <v>0.0</v>
      </c>
      <c r="Z52" s="305">
        <v>0.0</v>
      </c>
      <c r="AA52" s="308">
        <v>0.0</v>
      </c>
      <c r="AB52" s="309">
        <v>0.0</v>
      </c>
      <c r="AC52" s="303">
        <f t="shared" si="15"/>
        <v>5</v>
      </c>
      <c r="AD52" s="307">
        <v>1993.0</v>
      </c>
    </row>
    <row r="53" ht="12.75" customHeight="1">
      <c r="A53" s="170">
        <v>1994.0</v>
      </c>
      <c r="B53" s="40"/>
      <c r="C53" s="40"/>
      <c r="D53" s="41"/>
      <c r="E53" s="300">
        <f>'2000'!P35</f>
        <v>1</v>
      </c>
      <c r="F53" s="300">
        <f>'2001'!P34</f>
        <v>0</v>
      </c>
      <c r="G53" s="300">
        <f>'2002'!P33</f>
        <v>4</v>
      </c>
      <c r="H53" s="300">
        <f>'2003'!P32</f>
        <v>1</v>
      </c>
      <c r="I53" s="300">
        <f>'2004'!P31</f>
        <v>0</v>
      </c>
      <c r="J53" s="300">
        <f>'2006'!P30</f>
        <v>2</v>
      </c>
      <c r="K53" s="300">
        <f>'2006'!P29</f>
        <v>1</v>
      </c>
      <c r="L53" s="300">
        <v>0.0</v>
      </c>
      <c r="M53" s="300">
        <v>0.0</v>
      </c>
      <c r="N53" s="300">
        <v>0.0</v>
      </c>
      <c r="O53" s="300">
        <v>0.0</v>
      </c>
      <c r="P53" s="300">
        <v>0.0</v>
      </c>
      <c r="Q53" s="300">
        <v>0.0</v>
      </c>
      <c r="R53" s="300">
        <v>0.0</v>
      </c>
      <c r="S53" s="300">
        <v>0.0</v>
      </c>
      <c r="T53" s="300">
        <v>0.0</v>
      </c>
      <c r="U53" s="300">
        <v>0.0</v>
      </c>
      <c r="V53" s="300">
        <v>0.0</v>
      </c>
      <c r="W53" s="300">
        <v>0.0</v>
      </c>
      <c r="X53" s="300">
        <v>0.0</v>
      </c>
      <c r="Y53" s="300">
        <v>0.0</v>
      </c>
      <c r="Z53" s="300">
        <v>0.0</v>
      </c>
      <c r="AA53" s="301">
        <v>0.0</v>
      </c>
      <c r="AB53" s="302">
        <v>0.0</v>
      </c>
      <c r="AC53" s="303">
        <f t="shared" si="15"/>
        <v>9</v>
      </c>
      <c r="AD53" s="304">
        <v>1994.0</v>
      </c>
    </row>
    <row r="54" ht="12.75" customHeight="1">
      <c r="A54" s="171">
        <v>1995.0</v>
      </c>
      <c r="B54" s="40"/>
      <c r="C54" s="40"/>
      <c r="D54" s="41"/>
      <c r="E54" s="305">
        <f>'2000'!P36</f>
        <v>4</v>
      </c>
      <c r="F54" s="305">
        <f>'2001'!P35</f>
        <v>9</v>
      </c>
      <c r="G54" s="305">
        <f>'2002'!P34</f>
        <v>0</v>
      </c>
      <c r="H54" s="305">
        <f>'2003'!P33</f>
        <v>3</v>
      </c>
      <c r="I54" s="305">
        <f>'2004'!P32</f>
        <v>1</v>
      </c>
      <c r="J54" s="305">
        <f>'2005'!P31</f>
        <v>1</v>
      </c>
      <c r="K54" s="305">
        <f>'2006'!P30</f>
        <v>2</v>
      </c>
      <c r="L54" s="305">
        <f>'2007'!P29</f>
        <v>1</v>
      </c>
      <c r="M54" s="305">
        <v>0.0</v>
      </c>
      <c r="N54" s="305">
        <v>0.0</v>
      </c>
      <c r="O54" s="305">
        <v>0.0</v>
      </c>
      <c r="P54" s="305">
        <v>0.0</v>
      </c>
      <c r="Q54" s="305">
        <v>0.0</v>
      </c>
      <c r="R54" s="305">
        <v>0.0</v>
      </c>
      <c r="S54" s="305">
        <v>0.0</v>
      </c>
      <c r="T54" s="305">
        <v>0.0</v>
      </c>
      <c r="U54" s="305">
        <v>0.0</v>
      </c>
      <c r="V54" s="305">
        <v>0.0</v>
      </c>
      <c r="W54" s="305">
        <v>0.0</v>
      </c>
      <c r="X54" s="305">
        <v>0.0</v>
      </c>
      <c r="Y54" s="305">
        <v>0.0</v>
      </c>
      <c r="Z54" s="305">
        <v>0.0</v>
      </c>
      <c r="AA54" s="308">
        <v>0.0</v>
      </c>
      <c r="AB54" s="309">
        <v>0.0</v>
      </c>
      <c r="AC54" s="303">
        <f t="shared" si="15"/>
        <v>21</v>
      </c>
      <c r="AD54" s="307">
        <v>1995.0</v>
      </c>
    </row>
    <row r="55" ht="12.75" customHeight="1">
      <c r="A55" s="170">
        <v>1996.0</v>
      </c>
      <c r="B55" s="40"/>
      <c r="C55" s="40"/>
      <c r="D55" s="41"/>
      <c r="E55" s="300">
        <f>'2000'!P37</f>
        <v>5</v>
      </c>
      <c r="F55" s="300">
        <f>'2001'!P36</f>
        <v>5</v>
      </c>
      <c r="G55" s="300">
        <f>'2002'!P35</f>
        <v>0</v>
      </c>
      <c r="H55" s="300">
        <f>'2003'!P34</f>
        <v>0</v>
      </c>
      <c r="I55" s="300">
        <f>'2004'!P33</f>
        <v>2</v>
      </c>
      <c r="J55" s="300">
        <f>'2006'!P32</f>
        <v>0</v>
      </c>
      <c r="K55" s="300">
        <f>'2006'!P31</f>
        <v>0</v>
      </c>
      <c r="L55" s="300">
        <f>'2007'!P30</f>
        <v>1</v>
      </c>
      <c r="M55" s="300">
        <f>'2008'!P29</f>
        <v>0</v>
      </c>
      <c r="N55" s="300">
        <v>0.0</v>
      </c>
      <c r="O55" s="300">
        <v>0.0</v>
      </c>
      <c r="P55" s="300">
        <v>0.0</v>
      </c>
      <c r="Q55" s="300">
        <v>0.0</v>
      </c>
      <c r="R55" s="300">
        <v>0.0</v>
      </c>
      <c r="S55" s="300">
        <v>0.0</v>
      </c>
      <c r="T55" s="300">
        <v>0.0</v>
      </c>
      <c r="U55" s="300">
        <v>0.0</v>
      </c>
      <c r="V55" s="300">
        <v>0.0</v>
      </c>
      <c r="W55" s="300">
        <v>0.0</v>
      </c>
      <c r="X55" s="300">
        <v>0.0</v>
      </c>
      <c r="Y55" s="300">
        <v>0.0</v>
      </c>
      <c r="Z55" s="300">
        <v>0.0</v>
      </c>
      <c r="AA55" s="301">
        <v>0.0</v>
      </c>
      <c r="AB55" s="302">
        <v>0.0</v>
      </c>
      <c r="AC55" s="303">
        <f t="shared" si="15"/>
        <v>13</v>
      </c>
      <c r="AD55" s="304">
        <v>1996.0</v>
      </c>
    </row>
    <row r="56" ht="12.75" customHeight="1">
      <c r="A56" s="171">
        <v>1997.0</v>
      </c>
      <c r="B56" s="40"/>
      <c r="C56" s="40"/>
      <c r="D56" s="41"/>
      <c r="E56" s="305">
        <f>'2000'!P38</f>
        <v>11</v>
      </c>
      <c r="F56" s="305">
        <f>'2001'!P37</f>
        <v>2</v>
      </c>
      <c r="G56" s="305">
        <f>'2002'!P36</f>
        <v>1</v>
      </c>
      <c r="H56" s="305">
        <f>'2003'!P35</f>
        <v>0</v>
      </c>
      <c r="I56" s="305">
        <f>'2004'!P34</f>
        <v>0</v>
      </c>
      <c r="J56" s="305">
        <f>'2005'!P33</f>
        <v>0</v>
      </c>
      <c r="K56" s="305">
        <f>'2006'!P32</f>
        <v>0</v>
      </c>
      <c r="L56" s="305">
        <f>'2007'!P31</f>
        <v>2</v>
      </c>
      <c r="M56" s="305">
        <f>'2008'!P30</f>
        <v>0</v>
      </c>
      <c r="N56" s="305">
        <f>'2009'!P29</f>
        <v>0</v>
      </c>
      <c r="O56" s="305">
        <v>0.0</v>
      </c>
      <c r="P56" s="305">
        <v>0.0</v>
      </c>
      <c r="Q56" s="305">
        <v>0.0</v>
      </c>
      <c r="R56" s="305">
        <v>0.0</v>
      </c>
      <c r="S56" s="305">
        <v>0.0</v>
      </c>
      <c r="T56" s="305">
        <v>0.0</v>
      </c>
      <c r="U56" s="305">
        <v>0.0</v>
      </c>
      <c r="V56" s="305">
        <v>0.0</v>
      </c>
      <c r="W56" s="305">
        <v>0.0</v>
      </c>
      <c r="X56" s="305">
        <v>0.0</v>
      </c>
      <c r="Y56" s="305">
        <v>0.0</v>
      </c>
      <c r="Z56" s="305">
        <v>0.0</v>
      </c>
      <c r="AA56" s="308">
        <v>0.0</v>
      </c>
      <c r="AB56" s="309">
        <v>0.0</v>
      </c>
      <c r="AC56" s="303">
        <f t="shared" si="15"/>
        <v>16</v>
      </c>
      <c r="AD56" s="307">
        <v>1997.0</v>
      </c>
    </row>
    <row r="57" ht="12.75" customHeight="1">
      <c r="A57" s="170">
        <v>1998.0</v>
      </c>
      <c r="B57" s="40"/>
      <c r="C57" s="40"/>
      <c r="D57" s="41"/>
      <c r="E57" s="300">
        <f>'2000'!P39</f>
        <v>24</v>
      </c>
      <c r="F57" s="300">
        <f>'2001'!P38</f>
        <v>21</v>
      </c>
      <c r="G57" s="300">
        <f>'2002'!P37</f>
        <v>5</v>
      </c>
      <c r="H57" s="300">
        <f>'2003'!P36</f>
        <v>6</v>
      </c>
      <c r="I57" s="300">
        <f>'2004'!P35</f>
        <v>3</v>
      </c>
      <c r="J57" s="300">
        <f>'2006'!P34</f>
        <v>5</v>
      </c>
      <c r="K57" s="300">
        <f>'2006'!P33</f>
        <v>1</v>
      </c>
      <c r="L57" s="300">
        <f>'2007'!P32</f>
        <v>1</v>
      </c>
      <c r="M57" s="300">
        <f>'2008'!P31</f>
        <v>0</v>
      </c>
      <c r="N57" s="300">
        <f>'2009'!P30</f>
        <v>2</v>
      </c>
      <c r="O57" s="300">
        <f>'2010'!P29</f>
        <v>1</v>
      </c>
      <c r="P57" s="300">
        <v>0.0</v>
      </c>
      <c r="Q57" s="300">
        <v>0.0</v>
      </c>
      <c r="R57" s="300">
        <v>0.0</v>
      </c>
      <c r="S57" s="300">
        <v>0.0</v>
      </c>
      <c r="T57" s="300">
        <v>0.0</v>
      </c>
      <c r="U57" s="300">
        <v>0.0</v>
      </c>
      <c r="V57" s="300">
        <v>0.0</v>
      </c>
      <c r="W57" s="300">
        <v>0.0</v>
      </c>
      <c r="X57" s="300">
        <v>0.0</v>
      </c>
      <c r="Y57" s="300">
        <v>0.0</v>
      </c>
      <c r="Z57" s="300">
        <v>0.0</v>
      </c>
      <c r="AA57" s="301">
        <v>0.0</v>
      </c>
      <c r="AB57" s="302">
        <v>0.0</v>
      </c>
      <c r="AC57" s="303">
        <f t="shared" si="15"/>
        <v>69</v>
      </c>
      <c r="AD57" s="304">
        <v>1998.0</v>
      </c>
    </row>
    <row r="58" ht="12.75" customHeight="1">
      <c r="A58" s="171">
        <v>1999.0</v>
      </c>
      <c r="B58" s="40"/>
      <c r="C58" s="40"/>
      <c r="D58" s="41"/>
      <c r="E58" s="305">
        <f>'2000'!P40</f>
        <v>29</v>
      </c>
      <c r="F58" s="305">
        <f>'2001'!P39</f>
        <v>47</v>
      </c>
      <c r="G58" s="305">
        <f>'2002'!P38</f>
        <v>12</v>
      </c>
      <c r="H58" s="305">
        <f>'2003'!P37</f>
        <v>6</v>
      </c>
      <c r="I58" s="305">
        <f>'2004'!P36</f>
        <v>4</v>
      </c>
      <c r="J58" s="305">
        <f>'2005'!P35</f>
        <v>2</v>
      </c>
      <c r="K58" s="305">
        <f>'2006'!P34</f>
        <v>5</v>
      </c>
      <c r="L58" s="305">
        <f>'2007'!P33</f>
        <v>4</v>
      </c>
      <c r="M58" s="305">
        <f>'2008'!P32</f>
        <v>0</v>
      </c>
      <c r="N58" s="305">
        <f>'2009'!P31</f>
        <v>1</v>
      </c>
      <c r="O58" s="305">
        <f>'2010'!P30</f>
        <v>3</v>
      </c>
      <c r="P58" s="305">
        <f>'2011'!P29</f>
        <v>0</v>
      </c>
      <c r="Q58" s="305">
        <v>0.0</v>
      </c>
      <c r="R58" s="305">
        <v>0.0</v>
      </c>
      <c r="S58" s="305">
        <v>0.0</v>
      </c>
      <c r="T58" s="305">
        <v>0.0</v>
      </c>
      <c r="U58" s="305">
        <v>0.0</v>
      </c>
      <c r="V58" s="305">
        <v>0.0</v>
      </c>
      <c r="W58" s="305">
        <v>0.0</v>
      </c>
      <c r="X58" s="305">
        <v>0.0</v>
      </c>
      <c r="Y58" s="305">
        <v>0.0</v>
      </c>
      <c r="Z58" s="305">
        <v>0.0</v>
      </c>
      <c r="AA58" s="308">
        <v>0.0</v>
      </c>
      <c r="AB58" s="309">
        <v>0.0</v>
      </c>
      <c r="AC58" s="303">
        <f t="shared" si="15"/>
        <v>113</v>
      </c>
      <c r="AD58" s="307">
        <v>1999.0</v>
      </c>
    </row>
    <row r="59" ht="12.75" customHeight="1">
      <c r="A59" s="170">
        <v>2000.0</v>
      </c>
      <c r="B59" s="40"/>
      <c r="C59" s="40"/>
      <c r="D59" s="41"/>
      <c r="E59" s="300">
        <f>'2000'!P41</f>
        <v>1</v>
      </c>
      <c r="F59" s="300">
        <f>'2001'!P40</f>
        <v>24</v>
      </c>
      <c r="G59" s="300">
        <f>'2002'!P39</f>
        <v>24</v>
      </c>
      <c r="H59" s="300">
        <f>'2003'!P38</f>
        <v>19</v>
      </c>
      <c r="I59" s="300">
        <f>'2004'!P37</f>
        <v>13</v>
      </c>
      <c r="J59" s="300">
        <f>'2006'!P36</f>
        <v>17</v>
      </c>
      <c r="K59" s="300">
        <f>'2006'!P35</f>
        <v>4</v>
      </c>
      <c r="L59" s="300">
        <f>'2007'!P34</f>
        <v>6</v>
      </c>
      <c r="M59" s="300">
        <f>'2008'!P33</f>
        <v>2</v>
      </c>
      <c r="N59" s="300">
        <f>'2009'!P32</f>
        <v>1</v>
      </c>
      <c r="O59" s="300">
        <f>'2010'!P31</f>
        <v>1</v>
      </c>
      <c r="P59" s="300">
        <f>'2011'!P30</f>
        <v>0</v>
      </c>
      <c r="Q59" s="300">
        <f>'2012'!P29</f>
        <v>0</v>
      </c>
      <c r="R59" s="300">
        <v>0.0</v>
      </c>
      <c r="S59" s="300">
        <v>0.0</v>
      </c>
      <c r="T59" s="300">
        <v>0.0</v>
      </c>
      <c r="U59" s="300">
        <v>0.0</v>
      </c>
      <c r="V59" s="300">
        <v>0.0</v>
      </c>
      <c r="W59" s="300">
        <v>0.0</v>
      </c>
      <c r="X59" s="300">
        <v>0.0</v>
      </c>
      <c r="Y59" s="300">
        <v>0.0</v>
      </c>
      <c r="Z59" s="300">
        <v>0.0</v>
      </c>
      <c r="AA59" s="301">
        <v>0.0</v>
      </c>
      <c r="AB59" s="302">
        <v>0.0</v>
      </c>
      <c r="AC59" s="303">
        <f t="shared" si="15"/>
        <v>112</v>
      </c>
      <c r="AD59" s="304">
        <v>2000.0</v>
      </c>
    </row>
    <row r="60" ht="12.75" customHeight="1">
      <c r="A60" s="171">
        <v>2001.0</v>
      </c>
      <c r="B60" s="40"/>
      <c r="C60" s="40"/>
      <c r="D60" s="41"/>
      <c r="E60" s="305">
        <v>0.0</v>
      </c>
      <c r="F60" s="305">
        <f>'2001'!P41</f>
        <v>2</v>
      </c>
      <c r="G60" s="305">
        <f>'2002'!P40</f>
        <v>4</v>
      </c>
      <c r="H60" s="305">
        <f>'2003'!P39</f>
        <v>31</v>
      </c>
      <c r="I60" s="305">
        <f>'2004'!P38</f>
        <v>28</v>
      </c>
      <c r="J60" s="305">
        <f>'2005'!P37</f>
        <v>14</v>
      </c>
      <c r="K60" s="305">
        <f>'2006'!P36</f>
        <v>17</v>
      </c>
      <c r="L60" s="305">
        <f>'2007'!P35</f>
        <v>15</v>
      </c>
      <c r="M60" s="305">
        <f>'2008'!P34</f>
        <v>12</v>
      </c>
      <c r="N60" s="305">
        <f>'2009'!P33</f>
        <v>2</v>
      </c>
      <c r="O60" s="305">
        <f>'2010'!P32</f>
        <v>2</v>
      </c>
      <c r="P60" s="305">
        <f>'2011'!P31</f>
        <v>1</v>
      </c>
      <c r="Q60" s="305">
        <f>'2012'!P30</f>
        <v>0</v>
      </c>
      <c r="R60" s="305">
        <f>'2013'!P29</f>
        <v>0</v>
      </c>
      <c r="S60" s="305">
        <v>0.0</v>
      </c>
      <c r="T60" s="305">
        <v>0.0</v>
      </c>
      <c r="U60" s="305">
        <v>0.0</v>
      </c>
      <c r="V60" s="305">
        <v>0.0</v>
      </c>
      <c r="W60" s="305">
        <v>0.0</v>
      </c>
      <c r="X60" s="305">
        <v>0.0</v>
      </c>
      <c r="Y60" s="305">
        <v>0.0</v>
      </c>
      <c r="Z60" s="305">
        <v>0.0</v>
      </c>
      <c r="AA60" s="308">
        <v>0.0</v>
      </c>
      <c r="AB60" s="309">
        <v>0.0</v>
      </c>
      <c r="AC60" s="303">
        <f t="shared" si="15"/>
        <v>128</v>
      </c>
      <c r="AD60" s="307">
        <v>2001.0</v>
      </c>
    </row>
    <row r="61" ht="12.75" customHeight="1">
      <c r="A61" s="170">
        <v>2002.0</v>
      </c>
      <c r="B61" s="40"/>
      <c r="C61" s="40"/>
      <c r="D61" s="41"/>
      <c r="E61" s="300">
        <v>0.0</v>
      </c>
      <c r="F61" s="300">
        <v>0.0</v>
      </c>
      <c r="G61" s="300">
        <f>'2002'!P41</f>
        <v>1</v>
      </c>
      <c r="H61" s="300">
        <f>'2003'!P40</f>
        <v>8</v>
      </c>
      <c r="I61" s="300">
        <f>'2004'!P39</f>
        <v>18</v>
      </c>
      <c r="J61" s="300">
        <f>'2006'!P38</f>
        <v>16</v>
      </c>
      <c r="K61" s="300">
        <f>'2006'!P37</f>
        <v>14</v>
      </c>
      <c r="L61" s="300">
        <f>'2007'!P36</f>
        <v>5</v>
      </c>
      <c r="M61" s="300">
        <f>'2008'!P35</f>
        <v>2</v>
      </c>
      <c r="N61" s="300">
        <f>'2009'!P34</f>
        <v>1</v>
      </c>
      <c r="O61" s="300">
        <f>'2010'!P33</f>
        <v>0</v>
      </c>
      <c r="P61" s="300">
        <f>'2011'!P32</f>
        <v>0</v>
      </c>
      <c r="Q61" s="300">
        <f>'2012'!P31</f>
        <v>0</v>
      </c>
      <c r="R61" s="300">
        <f>'2013'!P30</f>
        <v>0</v>
      </c>
      <c r="S61" s="300">
        <f>'2014'!P29</f>
        <v>0</v>
      </c>
      <c r="T61" s="300">
        <v>0.0</v>
      </c>
      <c r="U61" s="300">
        <v>0.0</v>
      </c>
      <c r="V61" s="300">
        <v>0.0</v>
      </c>
      <c r="W61" s="300">
        <v>0.0</v>
      </c>
      <c r="X61" s="300">
        <v>0.0</v>
      </c>
      <c r="Y61" s="300">
        <v>0.0</v>
      </c>
      <c r="Z61" s="300">
        <v>0.0</v>
      </c>
      <c r="AA61" s="301">
        <v>0.0</v>
      </c>
      <c r="AB61" s="302">
        <v>0.0</v>
      </c>
      <c r="AC61" s="303">
        <f t="shared" si="15"/>
        <v>65</v>
      </c>
      <c r="AD61" s="304">
        <v>2002.0</v>
      </c>
    </row>
    <row r="62" ht="12.75" customHeight="1">
      <c r="A62" s="171">
        <v>2003.0</v>
      </c>
      <c r="B62" s="40"/>
      <c r="C62" s="40"/>
      <c r="D62" s="41"/>
      <c r="E62" s="305">
        <v>0.0</v>
      </c>
      <c r="F62" s="305">
        <v>0.0</v>
      </c>
      <c r="G62" s="305">
        <v>0.0</v>
      </c>
      <c r="H62" s="305">
        <f>'2003'!P41</f>
        <v>2</v>
      </c>
      <c r="I62" s="305">
        <f>'2004'!P40</f>
        <v>13</v>
      </c>
      <c r="J62" s="305">
        <f>'2005'!P39</f>
        <v>25</v>
      </c>
      <c r="K62" s="305">
        <f>'2006'!P38</f>
        <v>16</v>
      </c>
      <c r="L62" s="305">
        <f>'2007'!P37</f>
        <v>24</v>
      </c>
      <c r="M62" s="305">
        <f>'2008'!P36</f>
        <v>3</v>
      </c>
      <c r="N62" s="305">
        <f>'2009'!P35</f>
        <v>3</v>
      </c>
      <c r="O62" s="305">
        <f>'2010'!P34</f>
        <v>0</v>
      </c>
      <c r="P62" s="305">
        <f>'2011'!P33</f>
        <v>0</v>
      </c>
      <c r="Q62" s="305">
        <f>'2012'!P32</f>
        <v>0</v>
      </c>
      <c r="R62" s="305">
        <f>'2013'!P31</f>
        <v>0</v>
      </c>
      <c r="S62" s="305">
        <f>'2014'!P30</f>
        <v>0</v>
      </c>
      <c r="T62" s="305">
        <f>'2015'!P29</f>
        <v>0</v>
      </c>
      <c r="U62" s="305">
        <f>'2015'!P29</f>
        <v>0</v>
      </c>
      <c r="V62" s="305">
        <v>0.0</v>
      </c>
      <c r="W62" s="305">
        <v>0.0</v>
      </c>
      <c r="X62" s="305">
        <v>0.0</v>
      </c>
      <c r="Y62" s="305">
        <v>0.0</v>
      </c>
      <c r="Z62" s="305">
        <v>0.0</v>
      </c>
      <c r="AA62" s="308">
        <v>0.0</v>
      </c>
      <c r="AB62" s="309">
        <v>0.0</v>
      </c>
      <c r="AC62" s="303">
        <f t="shared" si="15"/>
        <v>86</v>
      </c>
      <c r="AD62" s="307">
        <v>2003.0</v>
      </c>
    </row>
    <row r="63" ht="12.75" customHeight="1">
      <c r="A63" s="170">
        <v>2004.0</v>
      </c>
      <c r="B63" s="40"/>
      <c r="C63" s="40"/>
      <c r="D63" s="41"/>
      <c r="E63" s="300">
        <v>0.0</v>
      </c>
      <c r="F63" s="300">
        <v>0.0</v>
      </c>
      <c r="G63" s="300">
        <v>0.0</v>
      </c>
      <c r="H63" s="300">
        <v>0.0</v>
      </c>
      <c r="I63" s="300">
        <f>'2004'!P41</f>
        <v>2</v>
      </c>
      <c r="J63" s="300">
        <f>'2006'!P40</f>
        <v>17</v>
      </c>
      <c r="K63" s="300">
        <f>'2006'!P39</f>
        <v>29</v>
      </c>
      <c r="L63" s="300">
        <f>'2007'!P38</f>
        <v>46</v>
      </c>
      <c r="M63" s="300">
        <f>'2008'!P37</f>
        <v>18</v>
      </c>
      <c r="N63" s="300">
        <f>'2009'!P36</f>
        <v>2</v>
      </c>
      <c r="O63" s="300">
        <f>'2010'!P35</f>
        <v>2</v>
      </c>
      <c r="P63" s="300">
        <f>'2011'!P34</f>
        <v>2</v>
      </c>
      <c r="Q63" s="300">
        <f>'2012'!P33</f>
        <v>0</v>
      </c>
      <c r="R63" s="300">
        <f>'2013'!P32</f>
        <v>0</v>
      </c>
      <c r="S63" s="300">
        <f>'2014'!P31</f>
        <v>0</v>
      </c>
      <c r="T63" s="300">
        <f>'2015'!P30</f>
        <v>0</v>
      </c>
      <c r="U63" s="300">
        <f>'2016'!P29</f>
        <v>0</v>
      </c>
      <c r="V63" s="300">
        <v>0.0</v>
      </c>
      <c r="W63" s="300">
        <v>0.0</v>
      </c>
      <c r="X63" s="300">
        <v>0.0</v>
      </c>
      <c r="Y63" s="300">
        <v>0.0</v>
      </c>
      <c r="Z63" s="300">
        <v>0.0</v>
      </c>
      <c r="AA63" s="301">
        <v>0.0</v>
      </c>
      <c r="AB63" s="302">
        <v>0.0</v>
      </c>
      <c r="AC63" s="303">
        <f t="shared" si="15"/>
        <v>118</v>
      </c>
      <c r="AD63" s="304">
        <v>2004.0</v>
      </c>
    </row>
    <row r="64" ht="12.75" customHeight="1">
      <c r="A64" s="171">
        <v>2005.0</v>
      </c>
      <c r="B64" s="40"/>
      <c r="C64" s="40"/>
      <c r="D64" s="41"/>
      <c r="E64" s="305">
        <v>0.0</v>
      </c>
      <c r="F64" s="305">
        <v>0.0</v>
      </c>
      <c r="G64" s="305">
        <v>0.0</v>
      </c>
      <c r="H64" s="305">
        <v>0.0</v>
      </c>
      <c r="I64" s="305">
        <v>0.0</v>
      </c>
      <c r="J64" s="305">
        <f>'2005'!P41</f>
        <v>0</v>
      </c>
      <c r="K64" s="305">
        <f>'2006'!P40</f>
        <v>17</v>
      </c>
      <c r="L64" s="305">
        <f>'2007'!P39</f>
        <v>64</v>
      </c>
      <c r="M64" s="305">
        <f>'2008'!P38</f>
        <v>37</v>
      </c>
      <c r="N64" s="305">
        <f>'2009'!P37</f>
        <v>8</v>
      </c>
      <c r="O64" s="305">
        <f>'2010'!P36</f>
        <v>1</v>
      </c>
      <c r="P64" s="305">
        <f>'2011'!P35</f>
        <v>5</v>
      </c>
      <c r="Q64" s="305">
        <f>'2012'!P34</f>
        <v>1</v>
      </c>
      <c r="R64" s="305">
        <f>'2013'!P33</f>
        <v>0</v>
      </c>
      <c r="S64" s="305">
        <f>'2014'!P32</f>
        <v>0</v>
      </c>
      <c r="T64" s="305">
        <f>'2015'!P31</f>
        <v>0</v>
      </c>
      <c r="U64" s="305">
        <f>'2015'!P31</f>
        <v>0</v>
      </c>
      <c r="V64" s="305">
        <f>'2017'!P29</f>
        <v>0</v>
      </c>
      <c r="W64" s="305">
        <v>0.0</v>
      </c>
      <c r="X64" s="305">
        <v>0.0</v>
      </c>
      <c r="Y64" s="305">
        <v>0.0</v>
      </c>
      <c r="Z64" s="305">
        <v>0.0</v>
      </c>
      <c r="AA64" s="308">
        <v>0.0</v>
      </c>
      <c r="AB64" s="309">
        <v>0.0</v>
      </c>
      <c r="AC64" s="303">
        <f t="shared" si="15"/>
        <v>133</v>
      </c>
      <c r="AD64" s="307">
        <v>2005.0</v>
      </c>
    </row>
    <row r="65" ht="12.75" customHeight="1">
      <c r="A65" s="170">
        <v>2006.0</v>
      </c>
      <c r="B65" s="40"/>
      <c r="C65" s="40"/>
      <c r="D65" s="41"/>
      <c r="E65" s="300">
        <v>0.0</v>
      </c>
      <c r="F65" s="300">
        <v>0.0</v>
      </c>
      <c r="G65" s="300">
        <v>0.0</v>
      </c>
      <c r="H65" s="300">
        <v>0.0</v>
      </c>
      <c r="I65" s="300">
        <v>0.0</v>
      </c>
      <c r="J65" s="300">
        <v>0.0</v>
      </c>
      <c r="K65" s="300">
        <f>'2006'!P41</f>
        <v>3</v>
      </c>
      <c r="L65" s="300">
        <f>'2007'!P40</f>
        <v>28</v>
      </c>
      <c r="M65" s="300">
        <f>'2008'!P39</f>
        <v>66</v>
      </c>
      <c r="N65" s="300">
        <f>'2009'!P38</f>
        <v>35</v>
      </c>
      <c r="O65" s="300">
        <f>'2010'!P37</f>
        <v>17</v>
      </c>
      <c r="P65" s="300">
        <f>'2011'!P36</f>
        <v>8</v>
      </c>
      <c r="Q65" s="300">
        <f>'2012'!P35</f>
        <v>1</v>
      </c>
      <c r="R65" s="300">
        <f>'2013'!P34</f>
        <v>1</v>
      </c>
      <c r="S65" s="300">
        <f>'2014'!P33</f>
        <v>0</v>
      </c>
      <c r="T65" s="300">
        <f>'2015'!P32</f>
        <v>1</v>
      </c>
      <c r="U65" s="300">
        <f>'2016'!P31</f>
        <v>0</v>
      </c>
      <c r="V65" s="300">
        <f>'2017'!P30</f>
        <v>0</v>
      </c>
      <c r="W65" s="300">
        <f>'2018'!P29</f>
        <v>0</v>
      </c>
      <c r="X65" s="300">
        <v>0.0</v>
      </c>
      <c r="Y65" s="300">
        <v>0.0</v>
      </c>
      <c r="Z65" s="300">
        <v>0.0</v>
      </c>
      <c r="AA65" s="301">
        <v>0.0</v>
      </c>
      <c r="AB65" s="302">
        <v>0.0</v>
      </c>
      <c r="AC65" s="303">
        <f t="shared" si="15"/>
        <v>160</v>
      </c>
      <c r="AD65" s="304">
        <v>2006.0</v>
      </c>
    </row>
    <row r="66" ht="12.75" customHeight="1">
      <c r="A66" s="171">
        <v>2007.0</v>
      </c>
      <c r="B66" s="40"/>
      <c r="C66" s="40"/>
      <c r="D66" s="41"/>
      <c r="E66" s="305">
        <v>0.0</v>
      </c>
      <c r="F66" s="305">
        <v>0.0</v>
      </c>
      <c r="G66" s="305">
        <v>0.0</v>
      </c>
      <c r="H66" s="305">
        <v>0.0</v>
      </c>
      <c r="I66" s="305">
        <v>0.0</v>
      </c>
      <c r="J66" s="305">
        <v>0.0</v>
      </c>
      <c r="K66" s="305">
        <v>0.0</v>
      </c>
      <c r="L66" s="305">
        <f>'2007'!P41</f>
        <v>5</v>
      </c>
      <c r="M66" s="305">
        <f>'2008'!P40</f>
        <v>47</v>
      </c>
      <c r="N66" s="305">
        <f>'2009'!P39</f>
        <v>47</v>
      </c>
      <c r="O66" s="305">
        <f>'2010'!P38</f>
        <v>14</v>
      </c>
      <c r="P66" s="305">
        <f>'2011'!P37</f>
        <v>7</v>
      </c>
      <c r="Q66" s="305">
        <f>'2012'!P36</f>
        <v>13</v>
      </c>
      <c r="R66" s="305">
        <f>'2013'!P35</f>
        <v>9</v>
      </c>
      <c r="S66" s="305">
        <f>'2014'!P34</f>
        <v>5</v>
      </c>
      <c r="T66" s="305">
        <f>'2015'!P33</f>
        <v>3</v>
      </c>
      <c r="U66" s="305">
        <f>'2016'!P32</f>
        <v>1</v>
      </c>
      <c r="V66" s="305">
        <f>'2017'!P31</f>
        <v>0</v>
      </c>
      <c r="W66" s="305">
        <f>'2018'!P30</f>
        <v>0</v>
      </c>
      <c r="X66" s="305">
        <f>'2019'!P29</f>
        <v>1</v>
      </c>
      <c r="Y66" s="305">
        <v>0.0</v>
      </c>
      <c r="Z66" s="305">
        <v>0.0</v>
      </c>
      <c r="AA66" s="308">
        <v>0.0</v>
      </c>
      <c r="AB66" s="309">
        <v>0.0</v>
      </c>
      <c r="AC66" s="303">
        <f t="shared" si="15"/>
        <v>152</v>
      </c>
      <c r="AD66" s="307">
        <v>2007.0</v>
      </c>
    </row>
    <row r="67" ht="12.75" customHeight="1">
      <c r="A67" s="170">
        <v>2008.0</v>
      </c>
      <c r="B67" s="40"/>
      <c r="C67" s="40"/>
      <c r="D67" s="41"/>
      <c r="E67" s="300">
        <v>0.0</v>
      </c>
      <c r="F67" s="300">
        <v>0.0</v>
      </c>
      <c r="G67" s="300">
        <v>0.0</v>
      </c>
      <c r="H67" s="300">
        <v>0.0</v>
      </c>
      <c r="I67" s="300">
        <v>0.0</v>
      </c>
      <c r="J67" s="300">
        <v>0.0</v>
      </c>
      <c r="K67" s="300">
        <v>0.0</v>
      </c>
      <c r="L67" s="300">
        <v>0.0</v>
      </c>
      <c r="M67" s="300">
        <f>'2008'!P41</f>
        <v>4</v>
      </c>
      <c r="N67" s="300">
        <f>'2009'!P40</f>
        <v>35</v>
      </c>
      <c r="O67" s="300">
        <f>'2010'!P39</f>
        <v>43</v>
      </c>
      <c r="P67" s="300">
        <f>'2011'!P38</f>
        <v>46</v>
      </c>
      <c r="Q67" s="300">
        <f>'2012'!P37</f>
        <v>31</v>
      </c>
      <c r="R67" s="300">
        <f>'2013'!P36</f>
        <v>14</v>
      </c>
      <c r="S67" s="300">
        <f>'2014'!P35</f>
        <v>23</v>
      </c>
      <c r="T67" s="300">
        <f>'2015'!P34</f>
        <v>6</v>
      </c>
      <c r="U67" s="300">
        <f>'2016'!P33</f>
        <v>4</v>
      </c>
      <c r="V67" s="300">
        <f>'2017'!P32</f>
        <v>2</v>
      </c>
      <c r="W67" s="300">
        <f>'2018'!P31</f>
        <v>2</v>
      </c>
      <c r="X67" s="300">
        <f>'2019'!P30</f>
        <v>1</v>
      </c>
      <c r="Y67" s="300">
        <f>'2020'!P29</f>
        <v>2</v>
      </c>
      <c r="Z67" s="300">
        <f>'2021'!P29</f>
        <v>1</v>
      </c>
      <c r="AA67" s="125">
        <f>'2022'!P29</f>
        <v>1</v>
      </c>
      <c r="AB67" s="125">
        <f>'2023'!P29</f>
        <v>1</v>
      </c>
      <c r="AC67" s="310">
        <f t="shared" si="15"/>
        <v>216</v>
      </c>
      <c r="AD67" s="170">
        <v>2008.0</v>
      </c>
    </row>
    <row r="68" ht="12.75" customHeight="1">
      <c r="A68" s="171">
        <v>2009.0</v>
      </c>
      <c r="B68" s="40"/>
      <c r="C68" s="40"/>
      <c r="D68" s="41"/>
      <c r="E68" s="305">
        <v>0.0</v>
      </c>
      <c r="F68" s="305">
        <v>0.0</v>
      </c>
      <c r="G68" s="305">
        <v>0.0</v>
      </c>
      <c r="H68" s="305">
        <v>0.0</v>
      </c>
      <c r="I68" s="305">
        <v>0.0</v>
      </c>
      <c r="J68" s="305">
        <v>0.0</v>
      </c>
      <c r="K68" s="305">
        <v>0.0</v>
      </c>
      <c r="L68" s="305">
        <v>0.0</v>
      </c>
      <c r="M68" s="305">
        <v>0.0</v>
      </c>
      <c r="N68" s="305">
        <f>'2009'!P41</f>
        <v>0</v>
      </c>
      <c r="O68" s="305">
        <f>'2010'!P40</f>
        <v>19</v>
      </c>
      <c r="P68" s="305">
        <f>'2011'!P39</f>
        <v>58</v>
      </c>
      <c r="Q68" s="305">
        <f>'2012'!P38</f>
        <v>59</v>
      </c>
      <c r="R68" s="305">
        <f>'2013'!P37</f>
        <v>25</v>
      </c>
      <c r="S68" s="305">
        <f>'2014'!P36</f>
        <v>28</v>
      </c>
      <c r="T68" s="305">
        <f>'2015'!P35</f>
        <v>23</v>
      </c>
      <c r="U68" s="305">
        <f>'2016'!P34</f>
        <v>15</v>
      </c>
      <c r="V68" s="305">
        <f>'2017'!P33</f>
        <v>30</v>
      </c>
      <c r="W68" s="305">
        <f>'2018'!P32</f>
        <v>11</v>
      </c>
      <c r="X68" s="305">
        <f>'2019'!P31</f>
        <v>8</v>
      </c>
      <c r="Y68" s="305">
        <f>'2020'!P30</f>
        <v>1</v>
      </c>
      <c r="Z68" s="305">
        <f>'2021'!P30</f>
        <v>1</v>
      </c>
      <c r="AA68" s="305">
        <f>'2022'!P30</f>
        <v>2</v>
      </c>
      <c r="AB68" s="305">
        <f>'2023'!P30</f>
        <v>1</v>
      </c>
      <c r="AC68" s="303">
        <f t="shared" si="15"/>
        <v>281</v>
      </c>
      <c r="AD68" s="307">
        <v>2009.0</v>
      </c>
    </row>
    <row r="69" ht="12.75" customHeight="1">
      <c r="A69" s="170">
        <v>2010.0</v>
      </c>
      <c r="B69" s="40"/>
      <c r="C69" s="40"/>
      <c r="D69" s="41"/>
      <c r="E69" s="300">
        <v>0.0</v>
      </c>
      <c r="F69" s="300">
        <v>0.0</v>
      </c>
      <c r="G69" s="300">
        <v>0.0</v>
      </c>
      <c r="H69" s="300">
        <v>0.0</v>
      </c>
      <c r="I69" s="300">
        <v>0.0</v>
      </c>
      <c r="J69" s="300">
        <v>0.0</v>
      </c>
      <c r="K69" s="300">
        <v>0.0</v>
      </c>
      <c r="L69" s="300">
        <v>0.0</v>
      </c>
      <c r="M69" s="300">
        <v>0.0</v>
      </c>
      <c r="N69" s="300">
        <v>0.0</v>
      </c>
      <c r="O69" s="300">
        <f>'2010'!P41</f>
        <v>1</v>
      </c>
      <c r="P69" s="300">
        <f>'2011'!P40</f>
        <v>14</v>
      </c>
      <c r="Q69" s="300">
        <f>'2012'!P39</f>
        <v>38</v>
      </c>
      <c r="R69" s="300">
        <f>'2013'!P38</f>
        <v>40</v>
      </c>
      <c r="S69" s="300">
        <f>'2014'!P37</f>
        <v>37</v>
      </c>
      <c r="T69" s="300">
        <f>'2015'!P36</f>
        <v>31</v>
      </c>
      <c r="U69" s="300">
        <f>'2016'!P35</f>
        <v>46</v>
      </c>
      <c r="V69" s="300">
        <f>'2017'!P34</f>
        <v>39</v>
      </c>
      <c r="W69" s="300">
        <f>'2018'!P33</f>
        <v>31</v>
      </c>
      <c r="X69" s="300">
        <f>'2019'!P32</f>
        <v>5</v>
      </c>
      <c r="Y69" s="300">
        <f>'2020'!P31</f>
        <v>19</v>
      </c>
      <c r="Z69" s="300">
        <f>'2021'!P31</f>
        <v>3</v>
      </c>
      <c r="AA69" s="125">
        <f>'2022'!P31</f>
        <v>8</v>
      </c>
      <c r="AB69" s="125">
        <f>'2023'!P31</f>
        <v>1</v>
      </c>
      <c r="AC69" s="303">
        <f t="shared" si="15"/>
        <v>313</v>
      </c>
      <c r="AD69" s="304">
        <v>2010.0</v>
      </c>
    </row>
    <row r="70" ht="12.75" customHeight="1">
      <c r="A70" s="171">
        <v>2011.0</v>
      </c>
      <c r="B70" s="40"/>
      <c r="C70" s="40"/>
      <c r="D70" s="41"/>
      <c r="E70" s="305">
        <v>0.0</v>
      </c>
      <c r="F70" s="305">
        <v>0.0</v>
      </c>
      <c r="G70" s="305">
        <v>0.0</v>
      </c>
      <c r="H70" s="305">
        <v>0.0</v>
      </c>
      <c r="I70" s="305">
        <v>0.0</v>
      </c>
      <c r="J70" s="305">
        <v>0.0</v>
      </c>
      <c r="K70" s="305">
        <v>0.0</v>
      </c>
      <c r="L70" s="305">
        <v>0.0</v>
      </c>
      <c r="M70" s="305">
        <v>0.0</v>
      </c>
      <c r="N70" s="305">
        <v>0.0</v>
      </c>
      <c r="O70" s="305">
        <v>0.0</v>
      </c>
      <c r="P70" s="305">
        <f>'2011'!P41</f>
        <v>5</v>
      </c>
      <c r="Q70" s="305">
        <f>'2012'!P40</f>
        <v>19</v>
      </c>
      <c r="R70" s="305">
        <f>'2013'!P39</f>
        <v>14</v>
      </c>
      <c r="S70" s="305">
        <f>'2014'!P38</f>
        <v>17</v>
      </c>
      <c r="T70" s="305">
        <f>'2015'!P37</f>
        <v>16</v>
      </c>
      <c r="U70" s="305">
        <f>'2016'!P36</f>
        <v>35</v>
      </c>
      <c r="V70" s="305">
        <f>'2017'!P35</f>
        <v>59</v>
      </c>
      <c r="W70" s="305">
        <f>'2018'!P34</f>
        <v>46</v>
      </c>
      <c r="X70" s="305">
        <f>'2019'!P33</f>
        <v>27</v>
      </c>
      <c r="Y70" s="305">
        <f>'2020'!P32</f>
        <v>27</v>
      </c>
      <c r="Z70" s="305">
        <f>'2021'!P32</f>
        <v>11</v>
      </c>
      <c r="AA70" s="305">
        <f>'2022'!P32</f>
        <v>7</v>
      </c>
      <c r="AB70" s="305">
        <f>'2023'!P32</f>
        <v>5</v>
      </c>
      <c r="AC70" s="310">
        <f t="shared" si="15"/>
        <v>288</v>
      </c>
      <c r="AD70" s="171">
        <v>2011.0</v>
      </c>
    </row>
    <row r="71" ht="12.75" customHeight="1">
      <c r="A71" s="170">
        <v>2012.0</v>
      </c>
      <c r="B71" s="40"/>
      <c r="C71" s="40"/>
      <c r="D71" s="41"/>
      <c r="E71" s="300">
        <v>0.0</v>
      </c>
      <c r="F71" s="300">
        <v>0.0</v>
      </c>
      <c r="G71" s="300">
        <v>0.0</v>
      </c>
      <c r="H71" s="300">
        <v>0.0</v>
      </c>
      <c r="I71" s="300">
        <v>0.0</v>
      </c>
      <c r="J71" s="300">
        <v>0.0</v>
      </c>
      <c r="K71" s="300">
        <v>0.0</v>
      </c>
      <c r="L71" s="300">
        <v>0.0</v>
      </c>
      <c r="M71" s="300">
        <v>0.0</v>
      </c>
      <c r="N71" s="300">
        <v>0.0</v>
      </c>
      <c r="O71" s="300">
        <v>0.0</v>
      </c>
      <c r="P71" s="300">
        <v>0.0</v>
      </c>
      <c r="Q71" s="300">
        <f>'2012'!P41</f>
        <v>5</v>
      </c>
      <c r="R71" s="300">
        <f>'2013'!P40</f>
        <v>7</v>
      </c>
      <c r="S71" s="300">
        <f>'2014'!P39</f>
        <v>16</v>
      </c>
      <c r="T71" s="300">
        <f>'2015'!P38</f>
        <v>20</v>
      </c>
      <c r="U71" s="300">
        <f>'2016'!P37</f>
        <v>28</v>
      </c>
      <c r="V71" s="300">
        <f>'2017'!P36</f>
        <v>57</v>
      </c>
      <c r="W71" s="300">
        <f>'2018'!P35</f>
        <v>60</v>
      </c>
      <c r="X71" s="300">
        <f>'2019'!P34</f>
        <v>46</v>
      </c>
      <c r="Y71" s="300">
        <f>'2020'!P33</f>
        <v>32</v>
      </c>
      <c r="Z71" s="300">
        <f>'2021'!P33</f>
        <v>11</v>
      </c>
      <c r="AA71" s="125">
        <f>'2022'!P33</f>
        <v>13</v>
      </c>
      <c r="AB71" s="125">
        <f>'2023'!P33</f>
        <v>3</v>
      </c>
      <c r="AC71" s="303">
        <f t="shared" si="15"/>
        <v>298</v>
      </c>
      <c r="AD71" s="304">
        <v>2012.0</v>
      </c>
    </row>
    <row r="72" ht="12.75" customHeight="1">
      <c r="A72" s="171">
        <v>2013.0</v>
      </c>
      <c r="B72" s="40"/>
      <c r="C72" s="40"/>
      <c r="D72" s="41"/>
      <c r="E72" s="305">
        <v>0.0</v>
      </c>
      <c r="F72" s="305">
        <v>0.0</v>
      </c>
      <c r="G72" s="305">
        <v>0.0</v>
      </c>
      <c r="H72" s="305">
        <v>0.0</v>
      </c>
      <c r="I72" s="305">
        <v>0.0</v>
      </c>
      <c r="J72" s="305">
        <v>0.0</v>
      </c>
      <c r="K72" s="305">
        <v>0.0</v>
      </c>
      <c r="L72" s="305">
        <v>0.0</v>
      </c>
      <c r="M72" s="305">
        <v>0.0</v>
      </c>
      <c r="N72" s="305">
        <v>0.0</v>
      </c>
      <c r="O72" s="305">
        <v>0.0</v>
      </c>
      <c r="P72" s="305">
        <v>0.0</v>
      </c>
      <c r="Q72" s="305">
        <v>0.0</v>
      </c>
      <c r="R72" s="305">
        <f>'2013'!P41</f>
        <v>0</v>
      </c>
      <c r="S72" s="305">
        <f>'2014'!P40</f>
        <v>12</v>
      </c>
      <c r="T72" s="305">
        <f>'2015'!P39</f>
        <v>17</v>
      </c>
      <c r="U72" s="305">
        <f>'2016'!P38</f>
        <v>54</v>
      </c>
      <c r="V72" s="305">
        <f>'2017'!P37</f>
        <v>55</v>
      </c>
      <c r="W72" s="305">
        <f>'2018'!P36</f>
        <v>72</v>
      </c>
      <c r="X72" s="305">
        <f>'2019'!P35</f>
        <v>79</v>
      </c>
      <c r="Y72" s="305">
        <f>'2020'!P34</f>
        <v>50</v>
      </c>
      <c r="Z72" s="305">
        <f>'2021'!P34</f>
        <v>57</v>
      </c>
      <c r="AA72" s="305">
        <f>'2022'!P34</f>
        <v>15</v>
      </c>
      <c r="AB72" s="305">
        <f>'2023'!P34</f>
        <v>1</v>
      </c>
      <c r="AC72" s="303">
        <f t="shared" si="15"/>
        <v>412</v>
      </c>
      <c r="AD72" s="307">
        <v>2013.0</v>
      </c>
    </row>
    <row r="73" ht="12.75" customHeight="1">
      <c r="A73" s="170">
        <v>2014.0</v>
      </c>
      <c r="B73" s="40"/>
      <c r="C73" s="40"/>
      <c r="D73" s="41"/>
      <c r="E73" s="300">
        <v>0.0</v>
      </c>
      <c r="F73" s="300">
        <v>0.0</v>
      </c>
      <c r="G73" s="300">
        <v>0.0</v>
      </c>
      <c r="H73" s="300">
        <v>0.0</v>
      </c>
      <c r="I73" s="300">
        <v>0.0</v>
      </c>
      <c r="J73" s="300">
        <v>0.0</v>
      </c>
      <c r="K73" s="300">
        <v>0.0</v>
      </c>
      <c r="L73" s="300">
        <v>0.0</v>
      </c>
      <c r="M73" s="300">
        <v>0.0</v>
      </c>
      <c r="N73" s="300">
        <v>0.0</v>
      </c>
      <c r="O73" s="300">
        <v>0.0</v>
      </c>
      <c r="P73" s="300">
        <v>0.0</v>
      </c>
      <c r="Q73" s="300">
        <v>0.0</v>
      </c>
      <c r="R73" s="300">
        <v>0.0</v>
      </c>
      <c r="S73" s="300">
        <f>'2014'!P41</f>
        <v>10</v>
      </c>
      <c r="T73" s="300">
        <f>'2015'!P40</f>
        <v>15</v>
      </c>
      <c r="U73" s="300">
        <f>'2016'!P39</f>
        <v>55</v>
      </c>
      <c r="V73" s="300">
        <f>'2017'!P38</f>
        <v>61</v>
      </c>
      <c r="W73" s="300">
        <f>'2018'!P37</f>
        <v>56</v>
      </c>
      <c r="X73" s="300">
        <f>'2019'!P36</f>
        <v>53</v>
      </c>
      <c r="Y73" s="300">
        <f>'2020'!P35</f>
        <v>52</v>
      </c>
      <c r="Z73" s="300">
        <f>'2021'!P35</f>
        <v>85</v>
      </c>
      <c r="AA73" s="125">
        <f>'2022'!P35</f>
        <v>43</v>
      </c>
      <c r="AB73" s="125">
        <f>'2023'!P35</f>
        <v>3</v>
      </c>
      <c r="AC73" s="303">
        <f t="shared" si="15"/>
        <v>433</v>
      </c>
      <c r="AD73" s="304">
        <v>2014.0</v>
      </c>
    </row>
    <row r="74" ht="12.75" customHeight="1">
      <c r="A74" s="171">
        <v>2015.0</v>
      </c>
      <c r="B74" s="40"/>
      <c r="C74" s="40"/>
      <c r="D74" s="41"/>
      <c r="E74" s="305">
        <v>0.0</v>
      </c>
      <c r="F74" s="305">
        <v>0.0</v>
      </c>
      <c r="G74" s="305">
        <v>0.0</v>
      </c>
      <c r="H74" s="305">
        <v>0.0</v>
      </c>
      <c r="I74" s="305">
        <v>0.0</v>
      </c>
      <c r="J74" s="305">
        <v>0.0</v>
      </c>
      <c r="K74" s="305">
        <v>0.0</v>
      </c>
      <c r="L74" s="305">
        <v>0.0</v>
      </c>
      <c r="M74" s="305">
        <v>0.0</v>
      </c>
      <c r="N74" s="305">
        <v>0.0</v>
      </c>
      <c r="O74" s="305">
        <v>0.0</v>
      </c>
      <c r="P74" s="305">
        <v>0.0</v>
      </c>
      <c r="Q74" s="305">
        <v>0.0</v>
      </c>
      <c r="R74" s="305">
        <v>0.0</v>
      </c>
      <c r="S74" s="305">
        <v>0.0</v>
      </c>
      <c r="T74" s="305">
        <f>'2015'!P41</f>
        <v>7</v>
      </c>
      <c r="U74" s="305">
        <f>'2016'!P40</f>
        <v>34</v>
      </c>
      <c r="V74" s="305">
        <f>'2017'!P39</f>
        <v>51</v>
      </c>
      <c r="W74" s="305">
        <f>'2018'!P38</f>
        <v>53</v>
      </c>
      <c r="X74" s="305">
        <f>'2019'!P37</f>
        <v>65</v>
      </c>
      <c r="Y74" s="305">
        <f>'2020'!P36</f>
        <v>51</v>
      </c>
      <c r="Z74" s="305">
        <f>'2021'!P36</f>
        <v>64</v>
      </c>
      <c r="AA74" s="305">
        <f>'2022'!P36</f>
        <v>92</v>
      </c>
      <c r="AB74" s="305">
        <f>'2023'!P36</f>
        <v>7</v>
      </c>
      <c r="AC74" s="303">
        <f t="shared" si="15"/>
        <v>424</v>
      </c>
      <c r="AD74" s="307">
        <v>2015.0</v>
      </c>
    </row>
    <row r="75" ht="12.75" customHeight="1">
      <c r="A75" s="170">
        <v>2016.0</v>
      </c>
      <c r="B75" s="40"/>
      <c r="C75" s="40"/>
      <c r="D75" s="41"/>
      <c r="E75" s="300">
        <v>0.0</v>
      </c>
      <c r="F75" s="300">
        <v>0.0</v>
      </c>
      <c r="G75" s="300">
        <v>0.0</v>
      </c>
      <c r="H75" s="300">
        <v>0.0</v>
      </c>
      <c r="I75" s="300">
        <v>0.0</v>
      </c>
      <c r="J75" s="300">
        <v>0.0</v>
      </c>
      <c r="K75" s="300">
        <v>0.0</v>
      </c>
      <c r="L75" s="300">
        <v>0.0</v>
      </c>
      <c r="M75" s="300">
        <v>0.0</v>
      </c>
      <c r="N75" s="300">
        <v>0.0</v>
      </c>
      <c r="O75" s="300">
        <v>0.0</v>
      </c>
      <c r="P75" s="300">
        <v>0.0</v>
      </c>
      <c r="Q75" s="300">
        <v>0.0</v>
      </c>
      <c r="R75" s="300">
        <v>0.0</v>
      </c>
      <c r="S75" s="300">
        <v>0.0</v>
      </c>
      <c r="T75" s="300">
        <v>0.0</v>
      </c>
      <c r="U75" s="300">
        <f>'2016'!P41</f>
        <v>5</v>
      </c>
      <c r="V75" s="300">
        <f>'2017'!P40</f>
        <v>35</v>
      </c>
      <c r="W75" s="300">
        <f>'2018'!P39</f>
        <v>44</v>
      </c>
      <c r="X75" s="300">
        <f>'2019'!P38</f>
        <v>53</v>
      </c>
      <c r="Y75" s="300">
        <f>'2020'!P37</f>
        <v>45</v>
      </c>
      <c r="Z75" s="300">
        <f>'2021'!P37</f>
        <v>54</v>
      </c>
      <c r="AA75" s="125">
        <f>'2022'!P37</f>
        <v>75</v>
      </c>
      <c r="AB75" s="125">
        <f>'2023'!P37</f>
        <v>17</v>
      </c>
      <c r="AC75" s="303">
        <f t="shared" si="15"/>
        <v>328</v>
      </c>
      <c r="AD75" s="304">
        <v>2016.0</v>
      </c>
    </row>
    <row r="76" ht="12.75" customHeight="1">
      <c r="A76" s="171">
        <v>2017.0</v>
      </c>
      <c r="B76" s="40"/>
      <c r="C76" s="40"/>
      <c r="D76" s="41"/>
      <c r="E76" s="305">
        <v>0.0</v>
      </c>
      <c r="F76" s="305">
        <v>0.0</v>
      </c>
      <c r="G76" s="305">
        <v>0.0</v>
      </c>
      <c r="H76" s="305">
        <v>0.0</v>
      </c>
      <c r="I76" s="305">
        <v>0.0</v>
      </c>
      <c r="J76" s="305">
        <v>0.0</v>
      </c>
      <c r="K76" s="305">
        <v>0.0</v>
      </c>
      <c r="L76" s="305">
        <v>0.0</v>
      </c>
      <c r="M76" s="305">
        <v>0.0</v>
      </c>
      <c r="N76" s="305">
        <v>0.0</v>
      </c>
      <c r="O76" s="305">
        <v>0.0</v>
      </c>
      <c r="P76" s="305">
        <v>0.0</v>
      </c>
      <c r="Q76" s="305">
        <v>0.0</v>
      </c>
      <c r="R76" s="305">
        <v>0.0</v>
      </c>
      <c r="S76" s="305">
        <v>0.0</v>
      </c>
      <c r="T76" s="305">
        <v>0.0</v>
      </c>
      <c r="U76" s="305">
        <v>0.0</v>
      </c>
      <c r="V76" s="305">
        <f>'2017'!P41</f>
        <v>15</v>
      </c>
      <c r="W76" s="305">
        <f>'2018'!P40</f>
        <v>51</v>
      </c>
      <c r="X76" s="305">
        <f>'2019'!P39</f>
        <v>55</v>
      </c>
      <c r="Y76" s="305">
        <f>'2020'!P38</f>
        <v>51</v>
      </c>
      <c r="Z76" s="305">
        <f>'2021'!P38</f>
        <v>42</v>
      </c>
      <c r="AA76" s="305">
        <f>'2022'!P38</f>
        <v>65</v>
      </c>
      <c r="AB76" s="305">
        <f>'2023'!P38</f>
        <v>4</v>
      </c>
      <c r="AC76" s="303">
        <f t="shared" si="15"/>
        <v>283</v>
      </c>
      <c r="AD76" s="307">
        <v>2017.0</v>
      </c>
    </row>
    <row r="77" ht="12.75" customHeight="1">
      <c r="A77" s="170">
        <v>2018.0</v>
      </c>
      <c r="B77" s="40"/>
      <c r="C77" s="40"/>
      <c r="D77" s="41"/>
      <c r="E77" s="300">
        <v>0.0</v>
      </c>
      <c r="F77" s="300">
        <v>0.0</v>
      </c>
      <c r="G77" s="300">
        <v>0.0</v>
      </c>
      <c r="H77" s="300">
        <v>0.0</v>
      </c>
      <c r="I77" s="300">
        <v>0.0</v>
      </c>
      <c r="J77" s="300">
        <v>0.0</v>
      </c>
      <c r="K77" s="300">
        <v>0.0</v>
      </c>
      <c r="L77" s="300">
        <v>0.0</v>
      </c>
      <c r="M77" s="300">
        <v>0.0</v>
      </c>
      <c r="N77" s="300">
        <v>0.0</v>
      </c>
      <c r="O77" s="300">
        <v>0.0</v>
      </c>
      <c r="P77" s="300">
        <v>0.0</v>
      </c>
      <c r="Q77" s="300">
        <v>0.0</v>
      </c>
      <c r="R77" s="300">
        <v>0.0</v>
      </c>
      <c r="S77" s="300">
        <v>0.0</v>
      </c>
      <c r="T77" s="300">
        <v>0.0</v>
      </c>
      <c r="U77" s="300">
        <v>0.0</v>
      </c>
      <c r="V77" s="300">
        <v>0.0</v>
      </c>
      <c r="W77" s="300">
        <f>'2018'!P41</f>
        <v>23</v>
      </c>
      <c r="X77" s="300">
        <f>'2019'!P40</f>
        <v>59</v>
      </c>
      <c r="Y77" s="300">
        <f>'2020'!P39</f>
        <v>46</v>
      </c>
      <c r="Z77" s="300">
        <f>'2021'!P39</f>
        <v>74</v>
      </c>
      <c r="AA77" s="125">
        <f>'2022'!P39</f>
        <v>48</v>
      </c>
      <c r="AB77" s="125">
        <f>'2023'!P39</f>
        <v>12</v>
      </c>
      <c r="AC77" s="303">
        <f t="shared" si="15"/>
        <v>262</v>
      </c>
      <c r="AD77" s="304">
        <v>2018.0</v>
      </c>
    </row>
    <row r="78" ht="12.75" customHeight="1">
      <c r="A78" s="171">
        <v>2019.0</v>
      </c>
      <c r="B78" s="40"/>
      <c r="C78" s="40"/>
      <c r="D78" s="41"/>
      <c r="E78" s="305">
        <v>0.0</v>
      </c>
      <c r="F78" s="305">
        <v>0.0</v>
      </c>
      <c r="G78" s="305">
        <v>0.0</v>
      </c>
      <c r="H78" s="305">
        <v>0.0</v>
      </c>
      <c r="I78" s="305">
        <v>0.0</v>
      </c>
      <c r="J78" s="305">
        <v>0.0</v>
      </c>
      <c r="K78" s="305">
        <v>0.0</v>
      </c>
      <c r="L78" s="305">
        <v>0.0</v>
      </c>
      <c r="M78" s="305">
        <v>0.0</v>
      </c>
      <c r="N78" s="305">
        <v>0.0</v>
      </c>
      <c r="O78" s="305">
        <v>0.0</v>
      </c>
      <c r="P78" s="305">
        <v>0.0</v>
      </c>
      <c r="Q78" s="305">
        <v>0.0</v>
      </c>
      <c r="R78" s="305">
        <v>0.0</v>
      </c>
      <c r="S78" s="305">
        <v>0.0</v>
      </c>
      <c r="T78" s="305">
        <v>0.0</v>
      </c>
      <c r="U78" s="305">
        <v>0.0</v>
      </c>
      <c r="V78" s="305">
        <v>0.0</v>
      </c>
      <c r="W78" s="305">
        <v>0.0</v>
      </c>
      <c r="X78" s="305">
        <f>'2019'!P41</f>
        <v>23</v>
      </c>
      <c r="Y78" s="305">
        <f>'2020'!P40</f>
        <v>73</v>
      </c>
      <c r="Z78" s="305">
        <f>'2021'!P40</f>
        <v>38</v>
      </c>
      <c r="AA78" s="305">
        <f>'2022'!P40</f>
        <v>53</v>
      </c>
      <c r="AB78" s="305">
        <f>'2023'!P40</f>
        <v>16</v>
      </c>
      <c r="AC78" s="303">
        <f t="shared" si="15"/>
        <v>203</v>
      </c>
      <c r="AD78" s="307">
        <v>2019.0</v>
      </c>
    </row>
    <row r="79" ht="12.75" customHeight="1">
      <c r="A79" s="170">
        <v>2020.0</v>
      </c>
      <c r="B79" s="40"/>
      <c r="C79" s="40"/>
      <c r="D79" s="41"/>
      <c r="E79" s="300">
        <v>0.0</v>
      </c>
      <c r="F79" s="300">
        <v>0.0</v>
      </c>
      <c r="G79" s="300">
        <v>0.0</v>
      </c>
      <c r="H79" s="300">
        <v>0.0</v>
      </c>
      <c r="I79" s="300">
        <v>0.0</v>
      </c>
      <c r="J79" s="300">
        <v>0.0</v>
      </c>
      <c r="K79" s="300">
        <v>0.0</v>
      </c>
      <c r="L79" s="300">
        <v>0.0</v>
      </c>
      <c r="M79" s="300">
        <v>0.0</v>
      </c>
      <c r="N79" s="300">
        <v>0.0</v>
      </c>
      <c r="O79" s="300">
        <v>0.0</v>
      </c>
      <c r="P79" s="300">
        <v>0.0</v>
      </c>
      <c r="Q79" s="300">
        <v>0.0</v>
      </c>
      <c r="R79" s="300">
        <v>0.0</v>
      </c>
      <c r="S79" s="300">
        <v>0.0</v>
      </c>
      <c r="T79" s="300">
        <v>0.0</v>
      </c>
      <c r="U79" s="300">
        <v>0.0</v>
      </c>
      <c r="V79" s="300">
        <v>0.0</v>
      </c>
      <c r="W79" s="300">
        <v>0.0</v>
      </c>
      <c r="X79" s="300">
        <v>0.0</v>
      </c>
      <c r="Y79" s="300">
        <f>'2020'!P41</f>
        <v>44</v>
      </c>
      <c r="Z79" s="300">
        <f>'2021'!P41</f>
        <v>77</v>
      </c>
      <c r="AA79" s="125">
        <f>'2022'!P41</f>
        <v>58</v>
      </c>
      <c r="AB79" s="125">
        <f>'2023'!P41</f>
        <v>6</v>
      </c>
      <c r="AC79" s="303">
        <f t="shared" si="15"/>
        <v>185</v>
      </c>
      <c r="AD79" s="304">
        <v>2020.0</v>
      </c>
    </row>
    <row r="80" ht="12.75" customHeight="1">
      <c r="A80" s="171">
        <v>2021.0</v>
      </c>
      <c r="B80" s="40"/>
      <c r="C80" s="40"/>
      <c r="D80" s="41"/>
      <c r="E80" s="305">
        <v>0.0</v>
      </c>
      <c r="F80" s="305">
        <v>0.0</v>
      </c>
      <c r="G80" s="305">
        <v>0.0</v>
      </c>
      <c r="H80" s="305">
        <v>0.0</v>
      </c>
      <c r="I80" s="305">
        <v>0.0</v>
      </c>
      <c r="J80" s="305">
        <v>0.0</v>
      </c>
      <c r="K80" s="305">
        <v>0.0</v>
      </c>
      <c r="L80" s="305">
        <v>0.0</v>
      </c>
      <c r="M80" s="305">
        <v>0.0</v>
      </c>
      <c r="N80" s="305">
        <v>0.0</v>
      </c>
      <c r="O80" s="305">
        <v>0.0</v>
      </c>
      <c r="P80" s="305">
        <v>0.0</v>
      </c>
      <c r="Q80" s="305">
        <v>0.0</v>
      </c>
      <c r="R80" s="305">
        <v>0.0</v>
      </c>
      <c r="S80" s="305">
        <v>0.0</v>
      </c>
      <c r="T80" s="305">
        <v>0.0</v>
      </c>
      <c r="U80" s="305">
        <v>0.0</v>
      </c>
      <c r="V80" s="305">
        <v>0.0</v>
      </c>
      <c r="W80" s="305">
        <v>0.0</v>
      </c>
      <c r="X80" s="305">
        <v>0.0</v>
      </c>
      <c r="Y80" s="305">
        <v>0.0</v>
      </c>
      <c r="Z80" s="305">
        <f>'2021'!P42</f>
        <v>44</v>
      </c>
      <c r="AA80" s="305">
        <f>'2022'!P42</f>
        <v>123</v>
      </c>
      <c r="AB80" s="305">
        <f>'2023'!P42</f>
        <v>7</v>
      </c>
      <c r="AC80" s="303">
        <f t="shared" si="15"/>
        <v>174</v>
      </c>
      <c r="AD80" s="307">
        <v>2021.0</v>
      </c>
    </row>
    <row r="81" ht="12.75" customHeight="1">
      <c r="A81" s="170">
        <v>2022.0</v>
      </c>
      <c r="B81" s="40"/>
      <c r="C81" s="40"/>
      <c r="D81" s="41"/>
      <c r="E81" s="300">
        <v>0.0</v>
      </c>
      <c r="F81" s="300">
        <v>0.0</v>
      </c>
      <c r="G81" s="300">
        <v>0.0</v>
      </c>
      <c r="H81" s="300">
        <v>0.0</v>
      </c>
      <c r="I81" s="300">
        <v>0.0</v>
      </c>
      <c r="J81" s="300">
        <v>0.0</v>
      </c>
      <c r="K81" s="300">
        <v>0.0</v>
      </c>
      <c r="L81" s="300">
        <v>0.0</v>
      </c>
      <c r="M81" s="300">
        <v>0.0</v>
      </c>
      <c r="N81" s="300">
        <v>0.0</v>
      </c>
      <c r="O81" s="300">
        <v>0.0</v>
      </c>
      <c r="P81" s="300">
        <v>0.0</v>
      </c>
      <c r="Q81" s="300">
        <v>0.0</v>
      </c>
      <c r="R81" s="300">
        <v>0.0</v>
      </c>
      <c r="S81" s="300">
        <v>0.0</v>
      </c>
      <c r="T81" s="300">
        <v>0.0</v>
      </c>
      <c r="U81" s="300">
        <v>0.0</v>
      </c>
      <c r="V81" s="300">
        <v>0.0</v>
      </c>
      <c r="W81" s="300">
        <v>0.0</v>
      </c>
      <c r="X81" s="300">
        <v>0.0</v>
      </c>
      <c r="Y81" s="300">
        <v>0.0</v>
      </c>
      <c r="Z81" s="300">
        <v>0.0</v>
      </c>
      <c r="AA81" s="125">
        <f>'2022'!P43</f>
        <v>49</v>
      </c>
      <c r="AB81" s="125">
        <f>'2023'!P43</f>
        <v>18</v>
      </c>
      <c r="AC81" s="303">
        <f t="shared" si="15"/>
        <v>67</v>
      </c>
      <c r="AD81" s="304">
        <v>2022.0</v>
      </c>
    </row>
    <row r="82">
      <c r="A82" s="171">
        <v>2023.0</v>
      </c>
      <c r="B82" s="40"/>
      <c r="C82" s="40"/>
      <c r="D82" s="41"/>
      <c r="E82" s="305">
        <v>0.0</v>
      </c>
      <c r="F82" s="305">
        <v>0.0</v>
      </c>
      <c r="G82" s="305">
        <v>0.0</v>
      </c>
      <c r="H82" s="305">
        <v>0.0</v>
      </c>
      <c r="I82" s="305">
        <v>0.0</v>
      </c>
      <c r="J82" s="305">
        <v>0.0</v>
      </c>
      <c r="K82" s="305">
        <v>0.0</v>
      </c>
      <c r="L82" s="305">
        <v>0.0</v>
      </c>
      <c r="M82" s="305">
        <v>0.0</v>
      </c>
      <c r="N82" s="305">
        <v>0.0</v>
      </c>
      <c r="O82" s="305">
        <v>0.0</v>
      </c>
      <c r="P82" s="305">
        <v>0.0</v>
      </c>
      <c r="Q82" s="305">
        <v>0.0</v>
      </c>
      <c r="R82" s="305">
        <v>0.0</v>
      </c>
      <c r="S82" s="305">
        <v>0.0</v>
      </c>
      <c r="T82" s="305">
        <v>0.0</v>
      </c>
      <c r="U82" s="305">
        <v>0.0</v>
      </c>
      <c r="V82" s="305">
        <v>0.0</v>
      </c>
      <c r="W82" s="305">
        <v>0.0</v>
      </c>
      <c r="X82" s="305">
        <v>0.0</v>
      </c>
      <c r="Y82" s="305">
        <v>0.0</v>
      </c>
      <c r="Z82" s="305">
        <v>0.0</v>
      </c>
      <c r="AA82" s="305">
        <v>0.0</v>
      </c>
      <c r="AB82" s="305">
        <f>'2023'!P44</f>
        <v>0</v>
      </c>
      <c r="AC82" s="303">
        <f t="shared" si="15"/>
        <v>0</v>
      </c>
      <c r="AD82" s="307">
        <v>2023.0</v>
      </c>
    </row>
    <row r="83">
      <c r="V83" s="311" t="s">
        <v>838</v>
      </c>
      <c r="AC83" s="303">
        <f>SUM(AC49:AC81)</f>
        <v>5375</v>
      </c>
    </row>
    <row r="84" ht="12.75" customHeight="1"/>
    <row r="85" ht="12.75" customHeight="1"/>
    <row r="86" ht="12.75" customHeight="1"/>
    <row r="87" ht="12.75" hidden="1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hidden="1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hidden="1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07">
    <mergeCell ref="AE33:AG33"/>
    <mergeCell ref="AE34:AG34"/>
    <mergeCell ref="A12:D12"/>
    <mergeCell ref="A13:D13"/>
    <mergeCell ref="A14:D14"/>
    <mergeCell ref="A15:D15"/>
    <mergeCell ref="A16:D16"/>
    <mergeCell ref="A22:D22"/>
    <mergeCell ref="A23:D23"/>
    <mergeCell ref="A24:D24"/>
    <mergeCell ref="A25:D25"/>
    <mergeCell ref="A26:D26"/>
    <mergeCell ref="A27:D27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4:Z46"/>
    <mergeCell ref="AC44:AC48"/>
    <mergeCell ref="E47:AA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0:D70"/>
    <mergeCell ref="A71:D71"/>
    <mergeCell ref="A72:D72"/>
    <mergeCell ref="A73:D73"/>
    <mergeCell ref="A74:D74"/>
    <mergeCell ref="A75:D75"/>
    <mergeCell ref="A76:D76"/>
    <mergeCell ref="A77:D77"/>
    <mergeCell ref="A78:D78"/>
    <mergeCell ref="A79:D79"/>
    <mergeCell ref="A80:D80"/>
    <mergeCell ref="A81:D81"/>
    <mergeCell ref="A82:D82"/>
    <mergeCell ref="V83:AB83"/>
    <mergeCell ref="A19:AB21"/>
    <mergeCell ref="A5:D5"/>
    <mergeCell ref="A6:D6"/>
    <mergeCell ref="A7:D7"/>
    <mergeCell ref="A8:D8"/>
    <mergeCell ref="A9:D9"/>
    <mergeCell ref="A10:D10"/>
    <mergeCell ref="A11:D11"/>
    <mergeCell ref="A3:D3"/>
    <mergeCell ref="AE3:AG3"/>
    <mergeCell ref="A4:D4"/>
    <mergeCell ref="AE4:AG4"/>
    <mergeCell ref="AD1:AH2"/>
    <mergeCell ref="A1:AB2"/>
    <mergeCell ref="AE5:AG5"/>
    <mergeCell ref="AE6:AG6"/>
    <mergeCell ref="AE7:AG7"/>
    <mergeCell ref="AE8:AG8"/>
    <mergeCell ref="AE9:AG9"/>
    <mergeCell ref="AE10:AG10"/>
    <mergeCell ref="AE11:AG11"/>
    <mergeCell ref="AE12:AG12"/>
    <mergeCell ref="A29:AB31"/>
    <mergeCell ref="AE13:AG13"/>
    <mergeCell ref="AE14:AG14"/>
    <mergeCell ref="AE15:AG15"/>
    <mergeCell ref="AE16:AG16"/>
    <mergeCell ref="AE17:AG17"/>
    <mergeCell ref="AE18:AG18"/>
    <mergeCell ref="AE19:AG19"/>
    <mergeCell ref="AE30:AG30"/>
    <mergeCell ref="AE31:AG31"/>
    <mergeCell ref="AE32:AG32"/>
    <mergeCell ref="AE36:AG36"/>
    <mergeCell ref="AE28:AG28"/>
    <mergeCell ref="AE29:AG29"/>
    <mergeCell ref="AE20:AG20"/>
    <mergeCell ref="AD21:AH22"/>
    <mergeCell ref="AE23:AG23"/>
    <mergeCell ref="AE24:AG24"/>
    <mergeCell ref="AE25:AG25"/>
    <mergeCell ref="AE26:AG26"/>
    <mergeCell ref="AE27:AG27"/>
    <mergeCell ref="AE35:AG35"/>
  </mergeCells>
  <printOptions/>
  <pageMargins bottom="0.787401575" footer="0.0" header="0.0" left="0.511811024" right="0.511811024" top="0.7874015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hidden="1" min="22" max="26" width="8.71"/>
  </cols>
  <sheetData>
    <row r="1" ht="12.75" customHeight="1">
      <c r="A1" s="312" t="s">
        <v>0</v>
      </c>
      <c r="B1" s="313" t="s">
        <v>1</v>
      </c>
      <c r="C1" s="313" t="s">
        <v>2</v>
      </c>
      <c r="D1" s="314" t="s">
        <v>3</v>
      </c>
      <c r="E1" s="313" t="s">
        <v>4</v>
      </c>
      <c r="F1" s="313" t="s">
        <v>5</v>
      </c>
      <c r="G1" s="313" t="s">
        <v>6</v>
      </c>
      <c r="H1" s="313" t="s">
        <v>7</v>
      </c>
      <c r="I1" s="314" t="s">
        <v>8</v>
      </c>
      <c r="J1" s="313" t="s">
        <v>9</v>
      </c>
      <c r="K1" s="313" t="s">
        <v>10</v>
      </c>
      <c r="L1" s="313" t="s">
        <v>11</v>
      </c>
      <c r="M1" s="315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8" t="s">
        <v>13</v>
      </c>
      <c r="B2" s="9" t="s">
        <v>14</v>
      </c>
      <c r="C2" s="9">
        <v>2017.0</v>
      </c>
      <c r="D2" s="10">
        <v>43055.0</v>
      </c>
      <c r="E2" s="11" t="s">
        <v>15</v>
      </c>
      <c r="F2" s="12" t="s">
        <v>16</v>
      </c>
      <c r="G2" s="12" t="s">
        <v>17</v>
      </c>
      <c r="H2" s="11" t="s">
        <v>18</v>
      </c>
      <c r="I2" s="13">
        <v>44956.0</v>
      </c>
      <c r="J2" s="12">
        <v>1.0</v>
      </c>
      <c r="K2" s="12" t="s">
        <v>19</v>
      </c>
      <c r="L2" s="156" t="s">
        <v>256</v>
      </c>
      <c r="M2" s="316">
        <f t="shared" ref="M2:M653" si="1">I2-D2</f>
        <v>1901</v>
      </c>
      <c r="N2" s="15"/>
      <c r="O2" s="317" t="s">
        <v>839</v>
      </c>
      <c r="P2" s="318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18" t="s">
        <v>22</v>
      </c>
      <c r="B3" s="19" t="s">
        <v>23</v>
      </c>
      <c r="C3" s="19">
        <v>2019.0</v>
      </c>
      <c r="D3" s="20">
        <v>43662.0</v>
      </c>
      <c r="E3" s="21" t="s">
        <v>24</v>
      </c>
      <c r="F3" s="21" t="s">
        <v>25</v>
      </c>
      <c r="G3" s="22" t="s">
        <v>17</v>
      </c>
      <c r="H3" s="22" t="s">
        <v>26</v>
      </c>
      <c r="I3" s="23">
        <v>44956.0</v>
      </c>
      <c r="J3" s="21">
        <v>1.0</v>
      </c>
      <c r="K3" s="21" t="s">
        <v>19</v>
      </c>
      <c r="L3" s="156" t="s">
        <v>256</v>
      </c>
      <c r="M3" s="319">
        <f t="shared" si="1"/>
        <v>1294</v>
      </c>
      <c r="N3" s="15"/>
      <c r="O3" s="320" t="s">
        <v>27</v>
      </c>
      <c r="P3" s="320">
        <f>COUNTIF($G$2:$G$681,"PT")</f>
        <v>0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8" t="s">
        <v>28</v>
      </c>
      <c r="B4" s="9" t="s">
        <v>29</v>
      </c>
      <c r="C4" s="9">
        <v>2022.0</v>
      </c>
      <c r="D4" s="10">
        <v>44764.0</v>
      </c>
      <c r="E4" s="11" t="s">
        <v>30</v>
      </c>
      <c r="F4" s="12" t="s">
        <v>31</v>
      </c>
      <c r="G4" s="12" t="s">
        <v>17</v>
      </c>
      <c r="H4" s="11" t="s">
        <v>32</v>
      </c>
      <c r="I4" s="13">
        <v>44956.0</v>
      </c>
      <c r="J4" s="12">
        <v>1.0</v>
      </c>
      <c r="K4" s="12" t="s">
        <v>19</v>
      </c>
      <c r="L4" s="156" t="s">
        <v>258</v>
      </c>
      <c r="M4" s="316">
        <f t="shared" si="1"/>
        <v>192</v>
      </c>
      <c r="N4" s="25"/>
      <c r="O4" s="321" t="s">
        <v>34</v>
      </c>
      <c r="P4" s="321">
        <f>COUNTIF($G$2:$G$681,"PTN")</f>
        <v>2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18" t="s">
        <v>35</v>
      </c>
      <c r="B5" s="19" t="s">
        <v>36</v>
      </c>
      <c r="C5" s="19">
        <v>2019.0</v>
      </c>
      <c r="D5" s="20">
        <v>43578.0</v>
      </c>
      <c r="E5" s="21" t="s">
        <v>37</v>
      </c>
      <c r="F5" s="21" t="s">
        <v>38</v>
      </c>
      <c r="G5" s="22" t="s">
        <v>17</v>
      </c>
      <c r="H5" s="22" t="s">
        <v>39</v>
      </c>
      <c r="I5" s="23">
        <v>44956.0</v>
      </c>
      <c r="J5" s="21">
        <v>1.0</v>
      </c>
      <c r="K5" s="21" t="s">
        <v>19</v>
      </c>
      <c r="L5" s="156" t="s">
        <v>256</v>
      </c>
      <c r="M5" s="319">
        <f t="shared" si="1"/>
        <v>1378</v>
      </c>
      <c r="N5" s="25"/>
      <c r="O5" s="322" t="s">
        <v>40</v>
      </c>
      <c r="P5" s="322">
        <f>COUNTIF($G$2:$G$681,"PTE")</f>
        <v>34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8" t="s">
        <v>41</v>
      </c>
      <c r="B6" s="9" t="s">
        <v>42</v>
      </c>
      <c r="C6" s="9">
        <v>2018.0</v>
      </c>
      <c r="D6" s="10">
        <v>43224.0</v>
      </c>
      <c r="E6" s="11" t="s">
        <v>43</v>
      </c>
      <c r="F6" s="12" t="s">
        <v>44</v>
      </c>
      <c r="G6" s="12" t="s">
        <v>17</v>
      </c>
      <c r="H6" s="11" t="s">
        <v>45</v>
      </c>
      <c r="I6" s="13">
        <v>44956.0</v>
      </c>
      <c r="J6" s="12">
        <v>1.0</v>
      </c>
      <c r="K6" s="12" t="s">
        <v>19</v>
      </c>
      <c r="L6" s="156" t="s">
        <v>258</v>
      </c>
      <c r="M6" s="316">
        <f t="shared" si="1"/>
        <v>1732</v>
      </c>
      <c r="N6" s="25"/>
      <c r="O6" s="321" t="s">
        <v>46</v>
      </c>
      <c r="P6" s="321">
        <f>COUNTIF($G$2:$G$681,"Pré-Mistura")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18" t="s">
        <v>47</v>
      </c>
      <c r="B7" s="19" t="s">
        <v>48</v>
      </c>
      <c r="C7" s="19">
        <v>2017.0</v>
      </c>
      <c r="D7" s="20">
        <v>42807.0</v>
      </c>
      <c r="E7" s="21" t="s">
        <v>49</v>
      </c>
      <c r="F7" s="21" t="s">
        <v>44</v>
      </c>
      <c r="G7" s="22" t="s">
        <v>17</v>
      </c>
      <c r="H7" s="22" t="s">
        <v>50</v>
      </c>
      <c r="I7" s="23">
        <v>44956.0</v>
      </c>
      <c r="J7" s="21">
        <v>1.0</v>
      </c>
      <c r="K7" s="21" t="s">
        <v>19</v>
      </c>
      <c r="L7" s="156" t="s">
        <v>258</v>
      </c>
      <c r="M7" s="319">
        <f t="shared" si="1"/>
        <v>2149</v>
      </c>
      <c r="N7" s="25"/>
      <c r="O7" s="322" t="s">
        <v>553</v>
      </c>
      <c r="P7" s="322">
        <f>COUNTIF($G$2:$G$681,"PF")</f>
        <v>8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8" t="s">
        <v>52</v>
      </c>
      <c r="B8" s="9" t="s">
        <v>53</v>
      </c>
      <c r="C8" s="9">
        <v>2018.0</v>
      </c>
      <c r="D8" s="10">
        <v>43168.0</v>
      </c>
      <c r="E8" s="11" t="s">
        <v>54</v>
      </c>
      <c r="F8" s="12" t="s">
        <v>55</v>
      </c>
      <c r="G8" s="12" t="s">
        <v>17</v>
      </c>
      <c r="H8" s="11" t="s">
        <v>56</v>
      </c>
      <c r="I8" s="13">
        <v>44956.0</v>
      </c>
      <c r="J8" s="12">
        <v>1.0</v>
      </c>
      <c r="K8" s="12" t="s">
        <v>19</v>
      </c>
      <c r="L8" s="156" t="s">
        <v>256</v>
      </c>
      <c r="M8" s="316">
        <f t="shared" si="1"/>
        <v>1788</v>
      </c>
      <c r="N8" s="25"/>
      <c r="O8" s="321" t="s">
        <v>547</v>
      </c>
      <c r="P8" s="321">
        <f>COUNTIF($G$2:$G$681,"PFN")</f>
        <v>5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18" t="s">
        <v>57</v>
      </c>
      <c r="B9" s="19" t="s">
        <v>58</v>
      </c>
      <c r="C9" s="19">
        <v>2017.0</v>
      </c>
      <c r="D9" s="20">
        <v>42797.0</v>
      </c>
      <c r="E9" s="21" t="s">
        <v>59</v>
      </c>
      <c r="F9" s="21" t="s">
        <v>55</v>
      </c>
      <c r="G9" s="22" t="s">
        <v>17</v>
      </c>
      <c r="H9" s="22" t="s">
        <v>60</v>
      </c>
      <c r="I9" s="23">
        <v>44956.0</v>
      </c>
      <c r="J9" s="21">
        <v>1.0</v>
      </c>
      <c r="K9" s="21" t="s">
        <v>19</v>
      </c>
      <c r="L9" s="156" t="s">
        <v>256</v>
      </c>
      <c r="M9" s="319">
        <f t="shared" si="1"/>
        <v>2159</v>
      </c>
      <c r="N9" s="25"/>
      <c r="O9" s="322" t="s">
        <v>560</v>
      </c>
      <c r="P9" s="322">
        <f>COUNTIF($G$2:$G$681,"PF/PTE")</f>
        <v>38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8" t="s">
        <v>62</v>
      </c>
      <c r="B10" s="9" t="s">
        <v>63</v>
      </c>
      <c r="C10" s="9">
        <v>2021.0</v>
      </c>
      <c r="D10" s="10">
        <v>44498.0</v>
      </c>
      <c r="E10" s="11" t="s">
        <v>64</v>
      </c>
      <c r="F10" s="12" t="s">
        <v>65</v>
      </c>
      <c r="G10" s="12" t="s">
        <v>17</v>
      </c>
      <c r="H10" s="11" t="s">
        <v>66</v>
      </c>
      <c r="I10" s="13">
        <v>44956.0</v>
      </c>
      <c r="J10" s="12">
        <v>1.0</v>
      </c>
      <c r="K10" s="12" t="s">
        <v>19</v>
      </c>
      <c r="L10" s="12" t="s">
        <v>840</v>
      </c>
      <c r="M10" s="316">
        <f t="shared" si="1"/>
        <v>458</v>
      </c>
      <c r="N10" s="25"/>
      <c r="O10" s="321" t="s">
        <v>565</v>
      </c>
      <c r="P10" s="321">
        <f>COUNTIF($G$2:$G$681,"Bio")</f>
        <v>6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18" t="s">
        <v>68</v>
      </c>
      <c r="B11" s="19" t="s">
        <v>69</v>
      </c>
      <c r="C11" s="19">
        <v>2019.0</v>
      </c>
      <c r="D11" s="20">
        <v>43804.0</v>
      </c>
      <c r="E11" s="21" t="s">
        <v>70</v>
      </c>
      <c r="F11" s="21" t="s">
        <v>71</v>
      </c>
      <c r="G11" s="22" t="s">
        <v>17</v>
      </c>
      <c r="H11" s="22" t="s">
        <v>72</v>
      </c>
      <c r="I11" s="23">
        <v>44957.0</v>
      </c>
      <c r="J11" s="21">
        <v>1.0</v>
      </c>
      <c r="K11" s="21" t="s">
        <v>19</v>
      </c>
      <c r="L11" s="156" t="s">
        <v>258</v>
      </c>
      <c r="M11" s="319">
        <f t="shared" si="1"/>
        <v>1153</v>
      </c>
      <c r="N11" s="25"/>
      <c r="O11" s="323" t="s">
        <v>569</v>
      </c>
      <c r="P11" s="323">
        <f>COUNTIF($G$2:$G$681,"Bio/Org")</f>
        <v>9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8" t="s">
        <v>74</v>
      </c>
      <c r="B12" s="9" t="s">
        <v>75</v>
      </c>
      <c r="C12" s="9">
        <v>2018.0</v>
      </c>
      <c r="D12" s="10">
        <v>43462.0</v>
      </c>
      <c r="E12" s="11" t="s">
        <v>76</v>
      </c>
      <c r="F12" s="12" t="s">
        <v>55</v>
      </c>
      <c r="G12" s="12" t="s">
        <v>17</v>
      </c>
      <c r="H12" s="11" t="s">
        <v>77</v>
      </c>
      <c r="I12" s="13">
        <v>44957.0</v>
      </c>
      <c r="J12" s="12">
        <v>1.0</v>
      </c>
      <c r="K12" s="12" t="s">
        <v>19</v>
      </c>
      <c r="L12" s="156" t="s">
        <v>256</v>
      </c>
      <c r="M12" s="316">
        <f t="shared" si="1"/>
        <v>1495</v>
      </c>
      <c r="N12" s="25"/>
      <c r="O12" s="324" t="s">
        <v>51</v>
      </c>
      <c r="P12" s="325">
        <f>SUM(P3:P11)</f>
        <v>102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18" t="s">
        <v>79</v>
      </c>
      <c r="B13" s="19" t="s">
        <v>80</v>
      </c>
      <c r="C13" s="19">
        <v>2022.0</v>
      </c>
      <c r="D13" s="20">
        <v>44712.0</v>
      </c>
      <c r="E13" s="21" t="s">
        <v>81</v>
      </c>
      <c r="F13" s="21" t="s">
        <v>16</v>
      </c>
      <c r="G13" s="22" t="s">
        <v>17</v>
      </c>
      <c r="H13" s="22" t="s">
        <v>82</v>
      </c>
      <c r="I13" s="23">
        <v>44957.0</v>
      </c>
      <c r="J13" s="21">
        <v>1.0</v>
      </c>
      <c r="K13" s="21" t="s">
        <v>19</v>
      </c>
      <c r="L13" s="156" t="s">
        <v>256</v>
      </c>
      <c r="M13" s="319">
        <f t="shared" si="1"/>
        <v>245</v>
      </c>
      <c r="N13" s="42"/>
      <c r="O13" s="25"/>
      <c r="P13" s="25"/>
      <c r="Q13" s="25"/>
      <c r="R13" s="326"/>
      <c r="S13" s="326"/>
      <c r="T13" s="25"/>
      <c r="U13" s="25"/>
      <c r="V13" s="25"/>
      <c r="W13" s="25"/>
      <c r="X13" s="25"/>
      <c r="Y13" s="25"/>
      <c r="Z13" s="25"/>
    </row>
    <row r="14" ht="15.0" customHeight="1">
      <c r="A14" s="8" t="s">
        <v>84</v>
      </c>
      <c r="B14" s="9" t="s">
        <v>85</v>
      </c>
      <c r="C14" s="9">
        <v>2021.0</v>
      </c>
      <c r="D14" s="10">
        <v>44230.0</v>
      </c>
      <c r="E14" s="11" t="s">
        <v>86</v>
      </c>
      <c r="F14" s="12" t="s">
        <v>71</v>
      </c>
      <c r="G14" s="12" t="s">
        <v>17</v>
      </c>
      <c r="H14" s="11" t="s">
        <v>87</v>
      </c>
      <c r="I14" s="13">
        <v>44957.0</v>
      </c>
      <c r="J14" s="12">
        <v>1.0</v>
      </c>
      <c r="K14" s="12" t="s">
        <v>19</v>
      </c>
      <c r="L14" s="156" t="s">
        <v>258</v>
      </c>
      <c r="M14" s="316">
        <f t="shared" si="1"/>
        <v>727</v>
      </c>
      <c r="N14" s="42"/>
      <c r="O14" s="327" t="s">
        <v>61</v>
      </c>
      <c r="P14" s="102"/>
      <c r="Q14" s="102"/>
      <c r="R14" s="102"/>
      <c r="S14" s="103"/>
      <c r="T14" s="25"/>
      <c r="U14" s="25"/>
      <c r="V14" s="25"/>
      <c r="W14" s="25"/>
      <c r="X14" s="25"/>
      <c r="Y14" s="25"/>
      <c r="Z14" s="25"/>
    </row>
    <row r="15" ht="15.0" customHeight="1">
      <c r="A15" s="18" t="s">
        <v>89</v>
      </c>
      <c r="B15" s="19" t="s">
        <v>90</v>
      </c>
      <c r="C15" s="19">
        <v>2020.0</v>
      </c>
      <c r="D15" s="20">
        <v>44186.0</v>
      </c>
      <c r="E15" s="21" t="s">
        <v>91</v>
      </c>
      <c r="F15" s="21" t="s">
        <v>92</v>
      </c>
      <c r="G15" s="22" t="s">
        <v>17</v>
      </c>
      <c r="H15" s="22" t="s">
        <v>93</v>
      </c>
      <c r="I15" s="23">
        <v>44957.0</v>
      </c>
      <c r="J15" s="21">
        <v>1.0</v>
      </c>
      <c r="K15" s="21" t="s">
        <v>19</v>
      </c>
      <c r="L15" s="156" t="s">
        <v>258</v>
      </c>
      <c r="M15" s="319">
        <f t="shared" si="1"/>
        <v>771</v>
      </c>
      <c r="N15" s="25"/>
      <c r="O15" s="328"/>
      <c r="P15" s="329"/>
      <c r="Q15" s="329"/>
      <c r="R15" s="329"/>
      <c r="S15" s="330"/>
      <c r="T15" s="25"/>
      <c r="U15" s="25"/>
      <c r="V15" s="25"/>
      <c r="W15" s="25"/>
      <c r="X15" s="25"/>
      <c r="Y15" s="25"/>
      <c r="Z15" s="25"/>
    </row>
    <row r="16" ht="15.0" customHeight="1">
      <c r="A16" s="8" t="s">
        <v>94</v>
      </c>
      <c r="B16" s="9" t="s">
        <v>95</v>
      </c>
      <c r="C16" s="9">
        <v>2015.0</v>
      </c>
      <c r="D16" s="10">
        <v>42064.0</v>
      </c>
      <c r="E16" s="11" t="s">
        <v>96</v>
      </c>
      <c r="F16" s="12" t="s">
        <v>16</v>
      </c>
      <c r="G16" s="12" t="s">
        <v>17</v>
      </c>
      <c r="H16" s="11" t="s">
        <v>97</v>
      </c>
      <c r="I16" s="13">
        <v>44959.0</v>
      </c>
      <c r="J16" s="12">
        <v>2.0</v>
      </c>
      <c r="K16" s="12" t="s">
        <v>19</v>
      </c>
      <c r="L16" s="156" t="s">
        <v>256</v>
      </c>
      <c r="M16" s="316">
        <f t="shared" si="1"/>
        <v>2895</v>
      </c>
      <c r="N16" s="25"/>
      <c r="O16" s="331" t="s">
        <v>841</v>
      </c>
      <c r="P16" s="332"/>
      <c r="Q16" s="332"/>
      <c r="R16" s="332"/>
      <c r="S16" s="333"/>
      <c r="T16" s="25"/>
      <c r="U16" s="25"/>
      <c r="V16" s="25"/>
      <c r="W16" s="25"/>
      <c r="X16" s="25"/>
      <c r="Y16" s="25"/>
      <c r="Z16" s="25"/>
    </row>
    <row r="17" ht="15.0" customHeight="1">
      <c r="A17" s="18" t="s">
        <v>99</v>
      </c>
      <c r="B17" s="19" t="s">
        <v>100</v>
      </c>
      <c r="C17" s="19">
        <v>2015.0</v>
      </c>
      <c r="D17" s="20">
        <v>42123.0</v>
      </c>
      <c r="E17" s="21" t="s">
        <v>101</v>
      </c>
      <c r="F17" s="21" t="s">
        <v>102</v>
      </c>
      <c r="G17" s="22" t="s">
        <v>17</v>
      </c>
      <c r="H17" s="22" t="s">
        <v>56</v>
      </c>
      <c r="I17" s="44">
        <v>44959.0</v>
      </c>
      <c r="J17" s="21">
        <v>2.0</v>
      </c>
      <c r="K17" s="21" t="s">
        <v>19</v>
      </c>
      <c r="L17" s="156" t="s">
        <v>258</v>
      </c>
      <c r="M17" s="319">
        <f t="shared" si="1"/>
        <v>2836</v>
      </c>
      <c r="N17" s="25"/>
      <c r="O17" s="334" t="s">
        <v>842</v>
      </c>
      <c r="P17" s="113"/>
      <c r="Q17" s="113"/>
      <c r="R17" s="113"/>
      <c r="S17" s="114"/>
      <c r="T17" s="25"/>
      <c r="U17" s="25"/>
      <c r="V17" s="25"/>
      <c r="W17" s="25"/>
      <c r="X17" s="25"/>
      <c r="Y17" s="25"/>
      <c r="Z17" s="25"/>
    </row>
    <row r="18" ht="15.0" customHeight="1">
      <c r="A18" s="8" t="s">
        <v>103</v>
      </c>
      <c r="B18" s="9" t="s">
        <v>104</v>
      </c>
      <c r="C18" s="9">
        <v>2015.0</v>
      </c>
      <c r="D18" s="10">
        <v>42191.0</v>
      </c>
      <c r="E18" s="11" t="s">
        <v>105</v>
      </c>
      <c r="F18" s="12" t="s">
        <v>102</v>
      </c>
      <c r="G18" s="12" t="s">
        <v>17</v>
      </c>
      <c r="H18" s="11" t="s">
        <v>77</v>
      </c>
      <c r="I18" s="13">
        <v>44959.0</v>
      </c>
      <c r="J18" s="12">
        <v>2.0</v>
      </c>
      <c r="K18" s="12" t="s">
        <v>19</v>
      </c>
      <c r="L18" s="156" t="s">
        <v>258</v>
      </c>
      <c r="M18" s="316">
        <f t="shared" si="1"/>
        <v>2768</v>
      </c>
      <c r="N18" s="25"/>
      <c r="O18" s="335" t="s">
        <v>843</v>
      </c>
      <c r="P18" s="113"/>
      <c r="Q18" s="113"/>
      <c r="R18" s="113"/>
      <c r="S18" s="114"/>
      <c r="T18" s="25"/>
      <c r="U18" s="25"/>
      <c r="V18" s="25"/>
      <c r="W18" s="25"/>
      <c r="X18" s="25"/>
      <c r="Y18" s="25"/>
      <c r="Z18" s="25"/>
    </row>
    <row r="19" ht="15.0" customHeight="1">
      <c r="A19" s="18" t="s">
        <v>109</v>
      </c>
      <c r="B19" s="19" t="s">
        <v>110</v>
      </c>
      <c r="C19" s="19">
        <v>2018.0</v>
      </c>
      <c r="D19" s="20">
        <v>43217.0</v>
      </c>
      <c r="E19" s="21" t="s">
        <v>111</v>
      </c>
      <c r="F19" s="21" t="s">
        <v>102</v>
      </c>
      <c r="G19" s="22" t="s">
        <v>17</v>
      </c>
      <c r="H19" s="22" t="s">
        <v>112</v>
      </c>
      <c r="I19" s="44">
        <v>44959.0</v>
      </c>
      <c r="J19" s="21">
        <v>2.0</v>
      </c>
      <c r="K19" s="21" t="s">
        <v>19</v>
      </c>
      <c r="L19" s="156" t="s">
        <v>258</v>
      </c>
      <c r="M19" s="319">
        <f t="shared" si="1"/>
        <v>1742</v>
      </c>
      <c r="N19" s="25"/>
      <c r="O19" s="334" t="s">
        <v>844</v>
      </c>
      <c r="P19" s="113"/>
      <c r="Q19" s="113"/>
      <c r="R19" s="113"/>
      <c r="S19" s="114"/>
      <c r="T19" s="25"/>
      <c r="U19" s="25"/>
      <c r="V19" s="25"/>
      <c r="W19" s="25"/>
      <c r="X19" s="25"/>
      <c r="Y19" s="25"/>
      <c r="Z19" s="25"/>
    </row>
    <row r="20" ht="15.0" customHeight="1">
      <c r="A20" s="8" t="s">
        <v>113</v>
      </c>
      <c r="B20" s="9" t="s">
        <v>114</v>
      </c>
      <c r="C20" s="9">
        <v>2021.0</v>
      </c>
      <c r="D20" s="10">
        <v>44496.0</v>
      </c>
      <c r="E20" s="11" t="s">
        <v>115</v>
      </c>
      <c r="F20" s="12" t="s">
        <v>65</v>
      </c>
      <c r="G20" s="12" t="s">
        <v>17</v>
      </c>
      <c r="H20" s="11" t="s">
        <v>116</v>
      </c>
      <c r="I20" s="13">
        <v>44959.0</v>
      </c>
      <c r="J20" s="12">
        <v>2.0</v>
      </c>
      <c r="K20" s="12" t="s">
        <v>19</v>
      </c>
      <c r="L20" s="12" t="s">
        <v>840</v>
      </c>
      <c r="M20" s="316">
        <f t="shared" si="1"/>
        <v>463</v>
      </c>
      <c r="N20" s="25"/>
      <c r="O20" s="335" t="s">
        <v>845</v>
      </c>
      <c r="P20" s="113"/>
      <c r="Q20" s="113"/>
      <c r="R20" s="113"/>
      <c r="S20" s="114"/>
      <c r="T20" s="25"/>
      <c r="U20" s="25"/>
      <c r="V20" s="25"/>
      <c r="W20" s="25"/>
      <c r="X20" s="25"/>
      <c r="Y20" s="25"/>
      <c r="Z20" s="25"/>
    </row>
    <row r="21" ht="15.0" customHeight="1">
      <c r="A21" s="18" t="s">
        <v>117</v>
      </c>
      <c r="B21" s="19" t="s">
        <v>118</v>
      </c>
      <c r="C21" s="19">
        <v>2018.0</v>
      </c>
      <c r="D21" s="20">
        <v>43354.0</v>
      </c>
      <c r="E21" s="21" t="s">
        <v>119</v>
      </c>
      <c r="F21" s="21" t="s">
        <v>120</v>
      </c>
      <c r="G21" s="22" t="s">
        <v>17</v>
      </c>
      <c r="H21" s="22" t="s">
        <v>39</v>
      </c>
      <c r="I21" s="44">
        <v>44959.0</v>
      </c>
      <c r="J21" s="21">
        <v>2.0</v>
      </c>
      <c r="K21" s="21" t="s">
        <v>19</v>
      </c>
      <c r="L21" s="156" t="s">
        <v>258</v>
      </c>
      <c r="M21" s="319">
        <f t="shared" si="1"/>
        <v>1605</v>
      </c>
      <c r="N21" s="25"/>
      <c r="O21" s="334" t="s">
        <v>846</v>
      </c>
      <c r="P21" s="113"/>
      <c r="Q21" s="113"/>
      <c r="R21" s="113"/>
      <c r="S21" s="114"/>
      <c r="T21" s="25"/>
      <c r="U21" s="25"/>
      <c r="V21" s="25"/>
      <c r="W21" s="25"/>
      <c r="X21" s="25"/>
      <c r="Y21" s="25"/>
      <c r="Z21" s="25"/>
    </row>
    <row r="22" ht="15.0" customHeight="1">
      <c r="A22" s="8" t="s">
        <v>121</v>
      </c>
      <c r="B22" s="9" t="s">
        <v>122</v>
      </c>
      <c r="C22" s="9">
        <v>2014.0</v>
      </c>
      <c r="D22" s="10">
        <v>41844.0</v>
      </c>
      <c r="E22" s="11" t="s">
        <v>123</v>
      </c>
      <c r="F22" s="12" t="s">
        <v>124</v>
      </c>
      <c r="G22" s="12" t="s">
        <v>17</v>
      </c>
      <c r="H22" s="11" t="s">
        <v>125</v>
      </c>
      <c r="I22" s="13">
        <v>44959.0</v>
      </c>
      <c r="J22" s="12">
        <v>2.0</v>
      </c>
      <c r="K22" s="12" t="s">
        <v>19</v>
      </c>
      <c r="L22" s="156" t="s">
        <v>258</v>
      </c>
      <c r="M22" s="316">
        <f t="shared" si="1"/>
        <v>3115</v>
      </c>
      <c r="N22" s="25"/>
      <c r="O22" s="335" t="s">
        <v>847</v>
      </c>
      <c r="P22" s="113"/>
      <c r="Q22" s="113"/>
      <c r="R22" s="113"/>
      <c r="S22" s="114"/>
      <c r="T22" s="25"/>
      <c r="U22" s="25"/>
      <c r="V22" s="25"/>
      <c r="W22" s="25"/>
      <c r="X22" s="25"/>
      <c r="Y22" s="25"/>
      <c r="Z22" s="25"/>
    </row>
    <row r="23" ht="15.0" customHeight="1">
      <c r="A23" s="18" t="s">
        <v>126</v>
      </c>
      <c r="B23" s="19" t="s">
        <v>127</v>
      </c>
      <c r="C23" s="19">
        <v>2019.0</v>
      </c>
      <c r="D23" s="20">
        <v>43538.0</v>
      </c>
      <c r="E23" s="21" t="s">
        <v>128</v>
      </c>
      <c r="F23" s="21" t="s">
        <v>129</v>
      </c>
      <c r="G23" s="22" t="s">
        <v>17</v>
      </c>
      <c r="H23" s="22" t="s">
        <v>130</v>
      </c>
      <c r="I23" s="44">
        <v>44959.0</v>
      </c>
      <c r="J23" s="21">
        <v>2.0</v>
      </c>
      <c r="K23" s="21" t="s">
        <v>19</v>
      </c>
      <c r="L23" s="156" t="s">
        <v>258</v>
      </c>
      <c r="M23" s="319">
        <f t="shared" si="1"/>
        <v>1421</v>
      </c>
      <c r="N23" s="25"/>
      <c r="O23" s="334" t="s">
        <v>848</v>
      </c>
      <c r="P23" s="113"/>
      <c r="Q23" s="113"/>
      <c r="R23" s="113"/>
      <c r="S23" s="114"/>
      <c r="T23" s="25"/>
      <c r="U23" s="25"/>
      <c r="V23" s="25"/>
      <c r="W23" s="25"/>
      <c r="X23" s="25"/>
      <c r="Y23" s="25"/>
      <c r="Z23" s="25"/>
    </row>
    <row r="24" ht="15.0" customHeight="1">
      <c r="A24" s="8" t="s">
        <v>131</v>
      </c>
      <c r="B24" s="9" t="s">
        <v>132</v>
      </c>
      <c r="C24" s="9">
        <v>2019.0</v>
      </c>
      <c r="D24" s="10">
        <v>43754.0</v>
      </c>
      <c r="E24" s="11" t="s">
        <v>133</v>
      </c>
      <c r="F24" s="12" t="s">
        <v>134</v>
      </c>
      <c r="G24" s="12" t="s">
        <v>17</v>
      </c>
      <c r="H24" s="11" t="s">
        <v>130</v>
      </c>
      <c r="I24" s="13">
        <v>44959.0</v>
      </c>
      <c r="J24" s="12">
        <v>2.0</v>
      </c>
      <c r="K24" s="12" t="s">
        <v>19</v>
      </c>
      <c r="L24" s="156" t="s">
        <v>256</v>
      </c>
      <c r="M24" s="316">
        <f t="shared" si="1"/>
        <v>1205</v>
      </c>
      <c r="N24" s="25"/>
      <c r="O24" s="336" t="s">
        <v>849</v>
      </c>
      <c r="P24" s="118"/>
      <c r="Q24" s="118"/>
      <c r="R24" s="118"/>
      <c r="S24" s="119"/>
      <c r="T24" s="25"/>
      <c r="U24" s="25"/>
      <c r="V24" s="25"/>
      <c r="W24" s="25"/>
      <c r="X24" s="25"/>
      <c r="Y24" s="25"/>
      <c r="Z24" s="25"/>
    </row>
    <row r="25" ht="15.0" customHeight="1">
      <c r="A25" s="18" t="s">
        <v>135</v>
      </c>
      <c r="B25" s="19" t="s">
        <v>136</v>
      </c>
      <c r="C25" s="19">
        <v>2019.0</v>
      </c>
      <c r="D25" s="20">
        <v>43662.0</v>
      </c>
      <c r="E25" s="21" t="s">
        <v>137</v>
      </c>
      <c r="F25" s="21" t="s">
        <v>38</v>
      </c>
      <c r="G25" s="22" t="s">
        <v>17</v>
      </c>
      <c r="H25" s="22" t="s">
        <v>138</v>
      </c>
      <c r="I25" s="44">
        <v>44960.0</v>
      </c>
      <c r="J25" s="21">
        <v>2.0</v>
      </c>
      <c r="K25" s="21" t="s">
        <v>19</v>
      </c>
      <c r="L25" s="156" t="s">
        <v>256</v>
      </c>
      <c r="M25" s="319">
        <f t="shared" si="1"/>
        <v>1298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8" t="s">
        <v>139</v>
      </c>
      <c r="B26" s="9" t="s">
        <v>140</v>
      </c>
      <c r="C26" s="9">
        <v>2009.0</v>
      </c>
      <c r="D26" s="10">
        <v>40149.0</v>
      </c>
      <c r="E26" s="11" t="s">
        <v>141</v>
      </c>
      <c r="F26" s="12" t="s">
        <v>142</v>
      </c>
      <c r="G26" s="12" t="s">
        <v>34</v>
      </c>
      <c r="H26" s="11" t="s">
        <v>143</v>
      </c>
      <c r="I26" s="13">
        <v>44966.0</v>
      </c>
      <c r="J26" s="12">
        <v>2.0</v>
      </c>
      <c r="K26" s="172" t="s">
        <v>602</v>
      </c>
      <c r="L26" s="156" t="s">
        <v>256</v>
      </c>
      <c r="M26" s="316">
        <f t="shared" si="1"/>
        <v>4817</v>
      </c>
      <c r="N26" s="25"/>
      <c r="O26" s="327" t="s">
        <v>617</v>
      </c>
      <c r="P26" s="102"/>
      <c r="Q26" s="102"/>
      <c r="R26" s="102"/>
      <c r="S26" s="103"/>
      <c r="T26" s="25"/>
      <c r="U26" s="25"/>
      <c r="V26" s="25"/>
      <c r="W26" s="25"/>
      <c r="X26" s="25"/>
      <c r="Y26" s="25"/>
      <c r="Z26" s="25"/>
    </row>
    <row r="27" ht="15.0" customHeight="1">
      <c r="A27" s="18" t="s">
        <v>145</v>
      </c>
      <c r="B27" s="19" t="s">
        <v>146</v>
      </c>
      <c r="C27" s="19">
        <v>2018.0</v>
      </c>
      <c r="D27" s="20">
        <v>43402.0</v>
      </c>
      <c r="E27" s="21" t="s">
        <v>147</v>
      </c>
      <c r="F27" s="21" t="s">
        <v>148</v>
      </c>
      <c r="G27" s="22" t="s">
        <v>17</v>
      </c>
      <c r="H27" s="22" t="s">
        <v>149</v>
      </c>
      <c r="I27" s="44">
        <v>44993.0</v>
      </c>
      <c r="J27" s="21">
        <v>3.0</v>
      </c>
      <c r="K27" s="21" t="s">
        <v>19</v>
      </c>
      <c r="L27" s="156" t="s">
        <v>256</v>
      </c>
      <c r="M27" s="319">
        <f t="shared" si="1"/>
        <v>1591</v>
      </c>
      <c r="N27" s="25"/>
      <c r="O27" s="104"/>
      <c r="P27" s="105"/>
      <c r="Q27" s="105"/>
      <c r="R27" s="105"/>
      <c r="S27" s="106"/>
      <c r="T27" s="25"/>
      <c r="U27" s="25"/>
      <c r="V27" s="25"/>
      <c r="W27" s="25"/>
      <c r="X27" s="25"/>
      <c r="Y27" s="25"/>
      <c r="Z27" s="25"/>
    </row>
    <row r="28" ht="15.0" customHeight="1">
      <c r="A28" s="8" t="s">
        <v>150</v>
      </c>
      <c r="B28" s="9" t="s">
        <v>151</v>
      </c>
      <c r="C28" s="9">
        <v>2011.0</v>
      </c>
      <c r="D28" s="10">
        <v>40805.0</v>
      </c>
      <c r="E28" s="11" t="s">
        <v>152</v>
      </c>
      <c r="F28" s="12" t="s">
        <v>55</v>
      </c>
      <c r="G28" s="12" t="s">
        <v>17</v>
      </c>
      <c r="H28" s="11" t="s">
        <v>153</v>
      </c>
      <c r="I28" s="13">
        <v>44993.0</v>
      </c>
      <c r="J28" s="12">
        <v>3.0</v>
      </c>
      <c r="K28" s="12" t="s">
        <v>19</v>
      </c>
      <c r="L28" s="156" t="s">
        <v>256</v>
      </c>
      <c r="M28" s="316">
        <f t="shared" si="1"/>
        <v>4188</v>
      </c>
      <c r="N28" s="25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18" t="s">
        <v>154</v>
      </c>
      <c r="B29" s="19" t="s">
        <v>155</v>
      </c>
      <c r="C29" s="19">
        <v>2019.0</v>
      </c>
      <c r="D29" s="20">
        <v>43815.0</v>
      </c>
      <c r="E29" s="21" t="s">
        <v>156</v>
      </c>
      <c r="F29" s="21" t="s">
        <v>157</v>
      </c>
      <c r="G29" s="22" t="s">
        <v>34</v>
      </c>
      <c r="H29" s="22" t="s">
        <v>158</v>
      </c>
      <c r="I29" s="44">
        <v>44993.0</v>
      </c>
      <c r="J29" s="21">
        <v>3.0</v>
      </c>
      <c r="K29" s="172" t="s">
        <v>602</v>
      </c>
      <c r="L29" s="156" t="s">
        <v>256</v>
      </c>
      <c r="M29" s="319">
        <f t="shared" si="1"/>
        <v>1178</v>
      </c>
      <c r="N29" s="25"/>
      <c r="O29" s="322">
        <v>2008.0</v>
      </c>
      <c r="P29" s="342">
        <f>COUNTIF($C$2:$C$680,"2008")</f>
        <v>1</v>
      </c>
      <c r="Q29" s="332"/>
      <c r="R29" s="333"/>
      <c r="S29" s="343">
        <f>(P29/P45)</f>
        <v>0.009803921569</v>
      </c>
      <c r="T29" s="25"/>
      <c r="U29" s="25"/>
      <c r="V29" s="25"/>
      <c r="W29" s="25"/>
      <c r="X29" s="25"/>
      <c r="Y29" s="25"/>
      <c r="Z29" s="25"/>
    </row>
    <row r="30" ht="15.0" customHeight="1">
      <c r="A30" s="8" t="s">
        <v>159</v>
      </c>
      <c r="B30" s="9" t="s">
        <v>160</v>
      </c>
      <c r="C30" s="9">
        <v>2015.0</v>
      </c>
      <c r="D30" s="10">
        <v>42109.0</v>
      </c>
      <c r="E30" s="11" t="s">
        <v>161</v>
      </c>
      <c r="F30" s="12" t="s">
        <v>162</v>
      </c>
      <c r="G30" s="12" t="s">
        <v>17</v>
      </c>
      <c r="H30" s="11" t="s">
        <v>163</v>
      </c>
      <c r="I30" s="13">
        <v>44993.0</v>
      </c>
      <c r="J30" s="12">
        <v>3.0</v>
      </c>
      <c r="K30" s="12" t="s">
        <v>19</v>
      </c>
      <c r="L30" s="156" t="s">
        <v>256</v>
      </c>
      <c r="M30" s="316">
        <f t="shared" si="1"/>
        <v>2884</v>
      </c>
      <c r="N30" s="25"/>
      <c r="O30" s="321">
        <v>2009.0</v>
      </c>
      <c r="P30" s="344">
        <f>COUNTIF($C$2:$C$680,"2009")</f>
        <v>1</v>
      </c>
      <c r="Q30" s="113"/>
      <c r="R30" s="114"/>
      <c r="S30" s="345">
        <f>(P30/P45)</f>
        <v>0.009803921569</v>
      </c>
      <c r="T30" s="25"/>
      <c r="U30" s="25"/>
      <c r="V30" s="25"/>
      <c r="W30" s="25"/>
      <c r="X30" s="25"/>
      <c r="Y30" s="25"/>
      <c r="Z30" s="25"/>
    </row>
    <row r="31" ht="15.0" customHeight="1">
      <c r="A31" s="18" t="s">
        <v>164</v>
      </c>
      <c r="B31" s="19" t="s">
        <v>165</v>
      </c>
      <c r="C31" s="19">
        <v>2016.0</v>
      </c>
      <c r="D31" s="20">
        <v>42465.0</v>
      </c>
      <c r="E31" s="21" t="s">
        <v>166</v>
      </c>
      <c r="F31" s="21" t="s">
        <v>167</v>
      </c>
      <c r="G31" s="22" t="s">
        <v>17</v>
      </c>
      <c r="H31" s="22" t="s">
        <v>138</v>
      </c>
      <c r="I31" s="44">
        <v>45007.0</v>
      </c>
      <c r="J31" s="21">
        <v>3.0</v>
      </c>
      <c r="K31" s="21" t="s">
        <v>19</v>
      </c>
      <c r="L31" s="156" t="s">
        <v>256</v>
      </c>
      <c r="M31" s="319">
        <f t="shared" si="1"/>
        <v>2542</v>
      </c>
      <c r="N31" s="25"/>
      <c r="O31" s="322">
        <v>2010.0</v>
      </c>
      <c r="P31" s="346">
        <f>COUNTIF($C$2:$C$680,"2010")</f>
        <v>1</v>
      </c>
      <c r="Q31" s="113"/>
      <c r="R31" s="114"/>
      <c r="S31" s="343">
        <f>(P31/P45)</f>
        <v>0.009803921569</v>
      </c>
      <c r="T31" s="25"/>
      <c r="U31" s="25"/>
      <c r="V31" s="25"/>
      <c r="W31" s="25"/>
      <c r="X31" s="25"/>
      <c r="Y31" s="25"/>
      <c r="Z31" s="25"/>
    </row>
    <row r="32" ht="15.0" customHeight="1">
      <c r="A32" s="8" t="s">
        <v>168</v>
      </c>
      <c r="B32" s="9" t="s">
        <v>169</v>
      </c>
      <c r="C32" s="9">
        <v>2019.0</v>
      </c>
      <c r="D32" s="52">
        <v>43818.0</v>
      </c>
      <c r="E32" s="11" t="s">
        <v>170</v>
      </c>
      <c r="F32" s="12" t="s">
        <v>171</v>
      </c>
      <c r="G32" s="12" t="s">
        <v>17</v>
      </c>
      <c r="H32" s="11" t="s">
        <v>130</v>
      </c>
      <c r="I32" s="13">
        <v>45012.0</v>
      </c>
      <c r="J32" s="12">
        <v>3.0</v>
      </c>
      <c r="K32" s="12" t="s">
        <v>19</v>
      </c>
      <c r="L32" s="156" t="s">
        <v>256</v>
      </c>
      <c r="M32" s="316">
        <f t="shared" si="1"/>
        <v>1194</v>
      </c>
      <c r="N32" s="25"/>
      <c r="O32" s="321">
        <v>2011.0</v>
      </c>
      <c r="P32" s="344">
        <f>COUNTIF($C$2:$C$680,"2011")</f>
        <v>5</v>
      </c>
      <c r="Q32" s="113"/>
      <c r="R32" s="114"/>
      <c r="S32" s="345">
        <f>(P32/P45)</f>
        <v>0.04901960784</v>
      </c>
      <c r="T32" s="25"/>
      <c r="U32" s="25"/>
      <c r="V32" s="25"/>
      <c r="W32" s="25"/>
      <c r="X32" s="25"/>
      <c r="Y32" s="25"/>
      <c r="Z32" s="25"/>
    </row>
    <row r="33" ht="15.0" customHeight="1">
      <c r="A33" s="18" t="s">
        <v>172</v>
      </c>
      <c r="B33" s="19" t="s">
        <v>173</v>
      </c>
      <c r="C33" s="19">
        <v>2016.0</v>
      </c>
      <c r="D33" s="23">
        <v>42459.0</v>
      </c>
      <c r="E33" s="21" t="s">
        <v>174</v>
      </c>
      <c r="F33" s="21" t="s">
        <v>167</v>
      </c>
      <c r="G33" s="22" t="s">
        <v>17</v>
      </c>
      <c r="H33" s="22" t="s">
        <v>26</v>
      </c>
      <c r="I33" s="44">
        <v>45012.0</v>
      </c>
      <c r="J33" s="21">
        <v>3.0</v>
      </c>
      <c r="K33" s="21" t="s">
        <v>19</v>
      </c>
      <c r="L33" s="156" t="s">
        <v>256</v>
      </c>
      <c r="M33" s="319">
        <f t="shared" si="1"/>
        <v>2553</v>
      </c>
      <c r="N33" s="25"/>
      <c r="O33" s="322">
        <v>2012.0</v>
      </c>
      <c r="P33" s="346">
        <f>COUNTIF($C$2:$C$680,"2012")</f>
        <v>3</v>
      </c>
      <c r="Q33" s="113"/>
      <c r="R33" s="114"/>
      <c r="S33" s="343">
        <f>(P33/P45)</f>
        <v>0.02941176471</v>
      </c>
      <c r="T33" s="25"/>
      <c r="U33" s="25"/>
      <c r="V33" s="25"/>
      <c r="W33" s="25"/>
      <c r="X33" s="25"/>
      <c r="Y33" s="25"/>
      <c r="Z33" s="25"/>
    </row>
    <row r="34" ht="15.0" customHeight="1">
      <c r="A34" s="8" t="s">
        <v>175</v>
      </c>
      <c r="B34" s="9" t="s">
        <v>176</v>
      </c>
      <c r="C34" s="9">
        <v>2019.0</v>
      </c>
      <c r="D34" s="13">
        <v>43616.0</v>
      </c>
      <c r="E34" s="11" t="s">
        <v>177</v>
      </c>
      <c r="F34" s="12" t="s">
        <v>178</v>
      </c>
      <c r="G34" s="12" t="s">
        <v>17</v>
      </c>
      <c r="H34" s="11" t="s">
        <v>130</v>
      </c>
      <c r="I34" s="13">
        <v>45012.0</v>
      </c>
      <c r="J34" s="12">
        <v>3.0</v>
      </c>
      <c r="K34" s="12" t="s">
        <v>19</v>
      </c>
      <c r="L34" s="156" t="s">
        <v>256</v>
      </c>
      <c r="M34" s="316">
        <f t="shared" si="1"/>
        <v>1396</v>
      </c>
      <c r="N34" s="25"/>
      <c r="O34" s="321">
        <v>2013.0</v>
      </c>
      <c r="P34" s="344">
        <f>COUNTIF($C$2:$C$680,"2013")</f>
        <v>1</v>
      </c>
      <c r="Q34" s="113"/>
      <c r="R34" s="114"/>
      <c r="S34" s="345">
        <f>(P34/P45)</f>
        <v>0.009803921569</v>
      </c>
      <c r="T34" s="25"/>
      <c r="U34" s="25"/>
      <c r="V34" s="25"/>
      <c r="W34" s="25"/>
      <c r="X34" s="25"/>
      <c r="Y34" s="25"/>
      <c r="Z34" s="25"/>
    </row>
    <row r="35" ht="15.0" customHeight="1">
      <c r="A35" s="18" t="s">
        <v>180</v>
      </c>
      <c r="B35" s="19" t="s">
        <v>181</v>
      </c>
      <c r="C35" s="19">
        <v>2019.0</v>
      </c>
      <c r="D35" s="23">
        <v>43644.0</v>
      </c>
      <c r="E35" s="21" t="s">
        <v>182</v>
      </c>
      <c r="F35" s="21" t="s">
        <v>38</v>
      </c>
      <c r="G35" s="22" t="s">
        <v>17</v>
      </c>
      <c r="H35" s="22" t="s">
        <v>77</v>
      </c>
      <c r="I35" s="44">
        <v>45012.0</v>
      </c>
      <c r="J35" s="21">
        <v>3.0</v>
      </c>
      <c r="K35" s="21" t="s">
        <v>19</v>
      </c>
      <c r="L35" s="156" t="s">
        <v>256</v>
      </c>
      <c r="M35" s="319">
        <f t="shared" si="1"/>
        <v>1368</v>
      </c>
      <c r="N35" s="25"/>
      <c r="O35" s="322">
        <v>2014.0</v>
      </c>
      <c r="P35" s="346">
        <f>COUNTIF($C$2:$C$680,"2014")</f>
        <v>3</v>
      </c>
      <c r="Q35" s="113"/>
      <c r="R35" s="114"/>
      <c r="S35" s="343">
        <f>(P35/P45)</f>
        <v>0.02941176471</v>
      </c>
      <c r="T35" s="25"/>
      <c r="U35" s="25"/>
      <c r="V35" s="25"/>
      <c r="W35" s="25"/>
      <c r="X35" s="25"/>
      <c r="Y35" s="25"/>
      <c r="Z35" s="25"/>
    </row>
    <row r="36" ht="15.0" customHeight="1">
      <c r="A36" s="8" t="s">
        <v>183</v>
      </c>
      <c r="B36" s="9" t="s">
        <v>184</v>
      </c>
      <c r="C36" s="9">
        <v>2016.0</v>
      </c>
      <c r="D36" s="13">
        <v>42390.0</v>
      </c>
      <c r="E36" s="11" t="s">
        <v>185</v>
      </c>
      <c r="F36" s="12" t="s">
        <v>186</v>
      </c>
      <c r="G36" s="12" t="s">
        <v>17</v>
      </c>
      <c r="H36" s="11" t="s">
        <v>187</v>
      </c>
      <c r="I36" s="13">
        <v>45013.0</v>
      </c>
      <c r="J36" s="12">
        <v>3.0</v>
      </c>
      <c r="K36" s="12" t="s">
        <v>19</v>
      </c>
      <c r="L36" s="156" t="s">
        <v>256</v>
      </c>
      <c r="M36" s="316">
        <f t="shared" si="1"/>
        <v>2623</v>
      </c>
      <c r="N36" s="25"/>
      <c r="O36" s="321">
        <v>2015.0</v>
      </c>
      <c r="P36" s="344">
        <f>COUNTIF($C$2:$C$680,"2015")</f>
        <v>7</v>
      </c>
      <c r="Q36" s="113"/>
      <c r="R36" s="114"/>
      <c r="S36" s="345">
        <f>(P36/P45)</f>
        <v>0.06862745098</v>
      </c>
      <c r="T36" s="25"/>
      <c r="U36" s="25"/>
      <c r="V36" s="25"/>
      <c r="W36" s="25"/>
      <c r="X36" s="25"/>
      <c r="Y36" s="25"/>
      <c r="Z36" s="25"/>
    </row>
    <row r="37" ht="15.0" customHeight="1">
      <c r="A37" s="18" t="s">
        <v>189</v>
      </c>
      <c r="B37" s="19" t="s">
        <v>190</v>
      </c>
      <c r="C37" s="19">
        <v>2015.0</v>
      </c>
      <c r="D37" s="20">
        <v>42319.0</v>
      </c>
      <c r="E37" s="21" t="s">
        <v>191</v>
      </c>
      <c r="F37" s="21" t="s">
        <v>167</v>
      </c>
      <c r="G37" s="22" t="s">
        <v>17</v>
      </c>
      <c r="H37" s="22" t="s">
        <v>97</v>
      </c>
      <c r="I37" s="23">
        <v>45013.0</v>
      </c>
      <c r="J37" s="21">
        <v>3.0</v>
      </c>
      <c r="K37" s="21" t="s">
        <v>19</v>
      </c>
      <c r="L37" s="156" t="s">
        <v>258</v>
      </c>
      <c r="M37" s="319">
        <f t="shared" si="1"/>
        <v>2694</v>
      </c>
      <c r="N37" s="25"/>
      <c r="O37" s="322">
        <v>2016.0</v>
      </c>
      <c r="P37" s="346">
        <f>COUNTIF($C$2:$C$680,"2016")</f>
        <v>17</v>
      </c>
      <c r="Q37" s="113"/>
      <c r="R37" s="114"/>
      <c r="S37" s="343">
        <f>(P37/P45)</f>
        <v>0.1666666667</v>
      </c>
      <c r="T37" s="25"/>
      <c r="U37" s="25"/>
      <c r="V37" s="25"/>
      <c r="W37" s="25"/>
      <c r="X37" s="25"/>
      <c r="Y37" s="25"/>
      <c r="Z37" s="25"/>
    </row>
    <row r="38" ht="15.0" customHeight="1">
      <c r="A38" s="153">
        <v>123.0</v>
      </c>
      <c r="B38" s="154" t="s">
        <v>544</v>
      </c>
      <c r="C38" s="154">
        <v>2019.0</v>
      </c>
      <c r="D38" s="155">
        <v>43546.0</v>
      </c>
      <c r="E38" s="125" t="s">
        <v>545</v>
      </c>
      <c r="F38" s="156" t="s">
        <v>546</v>
      </c>
      <c r="G38" s="125" t="s">
        <v>547</v>
      </c>
      <c r="H38" s="156" t="s">
        <v>158</v>
      </c>
      <c r="I38" s="155">
        <v>44929.0</v>
      </c>
      <c r="J38" s="125">
        <v>1.0</v>
      </c>
      <c r="K38" s="157" t="s">
        <v>240</v>
      </c>
      <c r="L38" s="156" t="s">
        <v>256</v>
      </c>
      <c r="M38" s="316">
        <f t="shared" si="1"/>
        <v>1383</v>
      </c>
      <c r="N38" s="25"/>
      <c r="O38" s="321">
        <v>2017.0</v>
      </c>
      <c r="P38" s="344">
        <f>COUNTIF($C$2:$C$680,"2017")</f>
        <v>4</v>
      </c>
      <c r="Q38" s="113"/>
      <c r="R38" s="114"/>
      <c r="S38" s="345">
        <f>(P38/P45)</f>
        <v>0.03921568627</v>
      </c>
      <c r="T38" s="25"/>
      <c r="U38" s="25"/>
      <c r="V38" s="25"/>
      <c r="W38" s="25"/>
      <c r="X38" s="25"/>
      <c r="Y38" s="25"/>
      <c r="Z38" s="25"/>
    </row>
    <row r="39" ht="15.0" customHeight="1">
      <c r="A39" s="160">
        <v>223.0</v>
      </c>
      <c r="B39" s="161" t="s">
        <v>549</v>
      </c>
      <c r="C39" s="161">
        <v>2017.0</v>
      </c>
      <c r="D39" s="162">
        <v>42745.0</v>
      </c>
      <c r="E39" s="163" t="s">
        <v>550</v>
      </c>
      <c r="F39" s="164" t="s">
        <v>551</v>
      </c>
      <c r="G39" s="163" t="s">
        <v>552</v>
      </c>
      <c r="H39" s="164" t="s">
        <v>50</v>
      </c>
      <c r="I39" s="162">
        <v>44932.0</v>
      </c>
      <c r="J39" s="163">
        <v>1.0</v>
      </c>
      <c r="K39" s="157" t="s">
        <v>242</v>
      </c>
      <c r="L39" s="164" t="s">
        <v>256</v>
      </c>
      <c r="M39" s="319">
        <f t="shared" si="1"/>
        <v>2187</v>
      </c>
      <c r="N39" s="25"/>
      <c r="O39" s="322">
        <v>2018.0</v>
      </c>
      <c r="P39" s="346">
        <f>COUNTIF($C$2:$C$680,"2018")</f>
        <v>12</v>
      </c>
      <c r="Q39" s="113"/>
      <c r="R39" s="114"/>
      <c r="S39" s="343">
        <f>(P39/P45)</f>
        <v>0.1176470588</v>
      </c>
      <c r="T39" s="25"/>
      <c r="U39" s="25"/>
      <c r="V39" s="25"/>
      <c r="W39" s="25"/>
      <c r="X39" s="25"/>
      <c r="Y39" s="25"/>
      <c r="Z39" s="25"/>
    </row>
    <row r="40" ht="15.0" customHeight="1">
      <c r="A40" s="153">
        <v>323.0</v>
      </c>
      <c r="B40" s="154" t="s">
        <v>554</v>
      </c>
      <c r="C40" s="154">
        <v>2016.0</v>
      </c>
      <c r="D40" s="155">
        <v>42461.0</v>
      </c>
      <c r="E40" s="125" t="s">
        <v>555</v>
      </c>
      <c r="F40" s="156" t="s">
        <v>556</v>
      </c>
      <c r="G40" s="125" t="s">
        <v>552</v>
      </c>
      <c r="H40" s="156" t="s">
        <v>50</v>
      </c>
      <c r="I40" s="155">
        <v>44567.0</v>
      </c>
      <c r="J40" s="125">
        <v>1.0</v>
      </c>
      <c r="K40" s="157" t="s">
        <v>242</v>
      </c>
      <c r="L40" s="156" t="s">
        <v>258</v>
      </c>
      <c r="M40" s="316">
        <f t="shared" si="1"/>
        <v>2106</v>
      </c>
      <c r="N40" s="25"/>
      <c r="O40" s="321">
        <v>2019.0</v>
      </c>
      <c r="P40" s="344">
        <f>COUNTIF($C$2:$C$680,"2019")</f>
        <v>16</v>
      </c>
      <c r="Q40" s="113"/>
      <c r="R40" s="114"/>
      <c r="S40" s="345">
        <f>(P40/P45)</f>
        <v>0.1568627451</v>
      </c>
      <c r="T40" s="25"/>
      <c r="U40" s="25"/>
      <c r="V40" s="25"/>
      <c r="W40" s="25"/>
      <c r="X40" s="25"/>
      <c r="Y40" s="25"/>
      <c r="Z40" s="25"/>
    </row>
    <row r="41" ht="15.0" customHeight="1">
      <c r="A41" s="160">
        <v>423.0</v>
      </c>
      <c r="B41" s="161" t="s">
        <v>557</v>
      </c>
      <c r="C41" s="161">
        <v>2019.0</v>
      </c>
      <c r="D41" s="162">
        <v>43819.0</v>
      </c>
      <c r="E41" s="163" t="s">
        <v>558</v>
      </c>
      <c r="F41" s="164" t="s">
        <v>559</v>
      </c>
      <c r="G41" s="163" t="s">
        <v>552</v>
      </c>
      <c r="H41" s="164" t="s">
        <v>32</v>
      </c>
      <c r="I41" s="162">
        <v>44932.0</v>
      </c>
      <c r="J41" s="163">
        <v>1.0</v>
      </c>
      <c r="K41" s="157" t="s">
        <v>240</v>
      </c>
      <c r="L41" s="164" t="s">
        <v>258</v>
      </c>
      <c r="M41" s="319">
        <f t="shared" si="1"/>
        <v>1113</v>
      </c>
      <c r="N41" s="25"/>
      <c r="O41" s="322">
        <v>2020.0</v>
      </c>
      <c r="P41" s="346">
        <f>COUNTIF($C$2:$C$680,"2020")</f>
        <v>6</v>
      </c>
      <c r="Q41" s="113"/>
      <c r="R41" s="114"/>
      <c r="S41" s="343">
        <f>(P41/P45)</f>
        <v>0.05882352941</v>
      </c>
      <c r="T41" s="25"/>
      <c r="U41" s="25"/>
      <c r="V41" s="25"/>
      <c r="W41" s="25"/>
      <c r="X41" s="25"/>
      <c r="Y41" s="25"/>
      <c r="Z41" s="25"/>
    </row>
    <row r="42" ht="15.0" customHeight="1">
      <c r="A42" s="153">
        <v>523.0</v>
      </c>
      <c r="B42" s="154" t="s">
        <v>561</v>
      </c>
      <c r="C42" s="154">
        <v>2018.0</v>
      </c>
      <c r="D42" s="155">
        <v>43343.0</v>
      </c>
      <c r="E42" s="125" t="s">
        <v>562</v>
      </c>
      <c r="F42" s="156" t="s">
        <v>563</v>
      </c>
      <c r="G42" s="125" t="s">
        <v>552</v>
      </c>
      <c r="H42" s="156" t="s">
        <v>564</v>
      </c>
      <c r="I42" s="155">
        <v>44937.0</v>
      </c>
      <c r="J42" s="125">
        <v>1.0</v>
      </c>
      <c r="K42" s="166" t="s">
        <v>236</v>
      </c>
      <c r="L42" s="156" t="s">
        <v>256</v>
      </c>
      <c r="M42" s="316">
        <f t="shared" si="1"/>
        <v>1594</v>
      </c>
      <c r="N42" s="25"/>
      <c r="O42" s="321">
        <v>2021.0</v>
      </c>
      <c r="P42" s="344">
        <f>COUNTIF($C$2:$C$680,"2021")</f>
        <v>7</v>
      </c>
      <c r="Q42" s="113"/>
      <c r="R42" s="114"/>
      <c r="S42" s="345">
        <f>(P42/P45)</f>
        <v>0.06862745098</v>
      </c>
      <c r="T42" s="25"/>
      <c r="U42" s="25"/>
      <c r="V42" s="25"/>
      <c r="W42" s="25"/>
      <c r="X42" s="25"/>
      <c r="Y42" s="25"/>
      <c r="Z42" s="25"/>
    </row>
    <row r="43" ht="15.0" customHeight="1">
      <c r="A43" s="160">
        <v>623.0</v>
      </c>
      <c r="B43" s="161" t="s">
        <v>566</v>
      </c>
      <c r="C43" s="161">
        <v>2011.0</v>
      </c>
      <c r="D43" s="167">
        <v>40745.0</v>
      </c>
      <c r="E43" s="163" t="s">
        <v>567</v>
      </c>
      <c r="F43" s="164" t="s">
        <v>568</v>
      </c>
      <c r="G43" s="163" t="s">
        <v>552</v>
      </c>
      <c r="H43" s="164" t="s">
        <v>18</v>
      </c>
      <c r="I43" s="162">
        <v>44937.0</v>
      </c>
      <c r="J43" s="163">
        <v>1.0</v>
      </c>
      <c r="K43" s="168" t="s">
        <v>232</v>
      </c>
      <c r="L43" s="164" t="s">
        <v>256</v>
      </c>
      <c r="M43" s="319">
        <f t="shared" si="1"/>
        <v>4192</v>
      </c>
      <c r="N43" s="25"/>
      <c r="O43" s="322">
        <v>2022.0</v>
      </c>
      <c r="P43" s="346">
        <f>COUNTIF($C$2:$C$680,"2022")</f>
        <v>18</v>
      </c>
      <c r="Q43" s="113"/>
      <c r="R43" s="114"/>
      <c r="S43" s="343">
        <f t="shared" ref="S43:S44" si="2">(P43/P45)</f>
        <v>0.1764705882</v>
      </c>
      <c r="T43" s="25"/>
      <c r="U43" s="25"/>
      <c r="V43" s="25"/>
      <c r="W43" s="25"/>
      <c r="X43" s="25"/>
      <c r="Y43" s="25"/>
      <c r="Z43" s="25"/>
    </row>
    <row r="44" ht="15.0" customHeight="1">
      <c r="A44" s="153">
        <v>723.0</v>
      </c>
      <c r="B44" s="154" t="s">
        <v>570</v>
      </c>
      <c r="C44" s="154">
        <v>2011.0</v>
      </c>
      <c r="D44" s="155">
        <v>40550.0</v>
      </c>
      <c r="E44" s="125" t="s">
        <v>571</v>
      </c>
      <c r="F44" s="156" t="s">
        <v>572</v>
      </c>
      <c r="G44" s="125" t="s">
        <v>552</v>
      </c>
      <c r="H44" s="156" t="s">
        <v>573</v>
      </c>
      <c r="I44" s="155">
        <v>44946.0</v>
      </c>
      <c r="J44" s="125">
        <v>1.0</v>
      </c>
      <c r="K44" s="166" t="s">
        <v>234</v>
      </c>
      <c r="L44" s="156" t="s">
        <v>256</v>
      </c>
      <c r="M44" s="316">
        <f t="shared" si="1"/>
        <v>4396</v>
      </c>
      <c r="N44" s="25"/>
      <c r="O44" s="347">
        <v>2023.0</v>
      </c>
      <c r="P44" s="344">
        <f>COUNTIF($C$2:$C$680,"2023")</f>
        <v>0</v>
      </c>
      <c r="Q44" s="113"/>
      <c r="R44" s="114"/>
      <c r="S44" s="345" t="str">
        <f t="shared" si="2"/>
        <v>#DIV/0!</v>
      </c>
      <c r="T44" s="25"/>
      <c r="U44" s="25"/>
      <c r="V44" s="25"/>
      <c r="W44" s="25"/>
      <c r="X44" s="25"/>
      <c r="Y44" s="25"/>
      <c r="Z44" s="25"/>
    </row>
    <row r="45" ht="15.0" customHeight="1">
      <c r="A45" s="160">
        <v>823.0</v>
      </c>
      <c r="B45" s="161" t="s">
        <v>574</v>
      </c>
      <c r="C45" s="161">
        <v>2022.0</v>
      </c>
      <c r="D45" s="162">
        <v>44573.0</v>
      </c>
      <c r="E45" s="163" t="s">
        <v>575</v>
      </c>
      <c r="F45" s="164" t="s">
        <v>576</v>
      </c>
      <c r="G45" s="163" t="s">
        <v>565</v>
      </c>
      <c r="H45" s="164" t="s">
        <v>577</v>
      </c>
      <c r="I45" s="162">
        <v>44946.0</v>
      </c>
      <c r="J45" s="163">
        <v>1.0</v>
      </c>
      <c r="K45" s="157" t="s">
        <v>242</v>
      </c>
      <c r="L45" s="164" t="s">
        <v>260</v>
      </c>
      <c r="M45" s="319">
        <f t="shared" si="1"/>
        <v>373</v>
      </c>
      <c r="N45" s="25"/>
      <c r="O45" s="348" t="s">
        <v>179</v>
      </c>
      <c r="P45" s="349">
        <f>SUM(P29:R43)</f>
        <v>102</v>
      </c>
      <c r="Q45" s="350"/>
      <c r="R45" s="351"/>
      <c r="S45" s="352">
        <f>SUM(S29:S43)</f>
        <v>1</v>
      </c>
      <c r="T45" s="25"/>
      <c r="U45" s="25"/>
      <c r="V45" s="25"/>
      <c r="W45" s="25"/>
      <c r="X45" s="25"/>
      <c r="Y45" s="25"/>
      <c r="Z45" s="25"/>
    </row>
    <row r="46" ht="15.0" customHeight="1">
      <c r="A46" s="153">
        <v>923.0</v>
      </c>
      <c r="B46" s="154" t="s">
        <v>578</v>
      </c>
      <c r="C46" s="154">
        <v>2022.0</v>
      </c>
      <c r="D46" s="155">
        <v>44573.0</v>
      </c>
      <c r="E46" s="125" t="s">
        <v>579</v>
      </c>
      <c r="F46" s="156" t="s">
        <v>576</v>
      </c>
      <c r="G46" s="125" t="s">
        <v>565</v>
      </c>
      <c r="H46" s="156" t="s">
        <v>577</v>
      </c>
      <c r="I46" s="155">
        <v>44946.0</v>
      </c>
      <c r="J46" s="125">
        <v>1.0</v>
      </c>
      <c r="K46" s="157" t="s">
        <v>242</v>
      </c>
      <c r="L46" s="156" t="s">
        <v>260</v>
      </c>
      <c r="M46" s="316">
        <f t="shared" si="1"/>
        <v>373</v>
      </c>
      <c r="N46" s="25"/>
      <c r="U46" s="25"/>
      <c r="V46" s="25"/>
      <c r="W46" s="25"/>
      <c r="X46" s="25"/>
      <c r="Y46" s="25"/>
      <c r="Z46" s="25"/>
    </row>
    <row r="47" ht="15.0" customHeight="1">
      <c r="A47" s="160">
        <v>1023.0</v>
      </c>
      <c r="B47" s="161" t="s">
        <v>580</v>
      </c>
      <c r="C47" s="161">
        <v>2018.0</v>
      </c>
      <c r="D47" s="162">
        <v>43370.0</v>
      </c>
      <c r="E47" s="163" t="s">
        <v>581</v>
      </c>
      <c r="F47" s="164" t="s">
        <v>582</v>
      </c>
      <c r="G47" s="163" t="s">
        <v>552</v>
      </c>
      <c r="H47" s="164" t="s">
        <v>583</v>
      </c>
      <c r="I47" s="162">
        <v>44946.0</v>
      </c>
      <c r="J47" s="163">
        <v>1.0</v>
      </c>
      <c r="K47" s="157" t="s">
        <v>242</v>
      </c>
      <c r="L47" s="164" t="s">
        <v>258</v>
      </c>
      <c r="M47" s="319">
        <f t="shared" si="1"/>
        <v>1576</v>
      </c>
      <c r="N47" s="25"/>
      <c r="U47" s="25"/>
      <c r="V47" s="25"/>
      <c r="W47" s="25"/>
      <c r="X47" s="25"/>
      <c r="Y47" s="25"/>
      <c r="Z47" s="25"/>
    </row>
    <row r="48" ht="15.0" customHeight="1">
      <c r="A48" s="153">
        <v>1123.0</v>
      </c>
      <c r="B48" s="154" t="s">
        <v>584</v>
      </c>
      <c r="C48" s="154">
        <v>2020.0</v>
      </c>
      <c r="D48" s="155">
        <v>44054.0</v>
      </c>
      <c r="E48" s="125" t="s">
        <v>585</v>
      </c>
      <c r="F48" s="156" t="s">
        <v>586</v>
      </c>
      <c r="G48" s="125" t="s">
        <v>552</v>
      </c>
      <c r="H48" s="156" t="s">
        <v>587</v>
      </c>
      <c r="I48" s="155">
        <v>44946.0</v>
      </c>
      <c r="J48" s="125">
        <v>1.0</v>
      </c>
      <c r="K48" s="168" t="s">
        <v>232</v>
      </c>
      <c r="L48" s="156" t="s">
        <v>258</v>
      </c>
      <c r="M48" s="316">
        <f t="shared" si="1"/>
        <v>892</v>
      </c>
      <c r="N48" s="25"/>
      <c r="O48" s="327" t="s">
        <v>692</v>
      </c>
      <c r="P48" s="102"/>
      <c r="Q48" s="102"/>
      <c r="R48" s="102"/>
      <c r="S48" s="103"/>
      <c r="T48" s="25"/>
      <c r="U48" s="25"/>
      <c r="V48" s="25"/>
      <c r="W48" s="25"/>
      <c r="X48" s="25"/>
      <c r="Y48" s="25"/>
      <c r="Z48" s="25"/>
    </row>
    <row r="49" ht="15.0" customHeight="1">
      <c r="A49" s="160">
        <v>1223.0</v>
      </c>
      <c r="B49" s="161" t="s">
        <v>589</v>
      </c>
      <c r="C49" s="161">
        <v>2016.0</v>
      </c>
      <c r="D49" s="162">
        <v>42557.0</v>
      </c>
      <c r="E49" s="163" t="s">
        <v>590</v>
      </c>
      <c r="F49" s="164" t="s">
        <v>591</v>
      </c>
      <c r="G49" s="163" t="s">
        <v>552</v>
      </c>
      <c r="H49" s="164" t="s">
        <v>130</v>
      </c>
      <c r="I49" s="162">
        <v>44946.0</v>
      </c>
      <c r="J49" s="163">
        <v>1.0</v>
      </c>
      <c r="K49" s="157" t="s">
        <v>240</v>
      </c>
      <c r="L49" s="164" t="s">
        <v>256</v>
      </c>
      <c r="M49" s="319">
        <f t="shared" si="1"/>
        <v>2389</v>
      </c>
      <c r="N49" s="25"/>
      <c r="O49" s="104"/>
      <c r="P49" s="105"/>
      <c r="Q49" s="105"/>
      <c r="R49" s="105"/>
      <c r="S49" s="106"/>
      <c r="T49" s="25"/>
      <c r="U49" s="25"/>
      <c r="V49" s="25"/>
      <c r="W49" s="25"/>
      <c r="X49" s="25"/>
      <c r="Y49" s="25"/>
      <c r="Z49" s="25"/>
    </row>
    <row r="50" ht="15.0" customHeight="1">
      <c r="A50" s="153">
        <v>1323.0</v>
      </c>
      <c r="B50" s="154" t="s">
        <v>593</v>
      </c>
      <c r="C50" s="154">
        <v>2016.0</v>
      </c>
      <c r="D50" s="155">
        <v>42675.0</v>
      </c>
      <c r="E50" s="125" t="s">
        <v>594</v>
      </c>
      <c r="F50" s="156" t="s">
        <v>595</v>
      </c>
      <c r="G50" s="125" t="s">
        <v>552</v>
      </c>
      <c r="H50" s="156" t="s">
        <v>596</v>
      </c>
      <c r="I50" s="155">
        <v>44946.0</v>
      </c>
      <c r="J50" s="125">
        <v>1.0</v>
      </c>
      <c r="K50" s="157" t="s">
        <v>242</v>
      </c>
      <c r="L50" s="156" t="s">
        <v>256</v>
      </c>
      <c r="M50" s="316">
        <f t="shared" si="1"/>
        <v>2271</v>
      </c>
      <c r="N50" s="25"/>
      <c r="O50" s="337" t="s">
        <v>9</v>
      </c>
      <c r="P50" s="338" t="s">
        <v>107</v>
      </c>
      <c r="Q50" s="339"/>
      <c r="R50" s="340"/>
      <c r="S50" s="341" t="s">
        <v>108</v>
      </c>
      <c r="T50" s="25"/>
      <c r="U50" s="25"/>
      <c r="V50" s="25"/>
      <c r="W50" s="25"/>
      <c r="X50" s="25"/>
      <c r="Y50" s="25"/>
      <c r="Z50" s="25"/>
    </row>
    <row r="51" ht="15.0" customHeight="1">
      <c r="A51" s="160">
        <v>1423.0</v>
      </c>
      <c r="B51" s="161" t="s">
        <v>598</v>
      </c>
      <c r="C51" s="161">
        <v>2022.0</v>
      </c>
      <c r="D51" s="162">
        <v>44678.0</v>
      </c>
      <c r="E51" s="163" t="s">
        <v>599</v>
      </c>
      <c r="F51" s="164" t="s">
        <v>600</v>
      </c>
      <c r="G51" s="163" t="s">
        <v>565</v>
      </c>
      <c r="H51" s="164" t="s">
        <v>601</v>
      </c>
      <c r="I51" s="162">
        <v>44946.0</v>
      </c>
      <c r="J51" s="163">
        <v>1.0</v>
      </c>
      <c r="K51" s="172" t="s">
        <v>602</v>
      </c>
      <c r="L51" s="164" t="s">
        <v>260</v>
      </c>
      <c r="M51" s="319">
        <f t="shared" si="1"/>
        <v>268</v>
      </c>
      <c r="N51" s="25"/>
      <c r="O51" s="353" t="s">
        <v>195</v>
      </c>
      <c r="P51" s="342">
        <f>COUNTIF($J$2:$J$680,"1")</f>
        <v>36</v>
      </c>
      <c r="Q51" s="332"/>
      <c r="R51" s="333"/>
      <c r="S51" s="354">
        <f>(P51/P63)</f>
        <v>0.3529411765</v>
      </c>
      <c r="T51" s="25"/>
      <c r="U51" s="25"/>
      <c r="V51" s="25"/>
      <c r="W51" s="25"/>
      <c r="X51" s="25"/>
      <c r="Y51" s="25"/>
      <c r="Z51" s="25"/>
    </row>
    <row r="52" ht="15.0" customHeight="1">
      <c r="A52" s="153">
        <v>1523.0</v>
      </c>
      <c r="B52" s="154" t="s">
        <v>604</v>
      </c>
      <c r="C52" s="154">
        <v>2022.0</v>
      </c>
      <c r="D52" s="155">
        <v>44845.0</v>
      </c>
      <c r="E52" s="125" t="s">
        <v>605</v>
      </c>
      <c r="F52" s="156" t="s">
        <v>606</v>
      </c>
      <c r="G52" s="125" t="s">
        <v>569</v>
      </c>
      <c r="H52" s="156" t="s">
        <v>607</v>
      </c>
      <c r="I52" s="155">
        <v>44946.0</v>
      </c>
      <c r="J52" s="125">
        <v>1.0</v>
      </c>
      <c r="K52" s="157" t="s">
        <v>242</v>
      </c>
      <c r="L52" s="156" t="s">
        <v>260</v>
      </c>
      <c r="M52" s="316">
        <f t="shared" si="1"/>
        <v>101</v>
      </c>
      <c r="N52" s="25"/>
      <c r="O52" s="321" t="s">
        <v>197</v>
      </c>
      <c r="P52" s="344">
        <f>COUNTIF($J$2:$J$680,"2")</f>
        <v>40</v>
      </c>
      <c r="Q52" s="113"/>
      <c r="R52" s="114"/>
      <c r="S52" s="345">
        <f>(P52/P63)</f>
        <v>0.3921568627</v>
      </c>
      <c r="T52" s="25"/>
      <c r="U52" s="25"/>
      <c r="V52" s="25"/>
      <c r="W52" s="25"/>
      <c r="X52" s="25"/>
      <c r="Y52" s="25"/>
      <c r="Z52" s="25"/>
    </row>
    <row r="53" ht="15.0" customHeight="1">
      <c r="A53" s="160">
        <v>1623.0</v>
      </c>
      <c r="B53" s="161" t="s">
        <v>609</v>
      </c>
      <c r="C53" s="161">
        <v>2022.0</v>
      </c>
      <c r="D53" s="162">
        <v>44817.0</v>
      </c>
      <c r="E53" s="163" t="s">
        <v>610</v>
      </c>
      <c r="F53" s="164" t="s">
        <v>611</v>
      </c>
      <c r="G53" s="163" t="s">
        <v>569</v>
      </c>
      <c r="H53" s="164" t="s">
        <v>612</v>
      </c>
      <c r="I53" s="162">
        <v>44946.0</v>
      </c>
      <c r="J53" s="163">
        <v>1.0</v>
      </c>
      <c r="K53" s="157" t="s">
        <v>242</v>
      </c>
      <c r="L53" s="164" t="s">
        <v>260</v>
      </c>
      <c r="M53" s="319">
        <f t="shared" si="1"/>
        <v>129</v>
      </c>
      <c r="N53" s="25"/>
      <c r="O53" s="322" t="s">
        <v>199</v>
      </c>
      <c r="P53" s="346">
        <f>COUNTIF($J$2:$J$680,"3")</f>
        <v>26</v>
      </c>
      <c r="Q53" s="113"/>
      <c r="R53" s="114"/>
      <c r="S53" s="343">
        <f>(P53/P63)</f>
        <v>0.2549019608</v>
      </c>
      <c r="T53" s="25"/>
      <c r="U53" s="25"/>
      <c r="V53" s="25"/>
      <c r="W53" s="25"/>
      <c r="X53" s="25"/>
      <c r="Y53" s="25"/>
      <c r="Z53" s="25"/>
    </row>
    <row r="54" ht="15.0" customHeight="1">
      <c r="A54" s="153">
        <v>1723.0</v>
      </c>
      <c r="B54" s="154" t="s">
        <v>613</v>
      </c>
      <c r="C54" s="154">
        <v>2022.0</v>
      </c>
      <c r="D54" s="155">
        <v>44858.0</v>
      </c>
      <c r="E54" s="125" t="s">
        <v>614</v>
      </c>
      <c r="F54" s="156" t="s">
        <v>615</v>
      </c>
      <c r="G54" s="125" t="s">
        <v>569</v>
      </c>
      <c r="H54" s="156" t="s">
        <v>616</v>
      </c>
      <c r="I54" s="155">
        <v>44946.0</v>
      </c>
      <c r="J54" s="125">
        <v>1.0</v>
      </c>
      <c r="K54" s="157" t="s">
        <v>242</v>
      </c>
      <c r="L54" s="156" t="s">
        <v>260</v>
      </c>
      <c r="M54" s="316">
        <f t="shared" si="1"/>
        <v>88</v>
      </c>
      <c r="N54" s="25"/>
      <c r="O54" s="321" t="s">
        <v>201</v>
      </c>
      <c r="P54" s="344">
        <f>COUNTIF($J$2:$J$680,"4")</f>
        <v>0</v>
      </c>
      <c r="Q54" s="113"/>
      <c r="R54" s="114"/>
      <c r="S54" s="345">
        <f>(P54/P63)</f>
        <v>0</v>
      </c>
      <c r="T54" s="25"/>
      <c r="U54" s="25"/>
      <c r="V54" s="25"/>
      <c r="W54" s="25"/>
      <c r="X54" s="25"/>
      <c r="Y54" s="25"/>
      <c r="Z54" s="25"/>
    </row>
    <row r="55" ht="15.0" customHeight="1">
      <c r="A55" s="160">
        <v>1823.0</v>
      </c>
      <c r="B55" s="161" t="s">
        <v>618</v>
      </c>
      <c r="C55" s="161">
        <v>2022.0</v>
      </c>
      <c r="D55" s="162">
        <v>44859.0</v>
      </c>
      <c r="E55" s="163" t="s">
        <v>619</v>
      </c>
      <c r="F55" s="164" t="s">
        <v>620</v>
      </c>
      <c r="G55" s="163" t="s">
        <v>569</v>
      </c>
      <c r="H55" s="164" t="s">
        <v>621</v>
      </c>
      <c r="I55" s="162">
        <v>44946.0</v>
      </c>
      <c r="J55" s="163">
        <v>1.0</v>
      </c>
      <c r="K55" s="157" t="s">
        <v>242</v>
      </c>
      <c r="L55" s="164" t="s">
        <v>260</v>
      </c>
      <c r="M55" s="319">
        <f t="shared" si="1"/>
        <v>87</v>
      </c>
      <c r="N55" s="25"/>
      <c r="O55" s="322" t="s">
        <v>203</v>
      </c>
      <c r="P55" s="346">
        <f>COUNTIF($J$2:$J$680,"5")</f>
        <v>0</v>
      </c>
      <c r="Q55" s="113"/>
      <c r="R55" s="114"/>
      <c r="S55" s="343">
        <f>(P55/P63)</f>
        <v>0</v>
      </c>
      <c r="T55" s="25"/>
      <c r="U55" s="25"/>
      <c r="V55" s="25"/>
      <c r="W55" s="25"/>
      <c r="X55" s="25"/>
      <c r="Y55" s="25"/>
      <c r="Z55" s="25"/>
    </row>
    <row r="56" ht="15.0" customHeight="1">
      <c r="A56" s="153">
        <v>1923.0</v>
      </c>
      <c r="B56" s="154" t="s">
        <v>622</v>
      </c>
      <c r="C56" s="154">
        <v>2020.0</v>
      </c>
      <c r="D56" s="155">
        <v>44186.0</v>
      </c>
      <c r="E56" s="125" t="s">
        <v>623</v>
      </c>
      <c r="F56" s="156" t="s">
        <v>624</v>
      </c>
      <c r="G56" s="125" t="s">
        <v>552</v>
      </c>
      <c r="H56" s="156" t="s">
        <v>625</v>
      </c>
      <c r="I56" s="155">
        <v>44952.0</v>
      </c>
      <c r="J56" s="125">
        <v>1.0</v>
      </c>
      <c r="K56" s="157" t="s">
        <v>242</v>
      </c>
      <c r="L56" s="156" t="s">
        <v>256</v>
      </c>
      <c r="M56" s="316">
        <f t="shared" si="1"/>
        <v>766</v>
      </c>
      <c r="N56" s="42"/>
      <c r="O56" s="321" t="s">
        <v>205</v>
      </c>
      <c r="P56" s="344">
        <f>COUNTIF($J$2:$J$680,"6")</f>
        <v>0</v>
      </c>
      <c r="Q56" s="113"/>
      <c r="R56" s="114"/>
      <c r="S56" s="345">
        <f>(P56/P63)</f>
        <v>0</v>
      </c>
      <c r="T56" s="25"/>
      <c r="U56" s="25"/>
      <c r="V56" s="25"/>
      <c r="W56" s="25"/>
      <c r="X56" s="25"/>
      <c r="Y56" s="25"/>
      <c r="Z56" s="25"/>
    </row>
    <row r="57" ht="15.0" customHeight="1">
      <c r="A57" s="160">
        <v>2023.0</v>
      </c>
      <c r="B57" s="161" t="s">
        <v>626</v>
      </c>
      <c r="C57" s="161">
        <v>2022.0</v>
      </c>
      <c r="D57" s="162">
        <v>44655.0</v>
      </c>
      <c r="E57" s="163" t="s">
        <v>627</v>
      </c>
      <c r="F57" s="164" t="s">
        <v>628</v>
      </c>
      <c r="G57" s="163" t="s">
        <v>565</v>
      </c>
      <c r="H57" s="164" t="s">
        <v>629</v>
      </c>
      <c r="I57" s="162">
        <v>44952.0</v>
      </c>
      <c r="J57" s="163">
        <v>1.0</v>
      </c>
      <c r="K57" s="172" t="s">
        <v>602</v>
      </c>
      <c r="L57" s="164" t="s">
        <v>260</v>
      </c>
      <c r="M57" s="319">
        <f t="shared" si="1"/>
        <v>297</v>
      </c>
      <c r="N57" s="25"/>
      <c r="O57" s="322" t="s">
        <v>207</v>
      </c>
      <c r="P57" s="346">
        <f>COUNTIF($J$2:$J$680,"7")</f>
        <v>0</v>
      </c>
      <c r="Q57" s="113"/>
      <c r="R57" s="114"/>
      <c r="S57" s="343">
        <f>(P57/P63)</f>
        <v>0</v>
      </c>
      <c r="T57" s="25"/>
      <c r="U57" s="25"/>
      <c r="V57" s="25"/>
      <c r="W57" s="25"/>
      <c r="X57" s="25"/>
      <c r="Y57" s="25"/>
      <c r="Z57" s="25"/>
    </row>
    <row r="58" ht="15.0" customHeight="1">
      <c r="A58" s="153">
        <v>2123.0</v>
      </c>
      <c r="B58" s="154" t="s">
        <v>630</v>
      </c>
      <c r="C58" s="154">
        <v>2019.0</v>
      </c>
      <c r="D58" s="155">
        <v>43500.0</v>
      </c>
      <c r="E58" s="125" t="s">
        <v>631</v>
      </c>
      <c r="F58" s="156" t="s">
        <v>632</v>
      </c>
      <c r="G58" s="125" t="s">
        <v>547</v>
      </c>
      <c r="H58" s="156" t="s">
        <v>633</v>
      </c>
      <c r="I58" s="155">
        <v>44957.0</v>
      </c>
      <c r="J58" s="125">
        <v>1.0</v>
      </c>
      <c r="K58" s="157" t="s">
        <v>242</v>
      </c>
      <c r="L58" s="156" t="s">
        <v>258</v>
      </c>
      <c r="M58" s="316">
        <f t="shared" si="1"/>
        <v>1457</v>
      </c>
      <c r="N58" s="25"/>
      <c r="O58" s="321" t="s">
        <v>209</v>
      </c>
      <c r="P58" s="344">
        <f>COUNTIF($J$2:$J$680,"8")</f>
        <v>0</v>
      </c>
      <c r="Q58" s="113"/>
      <c r="R58" s="114"/>
      <c r="S58" s="345">
        <f>(P58/P63)</f>
        <v>0</v>
      </c>
      <c r="T58" s="25"/>
      <c r="U58" s="25"/>
      <c r="V58" s="25"/>
      <c r="W58" s="25"/>
      <c r="X58" s="25"/>
      <c r="Y58" s="25"/>
      <c r="Z58" s="25"/>
    </row>
    <row r="59" ht="15.0" customHeight="1">
      <c r="A59" s="160">
        <v>2223.0</v>
      </c>
      <c r="B59" s="161" t="s">
        <v>634</v>
      </c>
      <c r="C59" s="161">
        <v>2018.0</v>
      </c>
      <c r="D59" s="162">
        <v>43448.0</v>
      </c>
      <c r="E59" s="163" t="s">
        <v>635</v>
      </c>
      <c r="F59" s="164" t="s">
        <v>632</v>
      </c>
      <c r="G59" s="163" t="s">
        <v>547</v>
      </c>
      <c r="H59" s="164" t="s">
        <v>633</v>
      </c>
      <c r="I59" s="162">
        <v>44957.0</v>
      </c>
      <c r="J59" s="163">
        <v>1.0</v>
      </c>
      <c r="K59" s="157" t="s">
        <v>242</v>
      </c>
      <c r="L59" s="164" t="s">
        <v>258</v>
      </c>
      <c r="M59" s="319">
        <f t="shared" si="1"/>
        <v>1509</v>
      </c>
      <c r="N59" s="25"/>
      <c r="O59" s="322" t="s">
        <v>211</v>
      </c>
      <c r="P59" s="346">
        <f>COUNTIF($J$2:$J$680,"9")</f>
        <v>0</v>
      </c>
      <c r="Q59" s="113"/>
      <c r="R59" s="114"/>
      <c r="S59" s="343">
        <f>(P59/P63)</f>
        <v>0</v>
      </c>
      <c r="T59" s="25"/>
      <c r="U59" s="25"/>
      <c r="V59" s="25"/>
      <c r="W59" s="25"/>
      <c r="X59" s="25"/>
      <c r="Y59" s="25"/>
      <c r="Z59" s="25"/>
    </row>
    <row r="60" ht="15.0" customHeight="1">
      <c r="A60" s="153">
        <v>2323.0</v>
      </c>
      <c r="B60" s="154" t="s">
        <v>636</v>
      </c>
      <c r="C60" s="154">
        <v>2022.0</v>
      </c>
      <c r="D60" s="155">
        <v>44833.0</v>
      </c>
      <c r="E60" s="125" t="s">
        <v>637</v>
      </c>
      <c r="F60" s="156" t="s">
        <v>638</v>
      </c>
      <c r="G60" s="125" t="s">
        <v>569</v>
      </c>
      <c r="H60" s="156" t="s">
        <v>639</v>
      </c>
      <c r="I60" s="155">
        <v>44967.0</v>
      </c>
      <c r="J60" s="125">
        <v>2.0</v>
      </c>
      <c r="K60" s="172" t="s">
        <v>602</v>
      </c>
      <c r="L60" s="156" t="s">
        <v>260</v>
      </c>
      <c r="M60" s="316">
        <f t="shared" si="1"/>
        <v>134</v>
      </c>
      <c r="N60" s="25"/>
      <c r="O60" s="321" t="s">
        <v>213</v>
      </c>
      <c r="P60" s="344">
        <f>COUNTIF($J$2:$J$680,"10")</f>
        <v>0</v>
      </c>
      <c r="Q60" s="113"/>
      <c r="R60" s="114"/>
      <c r="S60" s="345">
        <f>(P60/P63)</f>
        <v>0</v>
      </c>
      <c r="T60" s="25"/>
      <c r="U60" s="25"/>
      <c r="V60" s="25"/>
      <c r="W60" s="25"/>
      <c r="X60" s="25"/>
      <c r="Y60" s="25"/>
      <c r="Z60" s="25"/>
    </row>
    <row r="61" ht="15.0" customHeight="1">
      <c r="A61" s="160">
        <v>2423.0</v>
      </c>
      <c r="B61" s="161" t="s">
        <v>640</v>
      </c>
      <c r="C61" s="161">
        <v>2022.0</v>
      </c>
      <c r="D61" s="162">
        <v>44804.0</v>
      </c>
      <c r="E61" s="163" t="s">
        <v>641</v>
      </c>
      <c r="F61" s="164" t="s">
        <v>620</v>
      </c>
      <c r="G61" s="163" t="s">
        <v>569</v>
      </c>
      <c r="H61" s="164" t="s">
        <v>642</v>
      </c>
      <c r="I61" s="162">
        <v>44967.0</v>
      </c>
      <c r="J61" s="163">
        <v>2.0</v>
      </c>
      <c r="K61" s="157" t="s">
        <v>242</v>
      </c>
      <c r="L61" s="164" t="s">
        <v>260</v>
      </c>
      <c r="M61" s="319">
        <f t="shared" si="1"/>
        <v>163</v>
      </c>
      <c r="N61" s="25"/>
      <c r="O61" s="322" t="s">
        <v>215</v>
      </c>
      <c r="P61" s="346">
        <f>COUNTIF($J$2:$J$680,"11")</f>
        <v>0</v>
      </c>
      <c r="Q61" s="113"/>
      <c r="R61" s="114"/>
      <c r="S61" s="343">
        <f>(P61/P63)</f>
        <v>0</v>
      </c>
      <c r="T61" s="25"/>
      <c r="U61" s="25"/>
      <c r="V61" s="25"/>
      <c r="W61" s="25"/>
      <c r="X61" s="25"/>
      <c r="Y61" s="25"/>
      <c r="Z61" s="25"/>
    </row>
    <row r="62" ht="15.0" customHeight="1">
      <c r="A62" s="153">
        <v>2523.0</v>
      </c>
      <c r="B62" s="154" t="s">
        <v>643</v>
      </c>
      <c r="C62" s="154">
        <v>2022.0</v>
      </c>
      <c r="D62" s="155">
        <v>44824.0</v>
      </c>
      <c r="E62" s="125" t="s">
        <v>644</v>
      </c>
      <c r="F62" s="156" t="s">
        <v>645</v>
      </c>
      <c r="G62" s="125" t="s">
        <v>569</v>
      </c>
      <c r="H62" s="156" t="s">
        <v>646</v>
      </c>
      <c r="I62" s="155">
        <v>44967.0</v>
      </c>
      <c r="J62" s="125">
        <v>2.0</v>
      </c>
      <c r="K62" s="157" t="s">
        <v>242</v>
      </c>
      <c r="L62" s="156" t="s">
        <v>260</v>
      </c>
      <c r="M62" s="316">
        <f t="shared" si="1"/>
        <v>143</v>
      </c>
      <c r="N62" s="25"/>
      <c r="O62" s="355" t="s">
        <v>217</v>
      </c>
      <c r="P62" s="344">
        <f>COUNTIF($J$2:$J$680,"12")</f>
        <v>0</v>
      </c>
      <c r="Q62" s="113"/>
      <c r="R62" s="114"/>
      <c r="S62" s="356">
        <f>(P62/P63)</f>
        <v>0</v>
      </c>
      <c r="T62" s="25"/>
      <c r="U62" s="25"/>
      <c r="V62" s="25"/>
      <c r="W62" s="25"/>
      <c r="X62" s="25"/>
      <c r="Y62" s="25"/>
      <c r="Z62" s="25"/>
    </row>
    <row r="63" ht="15.0" customHeight="1">
      <c r="A63" s="160">
        <v>2623.0</v>
      </c>
      <c r="B63" s="161" t="s">
        <v>647</v>
      </c>
      <c r="C63" s="161">
        <v>2018.0</v>
      </c>
      <c r="D63" s="162">
        <v>43129.0</v>
      </c>
      <c r="E63" s="163" t="s">
        <v>648</v>
      </c>
      <c r="F63" s="164" t="s">
        <v>649</v>
      </c>
      <c r="G63" s="163" t="s">
        <v>650</v>
      </c>
      <c r="H63" s="164" t="s">
        <v>651</v>
      </c>
      <c r="I63" s="162">
        <v>44967.0</v>
      </c>
      <c r="J63" s="163">
        <v>2.0</v>
      </c>
      <c r="K63" s="157" t="s">
        <v>242</v>
      </c>
      <c r="L63" s="164" t="s">
        <v>256</v>
      </c>
      <c r="M63" s="319">
        <f t="shared" si="1"/>
        <v>1838</v>
      </c>
      <c r="N63" s="25"/>
      <c r="O63" s="348" t="s">
        <v>219</v>
      </c>
      <c r="P63" s="349">
        <f>SUM(P51:R62)</f>
        <v>102</v>
      </c>
      <c r="Q63" s="350"/>
      <c r="R63" s="351"/>
      <c r="S63" s="352">
        <f>SUM(S51:S62)</f>
        <v>1</v>
      </c>
      <c r="T63" s="25"/>
      <c r="U63" s="25"/>
      <c r="V63" s="25"/>
      <c r="W63" s="25"/>
      <c r="X63" s="25"/>
      <c r="Y63" s="25"/>
      <c r="Z63" s="25"/>
    </row>
    <row r="64" ht="15.0" customHeight="1">
      <c r="A64" s="153">
        <v>2723.0</v>
      </c>
      <c r="B64" s="154" t="s">
        <v>652</v>
      </c>
      <c r="C64" s="154">
        <v>2021.0</v>
      </c>
      <c r="D64" s="155">
        <v>44463.0</v>
      </c>
      <c r="E64" s="125" t="s">
        <v>653</v>
      </c>
      <c r="F64" s="156" t="s">
        <v>654</v>
      </c>
      <c r="G64" s="125" t="s">
        <v>650</v>
      </c>
      <c r="H64" s="156" t="s">
        <v>601</v>
      </c>
      <c r="I64" s="155">
        <v>44967.0</v>
      </c>
      <c r="J64" s="125">
        <v>2.0</v>
      </c>
      <c r="K64" s="172" t="s">
        <v>602</v>
      </c>
      <c r="L64" s="156" t="s">
        <v>258</v>
      </c>
      <c r="M64" s="316">
        <f t="shared" si="1"/>
        <v>504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0" customHeight="1">
      <c r="A65" s="160">
        <v>2823.0</v>
      </c>
      <c r="B65" s="161" t="s">
        <v>655</v>
      </c>
      <c r="C65" s="161">
        <v>2022.0</v>
      </c>
      <c r="D65" s="162">
        <v>44614.0</v>
      </c>
      <c r="E65" s="163" t="s">
        <v>656</v>
      </c>
      <c r="F65" s="164" t="s">
        <v>657</v>
      </c>
      <c r="G65" s="163" t="s">
        <v>650</v>
      </c>
      <c r="H65" s="164" t="s">
        <v>18</v>
      </c>
      <c r="I65" s="162">
        <v>44967.0</v>
      </c>
      <c r="J65" s="163">
        <v>2.0</v>
      </c>
      <c r="K65" s="157" t="s">
        <v>242</v>
      </c>
      <c r="L65" s="164" t="s">
        <v>260</v>
      </c>
      <c r="M65" s="319">
        <f t="shared" si="1"/>
        <v>353</v>
      </c>
      <c r="N65" s="42"/>
      <c r="O65" s="357" t="s">
        <v>222</v>
      </c>
      <c r="P65" s="102"/>
      <c r="Q65" s="102"/>
      <c r="R65" s="102"/>
      <c r="S65" s="102"/>
      <c r="T65" s="103"/>
      <c r="U65" s="25"/>
      <c r="V65" s="25"/>
      <c r="W65" s="25"/>
      <c r="X65" s="25"/>
      <c r="Y65" s="25"/>
      <c r="Z65" s="25"/>
    </row>
    <row r="66" ht="15.0" customHeight="1">
      <c r="A66" s="153">
        <v>2923.0</v>
      </c>
      <c r="B66" s="154" t="s">
        <v>658</v>
      </c>
      <c r="C66" s="154">
        <v>2014.0</v>
      </c>
      <c r="D66" s="155">
        <v>44208.0</v>
      </c>
      <c r="E66" s="125" t="s">
        <v>659</v>
      </c>
      <c r="F66" s="156" t="s">
        <v>660</v>
      </c>
      <c r="G66" s="125" t="s">
        <v>552</v>
      </c>
      <c r="H66" s="156" t="s">
        <v>50</v>
      </c>
      <c r="I66" s="155">
        <v>44967.0</v>
      </c>
      <c r="J66" s="125">
        <v>2.0</v>
      </c>
      <c r="K66" s="168" t="s">
        <v>232</v>
      </c>
      <c r="L66" s="156" t="s">
        <v>256</v>
      </c>
      <c r="M66" s="316">
        <f t="shared" si="1"/>
        <v>759</v>
      </c>
      <c r="N66" s="25"/>
      <c r="O66" s="104"/>
      <c r="P66" s="105"/>
      <c r="Q66" s="105"/>
      <c r="R66" s="105"/>
      <c r="S66" s="105"/>
      <c r="T66" s="106"/>
      <c r="U66" s="25"/>
      <c r="V66" s="25"/>
      <c r="W66" s="25"/>
      <c r="X66" s="25"/>
      <c r="Y66" s="25"/>
      <c r="Z66" s="25"/>
    </row>
    <row r="67" ht="15.0" customHeight="1">
      <c r="A67" s="160">
        <v>3023.0</v>
      </c>
      <c r="B67" s="161" t="s">
        <v>661</v>
      </c>
      <c r="C67" s="161">
        <v>2016.0</v>
      </c>
      <c r="D67" s="162">
        <v>42642.0</v>
      </c>
      <c r="E67" s="163" t="s">
        <v>662</v>
      </c>
      <c r="F67" s="164" t="s">
        <v>663</v>
      </c>
      <c r="G67" s="163" t="s">
        <v>552</v>
      </c>
      <c r="H67" s="164" t="s">
        <v>97</v>
      </c>
      <c r="I67" s="162">
        <v>44967.0</v>
      </c>
      <c r="J67" s="163">
        <v>2.0</v>
      </c>
      <c r="K67" s="157" t="s">
        <v>242</v>
      </c>
      <c r="L67" s="164" t="s">
        <v>258</v>
      </c>
      <c r="M67" s="319">
        <f t="shared" si="1"/>
        <v>2325</v>
      </c>
      <c r="N67" s="25"/>
      <c r="O67" s="358" t="s">
        <v>225</v>
      </c>
      <c r="P67" s="359"/>
      <c r="Q67" s="359"/>
      <c r="R67" s="360"/>
      <c r="S67" s="361" t="s">
        <v>226</v>
      </c>
      <c r="T67" s="362" t="s">
        <v>108</v>
      </c>
      <c r="U67" s="25"/>
      <c r="V67" s="25"/>
      <c r="W67" s="25"/>
      <c r="X67" s="25"/>
      <c r="Y67" s="25"/>
      <c r="Z67" s="25"/>
    </row>
    <row r="68" ht="15.0" customHeight="1">
      <c r="A68" s="153">
        <v>3123.0</v>
      </c>
      <c r="B68" s="154" t="s">
        <v>664</v>
      </c>
      <c r="C68" s="154">
        <v>2010.0</v>
      </c>
      <c r="D68" s="155">
        <v>40485.0</v>
      </c>
      <c r="E68" s="125" t="s">
        <v>665</v>
      </c>
      <c r="F68" s="156" t="s">
        <v>666</v>
      </c>
      <c r="G68" s="125" t="s">
        <v>552</v>
      </c>
      <c r="H68" s="156" t="s">
        <v>50</v>
      </c>
      <c r="I68" s="155">
        <v>44967.0</v>
      </c>
      <c r="J68" s="125">
        <v>2.0</v>
      </c>
      <c r="K68" s="168" t="s">
        <v>232</v>
      </c>
      <c r="L68" s="156" t="s">
        <v>258</v>
      </c>
      <c r="M68" s="316">
        <f t="shared" si="1"/>
        <v>4482</v>
      </c>
      <c r="N68" s="25"/>
      <c r="O68" s="363" t="s">
        <v>228</v>
      </c>
      <c r="P68" s="263"/>
      <c r="Q68" s="263"/>
      <c r="R68" s="364"/>
      <c r="S68" s="365">
        <f>COUNTIF($K$2:$K$680,"I - Extremamente tóxico")</f>
        <v>0</v>
      </c>
      <c r="T68" s="366">
        <f>(S68/S80)</f>
        <v>0</v>
      </c>
      <c r="U68" s="25"/>
      <c r="V68" s="25"/>
      <c r="W68" s="25"/>
      <c r="X68" s="25"/>
      <c r="Y68" s="25"/>
      <c r="Z68" s="25"/>
    </row>
    <row r="69" ht="15.0" customHeight="1">
      <c r="A69" s="160">
        <v>3223.0</v>
      </c>
      <c r="B69" s="161" t="s">
        <v>667</v>
      </c>
      <c r="C69" s="161">
        <v>2008.0</v>
      </c>
      <c r="D69" s="162">
        <v>39805.0</v>
      </c>
      <c r="E69" s="163" t="s">
        <v>668</v>
      </c>
      <c r="F69" s="164" t="s">
        <v>669</v>
      </c>
      <c r="G69" s="163" t="s">
        <v>552</v>
      </c>
      <c r="H69" s="164" t="s">
        <v>601</v>
      </c>
      <c r="I69" s="162">
        <v>44967.0</v>
      </c>
      <c r="J69" s="163">
        <v>2.0</v>
      </c>
      <c r="K69" s="157" t="s">
        <v>240</v>
      </c>
      <c r="L69" s="164" t="s">
        <v>256</v>
      </c>
      <c r="M69" s="319">
        <f t="shared" si="1"/>
        <v>5162</v>
      </c>
      <c r="N69" s="25"/>
      <c r="O69" s="367" t="s">
        <v>230</v>
      </c>
      <c r="P69" s="368"/>
      <c r="Q69" s="368"/>
      <c r="R69" s="369"/>
      <c r="S69" s="370">
        <f>COUNTIF($K$2:$K$680,"Categoria 1 - Produto Extremamente Tóxico")</f>
        <v>0</v>
      </c>
      <c r="T69" s="371">
        <f>(S69/S80)</f>
        <v>0</v>
      </c>
      <c r="U69" s="25"/>
      <c r="V69" s="25"/>
      <c r="W69" s="25"/>
      <c r="X69" s="25"/>
      <c r="Y69" s="25"/>
      <c r="Z69" s="25"/>
    </row>
    <row r="70" ht="15.0" customHeight="1">
      <c r="A70" s="153">
        <v>3323.0</v>
      </c>
      <c r="B70" s="154" t="s">
        <v>670</v>
      </c>
      <c r="C70" s="154">
        <v>2022.0</v>
      </c>
      <c r="D70" s="155">
        <v>44691.0</v>
      </c>
      <c r="E70" s="125" t="s">
        <v>671</v>
      </c>
      <c r="F70" s="156" t="s">
        <v>672</v>
      </c>
      <c r="G70" s="125" t="s">
        <v>569</v>
      </c>
      <c r="H70" s="156" t="s">
        <v>673</v>
      </c>
      <c r="I70" s="155">
        <v>44967.0</v>
      </c>
      <c r="J70" s="125">
        <v>2.0</v>
      </c>
      <c r="K70" s="157" t="s">
        <v>242</v>
      </c>
      <c r="L70" s="156" t="s">
        <v>260</v>
      </c>
      <c r="M70" s="316">
        <f t="shared" si="1"/>
        <v>276</v>
      </c>
      <c r="N70" s="25"/>
      <c r="O70" s="367" t="s">
        <v>232</v>
      </c>
      <c r="P70" s="368"/>
      <c r="Q70" s="368"/>
      <c r="R70" s="369"/>
      <c r="S70" s="370">
        <f>COUNTIF($K$2:$K$680,"Categoria 2 - Produto Altamente Tóxico")</f>
        <v>4</v>
      </c>
      <c r="T70" s="371">
        <f>(S70/S80)</f>
        <v>0.03921568627</v>
      </c>
      <c r="U70" s="25"/>
      <c r="V70" s="25"/>
      <c r="W70" s="25"/>
      <c r="X70" s="25"/>
      <c r="Y70" s="25"/>
      <c r="Z70" s="25"/>
    </row>
    <row r="71" ht="15.0" customHeight="1">
      <c r="A71" s="160">
        <v>3423.0</v>
      </c>
      <c r="B71" s="161" t="s">
        <v>674</v>
      </c>
      <c r="C71" s="161">
        <v>2021.0</v>
      </c>
      <c r="D71" s="162">
        <v>44484.0</v>
      </c>
      <c r="E71" s="163" t="s">
        <v>675</v>
      </c>
      <c r="F71" s="164" t="s">
        <v>676</v>
      </c>
      <c r="G71" s="163" t="s">
        <v>565</v>
      </c>
      <c r="H71" s="164" t="s">
        <v>677</v>
      </c>
      <c r="I71" s="162">
        <v>44967.0</v>
      </c>
      <c r="J71" s="163">
        <v>2.0</v>
      </c>
      <c r="K71" s="157" t="s">
        <v>242</v>
      </c>
      <c r="L71" s="164" t="s">
        <v>260</v>
      </c>
      <c r="M71" s="319">
        <f t="shared" si="1"/>
        <v>483</v>
      </c>
      <c r="N71" s="25"/>
      <c r="O71" s="372" t="s">
        <v>234</v>
      </c>
      <c r="P71" s="368"/>
      <c r="Q71" s="368"/>
      <c r="R71" s="369"/>
      <c r="S71" s="373">
        <f>COUNTIF($K$2:$K$680,"II - Altamente tóxico")</f>
        <v>1</v>
      </c>
      <c r="T71" s="374">
        <f>(S71/S80)</f>
        <v>0.009803921569</v>
      </c>
      <c r="U71" s="25"/>
      <c r="V71" s="25"/>
      <c r="W71" s="25"/>
      <c r="X71" s="25"/>
      <c r="Y71" s="25"/>
      <c r="Z71" s="25"/>
    </row>
    <row r="72" ht="15.0" customHeight="1">
      <c r="A72" s="153">
        <v>3523.0</v>
      </c>
      <c r="B72" s="154" t="s">
        <v>678</v>
      </c>
      <c r="C72" s="154">
        <v>2022.0</v>
      </c>
      <c r="D72" s="155">
        <v>44806.0</v>
      </c>
      <c r="E72" s="125" t="s">
        <v>679</v>
      </c>
      <c r="F72" s="156" t="s">
        <v>680</v>
      </c>
      <c r="G72" s="125" t="s">
        <v>569</v>
      </c>
      <c r="H72" s="156" t="s">
        <v>681</v>
      </c>
      <c r="I72" s="155">
        <v>44980.0</v>
      </c>
      <c r="J72" s="125">
        <v>2.0</v>
      </c>
      <c r="K72" s="172" t="s">
        <v>602</v>
      </c>
      <c r="L72" s="156" t="s">
        <v>260</v>
      </c>
      <c r="M72" s="316">
        <f t="shared" si="1"/>
        <v>174</v>
      </c>
      <c r="N72" s="25"/>
      <c r="O72" s="372" t="s">
        <v>236</v>
      </c>
      <c r="P72" s="368"/>
      <c r="Q72" s="368"/>
      <c r="R72" s="369"/>
      <c r="S72" s="373">
        <f>COUNTIF($K$2:$K$680,"Categoria 3 - Produto Moderadamente Tóxico")</f>
        <v>2</v>
      </c>
      <c r="T72" s="374">
        <f>(S72/S80)</f>
        <v>0.01960784314</v>
      </c>
      <c r="U72" s="25"/>
      <c r="V72" s="25"/>
      <c r="W72" s="25"/>
      <c r="X72" s="25"/>
      <c r="Y72" s="25"/>
      <c r="Z72" s="25"/>
    </row>
    <row r="73" ht="15.0" customHeight="1">
      <c r="A73" s="160">
        <v>3623.0</v>
      </c>
      <c r="B73" s="161" t="s">
        <v>682</v>
      </c>
      <c r="C73" s="161">
        <v>2019.0</v>
      </c>
      <c r="D73" s="162">
        <v>43644.0</v>
      </c>
      <c r="E73" s="163" t="s">
        <v>683</v>
      </c>
      <c r="F73" s="164" t="s">
        <v>684</v>
      </c>
      <c r="G73" s="163" t="s">
        <v>552</v>
      </c>
      <c r="H73" s="164" t="s">
        <v>130</v>
      </c>
      <c r="I73" s="162">
        <v>44980.0</v>
      </c>
      <c r="J73" s="163">
        <v>2.0</v>
      </c>
      <c r="K73" s="157" t="s">
        <v>242</v>
      </c>
      <c r="L73" s="164" t="s">
        <v>258</v>
      </c>
      <c r="M73" s="319">
        <f t="shared" si="1"/>
        <v>1336</v>
      </c>
      <c r="N73" s="25"/>
      <c r="O73" s="375" t="s">
        <v>238</v>
      </c>
      <c r="P73" s="368"/>
      <c r="Q73" s="368"/>
      <c r="R73" s="369"/>
      <c r="S73" s="376">
        <f>COUNTIF($K$2:$K$680,"III - Medianamente tóxico")</f>
        <v>0</v>
      </c>
      <c r="T73" s="377">
        <f>(S73/S80)</f>
        <v>0</v>
      </c>
      <c r="U73" s="25"/>
      <c r="V73" s="25"/>
      <c r="W73" s="25"/>
      <c r="X73" s="25"/>
      <c r="Y73" s="25"/>
      <c r="Z73" s="25"/>
    </row>
    <row r="74" ht="15.0" customHeight="1">
      <c r="A74" s="153">
        <v>3723.0</v>
      </c>
      <c r="B74" s="154" t="s">
        <v>685</v>
      </c>
      <c r="C74" s="154">
        <v>2018.0</v>
      </c>
      <c r="D74" s="155">
        <v>43188.0</v>
      </c>
      <c r="E74" s="125" t="s">
        <v>686</v>
      </c>
      <c r="F74" s="156" t="s">
        <v>687</v>
      </c>
      <c r="G74" s="125" t="s">
        <v>650</v>
      </c>
      <c r="H74" s="156" t="s">
        <v>158</v>
      </c>
      <c r="I74" s="155">
        <v>44980.0</v>
      </c>
      <c r="J74" s="125">
        <v>2.0</v>
      </c>
      <c r="K74" s="157" t="s">
        <v>240</v>
      </c>
      <c r="L74" s="156" t="s">
        <v>256</v>
      </c>
      <c r="M74" s="316">
        <f t="shared" si="1"/>
        <v>1792</v>
      </c>
      <c r="N74" s="25"/>
      <c r="O74" s="375" t="s">
        <v>240</v>
      </c>
      <c r="P74" s="368"/>
      <c r="Q74" s="368"/>
      <c r="R74" s="369"/>
      <c r="S74" s="376">
        <f>COUNTIF($K$2:$K$680,"Categoria 4 - Produto Pouco Tóxico")</f>
        <v>13</v>
      </c>
      <c r="T74" s="377">
        <f>(S74/S80)</f>
        <v>0.1274509804</v>
      </c>
      <c r="U74" s="25"/>
      <c r="V74" s="25"/>
      <c r="W74" s="25"/>
      <c r="X74" s="25"/>
      <c r="Y74" s="25"/>
      <c r="Z74" s="25"/>
    </row>
    <row r="75" ht="15.0" customHeight="1">
      <c r="A75" s="160">
        <v>3823.0</v>
      </c>
      <c r="B75" s="161" t="s">
        <v>688</v>
      </c>
      <c r="C75" s="161">
        <v>2013.0</v>
      </c>
      <c r="D75" s="162">
        <v>41425.0</v>
      </c>
      <c r="E75" s="163" t="s">
        <v>689</v>
      </c>
      <c r="F75" s="164" t="s">
        <v>690</v>
      </c>
      <c r="G75" s="163" t="s">
        <v>547</v>
      </c>
      <c r="H75" s="164" t="s">
        <v>691</v>
      </c>
      <c r="I75" s="162">
        <v>44980.0</v>
      </c>
      <c r="J75" s="163">
        <v>2.0</v>
      </c>
      <c r="K75" s="157" t="s">
        <v>242</v>
      </c>
      <c r="L75" s="164" t="s">
        <v>258</v>
      </c>
      <c r="M75" s="319">
        <f t="shared" si="1"/>
        <v>3555</v>
      </c>
      <c r="N75" s="25"/>
      <c r="O75" s="375" t="s">
        <v>242</v>
      </c>
      <c r="P75" s="368"/>
      <c r="Q75" s="368"/>
      <c r="R75" s="369"/>
      <c r="S75" s="376">
        <f>COUNTIF($K$2:$K$680,"Categoria 5 - Produto Improvável de Causar Dano Agudo")</f>
        <v>39</v>
      </c>
      <c r="T75" s="377">
        <f>(S75/S80)</f>
        <v>0.3823529412</v>
      </c>
      <c r="U75" s="25"/>
      <c r="V75" s="25"/>
      <c r="W75" s="25"/>
      <c r="X75" s="25"/>
      <c r="Y75" s="25"/>
      <c r="Z75" s="25"/>
    </row>
    <row r="76" ht="15.0" customHeight="1">
      <c r="A76" s="153">
        <v>3923.0</v>
      </c>
      <c r="B76" s="154" t="s">
        <v>693</v>
      </c>
      <c r="C76" s="154">
        <v>2012.0</v>
      </c>
      <c r="D76" s="155">
        <v>40940.0</v>
      </c>
      <c r="E76" s="125" t="s">
        <v>694</v>
      </c>
      <c r="F76" s="156" t="s">
        <v>690</v>
      </c>
      <c r="G76" s="125" t="s">
        <v>547</v>
      </c>
      <c r="H76" s="156" t="s">
        <v>695</v>
      </c>
      <c r="I76" s="155">
        <v>44980.0</v>
      </c>
      <c r="J76" s="125">
        <v>2.0</v>
      </c>
      <c r="K76" s="157" t="s">
        <v>242</v>
      </c>
      <c r="L76" s="156" t="s">
        <v>258</v>
      </c>
      <c r="M76" s="316">
        <f t="shared" si="1"/>
        <v>4040</v>
      </c>
      <c r="N76" s="25"/>
      <c r="O76" s="378" t="s">
        <v>244</v>
      </c>
      <c r="P76" s="368"/>
      <c r="Q76" s="368"/>
      <c r="R76" s="369"/>
      <c r="S76" s="379">
        <f>COUNTIF($K$2:$K$680,"IV - Pouco tóxico")</f>
        <v>0</v>
      </c>
      <c r="T76" s="380">
        <f>(S76/S80)</f>
        <v>0</v>
      </c>
      <c r="U76" s="25"/>
      <c r="V76" s="25"/>
      <c r="W76" s="25"/>
      <c r="X76" s="25"/>
      <c r="Y76" s="25"/>
      <c r="Z76" s="25"/>
    </row>
    <row r="77" ht="15.0" customHeight="1">
      <c r="A77" s="160">
        <v>4023.0</v>
      </c>
      <c r="B77" s="161" t="s">
        <v>696</v>
      </c>
      <c r="C77" s="161">
        <v>2020.0</v>
      </c>
      <c r="D77" s="162">
        <v>44070.0</v>
      </c>
      <c r="E77" s="163" t="s">
        <v>697</v>
      </c>
      <c r="F77" s="164" t="s">
        <v>698</v>
      </c>
      <c r="G77" s="163" t="s">
        <v>552</v>
      </c>
      <c r="H77" s="164" t="s">
        <v>56</v>
      </c>
      <c r="I77" s="162">
        <v>44980.0</v>
      </c>
      <c r="J77" s="163">
        <v>2.0</v>
      </c>
      <c r="K77" s="157" t="s">
        <v>242</v>
      </c>
      <c r="L77" s="164" t="s">
        <v>256</v>
      </c>
      <c r="M77" s="319">
        <f t="shared" si="1"/>
        <v>910</v>
      </c>
      <c r="N77" s="25"/>
      <c r="O77" s="378" t="s">
        <v>822</v>
      </c>
      <c r="P77" s="368"/>
      <c r="Q77" s="368"/>
      <c r="R77" s="369"/>
      <c r="S77" s="379">
        <f>COUNTIF($K$2:$K$680,"Não classificado - Produto não classificado")</f>
        <v>9</v>
      </c>
      <c r="T77" s="380">
        <f>(S77/S80)</f>
        <v>0.08823529412</v>
      </c>
      <c r="U77" s="25"/>
      <c r="V77" s="25"/>
      <c r="W77" s="25"/>
      <c r="X77" s="25"/>
      <c r="Y77" s="25"/>
      <c r="Z77" s="25"/>
    </row>
    <row r="78" ht="15.0" customHeight="1">
      <c r="A78" s="153">
        <v>4123.0</v>
      </c>
      <c r="B78" s="154" t="s">
        <v>699</v>
      </c>
      <c r="C78" s="154">
        <v>2016.0</v>
      </c>
      <c r="D78" s="155">
        <v>42460.0</v>
      </c>
      <c r="E78" s="125" t="s">
        <v>700</v>
      </c>
      <c r="F78" s="156" t="s">
        <v>701</v>
      </c>
      <c r="G78" s="125" t="s">
        <v>552</v>
      </c>
      <c r="H78" s="156" t="s">
        <v>56</v>
      </c>
      <c r="I78" s="155">
        <v>44980.0</v>
      </c>
      <c r="J78" s="125">
        <v>2.0</v>
      </c>
      <c r="K78" s="157" t="s">
        <v>242</v>
      </c>
      <c r="L78" s="156" t="s">
        <v>256</v>
      </c>
      <c r="M78" s="316">
        <f t="shared" si="1"/>
        <v>2520</v>
      </c>
      <c r="N78" s="25"/>
      <c r="O78" s="378" t="s">
        <v>850</v>
      </c>
      <c r="P78" s="368"/>
      <c r="Q78" s="368"/>
      <c r="R78" s="369"/>
      <c r="S78" s="379">
        <f>COUNTIF($K$2:$K$680,"Não determinada devido à natureza do produto (Inimigos naturais)")</f>
        <v>0</v>
      </c>
      <c r="T78" s="380">
        <f>(S78/S80)</f>
        <v>0</v>
      </c>
      <c r="U78" s="25"/>
      <c r="V78" s="25"/>
      <c r="W78" s="25"/>
      <c r="X78" s="25"/>
      <c r="Y78" s="25"/>
      <c r="Z78" s="25"/>
    </row>
    <row r="79" ht="15.0" customHeight="1">
      <c r="A79" s="160">
        <v>4223.0</v>
      </c>
      <c r="B79" s="161" t="s">
        <v>702</v>
      </c>
      <c r="C79" s="161">
        <v>2019.0</v>
      </c>
      <c r="D79" s="162">
        <v>43825.0</v>
      </c>
      <c r="E79" s="163" t="s">
        <v>703</v>
      </c>
      <c r="F79" s="164" t="s">
        <v>704</v>
      </c>
      <c r="G79" s="163" t="s">
        <v>552</v>
      </c>
      <c r="H79" s="164" t="s">
        <v>705</v>
      </c>
      <c r="I79" s="162">
        <v>44980.0</v>
      </c>
      <c r="J79" s="163">
        <v>2.0</v>
      </c>
      <c r="K79" s="157" t="s">
        <v>240</v>
      </c>
      <c r="L79" s="164" t="s">
        <v>256</v>
      </c>
      <c r="M79" s="319">
        <f t="shared" si="1"/>
        <v>1155</v>
      </c>
      <c r="N79" s="25"/>
      <c r="O79" s="381" t="s">
        <v>19</v>
      </c>
      <c r="P79" s="382"/>
      <c r="Q79" s="382"/>
      <c r="R79" s="383"/>
      <c r="S79" s="384">
        <f>COUNTIF($K$2:$K$680,"O perfil toxicológico foi considerado equivalente ao produto técnico de referência")</f>
        <v>34</v>
      </c>
      <c r="T79" s="385">
        <f>(S79/S80)</f>
        <v>0.3333333333</v>
      </c>
      <c r="U79" s="25"/>
      <c r="V79" s="25"/>
      <c r="W79" s="25"/>
      <c r="X79" s="25"/>
      <c r="Y79" s="25"/>
      <c r="Z79" s="25"/>
    </row>
    <row r="80" ht="15.0" customHeight="1">
      <c r="A80" s="153">
        <v>4323.0</v>
      </c>
      <c r="B80" s="154" t="s">
        <v>706</v>
      </c>
      <c r="C80" s="154">
        <v>2016.0</v>
      </c>
      <c r="D80" s="155">
        <v>42514.0</v>
      </c>
      <c r="E80" s="125" t="s">
        <v>707</v>
      </c>
      <c r="F80" s="156" t="s">
        <v>708</v>
      </c>
      <c r="G80" s="125" t="s">
        <v>552</v>
      </c>
      <c r="H80" s="156" t="s">
        <v>50</v>
      </c>
      <c r="I80" s="155">
        <v>44980.0</v>
      </c>
      <c r="J80" s="125">
        <v>2.0</v>
      </c>
      <c r="K80" s="157" t="s">
        <v>242</v>
      </c>
      <c r="L80" s="156" t="s">
        <v>258</v>
      </c>
      <c r="M80" s="316">
        <f t="shared" si="1"/>
        <v>2466</v>
      </c>
      <c r="N80" s="25"/>
      <c r="O80" s="386" t="s">
        <v>219</v>
      </c>
      <c r="P80" s="332"/>
      <c r="Q80" s="332"/>
      <c r="R80" s="387"/>
      <c r="S80" s="388">
        <f>SUM(S68:S79)</f>
        <v>102</v>
      </c>
      <c r="T80" s="389">
        <f>(S80/S80)</f>
        <v>1</v>
      </c>
      <c r="U80" s="25"/>
      <c r="V80" s="25"/>
      <c r="W80" s="25"/>
      <c r="X80" s="25"/>
      <c r="Y80" s="25"/>
      <c r="Z80" s="25"/>
    </row>
    <row r="81" ht="15.0" customHeight="1">
      <c r="A81" s="160">
        <v>4423.0</v>
      </c>
      <c r="B81" s="161" t="s">
        <v>709</v>
      </c>
      <c r="C81" s="161">
        <v>2016.0</v>
      </c>
      <c r="D81" s="162">
        <v>42508.0</v>
      </c>
      <c r="E81" s="163" t="s">
        <v>710</v>
      </c>
      <c r="F81" s="164" t="s">
        <v>711</v>
      </c>
      <c r="G81" s="163" t="s">
        <v>552</v>
      </c>
      <c r="H81" s="164" t="s">
        <v>712</v>
      </c>
      <c r="I81" s="162">
        <v>44980.0</v>
      </c>
      <c r="J81" s="163">
        <v>2.0</v>
      </c>
      <c r="K81" s="157" t="s">
        <v>242</v>
      </c>
      <c r="L81" s="164" t="s">
        <v>258</v>
      </c>
      <c r="M81" s="319">
        <f t="shared" si="1"/>
        <v>2472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0" customHeight="1">
      <c r="A82" s="153">
        <v>4523.0</v>
      </c>
      <c r="B82" s="154" t="s">
        <v>713</v>
      </c>
      <c r="C82" s="154">
        <v>2016.0</v>
      </c>
      <c r="D82" s="155">
        <v>42461.0</v>
      </c>
      <c r="E82" s="125" t="s">
        <v>714</v>
      </c>
      <c r="F82" s="156" t="s">
        <v>715</v>
      </c>
      <c r="G82" s="125" t="s">
        <v>552</v>
      </c>
      <c r="H82" s="156" t="s">
        <v>716</v>
      </c>
      <c r="I82" s="155">
        <v>44985.0</v>
      </c>
      <c r="J82" s="125">
        <v>2.0</v>
      </c>
      <c r="K82" s="157" t="s">
        <v>242</v>
      </c>
      <c r="L82" s="156" t="s">
        <v>258</v>
      </c>
      <c r="M82" s="316">
        <f t="shared" si="1"/>
        <v>2524</v>
      </c>
      <c r="N82" s="25"/>
      <c r="O82" s="357" t="s">
        <v>11</v>
      </c>
      <c r="P82" s="102"/>
      <c r="Q82" s="102"/>
      <c r="R82" s="102"/>
      <c r="S82" s="102"/>
      <c r="T82" s="103"/>
      <c r="U82" s="25"/>
      <c r="V82" s="25"/>
      <c r="W82" s="25"/>
      <c r="X82" s="25"/>
      <c r="Y82" s="25"/>
      <c r="Z82" s="25"/>
    </row>
    <row r="83" ht="15.0" customHeight="1">
      <c r="A83" s="160">
        <v>4623.0</v>
      </c>
      <c r="B83" s="161" t="s">
        <v>717</v>
      </c>
      <c r="C83" s="161">
        <v>2016.0</v>
      </c>
      <c r="D83" s="162">
        <v>42503.0</v>
      </c>
      <c r="E83" s="163" t="s">
        <v>718</v>
      </c>
      <c r="F83" s="164" t="s">
        <v>719</v>
      </c>
      <c r="G83" s="163" t="s">
        <v>552</v>
      </c>
      <c r="H83" s="164" t="s">
        <v>720</v>
      </c>
      <c r="I83" s="162">
        <v>44985.0</v>
      </c>
      <c r="J83" s="163">
        <v>2.0</v>
      </c>
      <c r="K83" s="157" t="s">
        <v>240</v>
      </c>
      <c r="L83" s="164" t="s">
        <v>256</v>
      </c>
      <c r="M83" s="319">
        <f t="shared" si="1"/>
        <v>2482</v>
      </c>
      <c r="N83" s="25"/>
      <c r="O83" s="104"/>
      <c r="P83" s="105"/>
      <c r="Q83" s="105"/>
      <c r="R83" s="105"/>
      <c r="S83" s="105"/>
      <c r="T83" s="106"/>
      <c r="U83" s="25"/>
      <c r="V83" s="25"/>
      <c r="W83" s="25"/>
      <c r="X83" s="25"/>
      <c r="Y83" s="25"/>
      <c r="Z83" s="25"/>
    </row>
    <row r="84" ht="15.0" customHeight="1">
      <c r="A84" s="153">
        <v>4723.0</v>
      </c>
      <c r="B84" s="154" t="s">
        <v>721</v>
      </c>
      <c r="C84" s="154">
        <v>2019.0</v>
      </c>
      <c r="D84" s="155">
        <v>43822.0</v>
      </c>
      <c r="E84" s="125" t="s">
        <v>722</v>
      </c>
      <c r="F84" s="156" t="s">
        <v>723</v>
      </c>
      <c r="G84" s="125" t="s">
        <v>552</v>
      </c>
      <c r="H84" s="156" t="s">
        <v>573</v>
      </c>
      <c r="I84" s="155">
        <v>44985.0</v>
      </c>
      <c r="J84" s="125">
        <v>2.0</v>
      </c>
      <c r="K84" s="157" t="s">
        <v>240</v>
      </c>
      <c r="L84" s="156" t="s">
        <v>256</v>
      </c>
      <c r="M84" s="316">
        <f t="shared" si="1"/>
        <v>1163</v>
      </c>
      <c r="N84" s="25"/>
      <c r="O84" s="358" t="s">
        <v>225</v>
      </c>
      <c r="P84" s="359"/>
      <c r="Q84" s="359"/>
      <c r="R84" s="360"/>
      <c r="S84" s="390" t="s">
        <v>226</v>
      </c>
      <c r="T84" s="391" t="s">
        <v>108</v>
      </c>
      <c r="U84" s="25"/>
      <c r="V84" s="25"/>
      <c r="W84" s="25"/>
      <c r="X84" s="25"/>
      <c r="Y84" s="25"/>
      <c r="Z84" s="25"/>
    </row>
    <row r="85" ht="15.0" customHeight="1">
      <c r="A85" s="160">
        <v>4823.0</v>
      </c>
      <c r="B85" s="161" t="s">
        <v>724</v>
      </c>
      <c r="C85" s="161">
        <v>2021.0</v>
      </c>
      <c r="D85" s="162">
        <v>44315.0</v>
      </c>
      <c r="E85" s="163" t="s">
        <v>725</v>
      </c>
      <c r="F85" s="164" t="s">
        <v>726</v>
      </c>
      <c r="G85" s="163" t="s">
        <v>552</v>
      </c>
      <c r="H85" s="164" t="s">
        <v>727</v>
      </c>
      <c r="I85" s="162">
        <v>44985.0</v>
      </c>
      <c r="J85" s="163">
        <v>2.0</v>
      </c>
      <c r="K85" s="157" t="s">
        <v>242</v>
      </c>
      <c r="L85" s="164" t="s">
        <v>256</v>
      </c>
      <c r="M85" s="319">
        <f t="shared" si="1"/>
        <v>670</v>
      </c>
      <c r="N85" s="25"/>
      <c r="O85" s="392" t="s">
        <v>254</v>
      </c>
      <c r="P85" s="266"/>
      <c r="Q85" s="266"/>
      <c r="R85" s="393"/>
      <c r="S85" s="394">
        <f>COUNTIF($L$2:$L$680,"I - Produto Altamente Perigoso ao Meio Ambiente")</f>
        <v>2</v>
      </c>
      <c r="T85" s="395">
        <f>(S85/S89)</f>
        <v>0.01960784314</v>
      </c>
      <c r="U85" s="25"/>
      <c r="V85" s="25"/>
      <c r="W85" s="25"/>
      <c r="X85" s="25"/>
      <c r="Y85" s="25"/>
      <c r="Z85" s="25"/>
    </row>
    <row r="86" ht="15.0" customHeight="1">
      <c r="A86" s="153">
        <v>4923.0</v>
      </c>
      <c r="B86" s="154" t="s">
        <v>728</v>
      </c>
      <c r="C86" s="154">
        <v>2016.0</v>
      </c>
      <c r="D86" s="155">
        <v>42557.0</v>
      </c>
      <c r="E86" s="125" t="s">
        <v>729</v>
      </c>
      <c r="F86" s="156" t="s">
        <v>719</v>
      </c>
      <c r="G86" s="125" t="s">
        <v>552</v>
      </c>
      <c r="H86" s="156" t="s">
        <v>573</v>
      </c>
      <c r="I86" s="155">
        <v>44985.0</v>
      </c>
      <c r="J86" s="125">
        <v>2.0</v>
      </c>
      <c r="K86" s="157" t="s">
        <v>240</v>
      </c>
      <c r="L86" s="156" t="s">
        <v>256</v>
      </c>
      <c r="M86" s="316">
        <f t="shared" si="1"/>
        <v>2428</v>
      </c>
      <c r="N86" s="25"/>
      <c r="O86" s="396" t="s">
        <v>256</v>
      </c>
      <c r="P86" s="113"/>
      <c r="Q86" s="113"/>
      <c r="R86" s="114"/>
      <c r="S86" s="397">
        <f>COUNTIF($L$2:$L$680,"II - Produto muito perigoso ao meio ambiente")</f>
        <v>47</v>
      </c>
      <c r="T86" s="398">
        <f>(S86/S89)</f>
        <v>0.4607843137</v>
      </c>
      <c r="U86" s="25"/>
      <c r="V86" s="25"/>
      <c r="W86" s="25"/>
      <c r="X86" s="25"/>
      <c r="Y86" s="25"/>
      <c r="Z86" s="25"/>
    </row>
    <row r="87" ht="15.0" customHeight="1">
      <c r="A87" s="160">
        <v>5023.0</v>
      </c>
      <c r="B87" s="161" t="s">
        <v>730</v>
      </c>
      <c r="C87" s="161">
        <v>2016.0</v>
      </c>
      <c r="D87" s="162">
        <v>42429.0</v>
      </c>
      <c r="E87" s="163" t="s">
        <v>731</v>
      </c>
      <c r="F87" s="164" t="s">
        <v>732</v>
      </c>
      <c r="G87" s="163" t="s">
        <v>552</v>
      </c>
      <c r="H87" s="164" t="s">
        <v>733</v>
      </c>
      <c r="I87" s="162">
        <v>44985.0</v>
      </c>
      <c r="J87" s="163">
        <v>2.0</v>
      </c>
      <c r="K87" s="157" t="s">
        <v>242</v>
      </c>
      <c r="L87" s="164" t="s">
        <v>256</v>
      </c>
      <c r="M87" s="319">
        <f t="shared" si="1"/>
        <v>2556</v>
      </c>
      <c r="N87" s="25"/>
      <c r="O87" s="399" t="s">
        <v>258</v>
      </c>
      <c r="P87" s="113"/>
      <c r="Q87" s="113"/>
      <c r="R87" s="114"/>
      <c r="S87" s="394">
        <f>COUNTIF($L$2:$L$680,"III - Produto perigoso ao meio ambiente")</f>
        <v>37</v>
      </c>
      <c r="T87" s="395">
        <f>(S87/S89)</f>
        <v>0.362745098</v>
      </c>
      <c r="U87" s="25"/>
      <c r="V87" s="25"/>
      <c r="W87" s="25"/>
      <c r="X87" s="25"/>
      <c r="Y87" s="25"/>
      <c r="Z87" s="25"/>
    </row>
    <row r="88" ht="15.0" customHeight="1">
      <c r="A88" s="153">
        <v>5123.0</v>
      </c>
      <c r="B88" s="154" t="s">
        <v>734</v>
      </c>
      <c r="C88" s="154">
        <v>2014.0</v>
      </c>
      <c r="D88" s="155">
        <v>42003.0</v>
      </c>
      <c r="E88" s="125" t="s">
        <v>735</v>
      </c>
      <c r="F88" s="156" t="s">
        <v>736</v>
      </c>
      <c r="G88" s="125" t="s">
        <v>552</v>
      </c>
      <c r="H88" s="156" t="s">
        <v>153</v>
      </c>
      <c r="I88" s="155">
        <v>44985.0</v>
      </c>
      <c r="J88" s="125">
        <v>2.0</v>
      </c>
      <c r="K88" s="157" t="s">
        <v>242</v>
      </c>
      <c r="L88" s="156" t="s">
        <v>258</v>
      </c>
      <c r="M88" s="316">
        <f t="shared" si="1"/>
        <v>2982</v>
      </c>
      <c r="N88" s="25"/>
      <c r="O88" s="396" t="s">
        <v>260</v>
      </c>
      <c r="P88" s="113"/>
      <c r="Q88" s="113"/>
      <c r="R88" s="114"/>
      <c r="S88" s="397">
        <f>COUNTIF($L$2:$L$680,"IV - Produto pouco perigoso ao meio ambiente")</f>
        <v>16</v>
      </c>
      <c r="T88" s="398">
        <f>(S88/S89)</f>
        <v>0.1568627451</v>
      </c>
      <c r="U88" s="25"/>
      <c r="V88" s="25"/>
      <c r="W88" s="25"/>
      <c r="X88" s="25"/>
      <c r="Y88" s="25"/>
      <c r="Z88" s="25"/>
    </row>
    <row r="89" ht="15.0" customHeight="1">
      <c r="A89" s="160">
        <v>5223.0</v>
      </c>
      <c r="B89" s="161" t="s">
        <v>737</v>
      </c>
      <c r="C89" s="161">
        <v>2012.0</v>
      </c>
      <c r="D89" s="162">
        <v>40998.0</v>
      </c>
      <c r="E89" s="163" t="s">
        <v>738</v>
      </c>
      <c r="F89" s="164" t="s">
        <v>739</v>
      </c>
      <c r="G89" s="163" t="s">
        <v>650</v>
      </c>
      <c r="H89" s="164" t="s">
        <v>740</v>
      </c>
      <c r="I89" s="162">
        <v>44987.0</v>
      </c>
      <c r="J89" s="163">
        <v>3.0</v>
      </c>
      <c r="K89" s="157" t="s">
        <v>242</v>
      </c>
      <c r="L89" s="164" t="s">
        <v>258</v>
      </c>
      <c r="M89" s="319">
        <f t="shared" si="1"/>
        <v>3989</v>
      </c>
      <c r="N89" s="25"/>
      <c r="O89" s="400" t="s">
        <v>219</v>
      </c>
      <c r="P89" s="401"/>
      <c r="Q89" s="401"/>
      <c r="R89" s="402"/>
      <c r="S89" s="388">
        <f>SUM(S85:S88)</f>
        <v>102</v>
      </c>
      <c r="T89" s="389">
        <f>(S89/S89)</f>
        <v>1</v>
      </c>
      <c r="U89" s="25"/>
      <c r="V89" s="25"/>
      <c r="W89" s="25"/>
      <c r="X89" s="25"/>
      <c r="Y89" s="25"/>
      <c r="Z89" s="25"/>
    </row>
    <row r="90" ht="15.0" customHeight="1">
      <c r="A90" s="153">
        <v>5323.0</v>
      </c>
      <c r="B90" s="154" t="s">
        <v>741</v>
      </c>
      <c r="C90" s="154">
        <v>2011.0</v>
      </c>
      <c r="D90" s="155">
        <v>40805.0</v>
      </c>
      <c r="E90" s="125" t="s">
        <v>742</v>
      </c>
      <c r="F90" s="156" t="s">
        <v>690</v>
      </c>
      <c r="G90" s="125" t="s">
        <v>650</v>
      </c>
      <c r="H90" s="156" t="s">
        <v>691</v>
      </c>
      <c r="I90" s="155">
        <v>44992.0</v>
      </c>
      <c r="J90" s="125">
        <v>3.0</v>
      </c>
      <c r="K90" s="157" t="s">
        <v>242</v>
      </c>
      <c r="L90" s="156" t="s">
        <v>258</v>
      </c>
      <c r="M90" s="316">
        <f t="shared" si="1"/>
        <v>4187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160">
        <v>5423.0</v>
      </c>
      <c r="B91" s="161" t="s">
        <v>743</v>
      </c>
      <c r="C91" s="161">
        <v>2022.0</v>
      </c>
      <c r="D91" s="162">
        <v>44692.0</v>
      </c>
      <c r="E91" s="163" t="s">
        <v>744</v>
      </c>
      <c r="F91" s="164" t="s">
        <v>745</v>
      </c>
      <c r="G91" s="163" t="s">
        <v>565</v>
      </c>
      <c r="H91" s="164" t="s">
        <v>746</v>
      </c>
      <c r="I91" s="162">
        <v>44994.0</v>
      </c>
      <c r="J91" s="163">
        <v>3.0</v>
      </c>
      <c r="K91" s="172" t="s">
        <v>602</v>
      </c>
      <c r="L91" s="164" t="s">
        <v>260</v>
      </c>
      <c r="M91" s="319">
        <f t="shared" si="1"/>
        <v>302</v>
      </c>
      <c r="N91" s="25"/>
      <c r="O91" s="403" t="s">
        <v>264</v>
      </c>
      <c r="P91" s="404"/>
      <c r="Q91" s="404"/>
      <c r="R91" s="405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153">
        <v>5523.0</v>
      </c>
      <c r="B92" s="154" t="s">
        <v>747</v>
      </c>
      <c r="C92" s="154">
        <v>2020.0</v>
      </c>
      <c r="D92" s="155">
        <v>43864.0</v>
      </c>
      <c r="E92" s="125" t="s">
        <v>748</v>
      </c>
      <c r="F92" s="156" t="s">
        <v>749</v>
      </c>
      <c r="G92" s="125" t="s">
        <v>552</v>
      </c>
      <c r="H92" s="156" t="s">
        <v>750</v>
      </c>
      <c r="I92" s="155">
        <v>45000.0</v>
      </c>
      <c r="J92" s="125">
        <v>3.0</v>
      </c>
      <c r="K92" s="157" t="s">
        <v>242</v>
      </c>
      <c r="L92" s="156" t="s">
        <v>258</v>
      </c>
      <c r="M92" s="316">
        <f t="shared" si="1"/>
        <v>1136</v>
      </c>
      <c r="N92" s="25"/>
      <c r="O92" s="406"/>
      <c r="P92" s="105"/>
      <c r="Q92" s="105"/>
      <c r="R92" s="407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160">
        <v>5623.0</v>
      </c>
      <c r="B93" s="161" t="s">
        <v>751</v>
      </c>
      <c r="C93" s="161">
        <v>2015.0</v>
      </c>
      <c r="D93" s="162">
        <v>42124.0</v>
      </c>
      <c r="E93" s="163" t="s">
        <v>752</v>
      </c>
      <c r="F93" s="164" t="s">
        <v>753</v>
      </c>
      <c r="G93" s="163" t="s">
        <v>552</v>
      </c>
      <c r="H93" s="164" t="s">
        <v>130</v>
      </c>
      <c r="I93" s="162">
        <v>45000.0</v>
      </c>
      <c r="J93" s="163">
        <v>3.0</v>
      </c>
      <c r="K93" s="157" t="s">
        <v>242</v>
      </c>
      <c r="L93" s="164" t="s">
        <v>258</v>
      </c>
      <c r="M93" s="319">
        <f t="shared" si="1"/>
        <v>2876</v>
      </c>
      <c r="N93" s="25"/>
      <c r="O93" s="408" t="s">
        <v>267</v>
      </c>
      <c r="P93" s="409" t="s">
        <v>268</v>
      </c>
      <c r="Q93" s="410"/>
      <c r="R93" s="411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153">
        <v>5723.0</v>
      </c>
      <c r="B94" s="154" t="s">
        <v>754</v>
      </c>
      <c r="C94" s="154">
        <v>2011.0</v>
      </c>
      <c r="D94" s="155">
        <v>40770.0</v>
      </c>
      <c r="E94" s="125" t="s">
        <v>755</v>
      </c>
      <c r="F94" s="156" t="s">
        <v>756</v>
      </c>
      <c r="G94" s="125" t="s">
        <v>552</v>
      </c>
      <c r="H94" s="156" t="s">
        <v>163</v>
      </c>
      <c r="I94" s="155">
        <v>45000.0</v>
      </c>
      <c r="J94" s="125">
        <v>3.0</v>
      </c>
      <c r="K94" s="166" t="s">
        <v>236</v>
      </c>
      <c r="L94" s="156" t="s">
        <v>256</v>
      </c>
      <c r="M94" s="316">
        <f t="shared" si="1"/>
        <v>4230</v>
      </c>
      <c r="N94" s="25"/>
      <c r="O94" s="412" t="s">
        <v>270</v>
      </c>
      <c r="P94" s="413" t="str">
        <f>AVERAGEIF(G2:G564,"PT",M2:M564)</f>
        <v>#DIV/0!</v>
      </c>
      <c r="Q94" s="368"/>
      <c r="R94" s="369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160">
        <v>5823.0</v>
      </c>
      <c r="B95" s="161" t="s">
        <v>757</v>
      </c>
      <c r="C95" s="161">
        <v>2016.0</v>
      </c>
      <c r="D95" s="162">
        <v>42443.0</v>
      </c>
      <c r="E95" s="163" t="s">
        <v>758</v>
      </c>
      <c r="F95" s="164" t="s">
        <v>759</v>
      </c>
      <c r="G95" s="163" t="s">
        <v>552</v>
      </c>
      <c r="H95" s="164" t="s">
        <v>596</v>
      </c>
      <c r="I95" s="162">
        <v>45005.0</v>
      </c>
      <c r="J95" s="163">
        <v>3.0</v>
      </c>
      <c r="K95" s="157" t="s">
        <v>242</v>
      </c>
      <c r="L95" s="164" t="s">
        <v>258</v>
      </c>
      <c r="M95" s="319">
        <f t="shared" si="1"/>
        <v>2562</v>
      </c>
      <c r="N95" s="25"/>
      <c r="O95" s="414" t="s">
        <v>34</v>
      </c>
      <c r="P95" s="415">
        <f>AVERAGEIF(G2:G564,"PTN",M2:M564)</f>
        <v>2997.5</v>
      </c>
      <c r="Q95" s="368"/>
      <c r="R95" s="369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153">
        <v>5923.0</v>
      </c>
      <c r="B96" s="154" t="s">
        <v>760</v>
      </c>
      <c r="C96" s="154">
        <v>2021.0</v>
      </c>
      <c r="D96" s="155">
        <v>44357.0</v>
      </c>
      <c r="E96" s="125" t="s">
        <v>761</v>
      </c>
      <c r="F96" s="156" t="s">
        <v>762</v>
      </c>
      <c r="G96" s="125" t="s">
        <v>552</v>
      </c>
      <c r="H96" s="156" t="s">
        <v>149</v>
      </c>
      <c r="I96" s="155">
        <v>45005.0</v>
      </c>
      <c r="J96" s="125">
        <v>3.0</v>
      </c>
      <c r="K96" s="157" t="s">
        <v>242</v>
      </c>
      <c r="L96" s="156" t="s">
        <v>258</v>
      </c>
      <c r="M96" s="316">
        <f t="shared" si="1"/>
        <v>648</v>
      </c>
      <c r="N96" s="25"/>
      <c r="O96" s="412" t="s">
        <v>17</v>
      </c>
      <c r="P96" s="413">
        <f>AVERAGEIF(G2:G564,"PTE",M2:M564)</f>
        <v>1759.5</v>
      </c>
      <c r="Q96" s="368"/>
      <c r="R96" s="369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160">
        <v>6023.0</v>
      </c>
      <c r="B97" s="161" t="s">
        <v>763</v>
      </c>
      <c r="C97" s="161">
        <v>2016.0</v>
      </c>
      <c r="D97" s="162">
        <v>42521.0</v>
      </c>
      <c r="E97" s="163" t="s">
        <v>764</v>
      </c>
      <c r="F97" s="164" t="s">
        <v>765</v>
      </c>
      <c r="G97" s="163" t="s">
        <v>552</v>
      </c>
      <c r="H97" s="164" t="s">
        <v>596</v>
      </c>
      <c r="I97" s="162">
        <v>45005.0</v>
      </c>
      <c r="J97" s="163">
        <v>3.0</v>
      </c>
      <c r="K97" s="157" t="s">
        <v>242</v>
      </c>
      <c r="L97" s="164" t="s">
        <v>256</v>
      </c>
      <c r="M97" s="319">
        <f t="shared" si="1"/>
        <v>2484</v>
      </c>
      <c r="N97" s="25"/>
      <c r="O97" s="414" t="s">
        <v>46</v>
      </c>
      <c r="P97" s="415" t="str">
        <f>AVERAGEIF(G2:G564,"Pré-Mistura",M2:M564)</f>
        <v>#DIV/0!</v>
      </c>
      <c r="Q97" s="368"/>
      <c r="R97" s="369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153">
        <v>6123.0</v>
      </c>
      <c r="B98" s="154" t="s">
        <v>766</v>
      </c>
      <c r="C98" s="154">
        <v>2022.0</v>
      </c>
      <c r="D98" s="155">
        <v>44651.0</v>
      </c>
      <c r="E98" s="125" t="s">
        <v>767</v>
      </c>
      <c r="F98" s="156" t="s">
        <v>768</v>
      </c>
      <c r="G98" s="125" t="s">
        <v>650</v>
      </c>
      <c r="H98" s="156" t="s">
        <v>601</v>
      </c>
      <c r="I98" s="155">
        <v>45014.0</v>
      </c>
      <c r="J98" s="125">
        <v>3.0</v>
      </c>
      <c r="K98" s="157" t="s">
        <v>240</v>
      </c>
      <c r="L98" s="156" t="s">
        <v>256</v>
      </c>
      <c r="M98" s="316">
        <f t="shared" si="1"/>
        <v>363</v>
      </c>
      <c r="N98" s="25"/>
      <c r="O98" s="412" t="s">
        <v>650</v>
      </c>
      <c r="P98" s="413">
        <f>AVERAGEIF(G2:G564,"PF",M2:M564)</f>
        <v>1853.125</v>
      </c>
      <c r="Q98" s="368"/>
      <c r="R98" s="369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160">
        <v>6223.0</v>
      </c>
      <c r="B99" s="161" t="s">
        <v>769</v>
      </c>
      <c r="C99" s="161">
        <v>2020.0</v>
      </c>
      <c r="D99" s="162">
        <v>44189.0</v>
      </c>
      <c r="E99" s="163" t="s">
        <v>770</v>
      </c>
      <c r="F99" s="164" t="s">
        <v>771</v>
      </c>
      <c r="G99" s="163" t="s">
        <v>552</v>
      </c>
      <c r="H99" s="164" t="s">
        <v>130</v>
      </c>
      <c r="I99" s="162">
        <v>45014.0</v>
      </c>
      <c r="J99" s="163">
        <v>3.0</v>
      </c>
      <c r="K99" s="172" t="s">
        <v>602</v>
      </c>
      <c r="L99" s="164" t="s">
        <v>258</v>
      </c>
      <c r="M99" s="319">
        <f t="shared" si="1"/>
        <v>825</v>
      </c>
      <c r="N99" s="25"/>
      <c r="O99" s="414" t="s">
        <v>547</v>
      </c>
      <c r="P99" s="415">
        <f>AVERAGEIF(G2:G564,"PFN",M2:M564)</f>
        <v>2388.8</v>
      </c>
      <c r="Q99" s="368"/>
      <c r="R99" s="369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153">
        <v>6323.0</v>
      </c>
      <c r="B100" s="154" t="s">
        <v>772</v>
      </c>
      <c r="C100" s="154">
        <v>2015.0</v>
      </c>
      <c r="D100" s="155">
        <v>42305.0</v>
      </c>
      <c r="E100" s="125" t="s">
        <v>773</v>
      </c>
      <c r="F100" s="156" t="s">
        <v>774</v>
      </c>
      <c r="G100" s="125" t="s">
        <v>552</v>
      </c>
      <c r="H100" s="156" t="s">
        <v>775</v>
      </c>
      <c r="I100" s="155">
        <v>45014.0</v>
      </c>
      <c r="J100" s="125">
        <v>3.0</v>
      </c>
      <c r="K100" s="157" t="s">
        <v>242</v>
      </c>
      <c r="L100" s="156" t="s">
        <v>256</v>
      </c>
      <c r="M100" s="316">
        <f t="shared" si="1"/>
        <v>2709</v>
      </c>
      <c r="N100" s="25"/>
      <c r="O100" s="412" t="s">
        <v>552</v>
      </c>
      <c r="P100" s="413">
        <f>AVERAGEIF(G2:G564,"PF/PTE",M2:M564)</f>
        <v>2258.789474</v>
      </c>
      <c r="Q100" s="368"/>
      <c r="R100" s="369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160">
        <v>6423.0</v>
      </c>
      <c r="B101" s="161" t="s">
        <v>776</v>
      </c>
      <c r="C101" s="161">
        <v>2012.0</v>
      </c>
      <c r="D101" s="162">
        <v>41058.0</v>
      </c>
      <c r="E101" s="163" t="s">
        <v>777</v>
      </c>
      <c r="F101" s="164" t="s">
        <v>778</v>
      </c>
      <c r="G101" s="163" t="s">
        <v>552</v>
      </c>
      <c r="H101" s="164" t="s">
        <v>18</v>
      </c>
      <c r="I101" s="162">
        <v>45014.0</v>
      </c>
      <c r="J101" s="163">
        <v>3.0</v>
      </c>
      <c r="K101" s="157" t="s">
        <v>240</v>
      </c>
      <c r="L101" s="164" t="s">
        <v>256</v>
      </c>
      <c r="M101" s="319">
        <f t="shared" si="1"/>
        <v>3956</v>
      </c>
      <c r="N101" s="25"/>
      <c r="O101" s="414" t="s">
        <v>565</v>
      </c>
      <c r="P101" s="415">
        <f>AVERAGEIF(G2:G546,"Bio",M2:M564)</f>
        <v>349.3333333</v>
      </c>
      <c r="Q101" s="368"/>
      <c r="R101" s="369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153">
        <v>6523.0</v>
      </c>
      <c r="B102" s="154" t="s">
        <v>779</v>
      </c>
      <c r="C102" s="154">
        <v>2018.0</v>
      </c>
      <c r="D102" s="155">
        <v>43215.0</v>
      </c>
      <c r="E102" s="125" t="s">
        <v>780</v>
      </c>
      <c r="F102" s="156" t="s">
        <v>781</v>
      </c>
      <c r="G102" s="125" t="s">
        <v>650</v>
      </c>
      <c r="H102" s="156" t="s">
        <v>782</v>
      </c>
      <c r="I102" s="155">
        <v>45014.0</v>
      </c>
      <c r="J102" s="125">
        <v>3.0</v>
      </c>
      <c r="K102" s="157" t="s">
        <v>240</v>
      </c>
      <c r="L102" s="156" t="s">
        <v>258</v>
      </c>
      <c r="M102" s="316">
        <f t="shared" si="1"/>
        <v>1799</v>
      </c>
      <c r="N102" s="25"/>
      <c r="O102" s="412" t="s">
        <v>569</v>
      </c>
      <c r="P102" s="413">
        <f>AVERAGEIF(G2:G564,"Bio/Org",M2:M564)</f>
        <v>143.8888889</v>
      </c>
      <c r="Q102" s="368"/>
      <c r="R102" s="369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160">
        <v>6623.0</v>
      </c>
      <c r="B103" s="161" t="s">
        <v>783</v>
      </c>
      <c r="C103" s="161">
        <v>2016.0</v>
      </c>
      <c r="D103" s="162">
        <v>42480.0</v>
      </c>
      <c r="E103" s="163" t="s">
        <v>784</v>
      </c>
      <c r="F103" s="164" t="s">
        <v>785</v>
      </c>
      <c r="G103" s="163" t="s">
        <v>552</v>
      </c>
      <c r="H103" s="164" t="s">
        <v>130</v>
      </c>
      <c r="I103" s="162">
        <v>45014.0</v>
      </c>
      <c r="J103" s="163">
        <v>3.0</v>
      </c>
      <c r="K103" s="157" t="s">
        <v>240</v>
      </c>
      <c r="L103" s="164" t="s">
        <v>256</v>
      </c>
      <c r="M103" s="319">
        <f t="shared" si="1"/>
        <v>2534</v>
      </c>
      <c r="N103" s="25"/>
      <c r="O103" s="416" t="s">
        <v>275</v>
      </c>
      <c r="P103" s="417">
        <f>AVERAGE(M2:M103)</f>
        <v>1782.470588</v>
      </c>
      <c r="Q103" s="418"/>
      <c r="R103" s="318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19"/>
      <c r="B104" s="420"/>
      <c r="C104" s="420"/>
      <c r="D104" s="421"/>
      <c r="E104" s="394"/>
      <c r="F104" s="422"/>
      <c r="G104" s="422"/>
      <c r="H104" s="394"/>
      <c r="I104" s="423"/>
      <c r="J104" s="422"/>
      <c r="K104" s="424"/>
      <c r="L104" s="316"/>
      <c r="M104" s="316">
        <f t="shared" si="1"/>
        <v>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25"/>
      <c r="B105" s="426"/>
      <c r="C105" s="426"/>
      <c r="D105" s="427"/>
      <c r="E105" s="428"/>
      <c r="F105" s="428"/>
      <c r="G105" s="397"/>
      <c r="H105" s="397"/>
      <c r="I105" s="429"/>
      <c r="J105" s="428"/>
      <c r="K105" s="430"/>
      <c r="L105" s="319"/>
      <c r="M105" s="319">
        <f t="shared" si="1"/>
        <v>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19"/>
      <c r="B106" s="420"/>
      <c r="C106" s="420"/>
      <c r="D106" s="421"/>
      <c r="E106" s="394"/>
      <c r="F106" s="422"/>
      <c r="G106" s="422"/>
      <c r="H106" s="394"/>
      <c r="I106" s="423"/>
      <c r="J106" s="422"/>
      <c r="K106" s="424"/>
      <c r="L106" s="316"/>
      <c r="M106" s="316">
        <f t="shared" si="1"/>
        <v>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25"/>
      <c r="B107" s="426"/>
      <c r="C107" s="426"/>
      <c r="D107" s="427"/>
      <c r="E107" s="428"/>
      <c r="F107" s="428"/>
      <c r="G107" s="397"/>
      <c r="H107" s="397"/>
      <c r="I107" s="429"/>
      <c r="J107" s="428"/>
      <c r="K107" s="430"/>
      <c r="L107" s="319"/>
      <c r="M107" s="319">
        <f t="shared" si="1"/>
        <v>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19"/>
      <c r="B108" s="420"/>
      <c r="C108" s="420"/>
      <c r="D108" s="421"/>
      <c r="E108" s="394"/>
      <c r="F108" s="422"/>
      <c r="G108" s="422"/>
      <c r="H108" s="394"/>
      <c r="I108" s="423"/>
      <c r="J108" s="422"/>
      <c r="K108" s="424"/>
      <c r="L108" s="316"/>
      <c r="M108" s="316">
        <f t="shared" si="1"/>
        <v>0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25"/>
      <c r="B109" s="426"/>
      <c r="C109" s="426"/>
      <c r="D109" s="431"/>
      <c r="E109" s="428"/>
      <c r="F109" s="428"/>
      <c r="G109" s="397"/>
      <c r="H109" s="397"/>
      <c r="I109" s="429"/>
      <c r="J109" s="428"/>
      <c r="K109" s="430"/>
      <c r="L109" s="319"/>
      <c r="M109" s="319">
        <f t="shared" si="1"/>
        <v>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19"/>
      <c r="B110" s="420"/>
      <c r="C110" s="420"/>
      <c r="D110" s="432"/>
      <c r="E110" s="394"/>
      <c r="F110" s="422"/>
      <c r="G110" s="422"/>
      <c r="H110" s="394"/>
      <c r="I110" s="423"/>
      <c r="J110" s="422"/>
      <c r="K110" s="424"/>
      <c r="L110" s="316"/>
      <c r="M110" s="316">
        <f t="shared" si="1"/>
        <v>0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25"/>
      <c r="B111" s="426"/>
      <c r="C111" s="426"/>
      <c r="D111" s="431"/>
      <c r="E111" s="428"/>
      <c r="F111" s="428"/>
      <c r="G111" s="397"/>
      <c r="H111" s="397"/>
      <c r="I111" s="429"/>
      <c r="J111" s="428"/>
      <c r="K111" s="430"/>
      <c r="L111" s="319"/>
      <c r="M111" s="319">
        <f t="shared" si="1"/>
        <v>0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19"/>
      <c r="B112" s="420"/>
      <c r="C112" s="420"/>
      <c r="D112" s="432"/>
      <c r="E112" s="394"/>
      <c r="F112" s="422"/>
      <c r="G112" s="422"/>
      <c r="H112" s="394"/>
      <c r="I112" s="423"/>
      <c r="J112" s="422"/>
      <c r="K112" s="424"/>
      <c r="L112" s="316"/>
      <c r="M112" s="316">
        <f t="shared" si="1"/>
        <v>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25"/>
      <c r="B113" s="426"/>
      <c r="C113" s="426"/>
      <c r="D113" s="427"/>
      <c r="E113" s="428"/>
      <c r="F113" s="428"/>
      <c r="G113" s="397"/>
      <c r="H113" s="397"/>
      <c r="I113" s="429"/>
      <c r="J113" s="428"/>
      <c r="K113" s="430"/>
      <c r="L113" s="319"/>
      <c r="M113" s="319">
        <f t="shared" si="1"/>
        <v>0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19"/>
      <c r="B114" s="420"/>
      <c r="C114" s="420"/>
      <c r="D114" s="421"/>
      <c r="E114" s="394"/>
      <c r="F114" s="422"/>
      <c r="G114" s="422"/>
      <c r="H114" s="394"/>
      <c r="I114" s="423"/>
      <c r="J114" s="422"/>
      <c r="K114" s="424"/>
      <c r="L114" s="316"/>
      <c r="M114" s="316">
        <f t="shared" si="1"/>
        <v>0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25"/>
      <c r="B115" s="426"/>
      <c r="C115" s="426"/>
      <c r="D115" s="427"/>
      <c r="E115" s="428"/>
      <c r="F115" s="428"/>
      <c r="G115" s="397"/>
      <c r="H115" s="397"/>
      <c r="I115" s="429"/>
      <c r="J115" s="428"/>
      <c r="K115" s="430"/>
      <c r="L115" s="319"/>
      <c r="M115" s="319">
        <f t="shared" si="1"/>
        <v>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19"/>
      <c r="B116" s="420"/>
      <c r="C116" s="420"/>
      <c r="D116" s="421"/>
      <c r="E116" s="394"/>
      <c r="F116" s="422"/>
      <c r="G116" s="422"/>
      <c r="H116" s="394"/>
      <c r="I116" s="423"/>
      <c r="J116" s="422"/>
      <c r="K116" s="424"/>
      <c r="L116" s="316"/>
      <c r="M116" s="316">
        <f t="shared" si="1"/>
        <v>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25"/>
      <c r="B117" s="426"/>
      <c r="C117" s="426"/>
      <c r="D117" s="427"/>
      <c r="E117" s="428"/>
      <c r="F117" s="428"/>
      <c r="G117" s="397"/>
      <c r="H117" s="397"/>
      <c r="I117" s="429"/>
      <c r="J117" s="428"/>
      <c r="K117" s="430"/>
      <c r="L117" s="319"/>
      <c r="M117" s="319">
        <f t="shared" si="1"/>
        <v>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19"/>
      <c r="B118" s="420"/>
      <c r="C118" s="420"/>
      <c r="D118" s="421"/>
      <c r="E118" s="394"/>
      <c r="F118" s="422"/>
      <c r="G118" s="422"/>
      <c r="H118" s="394"/>
      <c r="I118" s="423"/>
      <c r="J118" s="422"/>
      <c r="K118" s="424"/>
      <c r="L118" s="316"/>
      <c r="M118" s="316">
        <f t="shared" si="1"/>
        <v>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25"/>
      <c r="B119" s="426"/>
      <c r="C119" s="426"/>
      <c r="D119" s="431"/>
      <c r="E119" s="428"/>
      <c r="F119" s="428"/>
      <c r="G119" s="397"/>
      <c r="H119" s="397"/>
      <c r="I119" s="429"/>
      <c r="J119" s="428"/>
      <c r="K119" s="430"/>
      <c r="L119" s="319"/>
      <c r="M119" s="319">
        <f t="shared" si="1"/>
        <v>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19"/>
      <c r="B120" s="420"/>
      <c r="C120" s="420"/>
      <c r="D120" s="421"/>
      <c r="E120" s="394"/>
      <c r="F120" s="422"/>
      <c r="G120" s="422"/>
      <c r="H120" s="394"/>
      <c r="I120" s="423"/>
      <c r="J120" s="422"/>
      <c r="K120" s="424"/>
      <c r="L120" s="316"/>
      <c r="M120" s="316">
        <f t="shared" si="1"/>
        <v>0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25"/>
      <c r="B121" s="426"/>
      <c r="C121" s="426"/>
      <c r="D121" s="427"/>
      <c r="E121" s="428"/>
      <c r="F121" s="428"/>
      <c r="G121" s="397"/>
      <c r="H121" s="397"/>
      <c r="I121" s="429"/>
      <c r="J121" s="428"/>
      <c r="K121" s="430"/>
      <c r="L121" s="319"/>
      <c r="M121" s="319">
        <f t="shared" si="1"/>
        <v>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19"/>
      <c r="B122" s="420"/>
      <c r="C122" s="420"/>
      <c r="D122" s="421"/>
      <c r="E122" s="394"/>
      <c r="F122" s="422"/>
      <c r="G122" s="422"/>
      <c r="H122" s="394"/>
      <c r="I122" s="423"/>
      <c r="J122" s="422"/>
      <c r="K122" s="424"/>
      <c r="L122" s="316"/>
      <c r="M122" s="316">
        <f t="shared" si="1"/>
        <v>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25"/>
      <c r="B123" s="426"/>
      <c r="C123" s="426"/>
      <c r="D123" s="427"/>
      <c r="E123" s="428"/>
      <c r="F123" s="428"/>
      <c r="G123" s="397"/>
      <c r="H123" s="397"/>
      <c r="I123" s="429"/>
      <c r="J123" s="428"/>
      <c r="K123" s="430"/>
      <c r="L123" s="319"/>
      <c r="M123" s="319">
        <f t="shared" si="1"/>
        <v>0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19"/>
      <c r="B124" s="420"/>
      <c r="C124" s="420"/>
      <c r="D124" s="421"/>
      <c r="E124" s="394"/>
      <c r="F124" s="422"/>
      <c r="G124" s="422"/>
      <c r="H124" s="394"/>
      <c r="I124" s="423"/>
      <c r="J124" s="422"/>
      <c r="K124" s="424"/>
      <c r="L124" s="316"/>
      <c r="M124" s="316">
        <f t="shared" si="1"/>
        <v>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25"/>
      <c r="B125" s="426"/>
      <c r="C125" s="426"/>
      <c r="D125" s="427"/>
      <c r="E125" s="428"/>
      <c r="F125" s="428"/>
      <c r="G125" s="397"/>
      <c r="H125" s="397"/>
      <c r="I125" s="429"/>
      <c r="J125" s="428"/>
      <c r="K125" s="430"/>
      <c r="L125" s="319"/>
      <c r="M125" s="319">
        <f t="shared" si="1"/>
        <v>0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19"/>
      <c r="B126" s="420"/>
      <c r="C126" s="420"/>
      <c r="D126" s="421"/>
      <c r="E126" s="394"/>
      <c r="F126" s="422"/>
      <c r="G126" s="422"/>
      <c r="H126" s="394"/>
      <c r="I126" s="423"/>
      <c r="J126" s="422"/>
      <c r="K126" s="424"/>
      <c r="L126" s="316"/>
      <c r="M126" s="316">
        <f t="shared" si="1"/>
        <v>0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25"/>
      <c r="B127" s="426"/>
      <c r="C127" s="426"/>
      <c r="D127" s="427"/>
      <c r="E127" s="428"/>
      <c r="F127" s="428"/>
      <c r="G127" s="397"/>
      <c r="H127" s="397"/>
      <c r="I127" s="429"/>
      <c r="J127" s="428"/>
      <c r="K127" s="430"/>
      <c r="L127" s="319"/>
      <c r="M127" s="319">
        <f t="shared" si="1"/>
        <v>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19"/>
      <c r="B128" s="420"/>
      <c r="C128" s="420"/>
      <c r="D128" s="432"/>
      <c r="E128" s="394"/>
      <c r="F128" s="422"/>
      <c r="G128" s="422"/>
      <c r="H128" s="394"/>
      <c r="I128" s="423"/>
      <c r="J128" s="422"/>
      <c r="K128" s="424"/>
      <c r="L128" s="316"/>
      <c r="M128" s="316">
        <f t="shared" si="1"/>
        <v>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25"/>
      <c r="B129" s="426"/>
      <c r="C129" s="426"/>
      <c r="D129" s="427"/>
      <c r="E129" s="428"/>
      <c r="F129" s="428"/>
      <c r="G129" s="397"/>
      <c r="H129" s="397"/>
      <c r="I129" s="429"/>
      <c r="J129" s="428"/>
      <c r="K129" s="430"/>
      <c r="L129" s="319"/>
      <c r="M129" s="319">
        <f t="shared" si="1"/>
        <v>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19"/>
      <c r="B130" s="420"/>
      <c r="C130" s="420"/>
      <c r="D130" s="432"/>
      <c r="E130" s="394"/>
      <c r="F130" s="422"/>
      <c r="G130" s="422"/>
      <c r="H130" s="394"/>
      <c r="I130" s="423"/>
      <c r="J130" s="422"/>
      <c r="K130" s="424"/>
      <c r="L130" s="316"/>
      <c r="M130" s="316">
        <f t="shared" si="1"/>
        <v>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25"/>
      <c r="B131" s="426"/>
      <c r="C131" s="426"/>
      <c r="D131" s="427"/>
      <c r="E131" s="428"/>
      <c r="F131" s="428"/>
      <c r="G131" s="397"/>
      <c r="H131" s="397"/>
      <c r="I131" s="429"/>
      <c r="J131" s="428"/>
      <c r="K131" s="430"/>
      <c r="L131" s="319"/>
      <c r="M131" s="319">
        <f t="shared" si="1"/>
        <v>0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19"/>
      <c r="B132" s="420"/>
      <c r="C132" s="420"/>
      <c r="D132" s="432"/>
      <c r="E132" s="394"/>
      <c r="F132" s="422"/>
      <c r="G132" s="422"/>
      <c r="H132" s="394"/>
      <c r="I132" s="423"/>
      <c r="J132" s="422"/>
      <c r="K132" s="424"/>
      <c r="L132" s="316"/>
      <c r="M132" s="316">
        <f t="shared" si="1"/>
        <v>0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25"/>
      <c r="B133" s="426"/>
      <c r="C133" s="426"/>
      <c r="D133" s="431"/>
      <c r="E133" s="428"/>
      <c r="F133" s="428"/>
      <c r="G133" s="397"/>
      <c r="H133" s="397"/>
      <c r="I133" s="429"/>
      <c r="J133" s="428"/>
      <c r="K133" s="430"/>
      <c r="L133" s="319"/>
      <c r="M133" s="319">
        <f t="shared" si="1"/>
        <v>0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19"/>
      <c r="B134" s="420"/>
      <c r="C134" s="420"/>
      <c r="D134" s="421"/>
      <c r="E134" s="394"/>
      <c r="F134" s="422"/>
      <c r="G134" s="422"/>
      <c r="H134" s="394"/>
      <c r="I134" s="423"/>
      <c r="J134" s="422"/>
      <c r="K134" s="433"/>
      <c r="L134" s="316"/>
      <c r="M134" s="316">
        <f t="shared" si="1"/>
        <v>0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25"/>
      <c r="B135" s="426"/>
      <c r="C135" s="426"/>
      <c r="D135" s="427"/>
      <c r="E135" s="428"/>
      <c r="F135" s="428"/>
      <c r="G135" s="397"/>
      <c r="H135" s="397"/>
      <c r="I135" s="429"/>
      <c r="J135" s="428"/>
      <c r="K135" s="430"/>
      <c r="L135" s="319"/>
      <c r="M135" s="319">
        <f t="shared" si="1"/>
        <v>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19"/>
      <c r="B136" s="420"/>
      <c r="C136" s="420"/>
      <c r="D136" s="421"/>
      <c r="E136" s="394"/>
      <c r="F136" s="422"/>
      <c r="G136" s="422"/>
      <c r="H136" s="394"/>
      <c r="I136" s="423"/>
      <c r="J136" s="422"/>
      <c r="K136" s="424"/>
      <c r="L136" s="316"/>
      <c r="M136" s="316">
        <f t="shared" si="1"/>
        <v>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25"/>
      <c r="B137" s="426"/>
      <c r="C137" s="426"/>
      <c r="D137" s="427"/>
      <c r="E137" s="428"/>
      <c r="F137" s="428"/>
      <c r="G137" s="397"/>
      <c r="H137" s="397"/>
      <c r="I137" s="429"/>
      <c r="J137" s="428"/>
      <c r="K137" s="430"/>
      <c r="L137" s="319"/>
      <c r="M137" s="319">
        <f t="shared" si="1"/>
        <v>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19"/>
      <c r="B138" s="420"/>
      <c r="C138" s="420"/>
      <c r="D138" s="421"/>
      <c r="E138" s="394"/>
      <c r="F138" s="422"/>
      <c r="G138" s="422"/>
      <c r="H138" s="394"/>
      <c r="I138" s="423"/>
      <c r="J138" s="422"/>
      <c r="K138" s="424"/>
      <c r="L138" s="316"/>
      <c r="M138" s="316">
        <f t="shared" si="1"/>
        <v>0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25"/>
      <c r="B139" s="426"/>
      <c r="C139" s="426"/>
      <c r="D139" s="427"/>
      <c r="E139" s="428"/>
      <c r="F139" s="428"/>
      <c r="G139" s="397"/>
      <c r="H139" s="397"/>
      <c r="I139" s="429"/>
      <c r="J139" s="428"/>
      <c r="K139" s="430"/>
      <c r="L139" s="319"/>
      <c r="M139" s="319">
        <f t="shared" si="1"/>
        <v>0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19"/>
      <c r="B140" s="420"/>
      <c r="C140" s="420"/>
      <c r="D140" s="421"/>
      <c r="E140" s="394"/>
      <c r="F140" s="422"/>
      <c r="G140" s="422"/>
      <c r="H140" s="394"/>
      <c r="I140" s="423"/>
      <c r="J140" s="422"/>
      <c r="K140" s="424"/>
      <c r="L140" s="316"/>
      <c r="M140" s="316">
        <f t="shared" si="1"/>
        <v>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25"/>
      <c r="B141" s="426"/>
      <c r="C141" s="426"/>
      <c r="D141" s="431"/>
      <c r="E141" s="434"/>
      <c r="F141" s="428"/>
      <c r="G141" s="397"/>
      <c r="H141" s="397"/>
      <c r="I141" s="435"/>
      <c r="J141" s="428"/>
      <c r="K141" s="430"/>
      <c r="L141" s="319"/>
      <c r="M141" s="319">
        <f t="shared" si="1"/>
        <v>0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19"/>
      <c r="B142" s="420"/>
      <c r="C142" s="420"/>
      <c r="D142" s="432"/>
      <c r="E142" s="436"/>
      <c r="F142" s="422"/>
      <c r="G142" s="422"/>
      <c r="H142" s="394"/>
      <c r="I142" s="437"/>
      <c r="J142" s="422"/>
      <c r="K142" s="438"/>
      <c r="L142" s="316"/>
      <c r="M142" s="316">
        <f t="shared" si="1"/>
        <v>0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25"/>
      <c r="B143" s="426"/>
      <c r="C143" s="426"/>
      <c r="D143" s="431"/>
      <c r="E143" s="428"/>
      <c r="F143" s="428"/>
      <c r="G143" s="397"/>
      <c r="H143" s="397"/>
      <c r="I143" s="435"/>
      <c r="J143" s="428"/>
      <c r="K143" s="430"/>
      <c r="L143" s="319"/>
      <c r="M143" s="319">
        <f t="shared" si="1"/>
        <v>0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19"/>
      <c r="B144" s="420"/>
      <c r="C144" s="420"/>
      <c r="D144" s="432"/>
      <c r="E144" s="394"/>
      <c r="F144" s="422"/>
      <c r="G144" s="422"/>
      <c r="H144" s="394"/>
      <c r="I144" s="437"/>
      <c r="J144" s="422"/>
      <c r="K144" s="424"/>
      <c r="L144" s="316"/>
      <c r="M144" s="316">
        <f t="shared" si="1"/>
        <v>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25"/>
      <c r="B145" s="426"/>
      <c r="C145" s="426"/>
      <c r="D145" s="431"/>
      <c r="E145" s="428"/>
      <c r="F145" s="428"/>
      <c r="G145" s="397"/>
      <c r="H145" s="397"/>
      <c r="I145" s="435"/>
      <c r="J145" s="428"/>
      <c r="K145" s="430"/>
      <c r="L145" s="319"/>
      <c r="M145" s="319">
        <f t="shared" si="1"/>
        <v>0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19"/>
      <c r="B146" s="420"/>
      <c r="C146" s="420"/>
      <c r="D146" s="421"/>
      <c r="E146" s="394"/>
      <c r="F146" s="422"/>
      <c r="G146" s="422"/>
      <c r="H146" s="394"/>
      <c r="I146" s="437"/>
      <c r="J146" s="422"/>
      <c r="K146" s="424"/>
      <c r="L146" s="316"/>
      <c r="M146" s="316">
        <f t="shared" si="1"/>
        <v>0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25"/>
      <c r="B147" s="426"/>
      <c r="C147" s="426"/>
      <c r="D147" s="431"/>
      <c r="E147" s="428"/>
      <c r="F147" s="428"/>
      <c r="G147" s="397"/>
      <c r="H147" s="397"/>
      <c r="I147" s="435"/>
      <c r="J147" s="428"/>
      <c r="K147" s="430"/>
      <c r="L147" s="319"/>
      <c r="M147" s="319">
        <f t="shared" si="1"/>
        <v>0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19"/>
      <c r="B148" s="420"/>
      <c r="C148" s="420"/>
      <c r="D148" s="432"/>
      <c r="E148" s="394"/>
      <c r="F148" s="422"/>
      <c r="G148" s="422"/>
      <c r="H148" s="394"/>
      <c r="I148" s="437"/>
      <c r="J148" s="422"/>
      <c r="K148" s="424"/>
      <c r="L148" s="316"/>
      <c r="M148" s="316">
        <f t="shared" si="1"/>
        <v>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25"/>
      <c r="B149" s="426"/>
      <c r="C149" s="426"/>
      <c r="D149" s="431"/>
      <c r="E149" s="428"/>
      <c r="F149" s="428"/>
      <c r="G149" s="397"/>
      <c r="H149" s="397"/>
      <c r="I149" s="435"/>
      <c r="J149" s="428"/>
      <c r="K149" s="430"/>
      <c r="L149" s="319"/>
      <c r="M149" s="319">
        <f t="shared" si="1"/>
        <v>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19"/>
      <c r="B150" s="420"/>
      <c r="C150" s="420"/>
      <c r="D150" s="432"/>
      <c r="E150" s="394"/>
      <c r="F150" s="422"/>
      <c r="G150" s="422"/>
      <c r="H150" s="394"/>
      <c r="I150" s="437"/>
      <c r="J150" s="422"/>
      <c r="K150" s="424"/>
      <c r="L150" s="316"/>
      <c r="M150" s="316">
        <f t="shared" si="1"/>
        <v>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25"/>
      <c r="B151" s="426"/>
      <c r="C151" s="426"/>
      <c r="D151" s="431"/>
      <c r="E151" s="428"/>
      <c r="F151" s="428"/>
      <c r="G151" s="397"/>
      <c r="H151" s="397"/>
      <c r="I151" s="435"/>
      <c r="J151" s="428"/>
      <c r="K151" s="430"/>
      <c r="L151" s="319"/>
      <c r="M151" s="319">
        <f t="shared" si="1"/>
        <v>0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19"/>
      <c r="B152" s="420"/>
      <c r="C152" s="420"/>
      <c r="D152" s="432"/>
      <c r="E152" s="394"/>
      <c r="F152" s="422"/>
      <c r="G152" s="422"/>
      <c r="H152" s="394"/>
      <c r="I152" s="423"/>
      <c r="J152" s="422"/>
      <c r="K152" s="424"/>
      <c r="L152" s="316"/>
      <c r="M152" s="316">
        <f t="shared" si="1"/>
        <v>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25"/>
      <c r="B153" s="426"/>
      <c r="C153" s="426"/>
      <c r="D153" s="431"/>
      <c r="E153" s="428"/>
      <c r="F153" s="428"/>
      <c r="G153" s="397"/>
      <c r="H153" s="397"/>
      <c r="I153" s="429"/>
      <c r="J153" s="428"/>
      <c r="K153" s="430"/>
      <c r="L153" s="319"/>
      <c r="M153" s="319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19"/>
      <c r="B154" s="420"/>
      <c r="C154" s="420"/>
      <c r="D154" s="432"/>
      <c r="E154" s="394"/>
      <c r="F154" s="422"/>
      <c r="G154" s="422"/>
      <c r="H154" s="394"/>
      <c r="I154" s="437"/>
      <c r="J154" s="422"/>
      <c r="K154" s="424"/>
      <c r="L154" s="316"/>
      <c r="M154" s="316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25"/>
      <c r="B155" s="426"/>
      <c r="C155" s="426"/>
      <c r="D155" s="431"/>
      <c r="E155" s="428"/>
      <c r="F155" s="428"/>
      <c r="G155" s="397"/>
      <c r="H155" s="397"/>
      <c r="I155" s="435"/>
      <c r="J155" s="428"/>
      <c r="K155" s="430"/>
      <c r="L155" s="319"/>
      <c r="M155" s="319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19"/>
      <c r="B156" s="420"/>
      <c r="C156" s="420"/>
      <c r="D156" s="432"/>
      <c r="E156" s="394"/>
      <c r="F156" s="422"/>
      <c r="G156" s="422"/>
      <c r="H156" s="394"/>
      <c r="I156" s="437"/>
      <c r="J156" s="422"/>
      <c r="K156" s="424"/>
      <c r="L156" s="316"/>
      <c r="M156" s="316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25"/>
      <c r="B157" s="426"/>
      <c r="C157" s="426"/>
      <c r="D157" s="431"/>
      <c r="E157" s="428"/>
      <c r="F157" s="428"/>
      <c r="G157" s="397"/>
      <c r="H157" s="397"/>
      <c r="I157" s="435"/>
      <c r="J157" s="428"/>
      <c r="K157" s="430"/>
      <c r="L157" s="319"/>
      <c r="M157" s="319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19"/>
      <c r="B158" s="420"/>
      <c r="C158" s="420"/>
      <c r="D158" s="432"/>
      <c r="E158" s="394"/>
      <c r="F158" s="422"/>
      <c r="G158" s="422"/>
      <c r="H158" s="394"/>
      <c r="I158" s="437"/>
      <c r="J158" s="422"/>
      <c r="K158" s="424"/>
      <c r="L158" s="316"/>
      <c r="M158" s="316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25"/>
      <c r="B159" s="426"/>
      <c r="C159" s="426"/>
      <c r="D159" s="431"/>
      <c r="E159" s="428"/>
      <c r="F159" s="428"/>
      <c r="G159" s="397"/>
      <c r="H159" s="397"/>
      <c r="I159" s="435"/>
      <c r="J159" s="428"/>
      <c r="K159" s="430"/>
      <c r="L159" s="319"/>
      <c r="M159" s="319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19"/>
      <c r="B160" s="420"/>
      <c r="C160" s="420"/>
      <c r="D160" s="432"/>
      <c r="E160" s="394"/>
      <c r="F160" s="422"/>
      <c r="G160" s="422"/>
      <c r="H160" s="394"/>
      <c r="I160" s="437"/>
      <c r="J160" s="422"/>
      <c r="K160" s="424"/>
      <c r="L160" s="316"/>
      <c r="M160" s="316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25"/>
      <c r="B161" s="426"/>
      <c r="C161" s="426"/>
      <c r="D161" s="431"/>
      <c r="E161" s="428"/>
      <c r="F161" s="428"/>
      <c r="G161" s="397"/>
      <c r="H161" s="397"/>
      <c r="I161" s="435"/>
      <c r="J161" s="428"/>
      <c r="K161" s="430"/>
      <c r="L161" s="319"/>
      <c r="M161" s="319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19"/>
      <c r="B162" s="420"/>
      <c r="C162" s="420"/>
      <c r="D162" s="432"/>
      <c r="E162" s="394"/>
      <c r="F162" s="422"/>
      <c r="G162" s="422"/>
      <c r="H162" s="394"/>
      <c r="I162" s="437"/>
      <c r="J162" s="422"/>
      <c r="K162" s="424"/>
      <c r="L162" s="316"/>
      <c r="M162" s="316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25"/>
      <c r="B163" s="426"/>
      <c r="C163" s="426"/>
      <c r="D163" s="431"/>
      <c r="E163" s="428"/>
      <c r="F163" s="428"/>
      <c r="G163" s="397"/>
      <c r="H163" s="397"/>
      <c r="I163" s="435"/>
      <c r="J163" s="428"/>
      <c r="K163" s="430"/>
      <c r="L163" s="319"/>
      <c r="M163" s="319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19"/>
      <c r="B164" s="420"/>
      <c r="C164" s="420"/>
      <c r="D164" s="432"/>
      <c r="E164" s="394"/>
      <c r="F164" s="422"/>
      <c r="G164" s="422"/>
      <c r="H164" s="394"/>
      <c r="I164" s="437"/>
      <c r="J164" s="422"/>
      <c r="K164" s="424"/>
      <c r="L164" s="316"/>
      <c r="M164" s="316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25"/>
      <c r="B165" s="426"/>
      <c r="C165" s="426"/>
      <c r="D165" s="431"/>
      <c r="E165" s="428"/>
      <c r="F165" s="428"/>
      <c r="G165" s="397"/>
      <c r="H165" s="397"/>
      <c r="I165" s="435"/>
      <c r="J165" s="428"/>
      <c r="K165" s="430"/>
      <c r="L165" s="319"/>
      <c r="M165" s="319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19"/>
      <c r="B166" s="420"/>
      <c r="C166" s="420"/>
      <c r="D166" s="432"/>
      <c r="E166" s="394"/>
      <c r="F166" s="422"/>
      <c r="G166" s="422"/>
      <c r="H166" s="394"/>
      <c r="I166" s="437"/>
      <c r="J166" s="422"/>
      <c r="K166" s="424"/>
      <c r="L166" s="316"/>
      <c r="M166" s="316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25"/>
      <c r="B167" s="426"/>
      <c r="C167" s="426"/>
      <c r="D167" s="431"/>
      <c r="E167" s="428"/>
      <c r="F167" s="428"/>
      <c r="G167" s="397"/>
      <c r="H167" s="397"/>
      <c r="I167" s="435"/>
      <c r="J167" s="428"/>
      <c r="K167" s="430"/>
      <c r="L167" s="319"/>
      <c r="M167" s="319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19"/>
      <c r="B168" s="420"/>
      <c r="C168" s="420"/>
      <c r="D168" s="432"/>
      <c r="E168" s="394"/>
      <c r="F168" s="422"/>
      <c r="G168" s="422"/>
      <c r="H168" s="394"/>
      <c r="I168" s="437"/>
      <c r="J168" s="422"/>
      <c r="K168" s="424"/>
      <c r="L168" s="316"/>
      <c r="M168" s="316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25"/>
      <c r="B169" s="426"/>
      <c r="C169" s="426"/>
      <c r="D169" s="431"/>
      <c r="E169" s="428"/>
      <c r="F169" s="428"/>
      <c r="G169" s="397"/>
      <c r="H169" s="397"/>
      <c r="I169" s="435"/>
      <c r="J169" s="428"/>
      <c r="K169" s="430"/>
      <c r="L169" s="319"/>
      <c r="M169" s="319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19"/>
      <c r="B170" s="420"/>
      <c r="C170" s="420"/>
      <c r="D170" s="432"/>
      <c r="E170" s="394"/>
      <c r="F170" s="422"/>
      <c r="G170" s="422"/>
      <c r="H170" s="394"/>
      <c r="I170" s="437"/>
      <c r="J170" s="422"/>
      <c r="K170" s="424"/>
      <c r="L170" s="316"/>
      <c r="M170" s="316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25"/>
      <c r="B171" s="426"/>
      <c r="C171" s="426"/>
      <c r="D171" s="431"/>
      <c r="E171" s="428"/>
      <c r="F171" s="428"/>
      <c r="G171" s="397"/>
      <c r="H171" s="397"/>
      <c r="I171" s="435"/>
      <c r="J171" s="428"/>
      <c r="K171" s="430"/>
      <c r="L171" s="319"/>
      <c r="M171" s="319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19"/>
      <c r="B172" s="420"/>
      <c r="C172" s="420"/>
      <c r="D172" s="432"/>
      <c r="E172" s="394"/>
      <c r="F172" s="422"/>
      <c r="G172" s="422"/>
      <c r="H172" s="394"/>
      <c r="I172" s="437"/>
      <c r="J172" s="422"/>
      <c r="K172" s="424"/>
      <c r="L172" s="316"/>
      <c r="M172" s="316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customHeight="1">
      <c r="A173" s="425"/>
      <c r="B173" s="426"/>
      <c r="C173" s="426"/>
      <c r="D173" s="431"/>
      <c r="E173" s="428"/>
      <c r="F173" s="428"/>
      <c r="G173" s="397"/>
      <c r="H173" s="397"/>
      <c r="I173" s="435"/>
      <c r="J173" s="428"/>
      <c r="K173" s="430"/>
      <c r="L173" s="319"/>
      <c r="M173" s="319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19"/>
      <c r="B174" s="420"/>
      <c r="C174" s="420"/>
      <c r="D174" s="432"/>
      <c r="E174" s="394"/>
      <c r="F174" s="422"/>
      <c r="G174" s="422"/>
      <c r="H174" s="394"/>
      <c r="I174" s="437"/>
      <c r="J174" s="422"/>
      <c r="K174" s="424"/>
      <c r="L174" s="316"/>
      <c r="M174" s="316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25"/>
      <c r="B175" s="426"/>
      <c r="C175" s="426"/>
      <c r="D175" s="431"/>
      <c r="E175" s="428"/>
      <c r="F175" s="428"/>
      <c r="G175" s="397"/>
      <c r="H175" s="397"/>
      <c r="I175" s="435"/>
      <c r="J175" s="428"/>
      <c r="K175" s="430"/>
      <c r="L175" s="319"/>
      <c r="M175" s="319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19"/>
      <c r="B176" s="420"/>
      <c r="C176" s="420"/>
      <c r="D176" s="432"/>
      <c r="E176" s="394"/>
      <c r="F176" s="422"/>
      <c r="G176" s="422"/>
      <c r="H176" s="394"/>
      <c r="I176" s="437"/>
      <c r="J176" s="422"/>
      <c r="K176" s="424"/>
      <c r="L176" s="316"/>
      <c r="M176" s="316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25"/>
      <c r="B177" s="426"/>
      <c r="C177" s="426"/>
      <c r="D177" s="431"/>
      <c r="E177" s="428"/>
      <c r="F177" s="428"/>
      <c r="G177" s="397"/>
      <c r="H177" s="397"/>
      <c r="I177" s="435"/>
      <c r="J177" s="428"/>
      <c r="K177" s="430"/>
      <c r="L177" s="319"/>
      <c r="M177" s="319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19"/>
      <c r="B178" s="420"/>
      <c r="C178" s="420"/>
      <c r="D178" s="432"/>
      <c r="E178" s="394"/>
      <c r="F178" s="422"/>
      <c r="G178" s="422"/>
      <c r="H178" s="394"/>
      <c r="I178" s="437"/>
      <c r="J178" s="422"/>
      <c r="K178" s="424"/>
      <c r="L178" s="316"/>
      <c r="M178" s="316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25"/>
      <c r="B179" s="426"/>
      <c r="C179" s="426"/>
      <c r="D179" s="431"/>
      <c r="E179" s="428"/>
      <c r="F179" s="428"/>
      <c r="G179" s="397"/>
      <c r="H179" s="397"/>
      <c r="I179" s="435"/>
      <c r="J179" s="428"/>
      <c r="K179" s="430"/>
      <c r="L179" s="319"/>
      <c r="M179" s="319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419"/>
      <c r="B180" s="420"/>
      <c r="C180" s="420"/>
      <c r="D180" s="432"/>
      <c r="E180" s="394"/>
      <c r="F180" s="422"/>
      <c r="G180" s="422"/>
      <c r="H180" s="394"/>
      <c r="I180" s="437"/>
      <c r="J180" s="422"/>
      <c r="K180" s="424"/>
      <c r="L180" s="316"/>
      <c r="M180" s="316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25"/>
      <c r="B181" s="426"/>
      <c r="C181" s="426"/>
      <c r="D181" s="427"/>
      <c r="E181" s="428"/>
      <c r="F181" s="428"/>
      <c r="G181" s="397"/>
      <c r="H181" s="397"/>
      <c r="I181" s="435"/>
      <c r="J181" s="428"/>
      <c r="K181" s="430"/>
      <c r="L181" s="319"/>
      <c r="M181" s="319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19"/>
      <c r="B182" s="420"/>
      <c r="C182" s="420"/>
      <c r="D182" s="432"/>
      <c r="E182" s="394"/>
      <c r="F182" s="422"/>
      <c r="G182" s="422"/>
      <c r="H182" s="394"/>
      <c r="I182" s="423"/>
      <c r="J182" s="422"/>
      <c r="K182" s="424"/>
      <c r="L182" s="316"/>
      <c r="M182" s="316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25"/>
      <c r="B183" s="426"/>
      <c r="C183" s="426"/>
      <c r="D183" s="427"/>
      <c r="E183" s="428"/>
      <c r="F183" s="428"/>
      <c r="G183" s="397"/>
      <c r="H183" s="397"/>
      <c r="I183" s="429"/>
      <c r="J183" s="428"/>
      <c r="K183" s="430"/>
      <c r="L183" s="319"/>
      <c r="M183" s="319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19"/>
      <c r="B184" s="420"/>
      <c r="C184" s="420"/>
      <c r="D184" s="432"/>
      <c r="E184" s="394"/>
      <c r="F184" s="422"/>
      <c r="G184" s="422"/>
      <c r="H184" s="394"/>
      <c r="I184" s="423"/>
      <c r="J184" s="422"/>
      <c r="K184" s="424"/>
      <c r="L184" s="316"/>
      <c r="M184" s="316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25"/>
      <c r="B185" s="426"/>
      <c r="C185" s="426"/>
      <c r="D185" s="427"/>
      <c r="E185" s="428"/>
      <c r="F185" s="428"/>
      <c r="G185" s="397"/>
      <c r="H185" s="397"/>
      <c r="I185" s="429"/>
      <c r="J185" s="428"/>
      <c r="K185" s="430"/>
      <c r="L185" s="319"/>
      <c r="M185" s="319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19"/>
      <c r="B186" s="420"/>
      <c r="C186" s="420"/>
      <c r="D186" s="421"/>
      <c r="E186" s="394"/>
      <c r="F186" s="422"/>
      <c r="G186" s="422"/>
      <c r="H186" s="394"/>
      <c r="I186" s="423"/>
      <c r="J186" s="422"/>
      <c r="K186" s="424"/>
      <c r="L186" s="316"/>
      <c r="M186" s="316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425"/>
      <c r="B187" s="426"/>
      <c r="C187" s="426"/>
      <c r="D187" s="427"/>
      <c r="E187" s="428"/>
      <c r="F187" s="428"/>
      <c r="G187" s="397"/>
      <c r="H187" s="397"/>
      <c r="I187" s="429"/>
      <c r="J187" s="428"/>
      <c r="K187" s="430"/>
      <c r="L187" s="319"/>
      <c r="M187" s="319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19"/>
      <c r="B188" s="420"/>
      <c r="C188" s="420"/>
      <c r="D188" s="432"/>
      <c r="E188" s="394"/>
      <c r="F188" s="422"/>
      <c r="G188" s="422"/>
      <c r="H188" s="394"/>
      <c r="I188" s="423"/>
      <c r="J188" s="422"/>
      <c r="K188" s="424"/>
      <c r="L188" s="316"/>
      <c r="M188" s="316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25"/>
      <c r="B189" s="426"/>
      <c r="C189" s="426"/>
      <c r="D189" s="427"/>
      <c r="E189" s="428"/>
      <c r="F189" s="428"/>
      <c r="G189" s="397"/>
      <c r="H189" s="439"/>
      <c r="I189" s="429"/>
      <c r="J189" s="428"/>
      <c r="K189" s="438"/>
      <c r="L189" s="319"/>
      <c r="M189" s="319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19"/>
      <c r="B190" s="420"/>
      <c r="C190" s="420"/>
      <c r="D190" s="421"/>
      <c r="E190" s="394"/>
      <c r="F190" s="422"/>
      <c r="G190" s="422"/>
      <c r="H190" s="394"/>
      <c r="I190" s="423"/>
      <c r="J190" s="422"/>
      <c r="K190" s="424"/>
      <c r="L190" s="316"/>
      <c r="M190" s="316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25"/>
      <c r="B191" s="426"/>
      <c r="C191" s="426"/>
      <c r="D191" s="427"/>
      <c r="E191" s="428"/>
      <c r="F191" s="428"/>
      <c r="G191" s="397"/>
      <c r="H191" s="397"/>
      <c r="I191" s="429"/>
      <c r="J191" s="428"/>
      <c r="K191" s="430"/>
      <c r="L191" s="319"/>
      <c r="M191" s="319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19"/>
      <c r="B192" s="420"/>
      <c r="C192" s="420"/>
      <c r="D192" s="421"/>
      <c r="E192" s="394"/>
      <c r="F192" s="422"/>
      <c r="G192" s="422"/>
      <c r="H192" s="394"/>
      <c r="I192" s="423"/>
      <c r="J192" s="422"/>
      <c r="K192" s="424"/>
      <c r="L192" s="316"/>
      <c r="M192" s="316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425"/>
      <c r="B193" s="426"/>
      <c r="C193" s="426"/>
      <c r="D193" s="431"/>
      <c r="E193" s="428"/>
      <c r="F193" s="428"/>
      <c r="G193" s="397"/>
      <c r="H193" s="397"/>
      <c r="I193" s="429"/>
      <c r="J193" s="428"/>
      <c r="K193" s="430"/>
      <c r="L193" s="319"/>
      <c r="M193" s="319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19"/>
      <c r="B194" s="420"/>
      <c r="C194" s="420"/>
      <c r="D194" s="432"/>
      <c r="E194" s="394"/>
      <c r="F194" s="422"/>
      <c r="G194" s="422"/>
      <c r="H194" s="394"/>
      <c r="I194" s="423"/>
      <c r="J194" s="422"/>
      <c r="K194" s="424"/>
      <c r="L194" s="316"/>
      <c r="M194" s="316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25"/>
      <c r="B195" s="426"/>
      <c r="C195" s="426"/>
      <c r="D195" s="431"/>
      <c r="E195" s="428"/>
      <c r="F195" s="428"/>
      <c r="G195" s="397"/>
      <c r="H195" s="397"/>
      <c r="I195" s="429"/>
      <c r="J195" s="428"/>
      <c r="K195" s="430"/>
      <c r="L195" s="319"/>
      <c r="M195" s="319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19"/>
      <c r="B196" s="420"/>
      <c r="C196" s="420"/>
      <c r="D196" s="421"/>
      <c r="E196" s="394"/>
      <c r="F196" s="422"/>
      <c r="G196" s="422"/>
      <c r="H196" s="394"/>
      <c r="I196" s="423"/>
      <c r="J196" s="422"/>
      <c r="K196" s="424"/>
      <c r="L196" s="316"/>
      <c r="M196" s="316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25"/>
      <c r="B197" s="426"/>
      <c r="C197" s="426"/>
      <c r="D197" s="427"/>
      <c r="E197" s="428"/>
      <c r="F197" s="428"/>
      <c r="G197" s="397"/>
      <c r="H197" s="397"/>
      <c r="I197" s="429"/>
      <c r="J197" s="428"/>
      <c r="K197" s="430"/>
      <c r="L197" s="319"/>
      <c r="M197" s="319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19"/>
      <c r="B198" s="420"/>
      <c r="C198" s="420"/>
      <c r="D198" s="421"/>
      <c r="E198" s="394"/>
      <c r="F198" s="422"/>
      <c r="G198" s="422"/>
      <c r="H198" s="394"/>
      <c r="I198" s="423"/>
      <c r="J198" s="422"/>
      <c r="K198" s="424"/>
      <c r="L198" s="316"/>
      <c r="M198" s="316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25"/>
      <c r="B199" s="426"/>
      <c r="C199" s="426"/>
      <c r="D199" s="431"/>
      <c r="E199" s="428"/>
      <c r="F199" s="428"/>
      <c r="G199" s="397"/>
      <c r="H199" s="397"/>
      <c r="I199" s="429"/>
      <c r="J199" s="428"/>
      <c r="K199" s="430"/>
      <c r="L199" s="319"/>
      <c r="M199" s="319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19"/>
      <c r="B200" s="420"/>
      <c r="C200" s="420"/>
      <c r="D200" s="421"/>
      <c r="E200" s="394"/>
      <c r="F200" s="422"/>
      <c r="G200" s="422"/>
      <c r="H200" s="394"/>
      <c r="I200" s="423"/>
      <c r="J200" s="422"/>
      <c r="K200" s="424"/>
      <c r="L200" s="316"/>
      <c r="M200" s="316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425"/>
      <c r="B201" s="426"/>
      <c r="C201" s="426"/>
      <c r="D201" s="427"/>
      <c r="E201" s="428"/>
      <c r="F201" s="428"/>
      <c r="G201" s="397"/>
      <c r="H201" s="397"/>
      <c r="I201" s="429"/>
      <c r="J201" s="428"/>
      <c r="K201" s="430"/>
      <c r="L201" s="319"/>
      <c r="M201" s="319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19"/>
      <c r="B202" s="420"/>
      <c r="C202" s="420"/>
      <c r="D202" s="421"/>
      <c r="E202" s="394"/>
      <c r="F202" s="422"/>
      <c r="G202" s="422"/>
      <c r="H202" s="394"/>
      <c r="I202" s="423"/>
      <c r="J202" s="422"/>
      <c r="K202" s="424"/>
      <c r="L202" s="316"/>
      <c r="M202" s="316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4.25" customHeight="1">
      <c r="A203" s="425"/>
      <c r="B203" s="426"/>
      <c r="C203" s="426"/>
      <c r="D203" s="427"/>
      <c r="E203" s="428"/>
      <c r="F203" s="428"/>
      <c r="G203" s="397"/>
      <c r="H203" s="397"/>
      <c r="I203" s="429"/>
      <c r="J203" s="428"/>
      <c r="K203" s="430"/>
      <c r="L203" s="319"/>
      <c r="M203" s="319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19"/>
      <c r="B204" s="420"/>
      <c r="C204" s="420"/>
      <c r="D204" s="421"/>
      <c r="E204" s="394"/>
      <c r="F204" s="422"/>
      <c r="G204" s="422"/>
      <c r="H204" s="394"/>
      <c r="I204" s="423"/>
      <c r="J204" s="422"/>
      <c r="K204" s="424"/>
      <c r="L204" s="316"/>
      <c r="M204" s="316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25"/>
      <c r="B205" s="426"/>
      <c r="C205" s="426"/>
      <c r="D205" s="427"/>
      <c r="E205" s="428"/>
      <c r="F205" s="428"/>
      <c r="G205" s="397"/>
      <c r="H205" s="397"/>
      <c r="I205" s="429"/>
      <c r="J205" s="428"/>
      <c r="K205" s="430"/>
      <c r="L205" s="319"/>
      <c r="M205" s="319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19"/>
      <c r="B206" s="420"/>
      <c r="C206" s="420"/>
      <c r="D206" s="421"/>
      <c r="E206" s="394"/>
      <c r="F206" s="422"/>
      <c r="G206" s="422"/>
      <c r="H206" s="394"/>
      <c r="I206" s="423"/>
      <c r="J206" s="422"/>
      <c r="K206" s="424"/>
      <c r="L206" s="316"/>
      <c r="M206" s="316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25"/>
      <c r="B207" s="426"/>
      <c r="C207" s="426"/>
      <c r="D207" s="431"/>
      <c r="E207" s="428"/>
      <c r="F207" s="428"/>
      <c r="G207" s="397"/>
      <c r="H207" s="397"/>
      <c r="I207" s="429"/>
      <c r="J207" s="428"/>
      <c r="K207" s="430"/>
      <c r="L207" s="319"/>
      <c r="M207" s="319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19"/>
      <c r="B208" s="420"/>
      <c r="C208" s="420"/>
      <c r="D208" s="421"/>
      <c r="E208" s="394"/>
      <c r="F208" s="422"/>
      <c r="G208" s="422"/>
      <c r="H208" s="394"/>
      <c r="I208" s="423"/>
      <c r="J208" s="422"/>
      <c r="K208" s="424"/>
      <c r="L208" s="316"/>
      <c r="M208" s="316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25"/>
      <c r="B209" s="426"/>
      <c r="C209" s="426"/>
      <c r="D209" s="427"/>
      <c r="E209" s="428"/>
      <c r="F209" s="428"/>
      <c r="G209" s="397"/>
      <c r="H209" s="397"/>
      <c r="I209" s="429"/>
      <c r="J209" s="428"/>
      <c r="K209" s="430"/>
      <c r="L209" s="319"/>
      <c r="M209" s="319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19"/>
      <c r="B210" s="420"/>
      <c r="C210" s="420"/>
      <c r="D210" s="432"/>
      <c r="E210" s="394"/>
      <c r="F210" s="422"/>
      <c r="G210" s="422"/>
      <c r="H210" s="394"/>
      <c r="I210" s="423"/>
      <c r="J210" s="422"/>
      <c r="K210" s="424"/>
      <c r="L210" s="316"/>
      <c r="M210" s="316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25"/>
      <c r="B211" s="426"/>
      <c r="C211" s="426"/>
      <c r="D211" s="427"/>
      <c r="E211" s="428"/>
      <c r="F211" s="428"/>
      <c r="G211" s="397"/>
      <c r="H211" s="397"/>
      <c r="I211" s="429"/>
      <c r="J211" s="428"/>
      <c r="K211" s="430"/>
      <c r="L211" s="319"/>
      <c r="M211" s="319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19"/>
      <c r="B212" s="420"/>
      <c r="C212" s="420"/>
      <c r="D212" s="421"/>
      <c r="E212" s="394"/>
      <c r="F212" s="422"/>
      <c r="G212" s="422"/>
      <c r="H212" s="394"/>
      <c r="I212" s="423"/>
      <c r="J212" s="422"/>
      <c r="K212" s="438"/>
      <c r="L212" s="316"/>
      <c r="M212" s="316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25"/>
      <c r="B213" s="440"/>
      <c r="C213" s="440"/>
      <c r="D213" s="427"/>
      <c r="E213" s="428"/>
      <c r="F213" s="428"/>
      <c r="G213" s="397"/>
      <c r="H213" s="397"/>
      <c r="I213" s="427"/>
      <c r="J213" s="434"/>
      <c r="K213" s="430"/>
      <c r="L213" s="319"/>
      <c r="M213" s="319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19"/>
      <c r="B214" s="441"/>
      <c r="C214" s="441"/>
      <c r="D214" s="421"/>
      <c r="E214" s="436"/>
      <c r="F214" s="442"/>
      <c r="G214" s="422"/>
      <c r="H214" s="436"/>
      <c r="I214" s="421"/>
      <c r="J214" s="442"/>
      <c r="K214" s="424"/>
      <c r="L214" s="316"/>
      <c r="M214" s="316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25"/>
      <c r="B215" s="440"/>
      <c r="C215" s="440"/>
      <c r="D215" s="427"/>
      <c r="E215" s="428"/>
      <c r="F215" s="434"/>
      <c r="G215" s="397"/>
      <c r="H215" s="439"/>
      <c r="I215" s="427"/>
      <c r="J215" s="434"/>
      <c r="K215" s="430"/>
      <c r="L215" s="319"/>
      <c r="M215" s="319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19"/>
      <c r="B216" s="441"/>
      <c r="C216" s="441"/>
      <c r="D216" s="421"/>
      <c r="E216" s="436"/>
      <c r="F216" s="442"/>
      <c r="G216" s="422"/>
      <c r="H216" s="436"/>
      <c r="I216" s="421"/>
      <c r="J216" s="442"/>
      <c r="K216" s="424"/>
      <c r="L216" s="316"/>
      <c r="M216" s="316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25"/>
      <c r="B217" s="440"/>
      <c r="C217" s="440"/>
      <c r="D217" s="427"/>
      <c r="E217" s="434"/>
      <c r="F217" s="434"/>
      <c r="G217" s="397"/>
      <c r="H217" s="439"/>
      <c r="I217" s="427"/>
      <c r="J217" s="434"/>
      <c r="K217" s="430"/>
      <c r="L217" s="319"/>
      <c r="M217" s="319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19"/>
      <c r="B218" s="441"/>
      <c r="C218" s="441"/>
      <c r="D218" s="421"/>
      <c r="E218" s="436"/>
      <c r="F218" s="442"/>
      <c r="G218" s="422"/>
      <c r="H218" s="436"/>
      <c r="I218" s="421"/>
      <c r="J218" s="442"/>
      <c r="K218" s="424"/>
      <c r="L218" s="316"/>
      <c r="M218" s="316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25"/>
      <c r="B219" s="440"/>
      <c r="C219" s="440"/>
      <c r="D219" s="427"/>
      <c r="E219" s="434"/>
      <c r="F219" s="434"/>
      <c r="G219" s="397"/>
      <c r="H219" s="439"/>
      <c r="I219" s="427"/>
      <c r="J219" s="434"/>
      <c r="K219" s="430"/>
      <c r="L219" s="319"/>
      <c r="M219" s="319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19"/>
      <c r="B220" s="441"/>
      <c r="C220" s="441"/>
      <c r="D220" s="421"/>
      <c r="E220" s="436"/>
      <c r="F220" s="442"/>
      <c r="G220" s="442"/>
      <c r="H220" s="436"/>
      <c r="I220" s="421"/>
      <c r="J220" s="442"/>
      <c r="K220" s="424"/>
      <c r="L220" s="316"/>
      <c r="M220" s="316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25"/>
      <c r="B221" s="440"/>
      <c r="C221" s="440"/>
      <c r="D221" s="427"/>
      <c r="E221" s="434"/>
      <c r="F221" s="434"/>
      <c r="G221" s="397"/>
      <c r="H221" s="439"/>
      <c r="I221" s="427"/>
      <c r="J221" s="434"/>
      <c r="K221" s="430"/>
      <c r="L221" s="319"/>
      <c r="M221" s="319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19"/>
      <c r="B222" s="441"/>
      <c r="C222" s="441"/>
      <c r="D222" s="421"/>
      <c r="E222" s="436"/>
      <c r="F222" s="442"/>
      <c r="G222" s="442"/>
      <c r="H222" s="436"/>
      <c r="I222" s="443"/>
      <c r="J222" s="442"/>
      <c r="K222" s="424"/>
      <c r="L222" s="316"/>
      <c r="M222" s="316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25"/>
      <c r="B223" s="440"/>
      <c r="C223" s="440"/>
      <c r="D223" s="427"/>
      <c r="E223" s="434"/>
      <c r="F223" s="434"/>
      <c r="G223" s="439"/>
      <c r="H223" s="439"/>
      <c r="I223" s="427"/>
      <c r="J223" s="434"/>
      <c r="K223" s="430"/>
      <c r="L223" s="319"/>
      <c r="M223" s="319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419"/>
      <c r="B224" s="441"/>
      <c r="C224" s="441"/>
      <c r="D224" s="421"/>
      <c r="E224" s="436"/>
      <c r="F224" s="442"/>
      <c r="G224" s="442"/>
      <c r="H224" s="436"/>
      <c r="I224" s="421"/>
      <c r="J224" s="442"/>
      <c r="K224" s="424"/>
      <c r="L224" s="316"/>
      <c r="M224" s="316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25"/>
      <c r="B225" s="440"/>
      <c r="C225" s="440"/>
      <c r="D225" s="427"/>
      <c r="E225" s="434"/>
      <c r="F225" s="434"/>
      <c r="G225" s="439"/>
      <c r="H225" s="439"/>
      <c r="I225" s="427"/>
      <c r="J225" s="434"/>
      <c r="K225" s="430"/>
      <c r="L225" s="319"/>
      <c r="M225" s="319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19"/>
      <c r="B226" s="441"/>
      <c r="C226" s="441"/>
      <c r="D226" s="421"/>
      <c r="E226" s="436"/>
      <c r="F226" s="442"/>
      <c r="G226" s="442"/>
      <c r="H226" s="436"/>
      <c r="I226" s="421"/>
      <c r="J226" s="442"/>
      <c r="K226" s="424"/>
      <c r="L226" s="316"/>
      <c r="M226" s="316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25"/>
      <c r="B227" s="440"/>
      <c r="C227" s="440"/>
      <c r="D227" s="427"/>
      <c r="E227" s="434"/>
      <c r="F227" s="434"/>
      <c r="G227" s="439"/>
      <c r="H227" s="439"/>
      <c r="I227" s="427"/>
      <c r="J227" s="434"/>
      <c r="K227" s="430"/>
      <c r="L227" s="319"/>
      <c r="M227" s="319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19"/>
      <c r="B228" s="441"/>
      <c r="C228" s="441"/>
      <c r="D228" s="421"/>
      <c r="E228" s="436"/>
      <c r="F228" s="442"/>
      <c r="G228" s="442"/>
      <c r="H228" s="436"/>
      <c r="I228" s="421"/>
      <c r="J228" s="442"/>
      <c r="K228" s="424"/>
      <c r="L228" s="316"/>
      <c r="M228" s="316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25"/>
      <c r="B229" s="440"/>
      <c r="C229" s="440"/>
      <c r="D229" s="427"/>
      <c r="E229" s="434"/>
      <c r="F229" s="434"/>
      <c r="G229" s="439"/>
      <c r="H229" s="439"/>
      <c r="I229" s="427"/>
      <c r="J229" s="434"/>
      <c r="K229" s="430"/>
      <c r="L229" s="319"/>
      <c r="M229" s="319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419"/>
      <c r="B230" s="441"/>
      <c r="C230" s="441"/>
      <c r="D230" s="421"/>
      <c r="E230" s="436"/>
      <c r="F230" s="442"/>
      <c r="G230" s="442"/>
      <c r="H230" s="436"/>
      <c r="I230" s="421"/>
      <c r="J230" s="442"/>
      <c r="K230" s="424"/>
      <c r="L230" s="316"/>
      <c r="M230" s="316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25"/>
      <c r="B231" s="440"/>
      <c r="C231" s="440"/>
      <c r="D231" s="427"/>
      <c r="E231" s="434"/>
      <c r="F231" s="434"/>
      <c r="G231" s="439"/>
      <c r="H231" s="439"/>
      <c r="I231" s="427"/>
      <c r="J231" s="434"/>
      <c r="K231" s="430"/>
      <c r="L231" s="319"/>
      <c r="M231" s="319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19"/>
      <c r="B232" s="441"/>
      <c r="C232" s="441"/>
      <c r="D232" s="421"/>
      <c r="E232" s="436"/>
      <c r="F232" s="442"/>
      <c r="G232" s="442"/>
      <c r="H232" s="436"/>
      <c r="I232" s="421"/>
      <c r="J232" s="442"/>
      <c r="K232" s="424"/>
      <c r="L232" s="316"/>
      <c r="M232" s="316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25"/>
      <c r="B233" s="440"/>
      <c r="C233" s="444"/>
      <c r="D233" s="445"/>
      <c r="E233" s="434"/>
      <c r="F233" s="434"/>
      <c r="G233" s="439"/>
      <c r="H233" s="439"/>
      <c r="I233" s="427"/>
      <c r="J233" s="434"/>
      <c r="K233" s="430"/>
      <c r="L233" s="319"/>
      <c r="M233" s="319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19"/>
      <c r="B234" s="446"/>
      <c r="C234" s="447"/>
      <c r="D234" s="448"/>
      <c r="E234" s="449"/>
      <c r="F234" s="450"/>
      <c r="G234" s="450"/>
      <c r="H234" s="451"/>
      <c r="I234" s="452"/>
      <c r="J234" s="450"/>
      <c r="K234" s="424"/>
      <c r="L234" s="316"/>
      <c r="M234" s="316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53"/>
      <c r="B235" s="454"/>
      <c r="C235" s="454"/>
      <c r="D235" s="455"/>
      <c r="E235" s="456"/>
      <c r="F235" s="457"/>
      <c r="G235" s="458"/>
      <c r="H235" s="458"/>
      <c r="I235" s="459"/>
      <c r="J235" s="457"/>
      <c r="K235" s="430"/>
      <c r="L235" s="319"/>
      <c r="M235" s="319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60"/>
      <c r="B236" s="461"/>
      <c r="C236" s="461"/>
      <c r="D236" s="462"/>
      <c r="E236" s="463"/>
      <c r="F236" s="464"/>
      <c r="G236" s="464"/>
      <c r="H236" s="463"/>
      <c r="I236" s="462"/>
      <c r="J236" s="464"/>
      <c r="K236" s="424"/>
      <c r="L236" s="316"/>
      <c r="M236" s="316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65"/>
      <c r="B237" s="466"/>
      <c r="C237" s="466"/>
      <c r="D237" s="467"/>
      <c r="E237" s="468"/>
      <c r="F237" s="468"/>
      <c r="G237" s="469"/>
      <c r="H237" s="469"/>
      <c r="I237" s="467"/>
      <c r="J237" s="468"/>
      <c r="K237" s="430"/>
      <c r="L237" s="319"/>
      <c r="M237" s="319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60"/>
      <c r="B238" s="470"/>
      <c r="C238" s="470"/>
      <c r="D238" s="471"/>
      <c r="E238" s="472"/>
      <c r="F238" s="473"/>
      <c r="G238" s="473"/>
      <c r="H238" s="472"/>
      <c r="I238" s="471"/>
      <c r="J238" s="473"/>
      <c r="K238" s="424"/>
      <c r="L238" s="316"/>
      <c r="M238" s="316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65"/>
      <c r="B239" s="474"/>
      <c r="C239" s="474"/>
      <c r="D239" s="475"/>
      <c r="E239" s="476"/>
      <c r="F239" s="476"/>
      <c r="G239" s="477"/>
      <c r="H239" s="477"/>
      <c r="I239" s="467"/>
      <c r="J239" s="476"/>
      <c r="K239" s="430"/>
      <c r="L239" s="319"/>
      <c r="M239" s="319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60"/>
      <c r="B240" s="470"/>
      <c r="C240" s="470"/>
      <c r="D240" s="478"/>
      <c r="E240" s="472"/>
      <c r="F240" s="473"/>
      <c r="G240" s="473"/>
      <c r="H240" s="472"/>
      <c r="I240" s="471"/>
      <c r="J240" s="473"/>
      <c r="K240" s="424"/>
      <c r="L240" s="316"/>
      <c r="M240" s="316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65"/>
      <c r="B241" s="474"/>
      <c r="C241" s="474"/>
      <c r="D241" s="475"/>
      <c r="E241" s="476"/>
      <c r="F241" s="476"/>
      <c r="G241" s="477"/>
      <c r="H241" s="477"/>
      <c r="I241" s="467"/>
      <c r="J241" s="476"/>
      <c r="K241" s="430"/>
      <c r="L241" s="319"/>
      <c r="M241" s="319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60"/>
      <c r="B242" s="470"/>
      <c r="C242" s="470"/>
      <c r="D242" s="478"/>
      <c r="E242" s="472"/>
      <c r="F242" s="473"/>
      <c r="G242" s="473"/>
      <c r="H242" s="472"/>
      <c r="I242" s="471"/>
      <c r="J242" s="473"/>
      <c r="K242" s="424"/>
      <c r="L242" s="316"/>
      <c r="M242" s="316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65"/>
      <c r="B243" s="474"/>
      <c r="C243" s="474"/>
      <c r="D243" s="479"/>
      <c r="E243" s="476"/>
      <c r="F243" s="476"/>
      <c r="G243" s="477"/>
      <c r="H243" s="477"/>
      <c r="I243" s="467"/>
      <c r="J243" s="476"/>
      <c r="K243" s="430"/>
      <c r="L243" s="319"/>
      <c r="M243" s="319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60"/>
      <c r="B244" s="461"/>
      <c r="C244" s="461"/>
      <c r="D244" s="480"/>
      <c r="E244" s="463"/>
      <c r="F244" s="464"/>
      <c r="G244" s="464"/>
      <c r="H244" s="463"/>
      <c r="I244" s="478"/>
      <c r="J244" s="464"/>
      <c r="K244" s="438"/>
      <c r="L244" s="316"/>
      <c r="M244" s="316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65"/>
      <c r="B245" s="466"/>
      <c r="C245" s="466"/>
      <c r="D245" s="481"/>
      <c r="E245" s="468"/>
      <c r="F245" s="468"/>
      <c r="G245" s="469"/>
      <c r="H245" s="469"/>
      <c r="I245" s="482"/>
      <c r="J245" s="468"/>
      <c r="K245" s="430"/>
      <c r="L245" s="319"/>
      <c r="M245" s="319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60"/>
      <c r="B246" s="461"/>
      <c r="C246" s="461"/>
      <c r="D246" s="478"/>
      <c r="E246" s="463"/>
      <c r="F246" s="464"/>
      <c r="G246" s="464"/>
      <c r="H246" s="463"/>
      <c r="I246" s="480"/>
      <c r="J246" s="464"/>
      <c r="K246" s="424"/>
      <c r="L246" s="316"/>
      <c r="M246" s="316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65"/>
      <c r="B247" s="466"/>
      <c r="C247" s="466"/>
      <c r="D247" s="482"/>
      <c r="E247" s="468"/>
      <c r="F247" s="468"/>
      <c r="G247" s="469"/>
      <c r="H247" s="469"/>
      <c r="I247" s="482"/>
      <c r="J247" s="468"/>
      <c r="K247" s="430"/>
      <c r="L247" s="319"/>
      <c r="M247" s="319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83"/>
      <c r="B248" s="484"/>
      <c r="C248" s="485"/>
      <c r="D248" s="486"/>
      <c r="E248" s="487"/>
      <c r="F248" s="488"/>
      <c r="G248" s="464"/>
      <c r="H248" s="489"/>
      <c r="I248" s="480"/>
      <c r="J248" s="464"/>
      <c r="K248" s="424"/>
      <c r="L248" s="316"/>
      <c r="M248" s="316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25"/>
      <c r="B249" s="444"/>
      <c r="C249" s="490"/>
      <c r="D249" s="491"/>
      <c r="E249" s="492"/>
      <c r="F249" s="434"/>
      <c r="G249" s="469"/>
      <c r="H249" s="439"/>
      <c r="I249" s="482"/>
      <c r="J249" s="434"/>
      <c r="K249" s="430"/>
      <c r="L249" s="319"/>
      <c r="M249" s="319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19"/>
      <c r="B250" s="493"/>
      <c r="C250" s="494"/>
      <c r="D250" s="495"/>
      <c r="E250" s="436"/>
      <c r="F250" s="442"/>
      <c r="G250" s="464"/>
      <c r="H250" s="436"/>
      <c r="I250" s="480"/>
      <c r="J250" s="464"/>
      <c r="K250" s="424"/>
      <c r="L250" s="316"/>
      <c r="M250" s="316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25"/>
      <c r="B251" s="444"/>
      <c r="C251" s="490"/>
      <c r="D251" s="496"/>
      <c r="E251" s="434"/>
      <c r="F251" s="434"/>
      <c r="G251" s="469"/>
      <c r="H251" s="439"/>
      <c r="I251" s="482"/>
      <c r="J251" s="434"/>
      <c r="K251" s="430"/>
      <c r="L251" s="319"/>
      <c r="M251" s="319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19"/>
      <c r="B252" s="441"/>
      <c r="C252" s="441"/>
      <c r="D252" s="495"/>
      <c r="E252" s="436"/>
      <c r="F252" s="442"/>
      <c r="G252" s="464"/>
      <c r="H252" s="436"/>
      <c r="I252" s="480"/>
      <c r="J252" s="464"/>
      <c r="K252" s="424"/>
      <c r="L252" s="316"/>
      <c r="M252" s="316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25"/>
      <c r="B253" s="440"/>
      <c r="C253" s="440"/>
      <c r="D253" s="496"/>
      <c r="E253" s="434"/>
      <c r="F253" s="434"/>
      <c r="G253" s="469"/>
      <c r="H253" s="439"/>
      <c r="I253" s="482"/>
      <c r="J253" s="434"/>
      <c r="K253" s="430"/>
      <c r="L253" s="319"/>
      <c r="M253" s="319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19"/>
      <c r="B254" s="441"/>
      <c r="C254" s="441"/>
      <c r="D254" s="495"/>
      <c r="E254" s="436"/>
      <c r="F254" s="442"/>
      <c r="G254" s="464"/>
      <c r="H254" s="436"/>
      <c r="I254" s="480"/>
      <c r="J254" s="464"/>
      <c r="K254" s="424"/>
      <c r="L254" s="316"/>
      <c r="M254" s="316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25"/>
      <c r="B255" s="440"/>
      <c r="C255" s="440"/>
      <c r="D255" s="496"/>
      <c r="E255" s="434"/>
      <c r="F255" s="434"/>
      <c r="G255" s="469"/>
      <c r="H255" s="439"/>
      <c r="I255" s="482"/>
      <c r="J255" s="434"/>
      <c r="K255" s="430"/>
      <c r="L255" s="319"/>
      <c r="M255" s="319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19"/>
      <c r="B256" s="441"/>
      <c r="C256" s="441"/>
      <c r="D256" s="495"/>
      <c r="E256" s="436"/>
      <c r="F256" s="442"/>
      <c r="G256" s="464"/>
      <c r="H256" s="436"/>
      <c r="I256" s="495"/>
      <c r="J256" s="464"/>
      <c r="K256" s="424"/>
      <c r="L256" s="316"/>
      <c r="M256" s="316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25"/>
      <c r="B257" s="440"/>
      <c r="C257" s="440"/>
      <c r="D257" s="496"/>
      <c r="E257" s="434"/>
      <c r="F257" s="434"/>
      <c r="G257" s="439"/>
      <c r="H257" s="439"/>
      <c r="I257" s="496"/>
      <c r="J257" s="434"/>
      <c r="K257" s="430"/>
      <c r="L257" s="319"/>
      <c r="M257" s="319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19"/>
      <c r="B258" s="441"/>
      <c r="C258" s="441"/>
      <c r="D258" s="495"/>
      <c r="E258" s="436"/>
      <c r="F258" s="442"/>
      <c r="G258" s="464"/>
      <c r="H258" s="436"/>
      <c r="I258" s="495"/>
      <c r="J258" s="464"/>
      <c r="K258" s="424"/>
      <c r="L258" s="316"/>
      <c r="M258" s="316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25"/>
      <c r="B259" s="440"/>
      <c r="C259" s="440"/>
      <c r="D259" s="496"/>
      <c r="E259" s="434"/>
      <c r="F259" s="434"/>
      <c r="G259" s="439"/>
      <c r="H259" s="439"/>
      <c r="I259" s="496"/>
      <c r="J259" s="434"/>
      <c r="K259" s="430"/>
      <c r="L259" s="319"/>
      <c r="M259" s="319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19"/>
      <c r="B260" s="441"/>
      <c r="C260" s="441"/>
      <c r="D260" s="495"/>
      <c r="E260" s="436"/>
      <c r="F260" s="442"/>
      <c r="G260" s="464"/>
      <c r="H260" s="436"/>
      <c r="I260" s="495"/>
      <c r="J260" s="464"/>
      <c r="K260" s="424"/>
      <c r="L260" s="316"/>
      <c r="M260" s="316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25"/>
      <c r="B261" s="440"/>
      <c r="C261" s="440"/>
      <c r="D261" s="496"/>
      <c r="E261" s="434"/>
      <c r="F261" s="434"/>
      <c r="G261" s="439"/>
      <c r="H261" s="439"/>
      <c r="I261" s="496"/>
      <c r="J261" s="434"/>
      <c r="K261" s="430"/>
      <c r="L261" s="319"/>
      <c r="M261" s="319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19"/>
      <c r="B262" s="441"/>
      <c r="C262" s="441"/>
      <c r="D262" s="495"/>
      <c r="E262" s="436"/>
      <c r="F262" s="442"/>
      <c r="G262" s="464"/>
      <c r="H262" s="436"/>
      <c r="I262" s="495"/>
      <c r="J262" s="464"/>
      <c r="K262" s="424"/>
      <c r="L262" s="316"/>
      <c r="M262" s="316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25"/>
      <c r="B263" s="440"/>
      <c r="C263" s="440"/>
      <c r="D263" s="496"/>
      <c r="E263" s="434"/>
      <c r="F263" s="434"/>
      <c r="G263" s="439"/>
      <c r="H263" s="439"/>
      <c r="I263" s="496"/>
      <c r="J263" s="434"/>
      <c r="K263" s="430"/>
      <c r="L263" s="319"/>
      <c r="M263" s="319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19"/>
      <c r="B264" s="441"/>
      <c r="C264" s="441"/>
      <c r="D264" s="495"/>
      <c r="E264" s="436"/>
      <c r="F264" s="442"/>
      <c r="G264" s="442"/>
      <c r="H264" s="436"/>
      <c r="I264" s="495"/>
      <c r="J264" s="464"/>
      <c r="K264" s="424"/>
      <c r="L264" s="316"/>
      <c r="M264" s="316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25"/>
      <c r="B265" s="440"/>
      <c r="C265" s="440"/>
      <c r="D265" s="496"/>
      <c r="E265" s="434"/>
      <c r="F265" s="434"/>
      <c r="G265" s="439"/>
      <c r="H265" s="439"/>
      <c r="I265" s="496"/>
      <c r="J265" s="434"/>
      <c r="K265" s="430"/>
      <c r="L265" s="319"/>
      <c r="M265" s="319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19"/>
      <c r="B266" s="441"/>
      <c r="C266" s="441"/>
      <c r="D266" s="495"/>
      <c r="E266" s="436"/>
      <c r="F266" s="442"/>
      <c r="G266" s="442"/>
      <c r="H266" s="436"/>
      <c r="I266" s="495"/>
      <c r="J266" s="464"/>
      <c r="K266" s="424"/>
      <c r="L266" s="316"/>
      <c r="M266" s="316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25"/>
      <c r="B267" s="440"/>
      <c r="C267" s="440"/>
      <c r="D267" s="496"/>
      <c r="E267" s="434"/>
      <c r="F267" s="434"/>
      <c r="G267" s="439"/>
      <c r="H267" s="439"/>
      <c r="I267" s="496"/>
      <c r="J267" s="434"/>
      <c r="K267" s="430"/>
      <c r="L267" s="319"/>
      <c r="M267" s="319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19"/>
      <c r="B268" s="441"/>
      <c r="C268" s="441"/>
      <c r="D268" s="495"/>
      <c r="E268" s="436"/>
      <c r="F268" s="442"/>
      <c r="G268" s="442"/>
      <c r="H268" s="436"/>
      <c r="I268" s="495"/>
      <c r="J268" s="464"/>
      <c r="K268" s="424"/>
      <c r="L268" s="316"/>
      <c r="M268" s="316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25"/>
      <c r="B269" s="440"/>
      <c r="C269" s="440"/>
      <c r="D269" s="496"/>
      <c r="E269" s="434"/>
      <c r="F269" s="434"/>
      <c r="G269" s="439"/>
      <c r="H269" s="439"/>
      <c r="I269" s="496"/>
      <c r="J269" s="434"/>
      <c r="K269" s="430"/>
      <c r="L269" s="319"/>
      <c r="M269" s="319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419"/>
      <c r="B270" s="441"/>
      <c r="C270" s="441"/>
      <c r="D270" s="495"/>
      <c r="E270" s="436"/>
      <c r="F270" s="442"/>
      <c r="G270" s="442"/>
      <c r="H270" s="436"/>
      <c r="I270" s="495"/>
      <c r="J270" s="464"/>
      <c r="K270" s="424"/>
      <c r="L270" s="316"/>
      <c r="M270" s="316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25"/>
      <c r="B271" s="440"/>
      <c r="C271" s="440"/>
      <c r="D271" s="496"/>
      <c r="E271" s="434"/>
      <c r="F271" s="434"/>
      <c r="G271" s="439"/>
      <c r="H271" s="439"/>
      <c r="I271" s="496"/>
      <c r="J271" s="434"/>
      <c r="K271" s="430"/>
      <c r="L271" s="319"/>
      <c r="M271" s="319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19"/>
      <c r="B272" s="441"/>
      <c r="C272" s="441"/>
      <c r="D272" s="495"/>
      <c r="E272" s="436"/>
      <c r="F272" s="442"/>
      <c r="G272" s="442"/>
      <c r="H272" s="436"/>
      <c r="I272" s="495"/>
      <c r="J272" s="464"/>
      <c r="K272" s="424"/>
      <c r="L272" s="316"/>
      <c r="M272" s="316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25"/>
      <c r="B273" s="440"/>
      <c r="C273" s="440"/>
      <c r="D273" s="496"/>
      <c r="E273" s="434"/>
      <c r="F273" s="434"/>
      <c r="G273" s="439"/>
      <c r="H273" s="439"/>
      <c r="I273" s="496"/>
      <c r="J273" s="434"/>
      <c r="K273" s="430"/>
      <c r="L273" s="319"/>
      <c r="M273" s="319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19"/>
      <c r="B274" s="441"/>
      <c r="C274" s="441"/>
      <c r="D274" s="495"/>
      <c r="E274" s="436"/>
      <c r="F274" s="442"/>
      <c r="G274" s="442"/>
      <c r="H274" s="436"/>
      <c r="I274" s="495"/>
      <c r="J274" s="442"/>
      <c r="K274" s="424"/>
      <c r="L274" s="316"/>
      <c r="M274" s="316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25"/>
      <c r="B275" s="440"/>
      <c r="C275" s="440"/>
      <c r="D275" s="496"/>
      <c r="E275" s="434"/>
      <c r="F275" s="434"/>
      <c r="G275" s="439"/>
      <c r="H275" s="439"/>
      <c r="I275" s="496"/>
      <c r="J275" s="434"/>
      <c r="K275" s="430"/>
      <c r="L275" s="319"/>
      <c r="M275" s="319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419"/>
      <c r="B276" s="441"/>
      <c r="C276" s="441"/>
      <c r="D276" s="495"/>
      <c r="E276" s="436"/>
      <c r="F276" s="442"/>
      <c r="G276" s="442"/>
      <c r="H276" s="436"/>
      <c r="I276" s="495"/>
      <c r="J276" s="442"/>
      <c r="K276" s="424"/>
      <c r="L276" s="316"/>
      <c r="M276" s="316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25"/>
      <c r="B277" s="440"/>
      <c r="C277" s="440"/>
      <c r="D277" s="496"/>
      <c r="E277" s="434"/>
      <c r="F277" s="434"/>
      <c r="G277" s="439"/>
      <c r="H277" s="439"/>
      <c r="I277" s="496"/>
      <c r="J277" s="434"/>
      <c r="K277" s="430"/>
      <c r="L277" s="319"/>
      <c r="M277" s="319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19"/>
      <c r="B278" s="441"/>
      <c r="C278" s="441"/>
      <c r="D278" s="495"/>
      <c r="E278" s="436"/>
      <c r="F278" s="442"/>
      <c r="G278" s="442"/>
      <c r="H278" s="436"/>
      <c r="I278" s="495"/>
      <c r="J278" s="442"/>
      <c r="K278" s="424"/>
      <c r="L278" s="316"/>
      <c r="M278" s="316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25"/>
      <c r="B279" s="440"/>
      <c r="C279" s="440"/>
      <c r="D279" s="496"/>
      <c r="E279" s="434"/>
      <c r="F279" s="434"/>
      <c r="G279" s="439"/>
      <c r="H279" s="439"/>
      <c r="I279" s="496"/>
      <c r="J279" s="434"/>
      <c r="K279" s="430"/>
      <c r="L279" s="319"/>
      <c r="M279" s="319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19"/>
      <c r="B280" s="441"/>
      <c r="C280" s="441"/>
      <c r="D280" s="495"/>
      <c r="E280" s="436"/>
      <c r="F280" s="442"/>
      <c r="G280" s="442"/>
      <c r="H280" s="436"/>
      <c r="I280" s="495"/>
      <c r="J280" s="442"/>
      <c r="K280" s="424"/>
      <c r="L280" s="316"/>
      <c r="M280" s="316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19"/>
      <c r="B281" s="420"/>
      <c r="C281" s="420"/>
      <c r="D281" s="497"/>
      <c r="E281" s="498"/>
      <c r="F281" s="394"/>
      <c r="G281" s="422"/>
      <c r="H281" s="394"/>
      <c r="I281" s="497"/>
      <c r="J281" s="499"/>
      <c r="K281" s="433"/>
      <c r="L281" s="316"/>
      <c r="M281" s="316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25"/>
      <c r="B282" s="426"/>
      <c r="C282" s="426"/>
      <c r="D282" s="500"/>
      <c r="E282" s="428"/>
      <c r="F282" s="397"/>
      <c r="G282" s="428"/>
      <c r="H282" s="439"/>
      <c r="I282" s="500"/>
      <c r="J282" s="501"/>
      <c r="K282" s="433"/>
      <c r="L282" s="319"/>
      <c r="M282" s="319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19"/>
      <c r="B283" s="420"/>
      <c r="C283" s="420"/>
      <c r="D283" s="497"/>
      <c r="E283" s="498"/>
      <c r="F283" s="394"/>
      <c r="G283" s="442"/>
      <c r="H283" s="394"/>
      <c r="I283" s="497"/>
      <c r="J283" s="499"/>
      <c r="K283" s="502"/>
      <c r="L283" s="316"/>
      <c r="M283" s="316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25"/>
      <c r="B284" s="426"/>
      <c r="C284" s="426"/>
      <c r="D284" s="500"/>
      <c r="E284" s="428"/>
      <c r="F284" s="397"/>
      <c r="G284" s="434"/>
      <c r="H284" s="397"/>
      <c r="I284" s="500"/>
      <c r="J284" s="501"/>
      <c r="K284" s="433"/>
      <c r="L284" s="319"/>
      <c r="M284" s="319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19"/>
      <c r="B285" s="420"/>
      <c r="C285" s="420"/>
      <c r="D285" s="497"/>
      <c r="E285" s="498"/>
      <c r="F285" s="503"/>
      <c r="G285" s="422"/>
      <c r="H285" s="394"/>
      <c r="I285" s="497"/>
      <c r="J285" s="499"/>
      <c r="K285" s="433"/>
      <c r="L285" s="316"/>
      <c r="M285" s="316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25"/>
      <c r="B286" s="426"/>
      <c r="C286" s="426"/>
      <c r="D286" s="504"/>
      <c r="E286" s="428"/>
      <c r="F286" s="397"/>
      <c r="G286" s="428"/>
      <c r="H286" s="397"/>
      <c r="I286" s="500"/>
      <c r="J286" s="501"/>
      <c r="K286" s="433"/>
      <c r="L286" s="319"/>
      <c r="M286" s="319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19"/>
      <c r="B287" s="420"/>
      <c r="C287" s="420"/>
      <c r="D287" s="497"/>
      <c r="E287" s="498"/>
      <c r="F287" s="394"/>
      <c r="G287" s="422"/>
      <c r="H287" s="394"/>
      <c r="I287" s="497"/>
      <c r="J287" s="499"/>
      <c r="K287" s="433"/>
      <c r="L287" s="316"/>
      <c r="M287" s="316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25"/>
      <c r="B288" s="426"/>
      <c r="C288" s="426"/>
      <c r="D288" s="500"/>
      <c r="E288" s="428"/>
      <c r="F288" s="505"/>
      <c r="G288" s="428"/>
      <c r="H288" s="397"/>
      <c r="I288" s="500"/>
      <c r="J288" s="501"/>
      <c r="K288" s="438"/>
      <c r="L288" s="319"/>
      <c r="M288" s="319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19"/>
      <c r="B289" s="420"/>
      <c r="C289" s="420"/>
      <c r="D289" s="497"/>
      <c r="E289" s="498"/>
      <c r="F289" s="394"/>
      <c r="G289" s="422"/>
      <c r="H289" s="394"/>
      <c r="I289" s="497"/>
      <c r="J289" s="499"/>
      <c r="K289" s="433"/>
      <c r="L289" s="316"/>
      <c r="M289" s="316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25"/>
      <c r="B290" s="426"/>
      <c r="C290" s="426"/>
      <c r="D290" s="500"/>
      <c r="E290" s="428"/>
      <c r="F290" s="397"/>
      <c r="G290" s="434"/>
      <c r="H290" s="397"/>
      <c r="I290" s="500"/>
      <c r="J290" s="428"/>
      <c r="K290" s="502"/>
      <c r="L290" s="319"/>
      <c r="M290" s="319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19"/>
      <c r="B291" s="420"/>
      <c r="C291" s="420"/>
      <c r="D291" s="497"/>
      <c r="E291" s="498"/>
      <c r="F291" s="394"/>
      <c r="G291" s="422"/>
      <c r="H291" s="394"/>
      <c r="I291" s="497"/>
      <c r="J291" s="422"/>
      <c r="K291" s="433"/>
      <c r="L291" s="316"/>
      <c r="M291" s="316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25"/>
      <c r="B292" s="426"/>
      <c r="C292" s="426"/>
      <c r="D292" s="500"/>
      <c r="E292" s="428"/>
      <c r="F292" s="397"/>
      <c r="G292" s="428"/>
      <c r="H292" s="397"/>
      <c r="I292" s="500"/>
      <c r="J292" s="428"/>
      <c r="K292" s="433"/>
      <c r="L292" s="319"/>
      <c r="M292" s="319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19"/>
      <c r="B293" s="420"/>
      <c r="C293" s="420"/>
      <c r="D293" s="497"/>
      <c r="E293" s="498"/>
      <c r="F293" s="394"/>
      <c r="G293" s="442"/>
      <c r="H293" s="394"/>
      <c r="I293" s="497"/>
      <c r="J293" s="422"/>
      <c r="K293" s="502"/>
      <c r="L293" s="316"/>
      <c r="M293" s="316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25"/>
      <c r="B294" s="426"/>
      <c r="C294" s="440"/>
      <c r="D294" s="500"/>
      <c r="E294" s="428"/>
      <c r="F294" s="397"/>
      <c r="G294" s="428"/>
      <c r="H294" s="397"/>
      <c r="I294" s="500"/>
      <c r="J294" s="428"/>
      <c r="K294" s="433"/>
      <c r="L294" s="319"/>
      <c r="M294" s="319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19"/>
      <c r="B295" s="420"/>
      <c r="C295" s="420"/>
      <c r="D295" s="497"/>
      <c r="E295" s="498"/>
      <c r="F295" s="394"/>
      <c r="G295" s="422"/>
      <c r="H295" s="394"/>
      <c r="I295" s="497"/>
      <c r="J295" s="422"/>
      <c r="K295" s="433"/>
      <c r="L295" s="316"/>
      <c r="M295" s="316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25"/>
      <c r="B296" s="426"/>
      <c r="C296" s="426"/>
      <c r="D296" s="500"/>
      <c r="E296" s="428"/>
      <c r="F296" s="397"/>
      <c r="G296" s="428"/>
      <c r="H296" s="397"/>
      <c r="I296" s="500"/>
      <c r="J296" s="428"/>
      <c r="K296" s="433"/>
      <c r="L296" s="319"/>
      <c r="M296" s="319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19"/>
      <c r="B297" s="420"/>
      <c r="C297" s="420"/>
      <c r="D297" s="497"/>
      <c r="E297" s="422"/>
      <c r="F297" s="394"/>
      <c r="G297" s="422"/>
      <c r="H297" s="394"/>
      <c r="I297" s="497"/>
      <c r="J297" s="422"/>
      <c r="K297" s="506"/>
      <c r="L297" s="316"/>
      <c r="M297" s="316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25"/>
      <c r="B298" s="426"/>
      <c r="C298" s="426"/>
      <c r="D298" s="500"/>
      <c r="E298" s="428"/>
      <c r="F298" s="397"/>
      <c r="G298" s="428"/>
      <c r="H298" s="397"/>
      <c r="I298" s="500"/>
      <c r="J298" s="428"/>
      <c r="K298" s="433"/>
      <c r="L298" s="319"/>
      <c r="M298" s="319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19"/>
      <c r="B299" s="420"/>
      <c r="C299" s="420"/>
      <c r="D299" s="497"/>
      <c r="E299" s="422"/>
      <c r="F299" s="503"/>
      <c r="G299" s="422"/>
      <c r="H299" s="394"/>
      <c r="I299" s="497"/>
      <c r="J299" s="422"/>
      <c r="K299" s="438"/>
      <c r="L299" s="316"/>
      <c r="M299" s="316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25"/>
      <c r="B300" s="426"/>
      <c r="C300" s="426"/>
      <c r="D300" s="500"/>
      <c r="E300" s="428"/>
      <c r="F300" s="397"/>
      <c r="G300" s="428"/>
      <c r="H300" s="397"/>
      <c r="I300" s="500"/>
      <c r="J300" s="428"/>
      <c r="K300" s="438"/>
      <c r="L300" s="319"/>
      <c r="M300" s="319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419"/>
      <c r="B301" s="420"/>
      <c r="C301" s="420"/>
      <c r="D301" s="497"/>
      <c r="E301" s="422"/>
      <c r="F301" s="394"/>
      <c r="G301" s="422"/>
      <c r="H301" s="394"/>
      <c r="I301" s="497"/>
      <c r="J301" s="422"/>
      <c r="K301" s="433"/>
      <c r="L301" s="316"/>
      <c r="M301" s="316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25"/>
      <c r="B302" s="426"/>
      <c r="C302" s="426"/>
      <c r="D302" s="500"/>
      <c r="E302" s="428"/>
      <c r="F302" s="397"/>
      <c r="G302" s="428"/>
      <c r="H302" s="397"/>
      <c r="I302" s="500"/>
      <c r="J302" s="428"/>
      <c r="K302" s="438"/>
      <c r="L302" s="319"/>
      <c r="M302" s="319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19"/>
      <c r="B303" s="420"/>
      <c r="C303" s="420"/>
      <c r="D303" s="497"/>
      <c r="E303" s="422"/>
      <c r="F303" s="394"/>
      <c r="G303" s="422"/>
      <c r="H303" s="394"/>
      <c r="I303" s="497"/>
      <c r="J303" s="422"/>
      <c r="K303" s="438"/>
      <c r="L303" s="316"/>
      <c r="M303" s="316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25"/>
      <c r="B304" s="426"/>
      <c r="C304" s="426"/>
      <c r="D304" s="500"/>
      <c r="E304" s="428"/>
      <c r="F304" s="397"/>
      <c r="G304" s="428"/>
      <c r="H304" s="397"/>
      <c r="I304" s="500"/>
      <c r="J304" s="428"/>
      <c r="K304" s="438"/>
      <c r="L304" s="319"/>
      <c r="M304" s="319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19"/>
      <c r="B305" s="420"/>
      <c r="C305" s="420"/>
      <c r="D305" s="497"/>
      <c r="E305" s="422"/>
      <c r="F305" s="394"/>
      <c r="G305" s="422"/>
      <c r="H305" s="394"/>
      <c r="I305" s="497"/>
      <c r="J305" s="422"/>
      <c r="K305" s="502"/>
      <c r="L305" s="316"/>
      <c r="M305" s="316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25"/>
      <c r="B306" s="426"/>
      <c r="C306" s="426"/>
      <c r="D306" s="500"/>
      <c r="E306" s="428"/>
      <c r="F306" s="397"/>
      <c r="G306" s="428"/>
      <c r="H306" s="397"/>
      <c r="I306" s="500"/>
      <c r="J306" s="428"/>
      <c r="K306" s="433"/>
      <c r="L306" s="319"/>
      <c r="M306" s="319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19"/>
      <c r="B307" s="420"/>
      <c r="C307" s="420"/>
      <c r="D307" s="497"/>
      <c r="E307" s="422"/>
      <c r="F307" s="394"/>
      <c r="G307" s="422"/>
      <c r="H307" s="394"/>
      <c r="I307" s="497"/>
      <c r="J307" s="422"/>
      <c r="K307" s="433"/>
      <c r="L307" s="316"/>
      <c r="M307" s="316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25"/>
      <c r="B308" s="426"/>
      <c r="C308" s="426"/>
      <c r="D308" s="500"/>
      <c r="E308" s="428"/>
      <c r="F308" s="397"/>
      <c r="G308" s="428"/>
      <c r="H308" s="397"/>
      <c r="I308" s="500"/>
      <c r="J308" s="428"/>
      <c r="K308" s="433"/>
      <c r="L308" s="319"/>
      <c r="M308" s="319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19"/>
      <c r="B309" s="420"/>
      <c r="C309" s="420"/>
      <c r="D309" s="497"/>
      <c r="E309" s="422"/>
      <c r="F309" s="394"/>
      <c r="G309" s="422"/>
      <c r="H309" s="394"/>
      <c r="I309" s="497"/>
      <c r="J309" s="422"/>
      <c r="K309" s="438"/>
      <c r="L309" s="316"/>
      <c r="M309" s="316">
        <f t="shared" si="1"/>
        <v>0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25"/>
      <c r="B310" s="426"/>
      <c r="C310" s="426"/>
      <c r="D310" s="500"/>
      <c r="E310" s="428"/>
      <c r="F310" s="397"/>
      <c r="G310" s="428"/>
      <c r="H310" s="397"/>
      <c r="I310" s="500"/>
      <c r="J310" s="428"/>
      <c r="K310" s="433"/>
      <c r="L310" s="319"/>
      <c r="M310" s="319">
        <f t="shared" si="1"/>
        <v>0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19"/>
      <c r="B311" s="420"/>
      <c r="C311" s="420"/>
      <c r="D311" s="497"/>
      <c r="E311" s="422"/>
      <c r="F311" s="394"/>
      <c r="G311" s="422"/>
      <c r="H311" s="394"/>
      <c r="I311" s="497"/>
      <c r="J311" s="422"/>
      <c r="K311" s="433"/>
      <c r="L311" s="316"/>
      <c r="M311" s="316">
        <f t="shared" si="1"/>
        <v>0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25"/>
      <c r="B312" s="426"/>
      <c r="C312" s="426"/>
      <c r="D312" s="500"/>
      <c r="E312" s="428"/>
      <c r="F312" s="397"/>
      <c r="G312" s="428"/>
      <c r="H312" s="397"/>
      <c r="I312" s="500"/>
      <c r="J312" s="428"/>
      <c r="K312" s="433"/>
      <c r="L312" s="319"/>
      <c r="M312" s="319">
        <f t="shared" si="1"/>
        <v>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19"/>
      <c r="B313" s="420"/>
      <c r="C313" s="420"/>
      <c r="D313" s="497"/>
      <c r="E313" s="422"/>
      <c r="F313" s="394"/>
      <c r="G313" s="422"/>
      <c r="H313" s="394"/>
      <c r="I313" s="497"/>
      <c r="J313" s="422"/>
      <c r="K313" s="433"/>
      <c r="L313" s="316"/>
      <c r="M313" s="316">
        <f t="shared" si="1"/>
        <v>0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25"/>
      <c r="B314" s="426"/>
      <c r="C314" s="426"/>
      <c r="D314" s="500"/>
      <c r="E314" s="428"/>
      <c r="F314" s="397"/>
      <c r="G314" s="428"/>
      <c r="H314" s="397"/>
      <c r="I314" s="500"/>
      <c r="J314" s="428"/>
      <c r="K314" s="433"/>
      <c r="L314" s="319"/>
      <c r="M314" s="319">
        <f t="shared" si="1"/>
        <v>0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19"/>
      <c r="B315" s="420"/>
      <c r="C315" s="420"/>
      <c r="D315" s="497"/>
      <c r="E315" s="422"/>
      <c r="F315" s="394"/>
      <c r="G315" s="422"/>
      <c r="H315" s="394"/>
      <c r="I315" s="497"/>
      <c r="J315" s="422"/>
      <c r="K315" s="433"/>
      <c r="L315" s="316"/>
      <c r="M315" s="316">
        <f t="shared" si="1"/>
        <v>0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25"/>
      <c r="B316" s="426"/>
      <c r="C316" s="426"/>
      <c r="D316" s="500"/>
      <c r="E316" s="428"/>
      <c r="F316" s="397"/>
      <c r="G316" s="428"/>
      <c r="H316" s="397"/>
      <c r="I316" s="500"/>
      <c r="J316" s="428"/>
      <c r="K316" s="438"/>
      <c r="L316" s="319"/>
      <c r="M316" s="319">
        <f t="shared" si="1"/>
        <v>0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419"/>
      <c r="B317" s="420"/>
      <c r="C317" s="420"/>
      <c r="D317" s="497"/>
      <c r="E317" s="422"/>
      <c r="F317" s="394"/>
      <c r="G317" s="422"/>
      <c r="H317" s="394"/>
      <c r="I317" s="497"/>
      <c r="J317" s="422"/>
      <c r="K317" s="433"/>
      <c r="L317" s="316"/>
      <c r="M317" s="316">
        <f t="shared" si="1"/>
        <v>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25"/>
      <c r="B318" s="426"/>
      <c r="C318" s="426"/>
      <c r="D318" s="500"/>
      <c r="E318" s="428"/>
      <c r="F318" s="397"/>
      <c r="G318" s="428"/>
      <c r="H318" s="397"/>
      <c r="I318" s="500"/>
      <c r="J318" s="428"/>
      <c r="K318" s="507"/>
      <c r="L318" s="319"/>
      <c r="M318" s="319">
        <f t="shared" si="1"/>
        <v>0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19"/>
      <c r="B319" s="420"/>
      <c r="C319" s="420"/>
      <c r="D319" s="497"/>
      <c r="E319" s="422"/>
      <c r="F319" s="394"/>
      <c r="G319" s="422"/>
      <c r="H319" s="394"/>
      <c r="I319" s="497"/>
      <c r="J319" s="422"/>
      <c r="K319" s="433"/>
      <c r="L319" s="316"/>
      <c r="M319" s="316">
        <f t="shared" si="1"/>
        <v>0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25"/>
      <c r="B320" s="426"/>
      <c r="C320" s="426"/>
      <c r="D320" s="500"/>
      <c r="E320" s="428"/>
      <c r="F320" s="397"/>
      <c r="G320" s="428"/>
      <c r="H320" s="397"/>
      <c r="I320" s="500"/>
      <c r="J320" s="428"/>
      <c r="K320" s="433"/>
      <c r="L320" s="319"/>
      <c r="M320" s="319">
        <f t="shared" si="1"/>
        <v>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19"/>
      <c r="B321" s="420"/>
      <c r="C321" s="420"/>
      <c r="D321" s="497"/>
      <c r="E321" s="422"/>
      <c r="F321" s="394"/>
      <c r="G321" s="422"/>
      <c r="H321" s="394"/>
      <c r="I321" s="497"/>
      <c r="J321" s="422"/>
      <c r="K321" s="433"/>
      <c r="L321" s="316"/>
      <c r="M321" s="316">
        <f t="shared" si="1"/>
        <v>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425"/>
      <c r="B322" s="426"/>
      <c r="C322" s="426"/>
      <c r="D322" s="500"/>
      <c r="E322" s="428"/>
      <c r="F322" s="397"/>
      <c r="G322" s="428"/>
      <c r="H322" s="397"/>
      <c r="I322" s="500"/>
      <c r="J322" s="428"/>
      <c r="K322" s="433"/>
      <c r="L322" s="319"/>
      <c r="M322" s="319">
        <f t="shared" si="1"/>
        <v>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19"/>
      <c r="B323" s="420"/>
      <c r="C323" s="420"/>
      <c r="D323" s="497"/>
      <c r="E323" s="422"/>
      <c r="F323" s="394"/>
      <c r="G323" s="422"/>
      <c r="H323" s="394"/>
      <c r="I323" s="497"/>
      <c r="J323" s="422"/>
      <c r="K323" s="502"/>
      <c r="L323" s="316"/>
      <c r="M323" s="316">
        <f t="shared" si="1"/>
        <v>0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25"/>
      <c r="B324" s="426"/>
      <c r="C324" s="426"/>
      <c r="D324" s="500"/>
      <c r="E324" s="428"/>
      <c r="F324" s="397"/>
      <c r="G324" s="428"/>
      <c r="H324" s="397"/>
      <c r="I324" s="500"/>
      <c r="J324" s="428"/>
      <c r="K324" s="433"/>
      <c r="L324" s="319"/>
      <c r="M324" s="319">
        <f t="shared" si="1"/>
        <v>0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19"/>
      <c r="B325" s="420"/>
      <c r="C325" s="420"/>
      <c r="D325" s="497"/>
      <c r="E325" s="422"/>
      <c r="F325" s="394"/>
      <c r="G325" s="422"/>
      <c r="H325" s="394"/>
      <c r="I325" s="497"/>
      <c r="J325" s="422"/>
      <c r="K325" s="433"/>
      <c r="L325" s="316"/>
      <c r="M325" s="316">
        <f t="shared" si="1"/>
        <v>0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25"/>
      <c r="B326" s="426"/>
      <c r="C326" s="426"/>
      <c r="D326" s="500"/>
      <c r="E326" s="428"/>
      <c r="F326" s="397"/>
      <c r="G326" s="428"/>
      <c r="H326" s="397"/>
      <c r="I326" s="500"/>
      <c r="J326" s="428"/>
      <c r="K326" s="433"/>
      <c r="L326" s="319"/>
      <c r="M326" s="319">
        <f t="shared" si="1"/>
        <v>0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19"/>
      <c r="B327" s="420"/>
      <c r="C327" s="420"/>
      <c r="D327" s="497"/>
      <c r="E327" s="422"/>
      <c r="F327" s="394"/>
      <c r="G327" s="422"/>
      <c r="H327" s="394"/>
      <c r="I327" s="497"/>
      <c r="J327" s="422"/>
      <c r="K327" s="433"/>
      <c r="L327" s="316"/>
      <c r="M327" s="316">
        <f t="shared" si="1"/>
        <v>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25"/>
      <c r="B328" s="426"/>
      <c r="C328" s="426"/>
      <c r="D328" s="500"/>
      <c r="E328" s="428"/>
      <c r="F328" s="397"/>
      <c r="G328" s="428"/>
      <c r="H328" s="397"/>
      <c r="I328" s="500"/>
      <c r="J328" s="428"/>
      <c r="K328" s="433"/>
      <c r="L328" s="319"/>
      <c r="M328" s="319">
        <f t="shared" si="1"/>
        <v>0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19"/>
      <c r="B329" s="420"/>
      <c r="C329" s="420"/>
      <c r="D329" s="497"/>
      <c r="E329" s="422"/>
      <c r="F329" s="394"/>
      <c r="G329" s="422"/>
      <c r="H329" s="394"/>
      <c r="I329" s="497"/>
      <c r="J329" s="422"/>
      <c r="K329" s="433"/>
      <c r="L329" s="316"/>
      <c r="M329" s="316">
        <f t="shared" si="1"/>
        <v>0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25"/>
      <c r="B330" s="426"/>
      <c r="C330" s="426"/>
      <c r="D330" s="500"/>
      <c r="E330" s="428"/>
      <c r="F330" s="397"/>
      <c r="G330" s="428"/>
      <c r="H330" s="397"/>
      <c r="I330" s="500"/>
      <c r="J330" s="428"/>
      <c r="K330" s="433"/>
      <c r="L330" s="319"/>
      <c r="M330" s="319">
        <f t="shared" si="1"/>
        <v>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19"/>
      <c r="B331" s="420"/>
      <c r="C331" s="420"/>
      <c r="D331" s="497"/>
      <c r="E331" s="422"/>
      <c r="F331" s="394"/>
      <c r="G331" s="422"/>
      <c r="H331" s="394"/>
      <c r="I331" s="497"/>
      <c r="J331" s="422"/>
      <c r="K331" s="433"/>
      <c r="L331" s="316"/>
      <c r="M331" s="316">
        <f t="shared" si="1"/>
        <v>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25"/>
      <c r="B332" s="426"/>
      <c r="C332" s="426"/>
      <c r="D332" s="500"/>
      <c r="E332" s="428"/>
      <c r="F332" s="397"/>
      <c r="G332" s="428"/>
      <c r="H332" s="397"/>
      <c r="I332" s="500"/>
      <c r="J332" s="428"/>
      <c r="K332" s="433"/>
      <c r="L332" s="319"/>
      <c r="M332" s="319">
        <f t="shared" si="1"/>
        <v>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19"/>
      <c r="B333" s="420"/>
      <c r="C333" s="420"/>
      <c r="D333" s="497"/>
      <c r="E333" s="422"/>
      <c r="F333" s="394"/>
      <c r="G333" s="422"/>
      <c r="H333" s="394"/>
      <c r="I333" s="497"/>
      <c r="J333" s="422"/>
      <c r="K333" s="438"/>
      <c r="L333" s="316"/>
      <c r="M333" s="316">
        <f t="shared" si="1"/>
        <v>0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25"/>
      <c r="B334" s="426"/>
      <c r="C334" s="426"/>
      <c r="D334" s="500"/>
      <c r="E334" s="428"/>
      <c r="F334" s="397"/>
      <c r="G334" s="428"/>
      <c r="H334" s="397"/>
      <c r="I334" s="500"/>
      <c r="J334" s="428"/>
      <c r="K334" s="433"/>
      <c r="L334" s="319"/>
      <c r="M334" s="319">
        <f t="shared" si="1"/>
        <v>0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19"/>
      <c r="B335" s="420"/>
      <c r="C335" s="420"/>
      <c r="D335" s="497"/>
      <c r="E335" s="422"/>
      <c r="F335" s="394"/>
      <c r="G335" s="422"/>
      <c r="H335" s="394"/>
      <c r="I335" s="497"/>
      <c r="J335" s="422"/>
      <c r="K335" s="433"/>
      <c r="L335" s="316"/>
      <c r="M335" s="316">
        <f t="shared" si="1"/>
        <v>0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25"/>
      <c r="B336" s="426"/>
      <c r="C336" s="426"/>
      <c r="D336" s="500"/>
      <c r="E336" s="428"/>
      <c r="F336" s="397"/>
      <c r="G336" s="428"/>
      <c r="H336" s="397"/>
      <c r="I336" s="500"/>
      <c r="J336" s="428"/>
      <c r="K336" s="438"/>
      <c r="L336" s="319"/>
      <c r="M336" s="319">
        <f t="shared" si="1"/>
        <v>0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19"/>
      <c r="B337" s="420"/>
      <c r="C337" s="420"/>
      <c r="D337" s="497"/>
      <c r="E337" s="422"/>
      <c r="F337" s="394"/>
      <c r="G337" s="422"/>
      <c r="H337" s="394"/>
      <c r="I337" s="497"/>
      <c r="J337" s="422"/>
      <c r="K337" s="508"/>
      <c r="L337" s="316"/>
      <c r="M337" s="316">
        <f t="shared" si="1"/>
        <v>0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25"/>
      <c r="B338" s="426"/>
      <c r="C338" s="426"/>
      <c r="D338" s="500"/>
      <c r="E338" s="428"/>
      <c r="F338" s="397"/>
      <c r="G338" s="428"/>
      <c r="H338" s="397"/>
      <c r="I338" s="500"/>
      <c r="J338" s="428"/>
      <c r="K338" s="433"/>
      <c r="L338" s="319"/>
      <c r="M338" s="319">
        <f t="shared" si="1"/>
        <v>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19"/>
      <c r="B339" s="420"/>
      <c r="C339" s="420"/>
      <c r="D339" s="497"/>
      <c r="E339" s="422"/>
      <c r="F339" s="394"/>
      <c r="G339" s="422"/>
      <c r="H339" s="394"/>
      <c r="I339" s="497"/>
      <c r="J339" s="422"/>
      <c r="K339" s="433"/>
      <c r="L339" s="316"/>
      <c r="M339" s="316">
        <f t="shared" si="1"/>
        <v>0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425"/>
      <c r="B340" s="426"/>
      <c r="C340" s="426"/>
      <c r="D340" s="500"/>
      <c r="E340" s="428"/>
      <c r="F340" s="397"/>
      <c r="G340" s="428"/>
      <c r="H340" s="397"/>
      <c r="I340" s="500"/>
      <c r="J340" s="428"/>
      <c r="K340" s="433"/>
      <c r="L340" s="319"/>
      <c r="M340" s="319">
        <f t="shared" si="1"/>
        <v>0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19"/>
      <c r="B341" s="420"/>
      <c r="C341" s="420"/>
      <c r="D341" s="497"/>
      <c r="E341" s="422"/>
      <c r="F341" s="394"/>
      <c r="G341" s="422"/>
      <c r="H341" s="394"/>
      <c r="I341" s="497"/>
      <c r="J341" s="422"/>
      <c r="K341" s="433"/>
      <c r="L341" s="316"/>
      <c r="M341" s="316">
        <f t="shared" si="1"/>
        <v>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25"/>
      <c r="B342" s="426"/>
      <c r="C342" s="426"/>
      <c r="D342" s="500"/>
      <c r="E342" s="428"/>
      <c r="F342" s="397"/>
      <c r="G342" s="428"/>
      <c r="H342" s="397"/>
      <c r="I342" s="500"/>
      <c r="J342" s="428"/>
      <c r="K342" s="433"/>
      <c r="L342" s="319"/>
      <c r="M342" s="319">
        <f t="shared" si="1"/>
        <v>0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19"/>
      <c r="B343" s="420"/>
      <c r="C343" s="420"/>
      <c r="D343" s="497"/>
      <c r="E343" s="422"/>
      <c r="F343" s="394"/>
      <c r="G343" s="422"/>
      <c r="H343" s="394"/>
      <c r="I343" s="497"/>
      <c r="J343" s="422"/>
      <c r="K343" s="433"/>
      <c r="L343" s="316"/>
      <c r="M343" s="316">
        <f t="shared" si="1"/>
        <v>0</v>
      </c>
      <c r="N343" s="25"/>
      <c r="O343" s="133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25"/>
      <c r="B344" s="426"/>
      <c r="C344" s="426"/>
      <c r="D344" s="500"/>
      <c r="E344" s="428"/>
      <c r="F344" s="397"/>
      <c r="G344" s="428"/>
      <c r="H344" s="397"/>
      <c r="I344" s="500"/>
      <c r="J344" s="428"/>
      <c r="K344" s="438"/>
      <c r="L344" s="319"/>
      <c r="M344" s="319">
        <f t="shared" si="1"/>
        <v>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19"/>
      <c r="B345" s="420"/>
      <c r="C345" s="420"/>
      <c r="D345" s="497"/>
      <c r="E345" s="422"/>
      <c r="F345" s="394"/>
      <c r="G345" s="422"/>
      <c r="H345" s="394"/>
      <c r="I345" s="497"/>
      <c r="J345" s="422"/>
      <c r="K345" s="438"/>
      <c r="L345" s="316"/>
      <c r="M345" s="316">
        <f t="shared" si="1"/>
        <v>0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25"/>
      <c r="B346" s="426"/>
      <c r="C346" s="426"/>
      <c r="D346" s="500"/>
      <c r="E346" s="428"/>
      <c r="F346" s="397"/>
      <c r="G346" s="428"/>
      <c r="H346" s="397"/>
      <c r="I346" s="500"/>
      <c r="J346" s="428"/>
      <c r="K346" s="433"/>
      <c r="L346" s="319"/>
      <c r="M346" s="319">
        <f t="shared" si="1"/>
        <v>0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19"/>
      <c r="B347" s="420"/>
      <c r="C347" s="420"/>
      <c r="D347" s="497"/>
      <c r="E347" s="422"/>
      <c r="F347" s="394"/>
      <c r="G347" s="422"/>
      <c r="H347" s="394"/>
      <c r="I347" s="497"/>
      <c r="J347" s="422"/>
      <c r="K347" s="438"/>
      <c r="L347" s="316"/>
      <c r="M347" s="316">
        <f t="shared" si="1"/>
        <v>0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25"/>
      <c r="B348" s="426"/>
      <c r="C348" s="426"/>
      <c r="D348" s="500"/>
      <c r="E348" s="428"/>
      <c r="F348" s="397"/>
      <c r="G348" s="428"/>
      <c r="H348" s="397"/>
      <c r="I348" s="500"/>
      <c r="J348" s="428"/>
      <c r="K348" s="433"/>
      <c r="L348" s="319"/>
      <c r="M348" s="319">
        <f t="shared" si="1"/>
        <v>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419"/>
      <c r="B349" s="420"/>
      <c r="C349" s="420"/>
      <c r="D349" s="497"/>
      <c r="E349" s="422"/>
      <c r="F349" s="394"/>
      <c r="G349" s="422"/>
      <c r="H349" s="394"/>
      <c r="I349" s="497"/>
      <c r="J349" s="422"/>
      <c r="K349" s="509"/>
      <c r="L349" s="316"/>
      <c r="M349" s="316">
        <f t="shared" si="1"/>
        <v>0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25"/>
      <c r="B350" s="426"/>
      <c r="C350" s="426"/>
      <c r="D350" s="500"/>
      <c r="E350" s="428"/>
      <c r="F350" s="397"/>
      <c r="G350" s="428"/>
      <c r="H350" s="397"/>
      <c r="I350" s="500"/>
      <c r="J350" s="428"/>
      <c r="K350" s="433"/>
      <c r="L350" s="319"/>
      <c r="M350" s="319">
        <f t="shared" si="1"/>
        <v>0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19"/>
      <c r="B351" s="420"/>
      <c r="C351" s="420"/>
      <c r="D351" s="497"/>
      <c r="E351" s="422"/>
      <c r="F351" s="394"/>
      <c r="G351" s="422"/>
      <c r="H351" s="394"/>
      <c r="I351" s="497"/>
      <c r="J351" s="422"/>
      <c r="K351" s="433"/>
      <c r="L351" s="316"/>
      <c r="M351" s="316">
        <f t="shared" si="1"/>
        <v>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25"/>
      <c r="B352" s="426"/>
      <c r="C352" s="426"/>
      <c r="D352" s="500"/>
      <c r="E352" s="428"/>
      <c r="F352" s="397"/>
      <c r="G352" s="428"/>
      <c r="H352" s="397"/>
      <c r="I352" s="500"/>
      <c r="J352" s="428"/>
      <c r="K352" s="433"/>
      <c r="L352" s="319"/>
      <c r="M352" s="319">
        <f t="shared" si="1"/>
        <v>0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19"/>
      <c r="B353" s="420"/>
      <c r="C353" s="420"/>
      <c r="D353" s="497"/>
      <c r="E353" s="422"/>
      <c r="F353" s="394"/>
      <c r="G353" s="422"/>
      <c r="H353" s="394"/>
      <c r="I353" s="497"/>
      <c r="J353" s="422"/>
      <c r="K353" s="433"/>
      <c r="L353" s="316"/>
      <c r="M353" s="316">
        <f t="shared" si="1"/>
        <v>0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25"/>
      <c r="B354" s="426"/>
      <c r="C354" s="426"/>
      <c r="D354" s="500"/>
      <c r="E354" s="428"/>
      <c r="F354" s="397"/>
      <c r="G354" s="428"/>
      <c r="H354" s="397"/>
      <c r="I354" s="500"/>
      <c r="J354" s="428"/>
      <c r="K354" s="507"/>
      <c r="L354" s="319"/>
      <c r="M354" s="319">
        <f t="shared" si="1"/>
        <v>0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19"/>
      <c r="B355" s="420"/>
      <c r="C355" s="420"/>
      <c r="D355" s="497"/>
      <c r="E355" s="422"/>
      <c r="F355" s="394"/>
      <c r="G355" s="422"/>
      <c r="H355" s="394"/>
      <c r="I355" s="497"/>
      <c r="J355" s="422"/>
      <c r="K355" s="438"/>
      <c r="L355" s="316"/>
      <c r="M355" s="316">
        <f t="shared" si="1"/>
        <v>0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25"/>
      <c r="B356" s="426"/>
      <c r="C356" s="426"/>
      <c r="D356" s="500"/>
      <c r="E356" s="428"/>
      <c r="F356" s="397"/>
      <c r="G356" s="428"/>
      <c r="H356" s="397"/>
      <c r="I356" s="500"/>
      <c r="J356" s="428"/>
      <c r="K356" s="433"/>
      <c r="L356" s="319"/>
      <c r="M356" s="319">
        <f t="shared" si="1"/>
        <v>0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19"/>
      <c r="B357" s="420"/>
      <c r="C357" s="420"/>
      <c r="D357" s="497"/>
      <c r="E357" s="422"/>
      <c r="F357" s="394"/>
      <c r="G357" s="422"/>
      <c r="H357" s="394"/>
      <c r="I357" s="497"/>
      <c r="J357" s="422"/>
      <c r="K357" s="433"/>
      <c r="L357" s="316"/>
      <c r="M357" s="316">
        <f t="shared" si="1"/>
        <v>0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0" customHeight="1">
      <c r="A358" s="425"/>
      <c r="B358" s="426"/>
      <c r="C358" s="426"/>
      <c r="D358" s="500"/>
      <c r="E358" s="428"/>
      <c r="F358" s="397"/>
      <c r="G358" s="428"/>
      <c r="H358" s="397"/>
      <c r="I358" s="500"/>
      <c r="J358" s="428"/>
      <c r="K358" s="433"/>
      <c r="L358" s="319"/>
      <c r="M358" s="319">
        <f t="shared" si="1"/>
        <v>0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19"/>
      <c r="B359" s="420"/>
      <c r="C359" s="420"/>
      <c r="D359" s="497"/>
      <c r="E359" s="422"/>
      <c r="F359" s="394"/>
      <c r="G359" s="422"/>
      <c r="H359" s="394"/>
      <c r="I359" s="497"/>
      <c r="J359" s="422"/>
      <c r="K359" s="433"/>
      <c r="L359" s="316"/>
      <c r="M359" s="316">
        <f t="shared" si="1"/>
        <v>0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25"/>
      <c r="B360" s="426"/>
      <c r="C360" s="426"/>
      <c r="D360" s="500"/>
      <c r="E360" s="428"/>
      <c r="F360" s="397"/>
      <c r="G360" s="428"/>
      <c r="H360" s="397"/>
      <c r="I360" s="500"/>
      <c r="J360" s="428"/>
      <c r="K360" s="433"/>
      <c r="L360" s="319"/>
      <c r="M360" s="319">
        <f t="shared" si="1"/>
        <v>0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19"/>
      <c r="B361" s="420"/>
      <c r="C361" s="420"/>
      <c r="D361" s="497"/>
      <c r="E361" s="422"/>
      <c r="F361" s="394"/>
      <c r="G361" s="422"/>
      <c r="H361" s="394"/>
      <c r="I361" s="497"/>
      <c r="J361" s="422"/>
      <c r="K361" s="433"/>
      <c r="L361" s="316"/>
      <c r="M361" s="316">
        <f t="shared" si="1"/>
        <v>0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0" customHeight="1">
      <c r="A362" s="425"/>
      <c r="B362" s="426"/>
      <c r="C362" s="426"/>
      <c r="D362" s="500"/>
      <c r="E362" s="428"/>
      <c r="F362" s="397"/>
      <c r="G362" s="428"/>
      <c r="H362" s="397"/>
      <c r="I362" s="500"/>
      <c r="J362" s="428"/>
      <c r="K362" s="433"/>
      <c r="L362" s="319"/>
      <c r="M362" s="319">
        <f t="shared" si="1"/>
        <v>0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19"/>
      <c r="B363" s="420"/>
      <c r="C363" s="420"/>
      <c r="D363" s="497"/>
      <c r="E363" s="422"/>
      <c r="F363" s="394"/>
      <c r="G363" s="422"/>
      <c r="H363" s="394"/>
      <c r="I363" s="497"/>
      <c r="J363" s="422"/>
      <c r="K363" s="433"/>
      <c r="L363" s="316"/>
      <c r="M363" s="316">
        <f t="shared" si="1"/>
        <v>0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25"/>
      <c r="B364" s="426"/>
      <c r="C364" s="426"/>
      <c r="D364" s="500"/>
      <c r="E364" s="428"/>
      <c r="F364" s="397"/>
      <c r="G364" s="428"/>
      <c r="H364" s="397"/>
      <c r="I364" s="500"/>
      <c r="J364" s="428"/>
      <c r="K364" s="433"/>
      <c r="L364" s="319"/>
      <c r="M364" s="319">
        <f t="shared" si="1"/>
        <v>0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19"/>
      <c r="B365" s="420"/>
      <c r="C365" s="420"/>
      <c r="D365" s="497"/>
      <c r="E365" s="422"/>
      <c r="F365" s="394"/>
      <c r="G365" s="422"/>
      <c r="H365" s="394"/>
      <c r="I365" s="497"/>
      <c r="J365" s="422"/>
      <c r="K365" s="433"/>
      <c r="L365" s="316"/>
      <c r="M365" s="316">
        <f t="shared" si="1"/>
        <v>0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25"/>
      <c r="B366" s="426"/>
      <c r="C366" s="426"/>
      <c r="D366" s="500"/>
      <c r="E366" s="428"/>
      <c r="F366" s="397"/>
      <c r="G366" s="428"/>
      <c r="H366" s="397"/>
      <c r="I366" s="500"/>
      <c r="J366" s="428"/>
      <c r="K366" s="433"/>
      <c r="L366" s="319"/>
      <c r="M366" s="319">
        <f t="shared" si="1"/>
        <v>0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19"/>
      <c r="B367" s="420"/>
      <c r="C367" s="420"/>
      <c r="D367" s="497"/>
      <c r="E367" s="422"/>
      <c r="F367" s="394"/>
      <c r="G367" s="422"/>
      <c r="H367" s="394"/>
      <c r="I367" s="497"/>
      <c r="J367" s="422"/>
      <c r="K367" s="433"/>
      <c r="L367" s="316"/>
      <c r="M367" s="316">
        <f t="shared" si="1"/>
        <v>0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25"/>
      <c r="B368" s="426"/>
      <c r="C368" s="426"/>
      <c r="D368" s="500"/>
      <c r="E368" s="428"/>
      <c r="F368" s="397"/>
      <c r="G368" s="428"/>
      <c r="H368" s="397"/>
      <c r="I368" s="500"/>
      <c r="J368" s="428"/>
      <c r="K368" s="433"/>
      <c r="L368" s="319"/>
      <c r="M368" s="319">
        <f t="shared" si="1"/>
        <v>0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19"/>
      <c r="B369" s="420"/>
      <c r="C369" s="420"/>
      <c r="D369" s="497"/>
      <c r="E369" s="422"/>
      <c r="F369" s="394"/>
      <c r="G369" s="422"/>
      <c r="H369" s="394"/>
      <c r="I369" s="497"/>
      <c r="J369" s="422"/>
      <c r="K369" s="433"/>
      <c r="L369" s="316"/>
      <c r="M369" s="316">
        <f t="shared" si="1"/>
        <v>0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25"/>
      <c r="B370" s="426"/>
      <c r="C370" s="426"/>
      <c r="D370" s="500"/>
      <c r="E370" s="428"/>
      <c r="F370" s="397"/>
      <c r="G370" s="428"/>
      <c r="H370" s="397"/>
      <c r="I370" s="500"/>
      <c r="J370" s="428"/>
      <c r="K370" s="433"/>
      <c r="L370" s="319"/>
      <c r="M370" s="319">
        <f t="shared" si="1"/>
        <v>0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19"/>
      <c r="B371" s="420"/>
      <c r="C371" s="420"/>
      <c r="D371" s="497"/>
      <c r="E371" s="422"/>
      <c r="F371" s="394"/>
      <c r="G371" s="422"/>
      <c r="H371" s="394"/>
      <c r="I371" s="497"/>
      <c r="J371" s="422"/>
      <c r="K371" s="433"/>
      <c r="L371" s="316"/>
      <c r="M371" s="316">
        <f t="shared" si="1"/>
        <v>0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25"/>
      <c r="B372" s="426"/>
      <c r="C372" s="426"/>
      <c r="D372" s="500"/>
      <c r="E372" s="428"/>
      <c r="F372" s="397"/>
      <c r="G372" s="428"/>
      <c r="H372" s="397"/>
      <c r="I372" s="500"/>
      <c r="J372" s="428"/>
      <c r="K372" s="433"/>
      <c r="L372" s="319"/>
      <c r="M372" s="319">
        <f t="shared" si="1"/>
        <v>0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19"/>
      <c r="B373" s="420"/>
      <c r="C373" s="420"/>
      <c r="D373" s="497"/>
      <c r="E373" s="422"/>
      <c r="F373" s="394"/>
      <c r="G373" s="422"/>
      <c r="H373" s="394"/>
      <c r="I373" s="497"/>
      <c r="J373" s="422"/>
      <c r="K373" s="433"/>
      <c r="L373" s="316"/>
      <c r="M373" s="316">
        <f t="shared" si="1"/>
        <v>0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0" customHeight="1">
      <c r="A374" s="425"/>
      <c r="B374" s="426"/>
      <c r="C374" s="426"/>
      <c r="D374" s="500"/>
      <c r="E374" s="428"/>
      <c r="F374" s="397"/>
      <c r="G374" s="428"/>
      <c r="H374" s="397"/>
      <c r="I374" s="500"/>
      <c r="J374" s="428"/>
      <c r="K374" s="433"/>
      <c r="L374" s="319"/>
      <c r="M374" s="319">
        <f t="shared" si="1"/>
        <v>0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19"/>
      <c r="B375" s="420"/>
      <c r="C375" s="420"/>
      <c r="D375" s="497"/>
      <c r="E375" s="422"/>
      <c r="F375" s="394"/>
      <c r="G375" s="422"/>
      <c r="H375" s="394"/>
      <c r="I375" s="497"/>
      <c r="J375" s="422"/>
      <c r="K375" s="509"/>
      <c r="L375" s="316"/>
      <c r="M375" s="316">
        <f t="shared" si="1"/>
        <v>0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25"/>
      <c r="B376" s="426"/>
      <c r="C376" s="426"/>
      <c r="D376" s="500"/>
      <c r="E376" s="428"/>
      <c r="F376" s="397"/>
      <c r="G376" s="428"/>
      <c r="H376" s="397"/>
      <c r="I376" s="500"/>
      <c r="J376" s="428"/>
      <c r="K376" s="433"/>
      <c r="L376" s="319"/>
      <c r="M376" s="319">
        <f t="shared" si="1"/>
        <v>0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19"/>
      <c r="B377" s="420"/>
      <c r="C377" s="420"/>
      <c r="D377" s="497"/>
      <c r="E377" s="422"/>
      <c r="F377" s="394"/>
      <c r="G377" s="422"/>
      <c r="H377" s="394"/>
      <c r="I377" s="497"/>
      <c r="J377" s="422"/>
      <c r="K377" s="433"/>
      <c r="L377" s="316"/>
      <c r="M377" s="316">
        <f t="shared" si="1"/>
        <v>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25"/>
      <c r="B378" s="426"/>
      <c r="C378" s="426"/>
      <c r="D378" s="500"/>
      <c r="E378" s="428"/>
      <c r="F378" s="397"/>
      <c r="G378" s="428"/>
      <c r="H378" s="397"/>
      <c r="I378" s="500"/>
      <c r="J378" s="428"/>
      <c r="K378" s="438"/>
      <c r="L378" s="319"/>
      <c r="M378" s="319">
        <f t="shared" si="1"/>
        <v>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19"/>
      <c r="B379" s="420"/>
      <c r="C379" s="420"/>
      <c r="D379" s="497"/>
      <c r="E379" s="422"/>
      <c r="F379" s="394"/>
      <c r="G379" s="422"/>
      <c r="H379" s="394"/>
      <c r="I379" s="497"/>
      <c r="J379" s="422"/>
      <c r="K379" s="433"/>
      <c r="L379" s="316"/>
      <c r="M379" s="316">
        <f t="shared" si="1"/>
        <v>0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25"/>
      <c r="B380" s="426"/>
      <c r="C380" s="426"/>
      <c r="D380" s="500"/>
      <c r="E380" s="428"/>
      <c r="F380" s="397"/>
      <c r="G380" s="428"/>
      <c r="H380" s="397"/>
      <c r="I380" s="500"/>
      <c r="J380" s="428"/>
      <c r="K380" s="433"/>
      <c r="L380" s="319"/>
      <c r="M380" s="319">
        <f t="shared" si="1"/>
        <v>0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19"/>
      <c r="B381" s="420"/>
      <c r="C381" s="420"/>
      <c r="D381" s="497"/>
      <c r="E381" s="422"/>
      <c r="F381" s="394"/>
      <c r="G381" s="422"/>
      <c r="H381" s="394"/>
      <c r="I381" s="497"/>
      <c r="J381" s="422"/>
      <c r="K381" s="433"/>
      <c r="L381" s="316"/>
      <c r="M381" s="316">
        <f t="shared" si="1"/>
        <v>0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25"/>
      <c r="B382" s="426"/>
      <c r="C382" s="426"/>
      <c r="D382" s="500"/>
      <c r="E382" s="428"/>
      <c r="F382" s="397"/>
      <c r="G382" s="428"/>
      <c r="H382" s="397"/>
      <c r="I382" s="500"/>
      <c r="J382" s="428"/>
      <c r="K382" s="433"/>
      <c r="L382" s="319"/>
      <c r="M382" s="319">
        <f t="shared" si="1"/>
        <v>0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19"/>
      <c r="B383" s="420"/>
      <c r="C383" s="420"/>
      <c r="D383" s="497"/>
      <c r="E383" s="422"/>
      <c r="F383" s="394"/>
      <c r="G383" s="422"/>
      <c r="H383" s="394"/>
      <c r="I383" s="497"/>
      <c r="J383" s="422"/>
      <c r="K383" s="438"/>
      <c r="L383" s="316"/>
      <c r="M383" s="316">
        <f t="shared" si="1"/>
        <v>0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25"/>
      <c r="B384" s="426"/>
      <c r="C384" s="426"/>
      <c r="D384" s="500"/>
      <c r="E384" s="428"/>
      <c r="F384" s="397"/>
      <c r="G384" s="428"/>
      <c r="H384" s="397"/>
      <c r="I384" s="500"/>
      <c r="J384" s="428"/>
      <c r="K384" s="433"/>
      <c r="L384" s="319"/>
      <c r="M384" s="319">
        <f t="shared" si="1"/>
        <v>0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19"/>
      <c r="B385" s="420"/>
      <c r="C385" s="420"/>
      <c r="D385" s="497"/>
      <c r="E385" s="422"/>
      <c r="F385" s="394"/>
      <c r="G385" s="422"/>
      <c r="H385" s="394"/>
      <c r="I385" s="497"/>
      <c r="J385" s="422"/>
      <c r="K385" s="438"/>
      <c r="L385" s="316"/>
      <c r="M385" s="316">
        <f t="shared" si="1"/>
        <v>0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25"/>
      <c r="B386" s="426"/>
      <c r="C386" s="426"/>
      <c r="D386" s="500"/>
      <c r="E386" s="428"/>
      <c r="F386" s="397"/>
      <c r="G386" s="428"/>
      <c r="H386" s="397"/>
      <c r="I386" s="500"/>
      <c r="J386" s="428"/>
      <c r="K386" s="433"/>
      <c r="L386" s="319"/>
      <c r="M386" s="319">
        <f t="shared" si="1"/>
        <v>0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0" customHeight="1">
      <c r="A387" s="419"/>
      <c r="B387" s="420"/>
      <c r="C387" s="420"/>
      <c r="D387" s="497"/>
      <c r="E387" s="422"/>
      <c r="F387" s="394"/>
      <c r="G387" s="422"/>
      <c r="H387" s="394"/>
      <c r="I387" s="497"/>
      <c r="J387" s="422"/>
      <c r="K387" s="433"/>
      <c r="L387" s="316"/>
      <c r="M387" s="316">
        <f t="shared" si="1"/>
        <v>0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25"/>
      <c r="B388" s="426"/>
      <c r="C388" s="426"/>
      <c r="D388" s="500"/>
      <c r="E388" s="428"/>
      <c r="F388" s="397"/>
      <c r="G388" s="428"/>
      <c r="H388" s="397"/>
      <c r="I388" s="500"/>
      <c r="J388" s="428"/>
      <c r="K388" s="433"/>
      <c r="L388" s="319"/>
      <c r="M388" s="319">
        <f t="shared" si="1"/>
        <v>0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19"/>
      <c r="B389" s="420"/>
      <c r="C389" s="420"/>
      <c r="D389" s="497"/>
      <c r="E389" s="422"/>
      <c r="F389" s="394"/>
      <c r="G389" s="422"/>
      <c r="H389" s="394"/>
      <c r="I389" s="497"/>
      <c r="J389" s="422"/>
      <c r="K389" s="433"/>
      <c r="L389" s="316"/>
      <c r="M389" s="316">
        <f t="shared" si="1"/>
        <v>0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25"/>
      <c r="B390" s="426"/>
      <c r="C390" s="426"/>
      <c r="D390" s="500"/>
      <c r="E390" s="428"/>
      <c r="F390" s="397"/>
      <c r="G390" s="428"/>
      <c r="H390" s="397"/>
      <c r="I390" s="500"/>
      <c r="J390" s="428"/>
      <c r="K390" s="433"/>
      <c r="L390" s="319"/>
      <c r="M390" s="319">
        <f t="shared" si="1"/>
        <v>0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19"/>
      <c r="B391" s="420"/>
      <c r="C391" s="420"/>
      <c r="D391" s="497"/>
      <c r="E391" s="422"/>
      <c r="F391" s="394"/>
      <c r="G391" s="422"/>
      <c r="H391" s="394"/>
      <c r="I391" s="497"/>
      <c r="J391" s="422"/>
      <c r="K391" s="433"/>
      <c r="L391" s="316"/>
      <c r="M391" s="316">
        <f t="shared" si="1"/>
        <v>0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25"/>
      <c r="B392" s="426"/>
      <c r="C392" s="426"/>
      <c r="D392" s="500"/>
      <c r="E392" s="428"/>
      <c r="F392" s="397"/>
      <c r="G392" s="428"/>
      <c r="H392" s="397"/>
      <c r="I392" s="500"/>
      <c r="J392" s="428"/>
      <c r="K392" s="438"/>
      <c r="L392" s="319"/>
      <c r="M392" s="319">
        <f t="shared" si="1"/>
        <v>0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19"/>
      <c r="B393" s="420"/>
      <c r="C393" s="420"/>
      <c r="D393" s="497"/>
      <c r="E393" s="422"/>
      <c r="F393" s="394"/>
      <c r="G393" s="422"/>
      <c r="H393" s="394"/>
      <c r="I393" s="497"/>
      <c r="J393" s="422"/>
      <c r="K393" s="433"/>
      <c r="L393" s="316"/>
      <c r="M393" s="316">
        <f t="shared" si="1"/>
        <v>0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25"/>
      <c r="B394" s="426"/>
      <c r="C394" s="426"/>
      <c r="D394" s="504"/>
      <c r="E394" s="428"/>
      <c r="F394" s="397"/>
      <c r="G394" s="428"/>
      <c r="H394" s="397"/>
      <c r="I394" s="500"/>
      <c r="J394" s="428"/>
      <c r="K394" s="433"/>
      <c r="L394" s="319"/>
      <c r="M394" s="319">
        <f t="shared" si="1"/>
        <v>0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19"/>
      <c r="B395" s="420"/>
      <c r="C395" s="420"/>
      <c r="D395" s="497"/>
      <c r="E395" s="422"/>
      <c r="F395" s="394"/>
      <c r="G395" s="422"/>
      <c r="H395" s="394"/>
      <c r="I395" s="497"/>
      <c r="J395" s="422"/>
      <c r="K395" s="433"/>
      <c r="L395" s="316"/>
      <c r="M395" s="316">
        <f t="shared" si="1"/>
        <v>0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25"/>
      <c r="B396" s="426"/>
      <c r="C396" s="426"/>
      <c r="D396" s="500"/>
      <c r="E396" s="428"/>
      <c r="F396" s="397"/>
      <c r="G396" s="428"/>
      <c r="H396" s="397"/>
      <c r="I396" s="500"/>
      <c r="J396" s="428"/>
      <c r="K396" s="433"/>
      <c r="L396" s="319"/>
      <c r="M396" s="319">
        <f t="shared" si="1"/>
        <v>0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19"/>
      <c r="B397" s="420"/>
      <c r="C397" s="420"/>
      <c r="D397" s="497"/>
      <c r="E397" s="422"/>
      <c r="F397" s="394"/>
      <c r="G397" s="422"/>
      <c r="H397" s="394"/>
      <c r="I397" s="497"/>
      <c r="J397" s="422"/>
      <c r="K397" s="509"/>
      <c r="L397" s="316"/>
      <c r="M397" s="316">
        <f t="shared" si="1"/>
        <v>0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25"/>
      <c r="B398" s="426"/>
      <c r="C398" s="426"/>
      <c r="D398" s="500"/>
      <c r="E398" s="428"/>
      <c r="F398" s="397"/>
      <c r="G398" s="428"/>
      <c r="H398" s="397"/>
      <c r="I398" s="500"/>
      <c r="J398" s="428"/>
      <c r="K398" s="433"/>
      <c r="L398" s="319"/>
      <c r="M398" s="319">
        <f t="shared" si="1"/>
        <v>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19"/>
      <c r="B399" s="420"/>
      <c r="C399" s="420"/>
      <c r="D399" s="497"/>
      <c r="E399" s="422"/>
      <c r="F399" s="394"/>
      <c r="G399" s="422"/>
      <c r="H399" s="394"/>
      <c r="I399" s="497"/>
      <c r="J399" s="422"/>
      <c r="K399" s="433"/>
      <c r="L399" s="316"/>
      <c r="M399" s="316">
        <f t="shared" si="1"/>
        <v>0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25"/>
      <c r="B400" s="426"/>
      <c r="C400" s="426"/>
      <c r="D400" s="500"/>
      <c r="E400" s="428"/>
      <c r="F400" s="397"/>
      <c r="G400" s="428"/>
      <c r="H400" s="397"/>
      <c r="I400" s="500"/>
      <c r="J400" s="428"/>
      <c r="K400" s="433"/>
      <c r="L400" s="319"/>
      <c r="M400" s="319">
        <f t="shared" si="1"/>
        <v>0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19"/>
      <c r="B401" s="420"/>
      <c r="C401" s="420"/>
      <c r="D401" s="497"/>
      <c r="E401" s="422"/>
      <c r="F401" s="394"/>
      <c r="G401" s="422"/>
      <c r="H401" s="394"/>
      <c r="I401" s="497"/>
      <c r="J401" s="422"/>
      <c r="K401" s="433"/>
      <c r="L401" s="316"/>
      <c r="M401" s="316">
        <f t="shared" si="1"/>
        <v>0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25"/>
      <c r="B402" s="426"/>
      <c r="C402" s="426"/>
      <c r="D402" s="500"/>
      <c r="E402" s="428"/>
      <c r="F402" s="397"/>
      <c r="G402" s="428"/>
      <c r="H402" s="397"/>
      <c r="I402" s="500"/>
      <c r="J402" s="428"/>
      <c r="K402" s="433"/>
      <c r="L402" s="319"/>
      <c r="M402" s="319">
        <f t="shared" si="1"/>
        <v>0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19"/>
      <c r="B403" s="420"/>
      <c r="C403" s="420"/>
      <c r="D403" s="497"/>
      <c r="E403" s="422"/>
      <c r="F403" s="394"/>
      <c r="G403" s="422"/>
      <c r="H403" s="394"/>
      <c r="I403" s="497"/>
      <c r="J403" s="422"/>
      <c r="K403" s="433"/>
      <c r="L403" s="316"/>
      <c r="M403" s="316">
        <f t="shared" si="1"/>
        <v>0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25"/>
      <c r="B404" s="426"/>
      <c r="C404" s="426"/>
      <c r="D404" s="500"/>
      <c r="E404" s="428"/>
      <c r="F404" s="397"/>
      <c r="G404" s="428"/>
      <c r="H404" s="397"/>
      <c r="I404" s="500"/>
      <c r="J404" s="428"/>
      <c r="K404" s="433"/>
      <c r="L404" s="319"/>
      <c r="M404" s="319">
        <f t="shared" si="1"/>
        <v>0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19"/>
      <c r="B405" s="420"/>
      <c r="C405" s="420"/>
      <c r="D405" s="497"/>
      <c r="E405" s="422"/>
      <c r="F405" s="394"/>
      <c r="G405" s="422"/>
      <c r="H405" s="394"/>
      <c r="I405" s="497"/>
      <c r="J405" s="422"/>
      <c r="K405" s="433"/>
      <c r="L405" s="316"/>
      <c r="M405" s="316">
        <f t="shared" si="1"/>
        <v>0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25"/>
      <c r="B406" s="426"/>
      <c r="C406" s="426"/>
      <c r="D406" s="500"/>
      <c r="E406" s="428"/>
      <c r="F406" s="397"/>
      <c r="G406" s="428"/>
      <c r="H406" s="397"/>
      <c r="I406" s="500"/>
      <c r="J406" s="428"/>
      <c r="K406" s="433"/>
      <c r="L406" s="319"/>
      <c r="M406" s="319">
        <f t="shared" si="1"/>
        <v>0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19"/>
      <c r="B407" s="420"/>
      <c r="C407" s="420"/>
      <c r="D407" s="497"/>
      <c r="E407" s="422"/>
      <c r="F407" s="394"/>
      <c r="G407" s="422"/>
      <c r="H407" s="394"/>
      <c r="I407" s="497"/>
      <c r="J407" s="422"/>
      <c r="K407" s="433"/>
      <c r="L407" s="316"/>
      <c r="M407" s="316">
        <f t="shared" si="1"/>
        <v>0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25"/>
      <c r="B408" s="426"/>
      <c r="C408" s="426"/>
      <c r="D408" s="500"/>
      <c r="E408" s="428"/>
      <c r="F408" s="397"/>
      <c r="G408" s="428"/>
      <c r="H408" s="397"/>
      <c r="I408" s="500"/>
      <c r="J408" s="428"/>
      <c r="K408" s="433"/>
      <c r="L408" s="319"/>
      <c r="M408" s="319">
        <f t="shared" si="1"/>
        <v>0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19"/>
      <c r="B409" s="420"/>
      <c r="C409" s="420"/>
      <c r="D409" s="497"/>
      <c r="E409" s="422"/>
      <c r="F409" s="394"/>
      <c r="G409" s="422"/>
      <c r="H409" s="394"/>
      <c r="I409" s="497"/>
      <c r="J409" s="422"/>
      <c r="K409" s="433"/>
      <c r="L409" s="316"/>
      <c r="M409" s="316">
        <f t="shared" si="1"/>
        <v>0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0" customHeight="1">
      <c r="A410" s="425"/>
      <c r="B410" s="426"/>
      <c r="C410" s="426"/>
      <c r="D410" s="500"/>
      <c r="E410" s="428"/>
      <c r="F410" s="397"/>
      <c r="G410" s="428"/>
      <c r="H410" s="397"/>
      <c r="I410" s="500"/>
      <c r="J410" s="428"/>
      <c r="K410" s="433"/>
      <c r="L410" s="319"/>
      <c r="M410" s="319">
        <f t="shared" si="1"/>
        <v>0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19"/>
      <c r="B411" s="420"/>
      <c r="C411" s="420"/>
      <c r="D411" s="497"/>
      <c r="E411" s="422"/>
      <c r="F411" s="394"/>
      <c r="G411" s="422"/>
      <c r="H411" s="394"/>
      <c r="I411" s="497"/>
      <c r="J411" s="422"/>
      <c r="K411" s="433"/>
      <c r="L411" s="316"/>
      <c r="M411" s="316">
        <f t="shared" si="1"/>
        <v>0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25"/>
      <c r="B412" s="426"/>
      <c r="C412" s="426"/>
      <c r="D412" s="500"/>
      <c r="E412" s="428"/>
      <c r="F412" s="397"/>
      <c r="G412" s="428"/>
      <c r="H412" s="397"/>
      <c r="I412" s="500"/>
      <c r="J412" s="428"/>
      <c r="K412" s="433"/>
      <c r="L412" s="319"/>
      <c r="M412" s="319">
        <f t="shared" si="1"/>
        <v>0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19"/>
      <c r="B413" s="420"/>
      <c r="C413" s="420"/>
      <c r="D413" s="497"/>
      <c r="E413" s="422"/>
      <c r="F413" s="394"/>
      <c r="G413" s="422"/>
      <c r="H413" s="394"/>
      <c r="I413" s="497"/>
      <c r="J413" s="422"/>
      <c r="K413" s="433"/>
      <c r="L413" s="316"/>
      <c r="M413" s="316">
        <f t="shared" si="1"/>
        <v>0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25"/>
      <c r="B414" s="426"/>
      <c r="C414" s="426"/>
      <c r="D414" s="500"/>
      <c r="E414" s="428"/>
      <c r="F414" s="397"/>
      <c r="G414" s="428"/>
      <c r="H414" s="397"/>
      <c r="I414" s="500"/>
      <c r="J414" s="428"/>
      <c r="K414" s="433"/>
      <c r="L414" s="319"/>
      <c r="M414" s="319">
        <f t="shared" si="1"/>
        <v>0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19"/>
      <c r="B415" s="420"/>
      <c r="C415" s="420"/>
      <c r="D415" s="497"/>
      <c r="E415" s="422"/>
      <c r="F415" s="394"/>
      <c r="G415" s="422"/>
      <c r="H415" s="394"/>
      <c r="I415" s="497"/>
      <c r="J415" s="422"/>
      <c r="K415" s="438"/>
      <c r="L415" s="316"/>
      <c r="M415" s="316">
        <f t="shared" si="1"/>
        <v>0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25"/>
      <c r="B416" s="426"/>
      <c r="C416" s="426"/>
      <c r="D416" s="500"/>
      <c r="E416" s="428"/>
      <c r="F416" s="397"/>
      <c r="G416" s="428"/>
      <c r="H416" s="397"/>
      <c r="I416" s="500"/>
      <c r="J416" s="428"/>
      <c r="K416" s="433"/>
      <c r="L416" s="319"/>
      <c r="M416" s="319">
        <f t="shared" si="1"/>
        <v>0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19"/>
      <c r="B417" s="420"/>
      <c r="C417" s="420"/>
      <c r="D417" s="497"/>
      <c r="E417" s="422"/>
      <c r="F417" s="394"/>
      <c r="G417" s="422"/>
      <c r="H417" s="394"/>
      <c r="I417" s="497"/>
      <c r="J417" s="422"/>
      <c r="K417" s="433"/>
      <c r="L417" s="316"/>
      <c r="M417" s="316">
        <f t="shared" si="1"/>
        <v>0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25"/>
      <c r="B418" s="426"/>
      <c r="C418" s="426"/>
      <c r="D418" s="500"/>
      <c r="E418" s="428"/>
      <c r="F418" s="397"/>
      <c r="G418" s="428"/>
      <c r="H418" s="397"/>
      <c r="I418" s="500"/>
      <c r="J418" s="428"/>
      <c r="K418" s="433"/>
      <c r="L418" s="319"/>
      <c r="M418" s="319">
        <f t="shared" si="1"/>
        <v>0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19"/>
      <c r="B419" s="420"/>
      <c r="C419" s="420"/>
      <c r="D419" s="497"/>
      <c r="E419" s="422"/>
      <c r="F419" s="394"/>
      <c r="G419" s="422"/>
      <c r="H419" s="394"/>
      <c r="I419" s="497"/>
      <c r="J419" s="422"/>
      <c r="K419" s="433"/>
      <c r="L419" s="316"/>
      <c r="M419" s="316">
        <f t="shared" si="1"/>
        <v>0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25"/>
      <c r="B420" s="426"/>
      <c r="C420" s="426"/>
      <c r="D420" s="500"/>
      <c r="E420" s="428"/>
      <c r="F420" s="397"/>
      <c r="G420" s="428"/>
      <c r="H420" s="397"/>
      <c r="I420" s="500"/>
      <c r="J420" s="428"/>
      <c r="K420" s="433"/>
      <c r="L420" s="319"/>
      <c r="M420" s="319">
        <f t="shared" si="1"/>
        <v>0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19"/>
      <c r="B421" s="420"/>
      <c r="C421" s="420"/>
      <c r="D421" s="497"/>
      <c r="E421" s="422"/>
      <c r="F421" s="394"/>
      <c r="G421" s="422"/>
      <c r="H421" s="394"/>
      <c r="I421" s="497"/>
      <c r="J421" s="422"/>
      <c r="K421" s="433"/>
      <c r="L421" s="316"/>
      <c r="M421" s="316">
        <f t="shared" si="1"/>
        <v>0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25"/>
      <c r="B422" s="426"/>
      <c r="C422" s="426"/>
      <c r="D422" s="500"/>
      <c r="E422" s="428"/>
      <c r="F422" s="397"/>
      <c r="G422" s="428"/>
      <c r="H422" s="397"/>
      <c r="I422" s="500"/>
      <c r="J422" s="428"/>
      <c r="K422" s="433"/>
      <c r="L422" s="319"/>
      <c r="M422" s="319">
        <f t="shared" si="1"/>
        <v>0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19"/>
      <c r="B423" s="420"/>
      <c r="C423" s="420"/>
      <c r="D423" s="497"/>
      <c r="E423" s="422"/>
      <c r="F423" s="394"/>
      <c r="G423" s="422"/>
      <c r="H423" s="394"/>
      <c r="I423" s="497"/>
      <c r="J423" s="422"/>
      <c r="K423" s="433"/>
      <c r="L423" s="316"/>
      <c r="M423" s="316">
        <f t="shared" si="1"/>
        <v>0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25"/>
      <c r="B424" s="426"/>
      <c r="C424" s="426"/>
      <c r="D424" s="500"/>
      <c r="E424" s="428"/>
      <c r="F424" s="397"/>
      <c r="G424" s="428"/>
      <c r="H424" s="397"/>
      <c r="I424" s="500"/>
      <c r="J424" s="428"/>
      <c r="K424" s="433"/>
      <c r="L424" s="319"/>
      <c r="M424" s="319">
        <f t="shared" si="1"/>
        <v>0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19"/>
      <c r="B425" s="420"/>
      <c r="C425" s="420"/>
      <c r="D425" s="497"/>
      <c r="E425" s="422"/>
      <c r="F425" s="394"/>
      <c r="G425" s="422"/>
      <c r="H425" s="394"/>
      <c r="I425" s="497"/>
      <c r="J425" s="422"/>
      <c r="K425" s="433"/>
      <c r="L425" s="316"/>
      <c r="M425" s="316">
        <f t="shared" si="1"/>
        <v>0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2.75" customHeight="1">
      <c r="A426" s="425"/>
      <c r="B426" s="426"/>
      <c r="C426" s="426"/>
      <c r="D426" s="500"/>
      <c r="E426" s="428"/>
      <c r="F426" s="397"/>
      <c r="G426" s="428"/>
      <c r="H426" s="397"/>
      <c r="I426" s="500"/>
      <c r="J426" s="428"/>
      <c r="K426" s="433"/>
      <c r="L426" s="319"/>
      <c r="M426" s="319">
        <f t="shared" si="1"/>
        <v>0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customHeight="1">
      <c r="A427" s="419"/>
      <c r="B427" s="420"/>
      <c r="C427" s="420"/>
      <c r="D427" s="510"/>
      <c r="E427" s="422"/>
      <c r="F427" s="394"/>
      <c r="G427" s="422"/>
      <c r="H427" s="394"/>
      <c r="I427" s="497"/>
      <c r="J427" s="422"/>
      <c r="K427" s="433"/>
      <c r="L427" s="316"/>
      <c r="M427" s="316">
        <f t="shared" si="1"/>
        <v>0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customHeight="1">
      <c r="A428" s="425"/>
      <c r="B428" s="426"/>
      <c r="C428" s="426"/>
      <c r="D428" s="500"/>
      <c r="E428" s="428"/>
      <c r="F428" s="397"/>
      <c r="G428" s="428"/>
      <c r="H428" s="397"/>
      <c r="I428" s="500"/>
      <c r="J428" s="428"/>
      <c r="K428" s="433"/>
      <c r="L428" s="319"/>
      <c r="M428" s="319">
        <f t="shared" si="1"/>
        <v>0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customHeight="1">
      <c r="A429" s="419"/>
      <c r="B429" s="420"/>
      <c r="C429" s="420"/>
      <c r="D429" s="497"/>
      <c r="E429" s="422"/>
      <c r="F429" s="394"/>
      <c r="G429" s="422"/>
      <c r="H429" s="394"/>
      <c r="I429" s="497"/>
      <c r="J429" s="422"/>
      <c r="K429" s="433"/>
      <c r="L429" s="316"/>
      <c r="M429" s="316">
        <f t="shared" si="1"/>
        <v>0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customHeight="1">
      <c r="A430" s="425"/>
      <c r="B430" s="426"/>
      <c r="C430" s="426"/>
      <c r="D430" s="500"/>
      <c r="E430" s="428"/>
      <c r="F430" s="397"/>
      <c r="G430" s="428"/>
      <c r="H430" s="397"/>
      <c r="I430" s="500"/>
      <c r="J430" s="428"/>
      <c r="K430" s="433"/>
      <c r="L430" s="319"/>
      <c r="M430" s="319">
        <f t="shared" si="1"/>
        <v>0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customHeight="1">
      <c r="A431" s="419"/>
      <c r="B431" s="420"/>
      <c r="C431" s="420"/>
      <c r="D431" s="497"/>
      <c r="E431" s="422"/>
      <c r="F431" s="394"/>
      <c r="G431" s="422"/>
      <c r="H431" s="394"/>
      <c r="I431" s="497"/>
      <c r="J431" s="422"/>
      <c r="K431" s="433"/>
      <c r="L431" s="316"/>
      <c r="M431" s="316">
        <f t="shared" si="1"/>
        <v>0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customHeight="1">
      <c r="A432" s="425"/>
      <c r="B432" s="426"/>
      <c r="C432" s="426"/>
      <c r="D432" s="500"/>
      <c r="E432" s="428"/>
      <c r="F432" s="397"/>
      <c r="G432" s="428"/>
      <c r="H432" s="397"/>
      <c r="I432" s="500"/>
      <c r="J432" s="428"/>
      <c r="K432" s="433"/>
      <c r="L432" s="319"/>
      <c r="M432" s="319">
        <f t="shared" si="1"/>
        <v>0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customHeight="1">
      <c r="A433" s="419"/>
      <c r="B433" s="420"/>
      <c r="C433" s="420"/>
      <c r="D433" s="497"/>
      <c r="E433" s="422"/>
      <c r="F433" s="394"/>
      <c r="G433" s="422"/>
      <c r="H433" s="394"/>
      <c r="I433" s="497"/>
      <c r="J433" s="422"/>
      <c r="K433" s="438"/>
      <c r="L433" s="316"/>
      <c r="M433" s="316">
        <f t="shared" si="1"/>
        <v>0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customHeight="1">
      <c r="A434" s="425"/>
      <c r="B434" s="426"/>
      <c r="C434" s="426"/>
      <c r="D434" s="500"/>
      <c r="E434" s="428"/>
      <c r="F434" s="397"/>
      <c r="G434" s="428"/>
      <c r="H434" s="397"/>
      <c r="I434" s="500"/>
      <c r="J434" s="428"/>
      <c r="K434" s="433"/>
      <c r="L434" s="319"/>
      <c r="M434" s="319">
        <f t="shared" si="1"/>
        <v>0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customHeight="1">
      <c r="A435" s="419"/>
      <c r="B435" s="420"/>
      <c r="C435" s="420"/>
      <c r="D435" s="497"/>
      <c r="E435" s="422"/>
      <c r="F435" s="394"/>
      <c r="G435" s="422"/>
      <c r="H435" s="394"/>
      <c r="I435" s="497"/>
      <c r="J435" s="422"/>
      <c r="K435" s="433"/>
      <c r="L435" s="316"/>
      <c r="M435" s="316">
        <f t="shared" si="1"/>
        <v>0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customHeight="1">
      <c r="A436" s="425"/>
      <c r="B436" s="426"/>
      <c r="C436" s="426"/>
      <c r="D436" s="500"/>
      <c r="E436" s="428"/>
      <c r="F436" s="397"/>
      <c r="G436" s="428"/>
      <c r="H436" s="397"/>
      <c r="I436" s="500"/>
      <c r="J436" s="428"/>
      <c r="K436" s="433"/>
      <c r="L436" s="319"/>
      <c r="M436" s="319">
        <f t="shared" si="1"/>
        <v>0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customHeight="1">
      <c r="A437" s="419"/>
      <c r="B437" s="420"/>
      <c r="C437" s="420"/>
      <c r="D437" s="497"/>
      <c r="E437" s="422"/>
      <c r="F437" s="394"/>
      <c r="G437" s="422"/>
      <c r="H437" s="394"/>
      <c r="I437" s="497"/>
      <c r="J437" s="422"/>
      <c r="K437" s="433"/>
      <c r="L437" s="316"/>
      <c r="M437" s="316">
        <f t="shared" si="1"/>
        <v>0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customHeight="1">
      <c r="A438" s="425"/>
      <c r="B438" s="426"/>
      <c r="C438" s="426"/>
      <c r="D438" s="500"/>
      <c r="E438" s="428"/>
      <c r="F438" s="397"/>
      <c r="G438" s="428"/>
      <c r="H438" s="397"/>
      <c r="I438" s="500"/>
      <c r="J438" s="428"/>
      <c r="K438" s="438"/>
      <c r="L438" s="319"/>
      <c r="M438" s="319">
        <f t="shared" si="1"/>
        <v>0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customHeight="1">
      <c r="A439" s="419"/>
      <c r="B439" s="420"/>
      <c r="C439" s="420"/>
      <c r="D439" s="497"/>
      <c r="E439" s="422"/>
      <c r="F439" s="394"/>
      <c r="G439" s="422"/>
      <c r="H439" s="394"/>
      <c r="I439" s="497"/>
      <c r="J439" s="422"/>
      <c r="K439" s="438"/>
      <c r="L439" s="316"/>
      <c r="M439" s="316">
        <f t="shared" si="1"/>
        <v>0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customHeight="1">
      <c r="A440" s="425"/>
      <c r="B440" s="426"/>
      <c r="C440" s="426"/>
      <c r="D440" s="500"/>
      <c r="E440" s="428"/>
      <c r="F440" s="397"/>
      <c r="G440" s="428"/>
      <c r="H440" s="397"/>
      <c r="I440" s="500"/>
      <c r="J440" s="428"/>
      <c r="K440" s="433"/>
      <c r="L440" s="319"/>
      <c r="M440" s="319">
        <f t="shared" si="1"/>
        <v>0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customHeight="1">
      <c r="A441" s="419"/>
      <c r="B441" s="420"/>
      <c r="C441" s="420"/>
      <c r="D441" s="497"/>
      <c r="E441" s="422"/>
      <c r="F441" s="394"/>
      <c r="G441" s="422"/>
      <c r="H441" s="394"/>
      <c r="I441" s="497"/>
      <c r="J441" s="422"/>
      <c r="K441" s="433"/>
      <c r="L441" s="316"/>
      <c r="M441" s="316">
        <f t="shared" si="1"/>
        <v>0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customHeight="1">
      <c r="A442" s="425"/>
      <c r="B442" s="426"/>
      <c r="C442" s="426"/>
      <c r="D442" s="500"/>
      <c r="E442" s="428"/>
      <c r="F442" s="397"/>
      <c r="G442" s="428"/>
      <c r="H442" s="397"/>
      <c r="I442" s="500"/>
      <c r="J442" s="428"/>
      <c r="K442" s="433"/>
      <c r="L442" s="319"/>
      <c r="M442" s="319">
        <f t="shared" si="1"/>
        <v>0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customHeight="1">
      <c r="A443" s="419"/>
      <c r="B443" s="420"/>
      <c r="C443" s="420"/>
      <c r="D443" s="497"/>
      <c r="E443" s="422"/>
      <c r="F443" s="394"/>
      <c r="G443" s="422"/>
      <c r="H443" s="394"/>
      <c r="I443" s="497"/>
      <c r="J443" s="422"/>
      <c r="K443" s="433"/>
      <c r="L443" s="316"/>
      <c r="M443" s="316">
        <f t="shared" si="1"/>
        <v>0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customHeight="1">
      <c r="A444" s="425"/>
      <c r="B444" s="426"/>
      <c r="C444" s="426"/>
      <c r="D444" s="504"/>
      <c r="E444" s="428"/>
      <c r="F444" s="397"/>
      <c r="G444" s="428"/>
      <c r="H444" s="397"/>
      <c r="I444" s="500"/>
      <c r="J444" s="428"/>
      <c r="K444" s="433"/>
      <c r="L444" s="319"/>
      <c r="M444" s="319">
        <f t="shared" si="1"/>
        <v>0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0" customHeight="1">
      <c r="A445" s="419"/>
      <c r="B445" s="420"/>
      <c r="C445" s="420"/>
      <c r="D445" s="497"/>
      <c r="E445" s="422"/>
      <c r="F445" s="394"/>
      <c r="G445" s="422"/>
      <c r="H445" s="394"/>
      <c r="I445" s="497"/>
      <c r="J445" s="422"/>
      <c r="K445" s="433"/>
      <c r="L445" s="316"/>
      <c r="M445" s="316">
        <f t="shared" si="1"/>
        <v>0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customHeight="1">
      <c r="A446" s="425"/>
      <c r="B446" s="426"/>
      <c r="C446" s="426"/>
      <c r="D446" s="500"/>
      <c r="E446" s="428"/>
      <c r="F446" s="397"/>
      <c r="G446" s="428"/>
      <c r="H446" s="397"/>
      <c r="I446" s="500"/>
      <c r="J446" s="428"/>
      <c r="K446" s="438"/>
      <c r="L446" s="319"/>
      <c r="M446" s="319">
        <f t="shared" si="1"/>
        <v>0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customHeight="1">
      <c r="A447" s="419"/>
      <c r="B447" s="420"/>
      <c r="C447" s="420"/>
      <c r="D447" s="510"/>
      <c r="E447" s="422"/>
      <c r="F447" s="394"/>
      <c r="G447" s="422"/>
      <c r="H447" s="394"/>
      <c r="I447" s="497"/>
      <c r="J447" s="422"/>
      <c r="K447" s="433"/>
      <c r="L447" s="316"/>
      <c r="M447" s="316">
        <f t="shared" si="1"/>
        <v>0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customHeight="1">
      <c r="A448" s="425"/>
      <c r="B448" s="426"/>
      <c r="C448" s="426"/>
      <c r="D448" s="500"/>
      <c r="E448" s="428"/>
      <c r="F448" s="397"/>
      <c r="G448" s="428"/>
      <c r="H448" s="397"/>
      <c r="I448" s="500"/>
      <c r="J448" s="428"/>
      <c r="K448" s="509"/>
      <c r="L448" s="319"/>
      <c r="M448" s="319">
        <f t="shared" si="1"/>
        <v>0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0" customHeight="1">
      <c r="A449" s="419"/>
      <c r="B449" s="420"/>
      <c r="C449" s="420"/>
      <c r="D449" s="497"/>
      <c r="E449" s="422"/>
      <c r="F449" s="394"/>
      <c r="G449" s="422"/>
      <c r="H449" s="394"/>
      <c r="I449" s="497"/>
      <c r="J449" s="422"/>
      <c r="K449" s="433"/>
      <c r="L449" s="316"/>
      <c r="M449" s="316">
        <f t="shared" si="1"/>
        <v>0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customHeight="1">
      <c r="A450" s="425"/>
      <c r="B450" s="426"/>
      <c r="C450" s="426"/>
      <c r="D450" s="500"/>
      <c r="E450" s="428"/>
      <c r="F450" s="397"/>
      <c r="G450" s="428"/>
      <c r="H450" s="397"/>
      <c r="I450" s="500"/>
      <c r="J450" s="428"/>
      <c r="K450" s="509"/>
      <c r="L450" s="319"/>
      <c r="M450" s="319">
        <f t="shared" si="1"/>
        <v>0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customHeight="1">
      <c r="A451" s="419"/>
      <c r="B451" s="420"/>
      <c r="C451" s="420"/>
      <c r="D451" s="497"/>
      <c r="E451" s="422"/>
      <c r="F451" s="394"/>
      <c r="G451" s="422"/>
      <c r="H451" s="394"/>
      <c r="I451" s="497"/>
      <c r="J451" s="422"/>
      <c r="K451" s="433"/>
      <c r="L451" s="316"/>
      <c r="M451" s="316">
        <f t="shared" si="1"/>
        <v>0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customHeight="1">
      <c r="A452" s="425"/>
      <c r="B452" s="426"/>
      <c r="C452" s="426"/>
      <c r="D452" s="500"/>
      <c r="E452" s="428"/>
      <c r="F452" s="397"/>
      <c r="G452" s="428"/>
      <c r="H452" s="397"/>
      <c r="I452" s="500"/>
      <c r="J452" s="428"/>
      <c r="K452" s="433"/>
      <c r="L452" s="319"/>
      <c r="M452" s="319">
        <f t="shared" si="1"/>
        <v>0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customHeight="1">
      <c r="A453" s="419"/>
      <c r="B453" s="420"/>
      <c r="C453" s="420"/>
      <c r="D453" s="497"/>
      <c r="E453" s="422"/>
      <c r="F453" s="394"/>
      <c r="G453" s="422"/>
      <c r="H453" s="394"/>
      <c r="I453" s="497"/>
      <c r="J453" s="422"/>
      <c r="K453" s="509"/>
      <c r="L453" s="316"/>
      <c r="M453" s="316">
        <f t="shared" si="1"/>
        <v>0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customHeight="1">
      <c r="A454" s="425"/>
      <c r="B454" s="426"/>
      <c r="C454" s="426"/>
      <c r="D454" s="500"/>
      <c r="E454" s="428"/>
      <c r="F454" s="397"/>
      <c r="G454" s="428"/>
      <c r="H454" s="397"/>
      <c r="I454" s="500"/>
      <c r="J454" s="428"/>
      <c r="K454" s="433"/>
      <c r="L454" s="319"/>
      <c r="M454" s="319">
        <f t="shared" si="1"/>
        <v>0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customHeight="1">
      <c r="A455" s="419"/>
      <c r="B455" s="420"/>
      <c r="C455" s="420"/>
      <c r="D455" s="497"/>
      <c r="E455" s="422"/>
      <c r="F455" s="394"/>
      <c r="G455" s="422"/>
      <c r="H455" s="394"/>
      <c r="I455" s="497"/>
      <c r="J455" s="422"/>
      <c r="K455" s="433"/>
      <c r="L455" s="316"/>
      <c r="M455" s="316">
        <f t="shared" si="1"/>
        <v>0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customHeight="1">
      <c r="A456" s="425"/>
      <c r="B456" s="426"/>
      <c r="C456" s="426"/>
      <c r="D456" s="500"/>
      <c r="E456" s="428"/>
      <c r="F456" s="397"/>
      <c r="G456" s="428"/>
      <c r="H456" s="397"/>
      <c r="I456" s="500"/>
      <c r="J456" s="428"/>
      <c r="K456" s="433"/>
      <c r="L456" s="319"/>
      <c r="M456" s="319">
        <f t="shared" si="1"/>
        <v>0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customHeight="1">
      <c r="A457" s="419"/>
      <c r="B457" s="420"/>
      <c r="C457" s="420"/>
      <c r="D457" s="497"/>
      <c r="E457" s="422"/>
      <c r="F457" s="394"/>
      <c r="G457" s="422"/>
      <c r="H457" s="394"/>
      <c r="I457" s="497"/>
      <c r="J457" s="422"/>
      <c r="K457" s="433"/>
      <c r="L457" s="316"/>
      <c r="M457" s="316">
        <f t="shared" si="1"/>
        <v>0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customHeight="1">
      <c r="A458" s="425"/>
      <c r="B458" s="426"/>
      <c r="C458" s="426"/>
      <c r="D458" s="500"/>
      <c r="E458" s="428"/>
      <c r="F458" s="397"/>
      <c r="G458" s="428"/>
      <c r="H458" s="397"/>
      <c r="I458" s="500"/>
      <c r="J458" s="428"/>
      <c r="K458" s="509"/>
      <c r="L458" s="319"/>
      <c r="M458" s="319">
        <f t="shared" si="1"/>
        <v>0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customHeight="1">
      <c r="A459" s="419"/>
      <c r="B459" s="420"/>
      <c r="C459" s="420"/>
      <c r="D459" s="497"/>
      <c r="E459" s="422"/>
      <c r="F459" s="394"/>
      <c r="G459" s="422"/>
      <c r="H459" s="394"/>
      <c r="I459" s="497"/>
      <c r="J459" s="422"/>
      <c r="K459" s="433"/>
      <c r="L459" s="316"/>
      <c r="M459" s="316">
        <f t="shared" si="1"/>
        <v>0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customHeight="1">
      <c r="A460" s="425"/>
      <c r="B460" s="426"/>
      <c r="C460" s="426"/>
      <c r="D460" s="500"/>
      <c r="E460" s="428"/>
      <c r="F460" s="397"/>
      <c r="G460" s="428"/>
      <c r="H460" s="397"/>
      <c r="I460" s="500"/>
      <c r="J460" s="428"/>
      <c r="K460" s="433"/>
      <c r="L460" s="319"/>
      <c r="M460" s="319">
        <f t="shared" si="1"/>
        <v>0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customHeight="1">
      <c r="A461" s="419"/>
      <c r="B461" s="420"/>
      <c r="C461" s="420"/>
      <c r="D461" s="497"/>
      <c r="E461" s="422"/>
      <c r="F461" s="394"/>
      <c r="G461" s="422"/>
      <c r="H461" s="394"/>
      <c r="I461" s="497"/>
      <c r="J461" s="422"/>
      <c r="K461" s="433"/>
      <c r="L461" s="316"/>
      <c r="M461" s="316">
        <f t="shared" si="1"/>
        <v>0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customHeight="1">
      <c r="A462" s="425"/>
      <c r="B462" s="426"/>
      <c r="C462" s="426"/>
      <c r="D462" s="500"/>
      <c r="E462" s="428"/>
      <c r="F462" s="397"/>
      <c r="G462" s="428"/>
      <c r="H462" s="397"/>
      <c r="I462" s="500"/>
      <c r="J462" s="428"/>
      <c r="K462" s="433"/>
      <c r="L462" s="319"/>
      <c r="M462" s="319">
        <f t="shared" si="1"/>
        <v>0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customHeight="1">
      <c r="A463" s="419"/>
      <c r="B463" s="420"/>
      <c r="C463" s="420"/>
      <c r="D463" s="497"/>
      <c r="E463" s="422"/>
      <c r="F463" s="394"/>
      <c r="G463" s="422"/>
      <c r="H463" s="394"/>
      <c r="I463" s="497"/>
      <c r="J463" s="422"/>
      <c r="K463" s="433"/>
      <c r="L463" s="316"/>
      <c r="M463" s="316">
        <f t="shared" si="1"/>
        <v>0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customHeight="1">
      <c r="A464" s="425"/>
      <c r="B464" s="426"/>
      <c r="C464" s="426"/>
      <c r="D464" s="500"/>
      <c r="E464" s="428"/>
      <c r="F464" s="397"/>
      <c r="G464" s="428"/>
      <c r="H464" s="397"/>
      <c r="I464" s="500"/>
      <c r="J464" s="428"/>
      <c r="K464" s="433"/>
      <c r="L464" s="319"/>
      <c r="M464" s="319">
        <f t="shared" si="1"/>
        <v>0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customHeight="1">
      <c r="A465" s="419"/>
      <c r="B465" s="420"/>
      <c r="C465" s="420"/>
      <c r="D465" s="497"/>
      <c r="E465" s="422"/>
      <c r="F465" s="394"/>
      <c r="G465" s="422"/>
      <c r="H465" s="394"/>
      <c r="I465" s="497"/>
      <c r="J465" s="422"/>
      <c r="K465" s="511"/>
      <c r="L465" s="316"/>
      <c r="M465" s="316">
        <f t="shared" si="1"/>
        <v>0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customHeight="1">
      <c r="A466" s="425"/>
      <c r="B466" s="426"/>
      <c r="C466" s="426"/>
      <c r="D466" s="500"/>
      <c r="E466" s="428"/>
      <c r="F466" s="397"/>
      <c r="G466" s="428"/>
      <c r="H466" s="397"/>
      <c r="I466" s="500"/>
      <c r="J466" s="428"/>
      <c r="K466" s="433"/>
      <c r="L466" s="319"/>
      <c r="M466" s="319">
        <f t="shared" si="1"/>
        <v>0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customHeight="1">
      <c r="A467" s="419"/>
      <c r="B467" s="420"/>
      <c r="C467" s="420"/>
      <c r="D467" s="497"/>
      <c r="E467" s="422"/>
      <c r="F467" s="394"/>
      <c r="G467" s="422"/>
      <c r="H467" s="394"/>
      <c r="I467" s="497"/>
      <c r="J467" s="422"/>
      <c r="K467" s="433"/>
      <c r="L467" s="316"/>
      <c r="M467" s="316">
        <f t="shared" si="1"/>
        <v>0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customHeight="1">
      <c r="A468" s="425"/>
      <c r="B468" s="426"/>
      <c r="C468" s="426"/>
      <c r="D468" s="500"/>
      <c r="E468" s="428"/>
      <c r="F468" s="397"/>
      <c r="G468" s="428"/>
      <c r="H468" s="397"/>
      <c r="I468" s="500"/>
      <c r="J468" s="428"/>
      <c r="K468" s="511"/>
      <c r="L468" s="319"/>
      <c r="M468" s="319">
        <f t="shared" si="1"/>
        <v>0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customHeight="1">
      <c r="A469" s="419"/>
      <c r="B469" s="420"/>
      <c r="C469" s="420"/>
      <c r="D469" s="497"/>
      <c r="E469" s="422"/>
      <c r="F469" s="394"/>
      <c r="G469" s="422"/>
      <c r="H469" s="394"/>
      <c r="I469" s="497"/>
      <c r="J469" s="422"/>
      <c r="K469" s="511"/>
      <c r="L469" s="316"/>
      <c r="M469" s="316">
        <f t="shared" si="1"/>
        <v>0</v>
      </c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2.75" customHeight="1">
      <c r="A470" s="425"/>
      <c r="B470" s="426"/>
      <c r="C470" s="426"/>
      <c r="D470" s="500"/>
      <c r="E470" s="428"/>
      <c r="F470" s="397"/>
      <c r="G470" s="428"/>
      <c r="H470" s="397"/>
      <c r="I470" s="500"/>
      <c r="J470" s="428"/>
      <c r="K470" s="433"/>
      <c r="L470" s="319"/>
      <c r="M470" s="319">
        <f t="shared" si="1"/>
        <v>0</v>
      </c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customHeight="1">
      <c r="A471" s="419"/>
      <c r="B471" s="420"/>
      <c r="C471" s="420"/>
      <c r="D471" s="497"/>
      <c r="E471" s="422"/>
      <c r="F471" s="394"/>
      <c r="G471" s="422"/>
      <c r="H471" s="394"/>
      <c r="I471" s="497"/>
      <c r="J471" s="422"/>
      <c r="K471" s="433"/>
      <c r="L471" s="316"/>
      <c r="M471" s="316">
        <f t="shared" si="1"/>
        <v>0</v>
      </c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</row>
    <row r="472" ht="12.75" customHeight="1">
      <c r="A472" s="425"/>
      <c r="B472" s="426"/>
      <c r="C472" s="426"/>
      <c r="D472" s="500"/>
      <c r="E472" s="428"/>
      <c r="F472" s="397"/>
      <c r="G472" s="428"/>
      <c r="H472" s="397"/>
      <c r="I472" s="500"/>
      <c r="J472" s="428"/>
      <c r="K472" s="433"/>
      <c r="L472" s="319"/>
      <c r="M472" s="319">
        <f t="shared" si="1"/>
        <v>0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customHeight="1">
      <c r="A473" s="419"/>
      <c r="B473" s="420"/>
      <c r="C473" s="420"/>
      <c r="D473" s="497"/>
      <c r="E473" s="422"/>
      <c r="F473" s="394"/>
      <c r="G473" s="422"/>
      <c r="H473" s="394"/>
      <c r="I473" s="497"/>
      <c r="J473" s="422"/>
      <c r="K473" s="433"/>
      <c r="L473" s="316"/>
      <c r="M473" s="316">
        <f t="shared" si="1"/>
        <v>0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customHeight="1">
      <c r="A474" s="425"/>
      <c r="B474" s="426"/>
      <c r="C474" s="426"/>
      <c r="D474" s="500"/>
      <c r="E474" s="428"/>
      <c r="F474" s="397"/>
      <c r="G474" s="428"/>
      <c r="H474" s="397"/>
      <c r="I474" s="500"/>
      <c r="J474" s="428"/>
      <c r="K474" s="511"/>
      <c r="L474" s="319"/>
      <c r="M474" s="319">
        <f t="shared" si="1"/>
        <v>0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customHeight="1">
      <c r="A475" s="419"/>
      <c r="B475" s="420"/>
      <c r="C475" s="420"/>
      <c r="D475" s="497"/>
      <c r="E475" s="422"/>
      <c r="F475" s="394"/>
      <c r="G475" s="422"/>
      <c r="H475" s="394"/>
      <c r="I475" s="497"/>
      <c r="J475" s="422"/>
      <c r="K475" s="433"/>
      <c r="L475" s="316"/>
      <c r="M475" s="316">
        <f t="shared" si="1"/>
        <v>0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customHeight="1">
      <c r="A476" s="425"/>
      <c r="B476" s="426"/>
      <c r="C476" s="426"/>
      <c r="D476" s="500"/>
      <c r="E476" s="428"/>
      <c r="F476" s="397"/>
      <c r="G476" s="428"/>
      <c r="H476" s="397"/>
      <c r="I476" s="500"/>
      <c r="J476" s="428"/>
      <c r="K476" s="433"/>
      <c r="L476" s="319"/>
      <c r="M476" s="319">
        <f t="shared" si="1"/>
        <v>0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customHeight="1">
      <c r="A477" s="419"/>
      <c r="B477" s="420"/>
      <c r="C477" s="420"/>
      <c r="D477" s="497"/>
      <c r="E477" s="422"/>
      <c r="F477" s="394"/>
      <c r="G477" s="422"/>
      <c r="H477" s="394"/>
      <c r="I477" s="497"/>
      <c r="J477" s="422"/>
      <c r="K477" s="433"/>
      <c r="L477" s="316"/>
      <c r="M477" s="316">
        <f t="shared" si="1"/>
        <v>0</v>
      </c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customHeight="1">
      <c r="A478" s="425"/>
      <c r="B478" s="426"/>
      <c r="C478" s="426"/>
      <c r="D478" s="500"/>
      <c r="E478" s="428"/>
      <c r="F478" s="397"/>
      <c r="G478" s="428"/>
      <c r="H478" s="397"/>
      <c r="I478" s="500"/>
      <c r="J478" s="428"/>
      <c r="K478" s="433"/>
      <c r="L478" s="319"/>
      <c r="M478" s="319">
        <f t="shared" si="1"/>
        <v>0</v>
      </c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customHeight="1">
      <c r="A479" s="419"/>
      <c r="B479" s="420"/>
      <c r="C479" s="420"/>
      <c r="D479" s="497"/>
      <c r="E479" s="422"/>
      <c r="F479" s="394"/>
      <c r="G479" s="422"/>
      <c r="H479" s="394"/>
      <c r="I479" s="497"/>
      <c r="J479" s="422"/>
      <c r="K479" s="433"/>
      <c r="L479" s="316"/>
      <c r="M479" s="316">
        <f t="shared" si="1"/>
        <v>0</v>
      </c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customHeight="1">
      <c r="A480" s="425"/>
      <c r="B480" s="426"/>
      <c r="C480" s="426"/>
      <c r="D480" s="500"/>
      <c r="E480" s="428"/>
      <c r="F480" s="397"/>
      <c r="G480" s="428"/>
      <c r="H480" s="397"/>
      <c r="I480" s="500"/>
      <c r="J480" s="428"/>
      <c r="K480" s="433"/>
      <c r="L480" s="319"/>
      <c r="M480" s="319">
        <f t="shared" si="1"/>
        <v>0</v>
      </c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customHeight="1">
      <c r="A481" s="419"/>
      <c r="B481" s="420"/>
      <c r="C481" s="420"/>
      <c r="D481" s="497"/>
      <c r="E481" s="422"/>
      <c r="F481" s="394"/>
      <c r="G481" s="422"/>
      <c r="H481" s="394"/>
      <c r="I481" s="497"/>
      <c r="J481" s="422"/>
      <c r="K481" s="433"/>
      <c r="L481" s="316"/>
      <c r="M481" s="316">
        <f t="shared" si="1"/>
        <v>0</v>
      </c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customHeight="1">
      <c r="A482" s="425"/>
      <c r="B482" s="426"/>
      <c r="C482" s="426"/>
      <c r="D482" s="500"/>
      <c r="E482" s="428"/>
      <c r="F482" s="397"/>
      <c r="G482" s="428"/>
      <c r="H482" s="397"/>
      <c r="I482" s="500"/>
      <c r="J482" s="428"/>
      <c r="K482" s="433"/>
      <c r="L482" s="319"/>
      <c r="M482" s="319">
        <f t="shared" si="1"/>
        <v>0</v>
      </c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customHeight="1">
      <c r="A483" s="419"/>
      <c r="B483" s="420"/>
      <c r="C483" s="420"/>
      <c r="D483" s="497"/>
      <c r="E483" s="422"/>
      <c r="F483" s="394"/>
      <c r="G483" s="422"/>
      <c r="H483" s="394"/>
      <c r="I483" s="497"/>
      <c r="J483" s="422"/>
      <c r="K483" s="433"/>
      <c r="L483" s="316"/>
      <c r="M483" s="316">
        <f t="shared" si="1"/>
        <v>0</v>
      </c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customHeight="1">
      <c r="A484" s="425"/>
      <c r="B484" s="426"/>
      <c r="C484" s="426"/>
      <c r="D484" s="500"/>
      <c r="E484" s="428"/>
      <c r="F484" s="397"/>
      <c r="G484" s="428"/>
      <c r="H484" s="397"/>
      <c r="I484" s="500"/>
      <c r="J484" s="428"/>
      <c r="K484" s="433"/>
      <c r="L484" s="319"/>
      <c r="M484" s="319">
        <f t="shared" si="1"/>
        <v>0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customHeight="1">
      <c r="A485" s="419"/>
      <c r="B485" s="420"/>
      <c r="C485" s="420"/>
      <c r="D485" s="497"/>
      <c r="E485" s="422"/>
      <c r="F485" s="394"/>
      <c r="G485" s="422"/>
      <c r="H485" s="394"/>
      <c r="I485" s="497"/>
      <c r="J485" s="422"/>
      <c r="K485" s="511"/>
      <c r="L485" s="316"/>
      <c r="M485" s="316">
        <f t="shared" si="1"/>
        <v>0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customHeight="1">
      <c r="A486" s="425"/>
      <c r="B486" s="426"/>
      <c r="C486" s="426"/>
      <c r="D486" s="500"/>
      <c r="E486" s="428"/>
      <c r="F486" s="397"/>
      <c r="G486" s="428"/>
      <c r="H486" s="397"/>
      <c r="I486" s="500"/>
      <c r="J486" s="428"/>
      <c r="K486" s="433"/>
      <c r="L486" s="319"/>
      <c r="M486" s="319">
        <f t="shared" si="1"/>
        <v>0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customHeight="1">
      <c r="A487" s="419"/>
      <c r="B487" s="420"/>
      <c r="C487" s="420"/>
      <c r="D487" s="497"/>
      <c r="E487" s="422"/>
      <c r="F487" s="394"/>
      <c r="G487" s="422"/>
      <c r="H487" s="394"/>
      <c r="I487" s="497"/>
      <c r="J487" s="422"/>
      <c r="K487" s="511"/>
      <c r="L487" s="316"/>
      <c r="M487" s="316">
        <f t="shared" si="1"/>
        <v>0</v>
      </c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customHeight="1">
      <c r="A488" s="425"/>
      <c r="B488" s="426"/>
      <c r="C488" s="426"/>
      <c r="D488" s="500"/>
      <c r="E488" s="428"/>
      <c r="F488" s="397"/>
      <c r="G488" s="428"/>
      <c r="H488" s="397"/>
      <c r="I488" s="500"/>
      <c r="J488" s="428"/>
      <c r="K488" s="433"/>
      <c r="L488" s="319"/>
      <c r="M488" s="319">
        <f t="shared" si="1"/>
        <v>0</v>
      </c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customHeight="1">
      <c r="A489" s="419"/>
      <c r="B489" s="420"/>
      <c r="C489" s="420"/>
      <c r="D489" s="497"/>
      <c r="E489" s="422"/>
      <c r="F489" s="394"/>
      <c r="G489" s="422"/>
      <c r="H489" s="394"/>
      <c r="I489" s="497"/>
      <c r="J489" s="422"/>
      <c r="K489" s="433"/>
      <c r="L489" s="316"/>
      <c r="M489" s="316">
        <f t="shared" si="1"/>
        <v>0</v>
      </c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customHeight="1">
      <c r="A490" s="425"/>
      <c r="B490" s="426"/>
      <c r="C490" s="426"/>
      <c r="D490" s="500"/>
      <c r="E490" s="428"/>
      <c r="F490" s="397"/>
      <c r="G490" s="428"/>
      <c r="H490" s="397"/>
      <c r="I490" s="500"/>
      <c r="J490" s="428"/>
      <c r="K490" s="433"/>
      <c r="L490" s="319"/>
      <c r="M490" s="319">
        <f t="shared" si="1"/>
        <v>0</v>
      </c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customHeight="1">
      <c r="A491" s="419"/>
      <c r="B491" s="420"/>
      <c r="C491" s="441"/>
      <c r="D491" s="510"/>
      <c r="E491" s="422"/>
      <c r="F491" s="394"/>
      <c r="G491" s="422"/>
      <c r="H491" s="394"/>
      <c r="I491" s="497"/>
      <c r="J491" s="422"/>
      <c r="K491" s="433"/>
      <c r="L491" s="316"/>
      <c r="M491" s="316">
        <f t="shared" si="1"/>
        <v>0</v>
      </c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customHeight="1">
      <c r="A492" s="425"/>
      <c r="B492" s="426"/>
      <c r="C492" s="426"/>
      <c r="D492" s="500"/>
      <c r="E492" s="428"/>
      <c r="F492" s="397"/>
      <c r="G492" s="428"/>
      <c r="H492" s="397"/>
      <c r="I492" s="500"/>
      <c r="J492" s="428"/>
      <c r="K492" s="433"/>
      <c r="L492" s="319"/>
      <c r="M492" s="319">
        <f t="shared" si="1"/>
        <v>0</v>
      </c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customHeight="1">
      <c r="A493" s="419"/>
      <c r="B493" s="420"/>
      <c r="C493" s="420"/>
      <c r="D493" s="497"/>
      <c r="E493" s="422"/>
      <c r="F493" s="394"/>
      <c r="G493" s="422"/>
      <c r="H493" s="394"/>
      <c r="I493" s="497"/>
      <c r="J493" s="422"/>
      <c r="K493" s="507"/>
      <c r="L493" s="316"/>
      <c r="M493" s="316">
        <f t="shared" si="1"/>
        <v>0</v>
      </c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customHeight="1">
      <c r="A494" s="425"/>
      <c r="B494" s="426"/>
      <c r="C494" s="426"/>
      <c r="D494" s="500"/>
      <c r="E494" s="428"/>
      <c r="F494" s="397"/>
      <c r="G494" s="428"/>
      <c r="H494" s="397"/>
      <c r="I494" s="500"/>
      <c r="J494" s="428"/>
      <c r="K494" s="511"/>
      <c r="L494" s="319"/>
      <c r="M494" s="319">
        <f t="shared" si="1"/>
        <v>0</v>
      </c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customHeight="1">
      <c r="A495" s="419"/>
      <c r="B495" s="420"/>
      <c r="C495" s="420"/>
      <c r="D495" s="497"/>
      <c r="E495" s="422"/>
      <c r="F495" s="394"/>
      <c r="G495" s="422"/>
      <c r="H495" s="394"/>
      <c r="I495" s="497"/>
      <c r="J495" s="422"/>
      <c r="K495" s="513"/>
      <c r="L495" s="316"/>
      <c r="M495" s="316">
        <f t="shared" si="1"/>
        <v>0</v>
      </c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customHeight="1">
      <c r="A496" s="425"/>
      <c r="B496" s="426"/>
      <c r="C496" s="426"/>
      <c r="D496" s="500"/>
      <c r="E496" s="428"/>
      <c r="F496" s="397"/>
      <c r="G496" s="428"/>
      <c r="H496" s="397"/>
      <c r="I496" s="500"/>
      <c r="J496" s="428"/>
      <c r="K496" s="433"/>
      <c r="L496" s="319"/>
      <c r="M496" s="319">
        <f t="shared" si="1"/>
        <v>0</v>
      </c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customHeight="1">
      <c r="A497" s="419"/>
      <c r="B497" s="420"/>
      <c r="C497" s="420"/>
      <c r="D497" s="497"/>
      <c r="E497" s="422"/>
      <c r="F497" s="394"/>
      <c r="G497" s="422"/>
      <c r="H497" s="394"/>
      <c r="I497" s="497"/>
      <c r="J497" s="422"/>
      <c r="K497" s="433"/>
      <c r="L497" s="316"/>
      <c r="M497" s="316">
        <f t="shared" si="1"/>
        <v>0</v>
      </c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customHeight="1">
      <c r="A498" s="425"/>
      <c r="B498" s="426"/>
      <c r="C498" s="426"/>
      <c r="D498" s="500"/>
      <c r="E498" s="428"/>
      <c r="F498" s="397"/>
      <c r="G498" s="428"/>
      <c r="H498" s="397"/>
      <c r="I498" s="500"/>
      <c r="J498" s="428"/>
      <c r="K498" s="433"/>
      <c r="L498" s="319"/>
      <c r="M498" s="319">
        <f t="shared" si="1"/>
        <v>0</v>
      </c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customHeight="1">
      <c r="A499" s="419"/>
      <c r="B499" s="420"/>
      <c r="C499" s="420"/>
      <c r="D499" s="497"/>
      <c r="E499" s="422"/>
      <c r="F499" s="394"/>
      <c r="G499" s="422"/>
      <c r="H499" s="394"/>
      <c r="I499" s="497"/>
      <c r="J499" s="422"/>
      <c r="K499" s="433"/>
      <c r="L499" s="316"/>
      <c r="M499" s="316">
        <f t="shared" si="1"/>
        <v>0</v>
      </c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customHeight="1">
      <c r="A500" s="425"/>
      <c r="B500" s="426"/>
      <c r="C500" s="426"/>
      <c r="D500" s="500"/>
      <c r="E500" s="428"/>
      <c r="F500" s="397"/>
      <c r="G500" s="428"/>
      <c r="H500" s="397"/>
      <c r="I500" s="500"/>
      <c r="J500" s="428"/>
      <c r="K500" s="433"/>
      <c r="L500" s="319"/>
      <c r="M500" s="319">
        <f t="shared" si="1"/>
        <v>0</v>
      </c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customHeight="1">
      <c r="A501" s="419"/>
      <c r="B501" s="420"/>
      <c r="C501" s="420"/>
      <c r="D501" s="497"/>
      <c r="E501" s="422"/>
      <c r="F501" s="394"/>
      <c r="G501" s="422"/>
      <c r="H501" s="394"/>
      <c r="I501" s="497"/>
      <c r="J501" s="422"/>
      <c r="K501" s="433"/>
      <c r="L501" s="316"/>
      <c r="M501" s="316">
        <f t="shared" si="1"/>
        <v>0</v>
      </c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0" customHeight="1">
      <c r="A502" s="425"/>
      <c r="B502" s="426"/>
      <c r="C502" s="426"/>
      <c r="D502" s="500"/>
      <c r="E502" s="428"/>
      <c r="F502" s="397"/>
      <c r="G502" s="428"/>
      <c r="H502" s="397"/>
      <c r="I502" s="500"/>
      <c r="J502" s="428"/>
      <c r="K502" s="433"/>
      <c r="L502" s="319"/>
      <c r="M502" s="319">
        <f t="shared" si="1"/>
        <v>0</v>
      </c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customHeight="1">
      <c r="A503" s="419"/>
      <c r="B503" s="420"/>
      <c r="C503" s="420"/>
      <c r="D503" s="497"/>
      <c r="E503" s="422"/>
      <c r="F503" s="394"/>
      <c r="G503" s="422"/>
      <c r="H503" s="394"/>
      <c r="I503" s="497"/>
      <c r="J503" s="422"/>
      <c r="K503" s="433"/>
      <c r="L503" s="316"/>
      <c r="M503" s="316">
        <f t="shared" si="1"/>
        <v>0</v>
      </c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customHeight="1">
      <c r="A504" s="425"/>
      <c r="B504" s="426"/>
      <c r="C504" s="426"/>
      <c r="D504" s="500"/>
      <c r="E504" s="428"/>
      <c r="F504" s="397"/>
      <c r="G504" s="428"/>
      <c r="H504" s="397"/>
      <c r="I504" s="500"/>
      <c r="J504" s="428"/>
      <c r="K504" s="507"/>
      <c r="L504" s="319"/>
      <c r="M504" s="319">
        <f t="shared" si="1"/>
        <v>0</v>
      </c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customHeight="1">
      <c r="A505" s="419"/>
      <c r="B505" s="420"/>
      <c r="C505" s="420"/>
      <c r="D505" s="497"/>
      <c r="E505" s="422"/>
      <c r="F505" s="394"/>
      <c r="G505" s="422"/>
      <c r="H505" s="394"/>
      <c r="I505" s="497"/>
      <c r="J505" s="422"/>
      <c r="K505" s="433"/>
      <c r="L505" s="316"/>
      <c r="M505" s="316">
        <f t="shared" si="1"/>
        <v>0</v>
      </c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customHeight="1">
      <c r="A506" s="425"/>
      <c r="B506" s="426"/>
      <c r="C506" s="426"/>
      <c r="D506" s="500"/>
      <c r="E506" s="428"/>
      <c r="F506" s="397"/>
      <c r="G506" s="428"/>
      <c r="H506" s="397"/>
      <c r="I506" s="500"/>
      <c r="J506" s="428"/>
      <c r="K506" s="433"/>
      <c r="L506" s="319"/>
      <c r="M506" s="319">
        <f t="shared" si="1"/>
        <v>0</v>
      </c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customHeight="1">
      <c r="A507" s="419"/>
      <c r="B507" s="420"/>
      <c r="C507" s="420"/>
      <c r="D507" s="497"/>
      <c r="E507" s="422"/>
      <c r="F507" s="394"/>
      <c r="G507" s="422"/>
      <c r="H507" s="394"/>
      <c r="I507" s="497"/>
      <c r="J507" s="422"/>
      <c r="K507" s="507"/>
      <c r="L507" s="316"/>
      <c r="M507" s="316">
        <f t="shared" si="1"/>
        <v>0</v>
      </c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customHeight="1">
      <c r="A508" s="425"/>
      <c r="B508" s="426"/>
      <c r="C508" s="426"/>
      <c r="D508" s="500"/>
      <c r="E508" s="428"/>
      <c r="F508" s="397"/>
      <c r="G508" s="428"/>
      <c r="H508" s="397"/>
      <c r="I508" s="500"/>
      <c r="J508" s="428"/>
      <c r="K508" s="511"/>
      <c r="L508" s="319"/>
      <c r="M508" s="319">
        <f t="shared" si="1"/>
        <v>0</v>
      </c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customHeight="1">
      <c r="A509" s="419"/>
      <c r="B509" s="420"/>
      <c r="C509" s="420"/>
      <c r="D509" s="497"/>
      <c r="E509" s="422"/>
      <c r="F509" s="394"/>
      <c r="G509" s="422"/>
      <c r="H509" s="394"/>
      <c r="I509" s="497"/>
      <c r="J509" s="422"/>
      <c r="K509" s="433"/>
      <c r="L509" s="316"/>
      <c r="M509" s="316">
        <f t="shared" si="1"/>
        <v>0</v>
      </c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customHeight="1">
      <c r="A510" s="425"/>
      <c r="B510" s="426"/>
      <c r="C510" s="426"/>
      <c r="D510" s="500"/>
      <c r="E510" s="428"/>
      <c r="F510" s="397"/>
      <c r="G510" s="428"/>
      <c r="H510" s="397"/>
      <c r="I510" s="500"/>
      <c r="J510" s="428"/>
      <c r="K510" s="433"/>
      <c r="L510" s="319"/>
      <c r="M510" s="319">
        <f t="shared" si="1"/>
        <v>0</v>
      </c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customHeight="1">
      <c r="A511" s="419"/>
      <c r="B511" s="420"/>
      <c r="C511" s="420"/>
      <c r="D511" s="497"/>
      <c r="E511" s="422"/>
      <c r="F511" s="394"/>
      <c r="G511" s="422"/>
      <c r="H511" s="394"/>
      <c r="I511" s="497"/>
      <c r="J511" s="422"/>
      <c r="K511" s="511"/>
      <c r="L511" s="316"/>
      <c r="M511" s="316">
        <f t="shared" si="1"/>
        <v>0</v>
      </c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customHeight="1">
      <c r="A512" s="425"/>
      <c r="B512" s="426"/>
      <c r="C512" s="440"/>
      <c r="D512" s="500"/>
      <c r="E512" s="428"/>
      <c r="F512" s="397"/>
      <c r="G512" s="428"/>
      <c r="H512" s="397"/>
      <c r="I512" s="500"/>
      <c r="J512" s="428"/>
      <c r="K512" s="433"/>
      <c r="L512" s="319"/>
      <c r="M512" s="319">
        <f t="shared" si="1"/>
        <v>0</v>
      </c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customHeight="1">
      <c r="A513" s="419"/>
      <c r="B513" s="420"/>
      <c r="C513" s="420"/>
      <c r="D513" s="497"/>
      <c r="E513" s="422"/>
      <c r="F513" s="394"/>
      <c r="G513" s="422"/>
      <c r="H513" s="394"/>
      <c r="I513" s="497"/>
      <c r="J513" s="422"/>
      <c r="K513" s="433"/>
      <c r="L513" s="316"/>
      <c r="M513" s="316">
        <f t="shared" si="1"/>
        <v>0</v>
      </c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customHeight="1">
      <c r="A514" s="425"/>
      <c r="B514" s="426"/>
      <c r="C514" s="426"/>
      <c r="D514" s="500"/>
      <c r="E514" s="428"/>
      <c r="F514" s="397"/>
      <c r="G514" s="428"/>
      <c r="H514" s="397"/>
      <c r="I514" s="500"/>
      <c r="J514" s="428"/>
      <c r="K514" s="433"/>
      <c r="L514" s="319"/>
      <c r="M514" s="319">
        <f t="shared" si="1"/>
        <v>0</v>
      </c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customHeight="1">
      <c r="A515" s="419"/>
      <c r="B515" s="420"/>
      <c r="C515" s="420"/>
      <c r="D515" s="497"/>
      <c r="E515" s="422"/>
      <c r="F515" s="394"/>
      <c r="G515" s="422"/>
      <c r="H515" s="394"/>
      <c r="I515" s="497"/>
      <c r="J515" s="422"/>
      <c r="K515" s="433"/>
      <c r="L515" s="316"/>
      <c r="M515" s="316">
        <f t="shared" si="1"/>
        <v>0</v>
      </c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customHeight="1">
      <c r="A516" s="425"/>
      <c r="B516" s="426"/>
      <c r="C516" s="426"/>
      <c r="D516" s="500"/>
      <c r="E516" s="428"/>
      <c r="F516" s="397"/>
      <c r="G516" s="428"/>
      <c r="H516" s="397"/>
      <c r="I516" s="500"/>
      <c r="J516" s="428"/>
      <c r="K516" s="511"/>
      <c r="L516" s="319"/>
      <c r="M516" s="319">
        <f t="shared" si="1"/>
        <v>0</v>
      </c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customHeight="1">
      <c r="A517" s="419"/>
      <c r="B517" s="420"/>
      <c r="C517" s="420"/>
      <c r="D517" s="497"/>
      <c r="E517" s="422"/>
      <c r="F517" s="394"/>
      <c r="G517" s="422"/>
      <c r="H517" s="394"/>
      <c r="I517" s="497"/>
      <c r="J517" s="422"/>
      <c r="K517" s="433"/>
      <c r="L517" s="316"/>
      <c r="M517" s="316">
        <f t="shared" si="1"/>
        <v>0</v>
      </c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customHeight="1">
      <c r="A518" s="425"/>
      <c r="B518" s="426"/>
      <c r="C518" s="426"/>
      <c r="D518" s="500"/>
      <c r="E518" s="428"/>
      <c r="F518" s="397"/>
      <c r="G518" s="428"/>
      <c r="H518" s="397"/>
      <c r="I518" s="500"/>
      <c r="J518" s="428"/>
      <c r="K518" s="511"/>
      <c r="L518" s="319"/>
      <c r="M518" s="319">
        <f t="shared" si="1"/>
        <v>0</v>
      </c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customHeight="1">
      <c r="A519" s="419"/>
      <c r="B519" s="420"/>
      <c r="C519" s="420"/>
      <c r="D519" s="497"/>
      <c r="E519" s="422"/>
      <c r="F519" s="394"/>
      <c r="G519" s="422"/>
      <c r="H519" s="394"/>
      <c r="I519" s="497"/>
      <c r="J519" s="422"/>
      <c r="K519" s="433"/>
      <c r="L519" s="316"/>
      <c r="M519" s="316">
        <f t="shared" si="1"/>
        <v>0</v>
      </c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customHeight="1">
      <c r="A520" s="425"/>
      <c r="B520" s="426"/>
      <c r="C520" s="426"/>
      <c r="D520" s="500"/>
      <c r="E520" s="428"/>
      <c r="F520" s="397"/>
      <c r="G520" s="428"/>
      <c r="H520" s="397"/>
      <c r="I520" s="500"/>
      <c r="J520" s="428"/>
      <c r="K520" s="433"/>
      <c r="L520" s="319"/>
      <c r="M520" s="319">
        <f t="shared" si="1"/>
        <v>0</v>
      </c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customHeight="1">
      <c r="A521" s="419"/>
      <c r="B521" s="420"/>
      <c r="C521" s="420"/>
      <c r="D521" s="497"/>
      <c r="E521" s="422"/>
      <c r="F521" s="394"/>
      <c r="G521" s="422"/>
      <c r="H521" s="394"/>
      <c r="I521" s="497"/>
      <c r="J521" s="422"/>
      <c r="K521" s="433"/>
      <c r="L521" s="316"/>
      <c r="M521" s="316">
        <f t="shared" si="1"/>
        <v>0</v>
      </c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customHeight="1">
      <c r="A522" s="425"/>
      <c r="B522" s="426"/>
      <c r="C522" s="426"/>
      <c r="D522" s="500"/>
      <c r="E522" s="428"/>
      <c r="F522" s="397"/>
      <c r="G522" s="428"/>
      <c r="H522" s="397"/>
      <c r="I522" s="500"/>
      <c r="J522" s="428"/>
      <c r="K522" s="511"/>
      <c r="L522" s="319"/>
      <c r="M522" s="319">
        <f t="shared" si="1"/>
        <v>0</v>
      </c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customHeight="1">
      <c r="A523" s="419"/>
      <c r="B523" s="420"/>
      <c r="C523" s="420"/>
      <c r="D523" s="497"/>
      <c r="E523" s="422"/>
      <c r="F523" s="394"/>
      <c r="G523" s="422"/>
      <c r="H523" s="394"/>
      <c r="I523" s="497"/>
      <c r="J523" s="422"/>
      <c r="K523" s="433"/>
      <c r="L523" s="316"/>
      <c r="M523" s="316">
        <f t="shared" si="1"/>
        <v>0</v>
      </c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customHeight="1">
      <c r="A524" s="425"/>
      <c r="B524" s="426"/>
      <c r="C524" s="426"/>
      <c r="D524" s="500"/>
      <c r="E524" s="428"/>
      <c r="F524" s="397"/>
      <c r="G524" s="428"/>
      <c r="H524" s="397"/>
      <c r="I524" s="500"/>
      <c r="J524" s="428"/>
      <c r="K524" s="433"/>
      <c r="L524" s="319"/>
      <c r="M524" s="319">
        <f t="shared" si="1"/>
        <v>0</v>
      </c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customHeight="1">
      <c r="A525" s="419"/>
      <c r="B525" s="420"/>
      <c r="C525" s="420"/>
      <c r="D525" s="497"/>
      <c r="E525" s="422"/>
      <c r="F525" s="394"/>
      <c r="G525" s="422"/>
      <c r="H525" s="394"/>
      <c r="I525" s="497"/>
      <c r="J525" s="422"/>
      <c r="K525" s="513"/>
      <c r="L525" s="316"/>
      <c r="M525" s="316">
        <f t="shared" si="1"/>
        <v>0</v>
      </c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customHeight="1">
      <c r="A526" s="425"/>
      <c r="B526" s="426"/>
      <c r="C526" s="426"/>
      <c r="D526" s="500"/>
      <c r="E526" s="428"/>
      <c r="F526" s="397"/>
      <c r="G526" s="428"/>
      <c r="H526" s="397"/>
      <c r="I526" s="500"/>
      <c r="J526" s="428"/>
      <c r="K526" s="433"/>
      <c r="L526" s="319"/>
      <c r="M526" s="319">
        <f t="shared" si="1"/>
        <v>0</v>
      </c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customHeight="1">
      <c r="A527" s="419"/>
      <c r="B527" s="420"/>
      <c r="C527" s="420"/>
      <c r="D527" s="497"/>
      <c r="E527" s="422"/>
      <c r="F527" s="394"/>
      <c r="G527" s="422"/>
      <c r="H527" s="394"/>
      <c r="I527" s="497"/>
      <c r="J527" s="422"/>
      <c r="K527" s="511"/>
      <c r="L527" s="316"/>
      <c r="M527" s="316">
        <f t="shared" si="1"/>
        <v>0</v>
      </c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customHeight="1">
      <c r="A528" s="425"/>
      <c r="B528" s="426"/>
      <c r="C528" s="426"/>
      <c r="D528" s="500"/>
      <c r="E528" s="428"/>
      <c r="F528" s="397"/>
      <c r="G528" s="428"/>
      <c r="H528" s="397"/>
      <c r="I528" s="500"/>
      <c r="J528" s="428"/>
      <c r="K528" s="433"/>
      <c r="L528" s="319"/>
      <c r="M528" s="319">
        <f t="shared" si="1"/>
        <v>0</v>
      </c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customHeight="1">
      <c r="A529" s="419"/>
      <c r="B529" s="420"/>
      <c r="C529" s="420"/>
      <c r="D529" s="497"/>
      <c r="E529" s="422"/>
      <c r="F529" s="394"/>
      <c r="G529" s="422"/>
      <c r="H529" s="394"/>
      <c r="I529" s="497"/>
      <c r="J529" s="422"/>
      <c r="K529" s="433"/>
      <c r="L529" s="316"/>
      <c r="M529" s="316">
        <f t="shared" si="1"/>
        <v>0</v>
      </c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customHeight="1">
      <c r="A530" s="425"/>
      <c r="B530" s="426"/>
      <c r="C530" s="426"/>
      <c r="D530" s="500"/>
      <c r="E530" s="428"/>
      <c r="F530" s="397"/>
      <c r="G530" s="428"/>
      <c r="H530" s="397"/>
      <c r="I530" s="500"/>
      <c r="J530" s="428"/>
      <c r="K530" s="433"/>
      <c r="L530" s="319"/>
      <c r="M530" s="319">
        <f t="shared" si="1"/>
        <v>0</v>
      </c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customHeight="1">
      <c r="A531" s="419"/>
      <c r="B531" s="420"/>
      <c r="C531" s="420"/>
      <c r="D531" s="497"/>
      <c r="E531" s="422"/>
      <c r="F531" s="394"/>
      <c r="G531" s="422"/>
      <c r="H531" s="394"/>
      <c r="I531" s="497"/>
      <c r="J531" s="422"/>
      <c r="K531" s="433"/>
      <c r="L531" s="316"/>
      <c r="M531" s="316">
        <f t="shared" si="1"/>
        <v>0</v>
      </c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customHeight="1">
      <c r="A532" s="425"/>
      <c r="B532" s="426"/>
      <c r="C532" s="426"/>
      <c r="D532" s="500"/>
      <c r="E532" s="428"/>
      <c r="F532" s="397"/>
      <c r="G532" s="428"/>
      <c r="H532" s="397"/>
      <c r="I532" s="500"/>
      <c r="J532" s="428"/>
      <c r="K532" s="511"/>
      <c r="L532" s="319"/>
      <c r="M532" s="319">
        <f t="shared" si="1"/>
        <v>0</v>
      </c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customHeight="1">
      <c r="A533" s="419"/>
      <c r="B533" s="420"/>
      <c r="C533" s="420"/>
      <c r="D533" s="497"/>
      <c r="E533" s="422"/>
      <c r="F533" s="394"/>
      <c r="G533" s="422"/>
      <c r="H533" s="394"/>
      <c r="I533" s="497"/>
      <c r="J533" s="422"/>
      <c r="K533" s="433"/>
      <c r="L533" s="316"/>
      <c r="M533" s="316">
        <f t="shared" si="1"/>
        <v>0</v>
      </c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customHeight="1">
      <c r="A534" s="425"/>
      <c r="B534" s="426"/>
      <c r="C534" s="426"/>
      <c r="D534" s="500"/>
      <c r="E534" s="428"/>
      <c r="F534" s="397"/>
      <c r="G534" s="428"/>
      <c r="H534" s="397"/>
      <c r="I534" s="500"/>
      <c r="J534" s="428"/>
      <c r="K534" s="433"/>
      <c r="L534" s="319"/>
      <c r="M534" s="319">
        <f t="shared" si="1"/>
        <v>0</v>
      </c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customHeight="1">
      <c r="A535" s="419"/>
      <c r="B535" s="420"/>
      <c r="C535" s="420"/>
      <c r="D535" s="497"/>
      <c r="E535" s="422"/>
      <c r="F535" s="394"/>
      <c r="G535" s="422"/>
      <c r="H535" s="394"/>
      <c r="I535" s="497"/>
      <c r="J535" s="422"/>
      <c r="K535" s="433"/>
      <c r="L535" s="316"/>
      <c r="M535" s="316">
        <f t="shared" si="1"/>
        <v>0</v>
      </c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customHeight="1">
      <c r="A536" s="425"/>
      <c r="B536" s="426"/>
      <c r="C536" s="426"/>
      <c r="D536" s="500"/>
      <c r="E536" s="428"/>
      <c r="F536" s="397"/>
      <c r="G536" s="428"/>
      <c r="H536" s="397"/>
      <c r="I536" s="500"/>
      <c r="J536" s="428"/>
      <c r="K536" s="433"/>
      <c r="L536" s="319"/>
      <c r="M536" s="319">
        <f t="shared" si="1"/>
        <v>0</v>
      </c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customHeight="1">
      <c r="A537" s="419"/>
      <c r="B537" s="420"/>
      <c r="C537" s="420"/>
      <c r="D537" s="497"/>
      <c r="E537" s="422"/>
      <c r="F537" s="394"/>
      <c r="G537" s="422"/>
      <c r="H537" s="394"/>
      <c r="I537" s="497"/>
      <c r="J537" s="422"/>
      <c r="K537" s="433"/>
      <c r="L537" s="316"/>
      <c r="M537" s="316">
        <f t="shared" si="1"/>
        <v>0</v>
      </c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customHeight="1">
      <c r="A538" s="425"/>
      <c r="B538" s="426"/>
      <c r="C538" s="426"/>
      <c r="D538" s="500"/>
      <c r="E538" s="428"/>
      <c r="F538" s="397"/>
      <c r="G538" s="428"/>
      <c r="H538" s="397"/>
      <c r="I538" s="500"/>
      <c r="J538" s="428"/>
      <c r="K538" s="433"/>
      <c r="L538" s="319"/>
      <c r="M538" s="319">
        <f t="shared" si="1"/>
        <v>0</v>
      </c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customHeight="1">
      <c r="A539" s="419"/>
      <c r="B539" s="420"/>
      <c r="C539" s="420"/>
      <c r="D539" s="497"/>
      <c r="E539" s="422"/>
      <c r="F539" s="394"/>
      <c r="G539" s="422"/>
      <c r="H539" s="394"/>
      <c r="I539" s="497"/>
      <c r="J539" s="422"/>
      <c r="K539" s="433"/>
      <c r="L539" s="316"/>
      <c r="M539" s="316">
        <f t="shared" si="1"/>
        <v>0</v>
      </c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customHeight="1">
      <c r="A540" s="425"/>
      <c r="B540" s="426"/>
      <c r="C540" s="426"/>
      <c r="D540" s="500"/>
      <c r="E540" s="428"/>
      <c r="F540" s="397"/>
      <c r="G540" s="428"/>
      <c r="H540" s="397"/>
      <c r="I540" s="500"/>
      <c r="J540" s="428"/>
      <c r="K540" s="433"/>
      <c r="L540" s="319"/>
      <c r="M540" s="319">
        <f t="shared" si="1"/>
        <v>0</v>
      </c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customHeight="1">
      <c r="A541" s="419"/>
      <c r="B541" s="420"/>
      <c r="C541" s="420"/>
      <c r="D541" s="497"/>
      <c r="E541" s="422"/>
      <c r="F541" s="394"/>
      <c r="G541" s="422"/>
      <c r="H541" s="394"/>
      <c r="I541" s="497"/>
      <c r="J541" s="422"/>
      <c r="K541" s="502"/>
      <c r="L541" s="316"/>
      <c r="M541" s="316">
        <f t="shared" si="1"/>
        <v>0</v>
      </c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customHeight="1">
      <c r="A542" s="425"/>
      <c r="B542" s="426"/>
      <c r="C542" s="426"/>
      <c r="D542" s="500"/>
      <c r="E542" s="428"/>
      <c r="F542" s="397"/>
      <c r="G542" s="428"/>
      <c r="H542" s="397"/>
      <c r="I542" s="500"/>
      <c r="J542" s="428"/>
      <c r="K542" s="502"/>
      <c r="L542" s="319"/>
      <c r="M542" s="319">
        <f t="shared" si="1"/>
        <v>0</v>
      </c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customHeight="1">
      <c r="A543" s="419"/>
      <c r="B543" s="420"/>
      <c r="C543" s="420"/>
      <c r="D543" s="497"/>
      <c r="E543" s="422"/>
      <c r="F543" s="394"/>
      <c r="G543" s="422"/>
      <c r="H543" s="394"/>
      <c r="I543" s="497"/>
      <c r="J543" s="422"/>
      <c r="K543" s="513"/>
      <c r="L543" s="316"/>
      <c r="M543" s="316">
        <f t="shared" si="1"/>
        <v>0</v>
      </c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customHeight="1">
      <c r="A544" s="425"/>
      <c r="B544" s="426"/>
      <c r="C544" s="426"/>
      <c r="D544" s="500"/>
      <c r="E544" s="428"/>
      <c r="F544" s="397"/>
      <c r="G544" s="428"/>
      <c r="H544" s="397"/>
      <c r="I544" s="500"/>
      <c r="J544" s="428"/>
      <c r="K544" s="433"/>
      <c r="L544" s="319"/>
      <c r="M544" s="319">
        <f t="shared" si="1"/>
        <v>0</v>
      </c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customHeight="1">
      <c r="A545" s="419"/>
      <c r="B545" s="420"/>
      <c r="C545" s="420"/>
      <c r="D545" s="497"/>
      <c r="E545" s="422"/>
      <c r="F545" s="394"/>
      <c r="G545" s="422"/>
      <c r="H545" s="394"/>
      <c r="I545" s="497"/>
      <c r="J545" s="422"/>
      <c r="K545" s="433"/>
      <c r="L545" s="316"/>
      <c r="M545" s="316">
        <f t="shared" si="1"/>
        <v>0</v>
      </c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customHeight="1">
      <c r="A546" s="425"/>
      <c r="B546" s="426"/>
      <c r="C546" s="426"/>
      <c r="D546" s="500"/>
      <c r="E546" s="428"/>
      <c r="F546" s="397"/>
      <c r="G546" s="428"/>
      <c r="H546" s="397"/>
      <c r="I546" s="500"/>
      <c r="J546" s="428"/>
      <c r="K546" s="433"/>
      <c r="L546" s="319"/>
      <c r="M546" s="319">
        <f t="shared" si="1"/>
        <v>0</v>
      </c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customHeight="1">
      <c r="A547" s="419"/>
      <c r="B547" s="420"/>
      <c r="C547" s="420"/>
      <c r="D547" s="497"/>
      <c r="E547" s="422"/>
      <c r="F547" s="394"/>
      <c r="G547" s="422"/>
      <c r="H547" s="394"/>
      <c r="I547" s="497"/>
      <c r="J547" s="422"/>
      <c r="K547" s="433"/>
      <c r="L547" s="316"/>
      <c r="M547" s="316">
        <f t="shared" si="1"/>
        <v>0</v>
      </c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customHeight="1">
      <c r="A548" s="425"/>
      <c r="B548" s="426"/>
      <c r="C548" s="426"/>
      <c r="D548" s="500"/>
      <c r="E548" s="428"/>
      <c r="F548" s="397"/>
      <c r="G548" s="428"/>
      <c r="H548" s="397"/>
      <c r="I548" s="500"/>
      <c r="J548" s="428"/>
      <c r="K548" s="433"/>
      <c r="L548" s="319"/>
      <c r="M548" s="319">
        <f t="shared" si="1"/>
        <v>0</v>
      </c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customHeight="1">
      <c r="A549" s="419"/>
      <c r="B549" s="420"/>
      <c r="C549" s="420"/>
      <c r="D549" s="497"/>
      <c r="E549" s="422"/>
      <c r="F549" s="394"/>
      <c r="G549" s="422"/>
      <c r="H549" s="394"/>
      <c r="I549" s="497"/>
      <c r="J549" s="422"/>
      <c r="K549" s="433"/>
      <c r="L549" s="316"/>
      <c r="M549" s="316">
        <f t="shared" si="1"/>
        <v>0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customHeight="1">
      <c r="A550" s="425"/>
      <c r="B550" s="426"/>
      <c r="C550" s="426"/>
      <c r="D550" s="500"/>
      <c r="E550" s="428"/>
      <c r="F550" s="397"/>
      <c r="G550" s="428"/>
      <c r="H550" s="397"/>
      <c r="I550" s="500"/>
      <c r="J550" s="428"/>
      <c r="K550" s="433"/>
      <c r="L550" s="319"/>
      <c r="M550" s="319">
        <f t="shared" si="1"/>
        <v>0</v>
      </c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customHeight="1">
      <c r="A551" s="419"/>
      <c r="B551" s="420"/>
      <c r="C551" s="420"/>
      <c r="D551" s="497"/>
      <c r="E551" s="422"/>
      <c r="F551" s="394"/>
      <c r="G551" s="422"/>
      <c r="H551" s="394"/>
      <c r="I551" s="497"/>
      <c r="J551" s="422"/>
      <c r="K551" s="511"/>
      <c r="L551" s="316"/>
      <c r="M551" s="316">
        <f t="shared" si="1"/>
        <v>0</v>
      </c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customHeight="1">
      <c r="A552" s="425"/>
      <c r="B552" s="426"/>
      <c r="C552" s="426"/>
      <c r="D552" s="500"/>
      <c r="E552" s="428"/>
      <c r="F552" s="397"/>
      <c r="G552" s="428"/>
      <c r="H552" s="439"/>
      <c r="I552" s="500"/>
      <c r="J552" s="428"/>
      <c r="K552" s="433"/>
      <c r="L552" s="319"/>
      <c r="M552" s="319">
        <f t="shared" si="1"/>
        <v>0</v>
      </c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customHeight="1">
      <c r="A553" s="419"/>
      <c r="B553" s="420"/>
      <c r="C553" s="420"/>
      <c r="D553" s="497"/>
      <c r="E553" s="422"/>
      <c r="F553" s="394"/>
      <c r="G553" s="422"/>
      <c r="H553" s="394"/>
      <c r="I553" s="497"/>
      <c r="J553" s="422"/>
      <c r="K553" s="433"/>
      <c r="L553" s="316"/>
      <c r="M553" s="316">
        <f t="shared" si="1"/>
        <v>0</v>
      </c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customHeight="1">
      <c r="A554" s="425"/>
      <c r="B554" s="426"/>
      <c r="C554" s="426"/>
      <c r="D554" s="500"/>
      <c r="E554" s="428"/>
      <c r="F554" s="397"/>
      <c r="G554" s="428"/>
      <c r="H554" s="397"/>
      <c r="I554" s="500"/>
      <c r="J554" s="428"/>
      <c r="K554" s="433"/>
      <c r="L554" s="319"/>
      <c r="M554" s="319">
        <f t="shared" si="1"/>
        <v>0</v>
      </c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customHeight="1">
      <c r="A555" s="419"/>
      <c r="B555" s="420"/>
      <c r="C555" s="420"/>
      <c r="D555" s="497"/>
      <c r="E555" s="422"/>
      <c r="F555" s="394"/>
      <c r="G555" s="422"/>
      <c r="H555" s="394"/>
      <c r="I555" s="497"/>
      <c r="J555" s="422"/>
      <c r="K555" s="433"/>
      <c r="L555" s="316"/>
      <c r="M555" s="316">
        <f t="shared" si="1"/>
        <v>0</v>
      </c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customHeight="1">
      <c r="A556" s="425"/>
      <c r="B556" s="426"/>
      <c r="C556" s="426"/>
      <c r="D556" s="500"/>
      <c r="E556" s="428"/>
      <c r="F556" s="397"/>
      <c r="G556" s="428"/>
      <c r="H556" s="397"/>
      <c r="I556" s="500"/>
      <c r="J556" s="428"/>
      <c r="K556" s="433"/>
      <c r="L556" s="319"/>
      <c r="M556" s="319">
        <f t="shared" si="1"/>
        <v>0</v>
      </c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customHeight="1">
      <c r="A557" s="419"/>
      <c r="B557" s="420"/>
      <c r="C557" s="420"/>
      <c r="D557" s="497"/>
      <c r="E557" s="422"/>
      <c r="F557" s="394"/>
      <c r="G557" s="422"/>
      <c r="H557" s="394"/>
      <c r="I557" s="497"/>
      <c r="J557" s="422"/>
      <c r="K557" s="433"/>
      <c r="L557" s="316"/>
      <c r="M557" s="316">
        <f t="shared" si="1"/>
        <v>0</v>
      </c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customHeight="1">
      <c r="A558" s="425"/>
      <c r="B558" s="426"/>
      <c r="C558" s="426"/>
      <c r="D558" s="500"/>
      <c r="E558" s="428"/>
      <c r="F558" s="397"/>
      <c r="G558" s="428"/>
      <c r="H558" s="397"/>
      <c r="I558" s="500"/>
      <c r="J558" s="428"/>
      <c r="K558" s="511"/>
      <c r="L558" s="319"/>
      <c r="M558" s="319">
        <f t="shared" si="1"/>
        <v>0</v>
      </c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customHeight="1">
      <c r="A559" s="419"/>
      <c r="B559" s="420"/>
      <c r="C559" s="420"/>
      <c r="D559" s="497"/>
      <c r="E559" s="422"/>
      <c r="F559" s="394"/>
      <c r="G559" s="422"/>
      <c r="H559" s="394"/>
      <c r="I559" s="497"/>
      <c r="J559" s="422"/>
      <c r="K559" s="433"/>
      <c r="L559" s="316"/>
      <c r="M559" s="316">
        <f t="shared" si="1"/>
        <v>0</v>
      </c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customHeight="1">
      <c r="A560" s="425"/>
      <c r="B560" s="426"/>
      <c r="C560" s="426"/>
      <c r="D560" s="500"/>
      <c r="E560" s="428"/>
      <c r="F560" s="397"/>
      <c r="G560" s="428"/>
      <c r="H560" s="397"/>
      <c r="I560" s="500"/>
      <c r="J560" s="428"/>
      <c r="K560" s="433"/>
      <c r="L560" s="319"/>
      <c r="M560" s="319">
        <f t="shared" si="1"/>
        <v>0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customHeight="1">
      <c r="A561" s="419"/>
      <c r="B561" s="420"/>
      <c r="C561" s="420"/>
      <c r="D561" s="497"/>
      <c r="E561" s="422"/>
      <c r="F561" s="394"/>
      <c r="G561" s="422"/>
      <c r="H561" s="394"/>
      <c r="I561" s="497"/>
      <c r="J561" s="422"/>
      <c r="K561" s="433"/>
      <c r="L561" s="316"/>
      <c r="M561" s="316">
        <f t="shared" si="1"/>
        <v>0</v>
      </c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customHeight="1">
      <c r="A562" s="425"/>
      <c r="B562" s="426"/>
      <c r="C562" s="426"/>
      <c r="D562" s="500"/>
      <c r="E562" s="428"/>
      <c r="F562" s="397"/>
      <c r="G562" s="428"/>
      <c r="H562" s="397"/>
      <c r="I562" s="500"/>
      <c r="J562" s="428"/>
      <c r="K562" s="433"/>
      <c r="L562" s="319"/>
      <c r="M562" s="319">
        <f t="shared" si="1"/>
        <v>0</v>
      </c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customHeight="1">
      <c r="A563" s="419"/>
      <c r="B563" s="420"/>
      <c r="C563" s="420"/>
      <c r="D563" s="497"/>
      <c r="E563" s="422"/>
      <c r="F563" s="394"/>
      <c r="G563" s="422"/>
      <c r="H563" s="394"/>
      <c r="I563" s="497"/>
      <c r="J563" s="422"/>
      <c r="K563" s="433"/>
      <c r="L563" s="316"/>
      <c r="M563" s="316">
        <f t="shared" si="1"/>
        <v>0</v>
      </c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customHeight="1">
      <c r="A564" s="425"/>
      <c r="B564" s="426"/>
      <c r="C564" s="426"/>
      <c r="D564" s="500"/>
      <c r="E564" s="428"/>
      <c r="F564" s="397"/>
      <c r="G564" s="428"/>
      <c r="H564" s="397"/>
      <c r="I564" s="500"/>
      <c r="J564" s="428"/>
      <c r="K564" s="433"/>
      <c r="L564" s="319"/>
      <c r="M564" s="319">
        <f t="shared" si="1"/>
        <v>0</v>
      </c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customHeight="1">
      <c r="A565" s="419"/>
      <c r="B565" s="420"/>
      <c r="C565" s="420"/>
      <c r="D565" s="497"/>
      <c r="E565" s="422"/>
      <c r="F565" s="394"/>
      <c r="G565" s="422"/>
      <c r="H565" s="394"/>
      <c r="I565" s="497"/>
      <c r="J565" s="422"/>
      <c r="K565" s="433"/>
      <c r="L565" s="316"/>
      <c r="M565" s="316">
        <f t="shared" si="1"/>
        <v>0</v>
      </c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customHeight="1">
      <c r="A566" s="425"/>
      <c r="B566" s="426"/>
      <c r="C566" s="426"/>
      <c r="D566" s="500"/>
      <c r="E566" s="428"/>
      <c r="F566" s="397"/>
      <c r="G566" s="428"/>
      <c r="H566" s="397"/>
      <c r="I566" s="500"/>
      <c r="J566" s="428"/>
      <c r="K566" s="433"/>
      <c r="L566" s="319"/>
      <c r="M566" s="319">
        <f t="shared" si="1"/>
        <v>0</v>
      </c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customHeight="1">
      <c r="A567" s="419"/>
      <c r="B567" s="420"/>
      <c r="C567" s="420"/>
      <c r="D567" s="497"/>
      <c r="E567" s="422"/>
      <c r="F567" s="394"/>
      <c r="G567" s="422"/>
      <c r="H567" s="394"/>
      <c r="I567" s="497"/>
      <c r="J567" s="422"/>
      <c r="K567" s="433"/>
      <c r="L567" s="316"/>
      <c r="M567" s="316">
        <f t="shared" si="1"/>
        <v>0</v>
      </c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customHeight="1">
      <c r="A568" s="425"/>
      <c r="B568" s="426"/>
      <c r="C568" s="426"/>
      <c r="D568" s="500"/>
      <c r="E568" s="428"/>
      <c r="F568" s="397"/>
      <c r="G568" s="428"/>
      <c r="H568" s="397"/>
      <c r="I568" s="500"/>
      <c r="J568" s="428"/>
      <c r="K568" s="511"/>
      <c r="L568" s="319"/>
      <c r="M568" s="319">
        <f t="shared" si="1"/>
        <v>0</v>
      </c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customHeight="1">
      <c r="A569" s="419"/>
      <c r="B569" s="420"/>
      <c r="C569" s="420"/>
      <c r="D569" s="497"/>
      <c r="E569" s="422"/>
      <c r="F569" s="394"/>
      <c r="G569" s="422"/>
      <c r="H569" s="394"/>
      <c r="I569" s="497"/>
      <c r="J569" s="422"/>
      <c r="K569" s="433"/>
      <c r="L569" s="316"/>
      <c r="M569" s="316">
        <f t="shared" si="1"/>
        <v>0</v>
      </c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customHeight="1">
      <c r="A570" s="425"/>
      <c r="B570" s="426"/>
      <c r="C570" s="426"/>
      <c r="D570" s="500"/>
      <c r="E570" s="428"/>
      <c r="F570" s="397"/>
      <c r="G570" s="428"/>
      <c r="H570" s="397"/>
      <c r="I570" s="500"/>
      <c r="J570" s="428"/>
      <c r="K570" s="433"/>
      <c r="L570" s="319"/>
      <c r="M570" s="319">
        <f t="shared" si="1"/>
        <v>0</v>
      </c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customHeight="1">
      <c r="A571" s="419"/>
      <c r="B571" s="420"/>
      <c r="C571" s="420"/>
      <c r="D571" s="497"/>
      <c r="E571" s="422"/>
      <c r="F571" s="394"/>
      <c r="G571" s="422"/>
      <c r="H571" s="394"/>
      <c r="I571" s="497"/>
      <c r="J571" s="422"/>
      <c r="K571" s="433"/>
      <c r="L571" s="316"/>
      <c r="M571" s="316">
        <f t="shared" si="1"/>
        <v>0</v>
      </c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customHeight="1">
      <c r="A572" s="425"/>
      <c r="B572" s="426"/>
      <c r="C572" s="426"/>
      <c r="D572" s="500"/>
      <c r="E572" s="428"/>
      <c r="F572" s="397"/>
      <c r="G572" s="428"/>
      <c r="H572" s="397"/>
      <c r="I572" s="500"/>
      <c r="J572" s="428"/>
      <c r="K572" s="433"/>
      <c r="L572" s="319"/>
      <c r="M572" s="319">
        <f t="shared" si="1"/>
        <v>0</v>
      </c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customHeight="1">
      <c r="A573" s="419"/>
      <c r="B573" s="420"/>
      <c r="C573" s="420"/>
      <c r="D573" s="497"/>
      <c r="E573" s="422"/>
      <c r="F573" s="394"/>
      <c r="G573" s="422"/>
      <c r="H573" s="394"/>
      <c r="I573" s="497"/>
      <c r="J573" s="422"/>
      <c r="K573" s="433"/>
      <c r="L573" s="316"/>
      <c r="M573" s="316">
        <f t="shared" si="1"/>
        <v>0</v>
      </c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customHeight="1">
      <c r="A574" s="425"/>
      <c r="B574" s="426"/>
      <c r="C574" s="426"/>
      <c r="D574" s="500"/>
      <c r="E574" s="428"/>
      <c r="F574" s="397"/>
      <c r="G574" s="428"/>
      <c r="H574" s="397"/>
      <c r="I574" s="500"/>
      <c r="J574" s="428"/>
      <c r="K574" s="513"/>
      <c r="L574" s="319"/>
      <c r="M574" s="319">
        <f t="shared" si="1"/>
        <v>0</v>
      </c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customHeight="1">
      <c r="A575" s="419"/>
      <c r="B575" s="420"/>
      <c r="C575" s="420"/>
      <c r="D575" s="497"/>
      <c r="E575" s="422"/>
      <c r="F575" s="394"/>
      <c r="G575" s="422"/>
      <c r="H575" s="394"/>
      <c r="I575" s="497"/>
      <c r="J575" s="422"/>
      <c r="K575" s="433"/>
      <c r="L575" s="316"/>
      <c r="M575" s="316">
        <f t="shared" si="1"/>
        <v>0</v>
      </c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customHeight="1">
      <c r="A576" s="425"/>
      <c r="B576" s="426"/>
      <c r="C576" s="426"/>
      <c r="D576" s="500"/>
      <c r="E576" s="428"/>
      <c r="F576" s="397"/>
      <c r="G576" s="428"/>
      <c r="H576" s="397"/>
      <c r="I576" s="500"/>
      <c r="J576" s="428"/>
      <c r="K576" s="511"/>
      <c r="L576" s="319"/>
      <c r="M576" s="319">
        <f t="shared" si="1"/>
        <v>0</v>
      </c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customHeight="1">
      <c r="A577" s="419"/>
      <c r="B577" s="420"/>
      <c r="C577" s="420"/>
      <c r="D577" s="497"/>
      <c r="E577" s="422"/>
      <c r="F577" s="394"/>
      <c r="G577" s="422"/>
      <c r="H577" s="394"/>
      <c r="I577" s="497"/>
      <c r="J577" s="422"/>
      <c r="K577" s="433"/>
      <c r="L577" s="316"/>
      <c r="M577" s="316">
        <f t="shared" si="1"/>
        <v>0</v>
      </c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customHeight="1">
      <c r="A578" s="425"/>
      <c r="B578" s="426"/>
      <c r="C578" s="426"/>
      <c r="D578" s="500"/>
      <c r="E578" s="428"/>
      <c r="F578" s="397"/>
      <c r="G578" s="428"/>
      <c r="H578" s="397"/>
      <c r="I578" s="500"/>
      <c r="J578" s="428"/>
      <c r="K578" s="433"/>
      <c r="L578" s="319"/>
      <c r="M578" s="319">
        <f t="shared" si="1"/>
        <v>0</v>
      </c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customHeight="1">
      <c r="A579" s="419"/>
      <c r="B579" s="420"/>
      <c r="C579" s="420"/>
      <c r="D579" s="497"/>
      <c r="E579" s="422"/>
      <c r="F579" s="394"/>
      <c r="G579" s="422"/>
      <c r="H579" s="394"/>
      <c r="I579" s="497"/>
      <c r="J579" s="422"/>
      <c r="K579" s="513"/>
      <c r="L579" s="316"/>
      <c r="M579" s="316">
        <f t="shared" si="1"/>
        <v>0</v>
      </c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customHeight="1">
      <c r="A580" s="425"/>
      <c r="B580" s="426"/>
      <c r="C580" s="426"/>
      <c r="D580" s="500"/>
      <c r="E580" s="428"/>
      <c r="F580" s="397"/>
      <c r="G580" s="428"/>
      <c r="H580" s="397"/>
      <c r="I580" s="500"/>
      <c r="J580" s="428"/>
      <c r="K580" s="433"/>
      <c r="L580" s="319"/>
      <c r="M580" s="319">
        <f t="shared" si="1"/>
        <v>0</v>
      </c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customHeight="1">
      <c r="A581" s="419"/>
      <c r="B581" s="420"/>
      <c r="C581" s="420"/>
      <c r="D581" s="497"/>
      <c r="E581" s="422"/>
      <c r="F581" s="394"/>
      <c r="G581" s="422"/>
      <c r="H581" s="394"/>
      <c r="I581" s="497"/>
      <c r="J581" s="422"/>
      <c r="K581" s="433"/>
      <c r="L581" s="316"/>
      <c r="M581" s="316">
        <f t="shared" si="1"/>
        <v>0</v>
      </c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customHeight="1">
      <c r="A582" s="425"/>
      <c r="B582" s="426"/>
      <c r="C582" s="426"/>
      <c r="D582" s="500"/>
      <c r="E582" s="428"/>
      <c r="F582" s="397"/>
      <c r="G582" s="428"/>
      <c r="H582" s="397"/>
      <c r="I582" s="500"/>
      <c r="J582" s="428"/>
      <c r="K582" s="511"/>
      <c r="L582" s="319"/>
      <c r="M582" s="319">
        <f t="shared" si="1"/>
        <v>0</v>
      </c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customHeight="1">
      <c r="A583" s="419"/>
      <c r="B583" s="420"/>
      <c r="C583" s="420"/>
      <c r="D583" s="497"/>
      <c r="E583" s="422"/>
      <c r="F583" s="394"/>
      <c r="G583" s="422"/>
      <c r="H583" s="394"/>
      <c r="I583" s="497"/>
      <c r="J583" s="422"/>
      <c r="K583" s="502"/>
      <c r="L583" s="316"/>
      <c r="M583" s="316">
        <f t="shared" si="1"/>
        <v>0</v>
      </c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customHeight="1">
      <c r="A584" s="425"/>
      <c r="B584" s="426"/>
      <c r="C584" s="426"/>
      <c r="D584" s="500"/>
      <c r="E584" s="428"/>
      <c r="F584" s="397"/>
      <c r="G584" s="428"/>
      <c r="H584" s="397"/>
      <c r="I584" s="500"/>
      <c r="J584" s="428"/>
      <c r="K584" s="433"/>
      <c r="L584" s="319"/>
      <c r="M584" s="319">
        <f t="shared" si="1"/>
        <v>0</v>
      </c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customHeight="1">
      <c r="A585" s="419"/>
      <c r="B585" s="420"/>
      <c r="C585" s="420"/>
      <c r="D585" s="497"/>
      <c r="E585" s="422"/>
      <c r="F585" s="394"/>
      <c r="G585" s="422"/>
      <c r="H585" s="394"/>
      <c r="I585" s="497"/>
      <c r="J585" s="422"/>
      <c r="K585" s="433"/>
      <c r="L585" s="316"/>
      <c r="M585" s="316">
        <f t="shared" si="1"/>
        <v>0</v>
      </c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customHeight="1">
      <c r="A586" s="425"/>
      <c r="B586" s="426"/>
      <c r="C586" s="426"/>
      <c r="D586" s="500"/>
      <c r="E586" s="428"/>
      <c r="F586" s="397"/>
      <c r="G586" s="428"/>
      <c r="H586" s="397"/>
      <c r="I586" s="500"/>
      <c r="J586" s="428"/>
      <c r="K586" s="433"/>
      <c r="L586" s="319"/>
      <c r="M586" s="319">
        <f t="shared" si="1"/>
        <v>0</v>
      </c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customHeight="1">
      <c r="A587" s="419"/>
      <c r="B587" s="420"/>
      <c r="C587" s="420"/>
      <c r="D587" s="497"/>
      <c r="E587" s="422"/>
      <c r="F587" s="394"/>
      <c r="G587" s="422"/>
      <c r="H587" s="394"/>
      <c r="I587" s="497"/>
      <c r="J587" s="422"/>
      <c r="K587" s="433"/>
      <c r="L587" s="316"/>
      <c r="M587" s="316">
        <f t="shared" si="1"/>
        <v>0</v>
      </c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customHeight="1">
      <c r="A588" s="425"/>
      <c r="B588" s="426"/>
      <c r="C588" s="426"/>
      <c r="D588" s="500"/>
      <c r="E588" s="428"/>
      <c r="F588" s="397"/>
      <c r="G588" s="428"/>
      <c r="H588" s="397"/>
      <c r="I588" s="500"/>
      <c r="J588" s="428"/>
      <c r="K588" s="433"/>
      <c r="L588" s="319"/>
      <c r="M588" s="319">
        <f t="shared" si="1"/>
        <v>0</v>
      </c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customHeight="1">
      <c r="A589" s="419"/>
      <c r="B589" s="420"/>
      <c r="C589" s="420"/>
      <c r="D589" s="497"/>
      <c r="E589" s="422"/>
      <c r="F589" s="394"/>
      <c r="G589" s="422"/>
      <c r="H589" s="394"/>
      <c r="I589" s="497"/>
      <c r="J589" s="422"/>
      <c r="K589" s="433"/>
      <c r="L589" s="316"/>
      <c r="M589" s="316">
        <f t="shared" si="1"/>
        <v>0</v>
      </c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customHeight="1">
      <c r="A590" s="425"/>
      <c r="B590" s="426"/>
      <c r="C590" s="426"/>
      <c r="D590" s="500"/>
      <c r="E590" s="428"/>
      <c r="F590" s="397"/>
      <c r="G590" s="428"/>
      <c r="H590" s="397"/>
      <c r="I590" s="500"/>
      <c r="J590" s="428"/>
      <c r="K590" s="433"/>
      <c r="L590" s="319"/>
      <c r="M590" s="319">
        <f t="shared" si="1"/>
        <v>0</v>
      </c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customHeight="1">
      <c r="A591" s="419"/>
      <c r="B591" s="420"/>
      <c r="C591" s="420"/>
      <c r="D591" s="497"/>
      <c r="E591" s="422"/>
      <c r="F591" s="394"/>
      <c r="G591" s="422"/>
      <c r="H591" s="394"/>
      <c r="I591" s="497"/>
      <c r="J591" s="422"/>
      <c r="K591" s="433"/>
      <c r="L591" s="316"/>
      <c r="M591" s="316">
        <f t="shared" si="1"/>
        <v>0</v>
      </c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customHeight="1">
      <c r="A592" s="425"/>
      <c r="B592" s="426"/>
      <c r="C592" s="426"/>
      <c r="D592" s="500"/>
      <c r="E592" s="428"/>
      <c r="F592" s="397"/>
      <c r="G592" s="428"/>
      <c r="H592" s="397"/>
      <c r="I592" s="500"/>
      <c r="J592" s="428"/>
      <c r="K592" s="433"/>
      <c r="L592" s="319"/>
      <c r="M592" s="319">
        <f t="shared" si="1"/>
        <v>0</v>
      </c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customHeight="1">
      <c r="A593" s="419"/>
      <c r="B593" s="420"/>
      <c r="C593" s="420"/>
      <c r="D593" s="497"/>
      <c r="E593" s="422"/>
      <c r="F593" s="394"/>
      <c r="G593" s="422"/>
      <c r="H593" s="394"/>
      <c r="I593" s="497"/>
      <c r="J593" s="422"/>
      <c r="K593" s="513"/>
      <c r="L593" s="316"/>
      <c r="M593" s="316">
        <f t="shared" si="1"/>
        <v>0</v>
      </c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customHeight="1">
      <c r="A594" s="425"/>
      <c r="B594" s="426"/>
      <c r="C594" s="426"/>
      <c r="D594" s="500"/>
      <c r="E594" s="428"/>
      <c r="F594" s="397"/>
      <c r="G594" s="428"/>
      <c r="H594" s="397"/>
      <c r="I594" s="500"/>
      <c r="J594" s="428"/>
      <c r="K594" s="433"/>
      <c r="L594" s="319"/>
      <c r="M594" s="319">
        <f t="shared" si="1"/>
        <v>0</v>
      </c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customHeight="1">
      <c r="A595" s="419"/>
      <c r="B595" s="420"/>
      <c r="C595" s="420"/>
      <c r="D595" s="497"/>
      <c r="E595" s="422"/>
      <c r="F595" s="394"/>
      <c r="G595" s="422"/>
      <c r="H595" s="394"/>
      <c r="I595" s="497"/>
      <c r="J595" s="422"/>
      <c r="K595" s="502"/>
      <c r="L595" s="316"/>
      <c r="M595" s="316">
        <f t="shared" si="1"/>
        <v>0</v>
      </c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customHeight="1">
      <c r="A596" s="425"/>
      <c r="B596" s="426"/>
      <c r="C596" s="426"/>
      <c r="D596" s="500"/>
      <c r="E596" s="428"/>
      <c r="F596" s="397"/>
      <c r="G596" s="428"/>
      <c r="H596" s="397"/>
      <c r="I596" s="500"/>
      <c r="J596" s="428"/>
      <c r="K596" s="433"/>
      <c r="L596" s="319"/>
      <c r="M596" s="319">
        <f t="shared" si="1"/>
        <v>0</v>
      </c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customHeight="1">
      <c r="A597" s="419"/>
      <c r="B597" s="420"/>
      <c r="C597" s="420"/>
      <c r="D597" s="497"/>
      <c r="E597" s="422"/>
      <c r="F597" s="394"/>
      <c r="G597" s="422"/>
      <c r="H597" s="394"/>
      <c r="I597" s="497"/>
      <c r="J597" s="422"/>
      <c r="K597" s="513"/>
      <c r="L597" s="316"/>
      <c r="M597" s="316">
        <f t="shared" si="1"/>
        <v>0</v>
      </c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customHeight="1">
      <c r="A598" s="425"/>
      <c r="B598" s="426"/>
      <c r="C598" s="426"/>
      <c r="D598" s="500"/>
      <c r="E598" s="428"/>
      <c r="F598" s="397"/>
      <c r="G598" s="428"/>
      <c r="H598" s="397"/>
      <c r="I598" s="500"/>
      <c r="J598" s="428"/>
      <c r="K598" s="513"/>
      <c r="L598" s="319"/>
      <c r="M598" s="319">
        <f t="shared" si="1"/>
        <v>0</v>
      </c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customHeight="1">
      <c r="A599" s="419"/>
      <c r="B599" s="420"/>
      <c r="C599" s="420"/>
      <c r="D599" s="497"/>
      <c r="E599" s="422"/>
      <c r="F599" s="394"/>
      <c r="G599" s="422"/>
      <c r="H599" s="394"/>
      <c r="I599" s="497"/>
      <c r="J599" s="422"/>
      <c r="K599" s="433"/>
      <c r="L599" s="316"/>
      <c r="M599" s="316">
        <f t="shared" si="1"/>
        <v>0</v>
      </c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customHeight="1">
      <c r="A600" s="425"/>
      <c r="B600" s="426"/>
      <c r="C600" s="426"/>
      <c r="D600" s="500"/>
      <c r="E600" s="428"/>
      <c r="F600" s="397"/>
      <c r="G600" s="428"/>
      <c r="H600" s="397"/>
      <c r="I600" s="500"/>
      <c r="J600" s="428"/>
      <c r="K600" s="433"/>
      <c r="L600" s="319"/>
      <c r="M600" s="319">
        <f t="shared" si="1"/>
        <v>0</v>
      </c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customHeight="1">
      <c r="A601" s="419"/>
      <c r="B601" s="420"/>
      <c r="C601" s="420"/>
      <c r="D601" s="497"/>
      <c r="E601" s="422"/>
      <c r="F601" s="394"/>
      <c r="G601" s="422"/>
      <c r="H601" s="394"/>
      <c r="I601" s="497"/>
      <c r="J601" s="422"/>
      <c r="K601" s="513"/>
      <c r="L601" s="316"/>
      <c r="M601" s="316">
        <f t="shared" si="1"/>
        <v>0</v>
      </c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customHeight="1">
      <c r="A602" s="425"/>
      <c r="B602" s="426"/>
      <c r="C602" s="440"/>
      <c r="D602" s="504"/>
      <c r="E602" s="428"/>
      <c r="F602" s="397"/>
      <c r="G602" s="428"/>
      <c r="H602" s="397"/>
      <c r="I602" s="500"/>
      <c r="J602" s="428"/>
      <c r="K602" s="433"/>
      <c r="L602" s="319"/>
      <c r="M602" s="319">
        <f t="shared" si="1"/>
        <v>0</v>
      </c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customHeight="1">
      <c r="A603" s="419"/>
      <c r="B603" s="420"/>
      <c r="C603" s="420"/>
      <c r="D603" s="497"/>
      <c r="E603" s="422"/>
      <c r="F603" s="394"/>
      <c r="G603" s="422"/>
      <c r="H603" s="394"/>
      <c r="I603" s="497"/>
      <c r="J603" s="422"/>
      <c r="K603" s="433"/>
      <c r="L603" s="316"/>
      <c r="M603" s="316">
        <f t="shared" si="1"/>
        <v>0</v>
      </c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customHeight="1">
      <c r="A604" s="425"/>
      <c r="B604" s="426"/>
      <c r="C604" s="426"/>
      <c r="D604" s="500"/>
      <c r="E604" s="428"/>
      <c r="F604" s="397"/>
      <c r="G604" s="428"/>
      <c r="H604" s="397"/>
      <c r="I604" s="500"/>
      <c r="J604" s="428"/>
      <c r="K604" s="511"/>
      <c r="L604" s="319"/>
      <c r="M604" s="319">
        <f t="shared" si="1"/>
        <v>0</v>
      </c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customHeight="1">
      <c r="A605" s="419"/>
      <c r="B605" s="420"/>
      <c r="C605" s="420"/>
      <c r="D605" s="497"/>
      <c r="E605" s="422"/>
      <c r="F605" s="394"/>
      <c r="G605" s="422"/>
      <c r="H605" s="394"/>
      <c r="I605" s="497"/>
      <c r="J605" s="422"/>
      <c r="K605" s="433"/>
      <c r="L605" s="316"/>
      <c r="M605" s="316">
        <f t="shared" si="1"/>
        <v>0</v>
      </c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customHeight="1">
      <c r="A606" s="425"/>
      <c r="B606" s="426"/>
      <c r="C606" s="426"/>
      <c r="D606" s="500"/>
      <c r="E606" s="428"/>
      <c r="F606" s="397"/>
      <c r="G606" s="428"/>
      <c r="H606" s="397"/>
      <c r="I606" s="500"/>
      <c r="J606" s="428"/>
      <c r="K606" s="433"/>
      <c r="L606" s="319"/>
      <c r="M606" s="319">
        <f t="shared" si="1"/>
        <v>0</v>
      </c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customHeight="1">
      <c r="A607" s="419"/>
      <c r="B607" s="420"/>
      <c r="C607" s="420"/>
      <c r="D607" s="497"/>
      <c r="E607" s="422"/>
      <c r="F607" s="394"/>
      <c r="G607" s="422"/>
      <c r="H607" s="394"/>
      <c r="I607" s="497"/>
      <c r="J607" s="422"/>
      <c r="K607" s="511"/>
      <c r="L607" s="316"/>
      <c r="M607" s="316">
        <f t="shared" si="1"/>
        <v>0</v>
      </c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customHeight="1">
      <c r="A608" s="425"/>
      <c r="B608" s="426"/>
      <c r="C608" s="426"/>
      <c r="D608" s="500"/>
      <c r="E608" s="428"/>
      <c r="F608" s="397"/>
      <c r="G608" s="428"/>
      <c r="H608" s="397"/>
      <c r="I608" s="500"/>
      <c r="J608" s="428"/>
      <c r="K608" s="433"/>
      <c r="L608" s="319"/>
      <c r="M608" s="319">
        <f t="shared" si="1"/>
        <v>0</v>
      </c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customHeight="1">
      <c r="A609" s="419"/>
      <c r="B609" s="420"/>
      <c r="C609" s="420"/>
      <c r="D609" s="497"/>
      <c r="E609" s="422"/>
      <c r="F609" s="394"/>
      <c r="G609" s="422"/>
      <c r="H609" s="394"/>
      <c r="I609" s="497"/>
      <c r="J609" s="422"/>
      <c r="K609" s="433"/>
      <c r="L609" s="316"/>
      <c r="M609" s="316">
        <f t="shared" si="1"/>
        <v>0</v>
      </c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customHeight="1">
      <c r="A610" s="425"/>
      <c r="B610" s="426"/>
      <c r="C610" s="426"/>
      <c r="D610" s="500"/>
      <c r="E610" s="428"/>
      <c r="F610" s="397"/>
      <c r="G610" s="428"/>
      <c r="H610" s="397"/>
      <c r="I610" s="500"/>
      <c r="J610" s="428"/>
      <c r="K610" s="513"/>
      <c r="L610" s="319"/>
      <c r="M610" s="319">
        <f t="shared" si="1"/>
        <v>0</v>
      </c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customHeight="1">
      <c r="A611" s="419"/>
      <c r="B611" s="420"/>
      <c r="C611" s="420"/>
      <c r="D611" s="497"/>
      <c r="E611" s="422"/>
      <c r="F611" s="394"/>
      <c r="G611" s="422"/>
      <c r="H611" s="394"/>
      <c r="I611" s="497"/>
      <c r="J611" s="422"/>
      <c r="K611" s="433"/>
      <c r="L611" s="316"/>
      <c r="M611" s="316">
        <f t="shared" si="1"/>
        <v>0</v>
      </c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customHeight="1">
      <c r="A612" s="425"/>
      <c r="B612" s="426"/>
      <c r="C612" s="426"/>
      <c r="D612" s="500"/>
      <c r="E612" s="428"/>
      <c r="F612" s="397"/>
      <c r="G612" s="428"/>
      <c r="H612" s="397"/>
      <c r="I612" s="500"/>
      <c r="J612" s="428"/>
      <c r="K612" s="433"/>
      <c r="L612" s="319"/>
      <c r="M612" s="319">
        <f t="shared" si="1"/>
        <v>0</v>
      </c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customHeight="1">
      <c r="A613" s="419"/>
      <c r="B613" s="420"/>
      <c r="C613" s="420"/>
      <c r="D613" s="497"/>
      <c r="E613" s="422"/>
      <c r="F613" s="394"/>
      <c r="G613" s="422"/>
      <c r="H613" s="394"/>
      <c r="I613" s="497"/>
      <c r="J613" s="422"/>
      <c r="K613" s="513"/>
      <c r="L613" s="316"/>
      <c r="M613" s="316">
        <f t="shared" si="1"/>
        <v>0</v>
      </c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customHeight="1">
      <c r="A614" s="425"/>
      <c r="B614" s="426"/>
      <c r="C614" s="426"/>
      <c r="D614" s="500"/>
      <c r="E614" s="428"/>
      <c r="F614" s="397"/>
      <c r="G614" s="428"/>
      <c r="H614" s="397"/>
      <c r="I614" s="500"/>
      <c r="J614" s="428"/>
      <c r="K614" s="433"/>
      <c r="L614" s="319"/>
      <c r="M614" s="319">
        <f t="shared" si="1"/>
        <v>0</v>
      </c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customHeight="1">
      <c r="A615" s="419"/>
      <c r="B615" s="420"/>
      <c r="C615" s="420"/>
      <c r="D615" s="497"/>
      <c r="E615" s="422"/>
      <c r="F615" s="394"/>
      <c r="G615" s="422"/>
      <c r="H615" s="394"/>
      <c r="I615" s="497"/>
      <c r="J615" s="422"/>
      <c r="K615" s="433"/>
      <c r="L615" s="316"/>
      <c r="M615" s="316">
        <f t="shared" si="1"/>
        <v>0</v>
      </c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customHeight="1">
      <c r="A616" s="425"/>
      <c r="B616" s="426"/>
      <c r="C616" s="426"/>
      <c r="D616" s="500"/>
      <c r="E616" s="428"/>
      <c r="F616" s="397"/>
      <c r="G616" s="428"/>
      <c r="H616" s="397"/>
      <c r="I616" s="500"/>
      <c r="J616" s="428"/>
      <c r="K616" s="433"/>
      <c r="L616" s="319"/>
      <c r="M616" s="319">
        <f t="shared" si="1"/>
        <v>0</v>
      </c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customHeight="1">
      <c r="A617" s="419"/>
      <c r="B617" s="420"/>
      <c r="C617" s="420"/>
      <c r="D617" s="497"/>
      <c r="E617" s="422"/>
      <c r="F617" s="394"/>
      <c r="G617" s="422"/>
      <c r="H617" s="394"/>
      <c r="I617" s="497"/>
      <c r="J617" s="422"/>
      <c r="K617" s="433"/>
      <c r="L617" s="316"/>
      <c r="M617" s="316">
        <f t="shared" si="1"/>
        <v>0</v>
      </c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customHeight="1">
      <c r="A618" s="425"/>
      <c r="B618" s="426"/>
      <c r="C618" s="426"/>
      <c r="D618" s="500"/>
      <c r="E618" s="428"/>
      <c r="F618" s="397"/>
      <c r="G618" s="428"/>
      <c r="H618" s="397"/>
      <c r="I618" s="500"/>
      <c r="J618" s="428"/>
      <c r="K618" s="433"/>
      <c r="L618" s="319"/>
      <c r="M618" s="319">
        <f t="shared" si="1"/>
        <v>0</v>
      </c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customHeight="1">
      <c r="A619" s="419"/>
      <c r="B619" s="420"/>
      <c r="C619" s="420"/>
      <c r="D619" s="497"/>
      <c r="E619" s="422"/>
      <c r="F619" s="394"/>
      <c r="G619" s="422"/>
      <c r="H619" s="394"/>
      <c r="I619" s="497"/>
      <c r="J619" s="422"/>
      <c r="K619" s="433"/>
      <c r="L619" s="316"/>
      <c r="M619" s="316">
        <f t="shared" si="1"/>
        <v>0</v>
      </c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customHeight="1">
      <c r="A620" s="425"/>
      <c r="B620" s="426"/>
      <c r="C620" s="426"/>
      <c r="D620" s="500"/>
      <c r="E620" s="428"/>
      <c r="F620" s="397"/>
      <c r="G620" s="428"/>
      <c r="H620" s="397"/>
      <c r="I620" s="500"/>
      <c r="J620" s="428"/>
      <c r="K620" s="511"/>
      <c r="L620" s="319"/>
      <c r="M620" s="319">
        <f t="shared" si="1"/>
        <v>0</v>
      </c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customHeight="1">
      <c r="A621" s="419"/>
      <c r="B621" s="420"/>
      <c r="C621" s="420"/>
      <c r="D621" s="497"/>
      <c r="E621" s="422"/>
      <c r="F621" s="394"/>
      <c r="G621" s="422"/>
      <c r="H621" s="394"/>
      <c r="I621" s="497"/>
      <c r="J621" s="422"/>
      <c r="K621" s="433"/>
      <c r="L621" s="316"/>
      <c r="M621" s="316">
        <f t="shared" si="1"/>
        <v>0</v>
      </c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customHeight="1">
      <c r="A622" s="425"/>
      <c r="B622" s="426"/>
      <c r="C622" s="426"/>
      <c r="D622" s="500"/>
      <c r="E622" s="428"/>
      <c r="F622" s="397"/>
      <c r="G622" s="428"/>
      <c r="H622" s="397"/>
      <c r="I622" s="500"/>
      <c r="J622" s="428"/>
      <c r="K622" s="433"/>
      <c r="L622" s="319"/>
      <c r="M622" s="319">
        <f t="shared" si="1"/>
        <v>0</v>
      </c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customHeight="1">
      <c r="A623" s="419"/>
      <c r="B623" s="420"/>
      <c r="C623" s="420"/>
      <c r="D623" s="497"/>
      <c r="E623" s="422"/>
      <c r="F623" s="394"/>
      <c r="G623" s="422"/>
      <c r="H623" s="394"/>
      <c r="I623" s="497"/>
      <c r="J623" s="422"/>
      <c r="K623" s="433"/>
      <c r="L623" s="316"/>
      <c r="M623" s="316">
        <f t="shared" si="1"/>
        <v>0</v>
      </c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customHeight="1">
      <c r="A624" s="425"/>
      <c r="B624" s="426"/>
      <c r="C624" s="426"/>
      <c r="D624" s="500"/>
      <c r="E624" s="428"/>
      <c r="F624" s="397"/>
      <c r="G624" s="428"/>
      <c r="H624" s="397"/>
      <c r="I624" s="500"/>
      <c r="J624" s="428"/>
      <c r="K624" s="511"/>
      <c r="L624" s="319"/>
      <c r="M624" s="319">
        <f t="shared" si="1"/>
        <v>0</v>
      </c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customHeight="1">
      <c r="A625" s="419"/>
      <c r="B625" s="420"/>
      <c r="C625" s="420"/>
      <c r="D625" s="497"/>
      <c r="E625" s="422"/>
      <c r="F625" s="394"/>
      <c r="G625" s="422"/>
      <c r="H625" s="394"/>
      <c r="I625" s="497"/>
      <c r="J625" s="422"/>
      <c r="K625" s="433"/>
      <c r="L625" s="316"/>
      <c r="M625" s="316">
        <f t="shared" si="1"/>
        <v>0</v>
      </c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customHeight="1">
      <c r="A626" s="425"/>
      <c r="B626" s="426"/>
      <c r="C626" s="426"/>
      <c r="D626" s="500"/>
      <c r="E626" s="428"/>
      <c r="F626" s="397"/>
      <c r="G626" s="428"/>
      <c r="H626" s="397"/>
      <c r="I626" s="500"/>
      <c r="J626" s="428"/>
      <c r="K626" s="433"/>
      <c r="L626" s="319"/>
      <c r="M626" s="319">
        <f t="shared" si="1"/>
        <v>0</v>
      </c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customHeight="1">
      <c r="A627" s="419"/>
      <c r="B627" s="420"/>
      <c r="C627" s="420"/>
      <c r="D627" s="497"/>
      <c r="E627" s="422"/>
      <c r="F627" s="394"/>
      <c r="G627" s="422"/>
      <c r="H627" s="394"/>
      <c r="I627" s="497"/>
      <c r="J627" s="422"/>
      <c r="K627" s="433"/>
      <c r="L627" s="316"/>
      <c r="M627" s="316">
        <f t="shared" si="1"/>
        <v>0</v>
      </c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customHeight="1">
      <c r="A628" s="425"/>
      <c r="B628" s="426"/>
      <c r="C628" s="426"/>
      <c r="D628" s="500"/>
      <c r="E628" s="428"/>
      <c r="F628" s="397"/>
      <c r="G628" s="428"/>
      <c r="H628" s="397"/>
      <c r="I628" s="500"/>
      <c r="J628" s="428"/>
      <c r="K628" s="433"/>
      <c r="L628" s="319"/>
      <c r="M628" s="319">
        <f t="shared" si="1"/>
        <v>0</v>
      </c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customHeight="1">
      <c r="A629" s="419"/>
      <c r="B629" s="420"/>
      <c r="C629" s="420"/>
      <c r="D629" s="497"/>
      <c r="E629" s="422"/>
      <c r="F629" s="394"/>
      <c r="G629" s="422"/>
      <c r="H629" s="394"/>
      <c r="I629" s="497"/>
      <c r="J629" s="422"/>
      <c r="K629" s="433"/>
      <c r="L629" s="316"/>
      <c r="M629" s="316">
        <f t="shared" si="1"/>
        <v>0</v>
      </c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customHeight="1">
      <c r="A630" s="425"/>
      <c r="B630" s="426"/>
      <c r="C630" s="426"/>
      <c r="D630" s="500"/>
      <c r="E630" s="428"/>
      <c r="F630" s="397"/>
      <c r="G630" s="428"/>
      <c r="H630" s="397"/>
      <c r="I630" s="500"/>
      <c r="J630" s="428"/>
      <c r="K630" s="433"/>
      <c r="L630" s="319"/>
      <c r="M630" s="319">
        <f t="shared" si="1"/>
        <v>0</v>
      </c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customHeight="1">
      <c r="A631" s="419"/>
      <c r="B631" s="420"/>
      <c r="C631" s="420"/>
      <c r="D631" s="497"/>
      <c r="E631" s="422"/>
      <c r="F631" s="394"/>
      <c r="G631" s="422"/>
      <c r="H631" s="394"/>
      <c r="I631" s="497"/>
      <c r="J631" s="422"/>
      <c r="K631" s="433"/>
      <c r="L631" s="316"/>
      <c r="M631" s="316">
        <f t="shared" si="1"/>
        <v>0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customHeight="1">
      <c r="A632" s="425"/>
      <c r="B632" s="426"/>
      <c r="C632" s="426"/>
      <c r="D632" s="500"/>
      <c r="E632" s="428"/>
      <c r="F632" s="397"/>
      <c r="G632" s="428"/>
      <c r="H632" s="397"/>
      <c r="I632" s="500"/>
      <c r="J632" s="428"/>
      <c r="K632" s="433"/>
      <c r="L632" s="319"/>
      <c r="M632" s="319">
        <f t="shared" si="1"/>
        <v>0</v>
      </c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customHeight="1">
      <c r="A633" s="419"/>
      <c r="B633" s="420"/>
      <c r="C633" s="420"/>
      <c r="D633" s="497"/>
      <c r="E633" s="422"/>
      <c r="F633" s="394"/>
      <c r="G633" s="422"/>
      <c r="H633" s="394"/>
      <c r="I633" s="497"/>
      <c r="J633" s="422"/>
      <c r="K633" s="433"/>
      <c r="L633" s="316"/>
      <c r="M633" s="316">
        <f t="shared" si="1"/>
        <v>0</v>
      </c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customHeight="1">
      <c r="A634" s="425"/>
      <c r="B634" s="426"/>
      <c r="C634" s="426"/>
      <c r="D634" s="500"/>
      <c r="E634" s="428"/>
      <c r="F634" s="397"/>
      <c r="G634" s="428"/>
      <c r="H634" s="397"/>
      <c r="I634" s="500"/>
      <c r="J634" s="428"/>
      <c r="K634" s="433"/>
      <c r="L634" s="319"/>
      <c r="M634" s="319">
        <f t="shared" si="1"/>
        <v>0</v>
      </c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customHeight="1">
      <c r="A635" s="419"/>
      <c r="B635" s="420"/>
      <c r="C635" s="420"/>
      <c r="D635" s="497"/>
      <c r="E635" s="422"/>
      <c r="F635" s="394"/>
      <c r="G635" s="422"/>
      <c r="H635" s="394"/>
      <c r="I635" s="497"/>
      <c r="J635" s="422"/>
      <c r="K635" s="433"/>
      <c r="L635" s="316"/>
      <c r="M635" s="316">
        <f t="shared" si="1"/>
        <v>0</v>
      </c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customHeight="1">
      <c r="A636" s="425"/>
      <c r="B636" s="426"/>
      <c r="C636" s="426"/>
      <c r="D636" s="500"/>
      <c r="E636" s="428"/>
      <c r="F636" s="397"/>
      <c r="G636" s="428"/>
      <c r="H636" s="397"/>
      <c r="I636" s="500"/>
      <c r="J636" s="428"/>
      <c r="K636" s="433"/>
      <c r="L636" s="319"/>
      <c r="M636" s="319">
        <f t="shared" si="1"/>
        <v>0</v>
      </c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customHeight="1">
      <c r="A637" s="419"/>
      <c r="B637" s="420"/>
      <c r="C637" s="420"/>
      <c r="D637" s="497"/>
      <c r="E637" s="422"/>
      <c r="F637" s="394"/>
      <c r="G637" s="422"/>
      <c r="H637" s="394"/>
      <c r="I637" s="497"/>
      <c r="J637" s="422"/>
      <c r="K637" s="433"/>
      <c r="L637" s="316"/>
      <c r="M637" s="316">
        <f t="shared" si="1"/>
        <v>0</v>
      </c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customHeight="1">
      <c r="A638" s="425"/>
      <c r="B638" s="426"/>
      <c r="C638" s="426"/>
      <c r="D638" s="500"/>
      <c r="E638" s="428"/>
      <c r="F638" s="397"/>
      <c r="G638" s="428"/>
      <c r="H638" s="397"/>
      <c r="I638" s="500"/>
      <c r="J638" s="428"/>
      <c r="K638" s="433"/>
      <c r="L638" s="319"/>
      <c r="M638" s="319">
        <f t="shared" si="1"/>
        <v>0</v>
      </c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customHeight="1">
      <c r="A639" s="419"/>
      <c r="B639" s="420"/>
      <c r="C639" s="420"/>
      <c r="D639" s="497"/>
      <c r="E639" s="422"/>
      <c r="F639" s="394"/>
      <c r="G639" s="422"/>
      <c r="H639" s="394"/>
      <c r="I639" s="497"/>
      <c r="J639" s="422"/>
      <c r="K639" s="433"/>
      <c r="L639" s="316"/>
      <c r="M639" s="316">
        <f t="shared" si="1"/>
        <v>0</v>
      </c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customHeight="1">
      <c r="A640" s="425"/>
      <c r="B640" s="426"/>
      <c r="C640" s="426"/>
      <c r="D640" s="500"/>
      <c r="E640" s="428"/>
      <c r="F640" s="397"/>
      <c r="G640" s="428"/>
      <c r="H640" s="397"/>
      <c r="I640" s="500"/>
      <c r="J640" s="428"/>
      <c r="K640" s="433"/>
      <c r="L640" s="319"/>
      <c r="M640" s="319">
        <f t="shared" si="1"/>
        <v>0</v>
      </c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customHeight="1">
      <c r="A641" s="419"/>
      <c r="B641" s="420"/>
      <c r="C641" s="420"/>
      <c r="D641" s="497"/>
      <c r="E641" s="422"/>
      <c r="F641" s="394"/>
      <c r="G641" s="422"/>
      <c r="H641" s="394"/>
      <c r="I641" s="497"/>
      <c r="J641" s="422"/>
      <c r="K641" s="433"/>
      <c r="L641" s="316"/>
      <c r="M641" s="316">
        <f t="shared" si="1"/>
        <v>0</v>
      </c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customHeight="1">
      <c r="A642" s="425"/>
      <c r="B642" s="426"/>
      <c r="C642" s="426"/>
      <c r="D642" s="500"/>
      <c r="E642" s="428"/>
      <c r="F642" s="397"/>
      <c r="G642" s="428"/>
      <c r="H642" s="397"/>
      <c r="I642" s="500"/>
      <c r="J642" s="428"/>
      <c r="K642" s="433"/>
      <c r="L642" s="319"/>
      <c r="M642" s="319">
        <f t="shared" si="1"/>
        <v>0</v>
      </c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customHeight="1">
      <c r="A643" s="419"/>
      <c r="B643" s="420"/>
      <c r="C643" s="420"/>
      <c r="D643" s="497"/>
      <c r="E643" s="422"/>
      <c r="F643" s="394"/>
      <c r="G643" s="422"/>
      <c r="H643" s="394"/>
      <c r="I643" s="497"/>
      <c r="J643" s="422"/>
      <c r="K643" s="433"/>
      <c r="L643" s="316"/>
      <c r="M643" s="316">
        <f t="shared" si="1"/>
        <v>0</v>
      </c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customHeight="1">
      <c r="A644" s="425"/>
      <c r="B644" s="426"/>
      <c r="C644" s="426"/>
      <c r="D644" s="500"/>
      <c r="E644" s="428"/>
      <c r="F644" s="397"/>
      <c r="G644" s="428"/>
      <c r="H644" s="397"/>
      <c r="I644" s="500"/>
      <c r="J644" s="428"/>
      <c r="K644" s="433"/>
      <c r="L644" s="319"/>
      <c r="M644" s="319">
        <f t="shared" si="1"/>
        <v>0</v>
      </c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customHeight="1">
      <c r="A645" s="419"/>
      <c r="B645" s="420"/>
      <c r="C645" s="420"/>
      <c r="D645" s="497"/>
      <c r="E645" s="422"/>
      <c r="F645" s="394"/>
      <c r="G645" s="422"/>
      <c r="H645" s="394"/>
      <c r="I645" s="497"/>
      <c r="J645" s="422"/>
      <c r="K645" s="433"/>
      <c r="L645" s="316"/>
      <c r="M645" s="316">
        <f t="shared" si="1"/>
        <v>0</v>
      </c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customHeight="1">
      <c r="A646" s="425"/>
      <c r="B646" s="426"/>
      <c r="C646" s="426"/>
      <c r="D646" s="500"/>
      <c r="E646" s="428"/>
      <c r="F646" s="397"/>
      <c r="G646" s="428"/>
      <c r="H646" s="397"/>
      <c r="I646" s="500"/>
      <c r="J646" s="428"/>
      <c r="K646" s="511"/>
      <c r="L646" s="319"/>
      <c r="M646" s="319">
        <f t="shared" si="1"/>
        <v>0</v>
      </c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customHeight="1">
      <c r="A647" s="419"/>
      <c r="B647" s="420"/>
      <c r="C647" s="420"/>
      <c r="D647" s="497"/>
      <c r="E647" s="422"/>
      <c r="F647" s="394"/>
      <c r="G647" s="422"/>
      <c r="H647" s="394"/>
      <c r="I647" s="497"/>
      <c r="J647" s="422"/>
      <c r="K647" s="433"/>
      <c r="L647" s="316"/>
      <c r="M647" s="316">
        <f t="shared" si="1"/>
        <v>0</v>
      </c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customHeight="1">
      <c r="A648" s="425"/>
      <c r="B648" s="426"/>
      <c r="C648" s="426"/>
      <c r="D648" s="500"/>
      <c r="E648" s="428"/>
      <c r="F648" s="397"/>
      <c r="G648" s="428"/>
      <c r="H648" s="397"/>
      <c r="I648" s="500"/>
      <c r="J648" s="428"/>
      <c r="K648" s="502"/>
      <c r="L648" s="319"/>
      <c r="M648" s="319">
        <f t="shared" si="1"/>
        <v>0</v>
      </c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customHeight="1">
      <c r="A649" s="419"/>
      <c r="B649" s="420"/>
      <c r="C649" s="420"/>
      <c r="D649" s="497"/>
      <c r="E649" s="422"/>
      <c r="F649" s="394"/>
      <c r="G649" s="422"/>
      <c r="H649" s="394"/>
      <c r="I649" s="497"/>
      <c r="J649" s="422"/>
      <c r="K649" s="513"/>
      <c r="L649" s="316"/>
      <c r="M649" s="316">
        <f t="shared" si="1"/>
        <v>0</v>
      </c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customHeight="1">
      <c r="A650" s="425"/>
      <c r="B650" s="426"/>
      <c r="C650" s="426"/>
      <c r="D650" s="500"/>
      <c r="E650" s="428"/>
      <c r="F650" s="397"/>
      <c r="G650" s="428"/>
      <c r="H650" s="397"/>
      <c r="I650" s="500"/>
      <c r="J650" s="428"/>
      <c r="K650" s="513"/>
      <c r="L650" s="319"/>
      <c r="M650" s="319">
        <f t="shared" si="1"/>
        <v>0</v>
      </c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customHeight="1">
      <c r="A651" s="419"/>
      <c r="B651" s="420"/>
      <c r="C651" s="420"/>
      <c r="D651" s="510"/>
      <c r="E651" s="422"/>
      <c r="F651" s="394"/>
      <c r="G651" s="422"/>
      <c r="H651" s="394"/>
      <c r="I651" s="497"/>
      <c r="J651" s="422"/>
      <c r="K651" s="433"/>
      <c r="L651" s="316"/>
      <c r="M651" s="316">
        <f t="shared" si="1"/>
        <v>0</v>
      </c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customHeight="1">
      <c r="A652" s="425"/>
      <c r="B652" s="426"/>
      <c r="C652" s="426"/>
      <c r="D652" s="504"/>
      <c r="E652" s="428"/>
      <c r="F652" s="397"/>
      <c r="G652" s="428"/>
      <c r="H652" s="397"/>
      <c r="I652" s="500"/>
      <c r="J652" s="428"/>
      <c r="K652" s="433"/>
      <c r="L652" s="319"/>
      <c r="M652" s="319">
        <f t="shared" si="1"/>
        <v>0</v>
      </c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customHeight="1">
      <c r="A653" s="514"/>
      <c r="B653" s="441"/>
      <c r="C653" s="441"/>
      <c r="D653" s="510"/>
      <c r="E653" s="442"/>
      <c r="F653" s="436"/>
      <c r="G653" s="442"/>
      <c r="H653" s="436"/>
      <c r="I653" s="510"/>
      <c r="J653" s="442"/>
      <c r="K653" s="515"/>
      <c r="L653" s="316"/>
      <c r="M653" s="316">
        <f t="shared" si="1"/>
        <v>0</v>
      </c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customHeight="1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4"/>
      <c r="B661" s="135"/>
      <c r="C661" s="135"/>
      <c r="D661" s="516"/>
      <c r="E661" s="135"/>
      <c r="F661" s="135"/>
      <c r="G661" s="135"/>
      <c r="H661" s="135"/>
      <c r="I661" s="516"/>
      <c r="J661" s="135"/>
      <c r="K661" s="135"/>
      <c r="L661" s="135"/>
      <c r="M661" s="137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4"/>
      <c r="B662" s="135"/>
      <c r="C662" s="135"/>
      <c r="D662" s="516"/>
      <c r="E662" s="135"/>
      <c r="F662" s="135"/>
      <c r="G662" s="135"/>
      <c r="H662" s="135"/>
      <c r="I662" s="516"/>
      <c r="J662" s="135"/>
      <c r="K662" s="135"/>
      <c r="L662" s="135"/>
      <c r="M662" s="137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4"/>
      <c r="B663" s="135"/>
      <c r="C663" s="135"/>
      <c r="D663" s="516"/>
      <c r="E663" s="135"/>
      <c r="F663" s="135"/>
      <c r="G663" s="135"/>
      <c r="H663" s="135"/>
      <c r="I663" s="516"/>
      <c r="J663" s="135"/>
      <c r="K663" s="135"/>
      <c r="L663" s="135"/>
      <c r="M663" s="137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4"/>
      <c r="B664" s="135"/>
      <c r="C664" s="135"/>
      <c r="D664" s="516"/>
      <c r="E664" s="135"/>
      <c r="F664" s="135"/>
      <c r="G664" s="135"/>
      <c r="H664" s="135"/>
      <c r="I664" s="516"/>
      <c r="J664" s="135"/>
      <c r="K664" s="135"/>
      <c r="L664" s="135"/>
      <c r="M664" s="137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4"/>
      <c r="B665" s="135"/>
      <c r="C665" s="135"/>
      <c r="D665" s="516"/>
      <c r="E665" s="135"/>
      <c r="F665" s="135"/>
      <c r="G665" s="135"/>
      <c r="H665" s="135"/>
      <c r="I665" s="516"/>
      <c r="J665" s="135"/>
      <c r="K665" s="135"/>
      <c r="L665" s="135"/>
      <c r="M665" s="137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4"/>
      <c r="B666" s="135"/>
      <c r="C666" s="135"/>
      <c r="D666" s="516"/>
      <c r="E666" s="135"/>
      <c r="F666" s="135"/>
      <c r="G666" s="135"/>
      <c r="H666" s="135"/>
      <c r="I666" s="516"/>
      <c r="J666" s="135"/>
      <c r="K666" s="135"/>
      <c r="L666" s="135"/>
      <c r="M666" s="137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4"/>
      <c r="B667" s="135"/>
      <c r="C667" s="135"/>
      <c r="D667" s="516"/>
      <c r="E667" s="135"/>
      <c r="F667" s="135"/>
      <c r="G667" s="135"/>
      <c r="H667" s="135"/>
      <c r="I667" s="516"/>
      <c r="J667" s="135"/>
      <c r="K667" s="135"/>
      <c r="L667" s="135"/>
      <c r="M667" s="137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4"/>
      <c r="B668" s="135"/>
      <c r="C668" s="135"/>
      <c r="D668" s="516"/>
      <c r="E668" s="135"/>
      <c r="F668" s="135"/>
      <c r="G668" s="135"/>
      <c r="H668" s="135"/>
      <c r="I668" s="516"/>
      <c r="J668" s="135"/>
      <c r="K668" s="135"/>
      <c r="L668" s="135"/>
      <c r="M668" s="137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4"/>
      <c r="B669" s="135"/>
      <c r="C669" s="135"/>
      <c r="D669" s="516"/>
      <c r="E669" s="135"/>
      <c r="F669" s="135"/>
      <c r="G669" s="135"/>
      <c r="H669" s="135"/>
      <c r="I669" s="516"/>
      <c r="J669" s="135"/>
      <c r="K669" s="135"/>
      <c r="L669" s="135"/>
      <c r="M669" s="137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4"/>
      <c r="B670" s="135"/>
      <c r="C670" s="135"/>
      <c r="D670" s="516"/>
      <c r="E670" s="135"/>
      <c r="F670" s="135"/>
      <c r="G670" s="135"/>
      <c r="H670" s="135"/>
      <c r="I670" s="516"/>
      <c r="J670" s="135"/>
      <c r="K670" s="135"/>
      <c r="L670" s="135"/>
      <c r="M670" s="137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4"/>
      <c r="B671" s="135"/>
      <c r="C671" s="135"/>
      <c r="D671" s="516"/>
      <c r="E671" s="135"/>
      <c r="F671" s="135"/>
      <c r="G671" s="135"/>
      <c r="H671" s="135"/>
      <c r="I671" s="516"/>
      <c r="J671" s="135"/>
      <c r="K671" s="135"/>
      <c r="L671" s="135"/>
      <c r="M671" s="137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4"/>
      <c r="B672" s="135"/>
      <c r="C672" s="135"/>
      <c r="D672" s="516"/>
      <c r="E672" s="135"/>
      <c r="F672" s="135"/>
      <c r="G672" s="135"/>
      <c r="H672" s="135"/>
      <c r="I672" s="516"/>
      <c r="J672" s="135"/>
      <c r="K672" s="135"/>
      <c r="L672" s="135"/>
      <c r="M672" s="137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4"/>
      <c r="B673" s="135"/>
      <c r="C673" s="135"/>
      <c r="D673" s="516"/>
      <c r="E673" s="135"/>
      <c r="F673" s="135"/>
      <c r="G673" s="135"/>
      <c r="H673" s="135"/>
      <c r="I673" s="516"/>
      <c r="J673" s="135"/>
      <c r="K673" s="135"/>
      <c r="L673" s="135"/>
      <c r="M673" s="137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4"/>
      <c r="B674" s="135"/>
      <c r="C674" s="135"/>
      <c r="D674" s="516"/>
      <c r="E674" s="135"/>
      <c r="F674" s="135"/>
      <c r="G674" s="135"/>
      <c r="H674" s="135"/>
      <c r="I674" s="516"/>
      <c r="J674" s="135"/>
      <c r="K674" s="135"/>
      <c r="L674" s="135"/>
      <c r="M674" s="137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4"/>
      <c r="B675" s="135"/>
      <c r="C675" s="135"/>
      <c r="D675" s="516"/>
      <c r="E675" s="135"/>
      <c r="F675" s="135"/>
      <c r="G675" s="135"/>
      <c r="H675" s="135"/>
      <c r="I675" s="516"/>
      <c r="J675" s="135"/>
      <c r="K675" s="135"/>
      <c r="L675" s="135"/>
      <c r="M675" s="137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4"/>
      <c r="B676" s="135"/>
      <c r="C676" s="135"/>
      <c r="D676" s="516"/>
      <c r="E676" s="135"/>
      <c r="F676" s="135"/>
      <c r="G676" s="135"/>
      <c r="H676" s="135"/>
      <c r="I676" s="516"/>
      <c r="J676" s="135"/>
      <c r="K676" s="135"/>
      <c r="L676" s="135"/>
      <c r="M676" s="137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34"/>
      <c r="B677" s="135"/>
      <c r="C677" s="135"/>
      <c r="D677" s="516"/>
      <c r="E677" s="135"/>
      <c r="F677" s="135"/>
      <c r="G677" s="135"/>
      <c r="H677" s="135"/>
      <c r="I677" s="516"/>
      <c r="J677" s="135"/>
      <c r="K677" s="135"/>
      <c r="L677" s="135"/>
      <c r="M677" s="137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34"/>
      <c r="B678" s="135"/>
      <c r="C678" s="135"/>
      <c r="D678" s="516"/>
      <c r="E678" s="135"/>
      <c r="F678" s="135"/>
      <c r="G678" s="135"/>
      <c r="H678" s="135"/>
      <c r="I678" s="516"/>
      <c r="J678" s="135"/>
      <c r="K678" s="135"/>
      <c r="L678" s="135"/>
      <c r="M678" s="137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34"/>
      <c r="B679" s="135"/>
      <c r="C679" s="135"/>
      <c r="D679" s="516"/>
      <c r="E679" s="135"/>
      <c r="F679" s="135"/>
      <c r="G679" s="135"/>
      <c r="H679" s="135"/>
      <c r="I679" s="516"/>
      <c r="J679" s="135"/>
      <c r="K679" s="135"/>
      <c r="L679" s="135"/>
      <c r="M679" s="137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34"/>
      <c r="B680" s="135"/>
      <c r="C680" s="135"/>
      <c r="D680" s="516"/>
      <c r="E680" s="135"/>
      <c r="F680" s="135"/>
      <c r="G680" s="135"/>
      <c r="H680" s="135"/>
      <c r="I680" s="516"/>
      <c r="J680" s="135"/>
      <c r="K680" s="135"/>
      <c r="L680" s="135"/>
      <c r="M680" s="137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34"/>
      <c r="B681" s="135"/>
      <c r="C681" s="135"/>
      <c r="D681" s="516"/>
      <c r="E681" s="135"/>
      <c r="F681" s="135"/>
      <c r="G681" s="135"/>
      <c r="H681" s="135"/>
      <c r="I681" s="516"/>
      <c r="J681" s="135"/>
      <c r="K681" s="135"/>
      <c r="L681" s="135"/>
      <c r="M681" s="137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34"/>
      <c r="B682" s="135"/>
      <c r="C682" s="135"/>
      <c r="D682" s="516"/>
      <c r="E682" s="135"/>
      <c r="F682" s="135"/>
      <c r="G682" s="135"/>
      <c r="H682" s="135"/>
      <c r="I682" s="516"/>
      <c r="J682" s="135"/>
      <c r="K682" s="135"/>
      <c r="L682" s="135"/>
      <c r="M682" s="137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34"/>
      <c r="B683" s="135"/>
      <c r="C683" s="135"/>
      <c r="D683" s="516"/>
      <c r="E683" s="135"/>
      <c r="F683" s="135"/>
      <c r="G683" s="135"/>
      <c r="H683" s="135"/>
      <c r="I683" s="516"/>
      <c r="J683" s="135"/>
      <c r="K683" s="135"/>
      <c r="L683" s="135"/>
      <c r="M683" s="137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34"/>
      <c r="B684" s="135"/>
      <c r="C684" s="135"/>
      <c r="D684" s="516"/>
      <c r="E684" s="135"/>
      <c r="F684" s="135"/>
      <c r="G684" s="135"/>
      <c r="H684" s="135"/>
      <c r="I684" s="516"/>
      <c r="J684" s="135"/>
      <c r="K684" s="135"/>
      <c r="L684" s="135"/>
      <c r="M684" s="137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34"/>
      <c r="B685" s="135"/>
      <c r="C685" s="135"/>
      <c r="D685" s="516"/>
      <c r="E685" s="135"/>
      <c r="F685" s="135"/>
      <c r="G685" s="135"/>
      <c r="H685" s="135"/>
      <c r="I685" s="516"/>
      <c r="J685" s="135"/>
      <c r="K685" s="135"/>
      <c r="L685" s="135"/>
      <c r="M685" s="137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34"/>
      <c r="B686" s="135"/>
      <c r="C686" s="135"/>
      <c r="D686" s="516"/>
      <c r="E686" s="135"/>
      <c r="F686" s="135"/>
      <c r="G686" s="135"/>
      <c r="H686" s="135"/>
      <c r="I686" s="516"/>
      <c r="J686" s="135"/>
      <c r="K686" s="135"/>
      <c r="L686" s="135"/>
      <c r="M686" s="137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34"/>
      <c r="B687" s="135"/>
      <c r="C687" s="135"/>
      <c r="D687" s="516"/>
      <c r="E687" s="135"/>
      <c r="F687" s="135"/>
      <c r="G687" s="135"/>
      <c r="H687" s="135"/>
      <c r="I687" s="516"/>
      <c r="J687" s="135"/>
      <c r="K687" s="135"/>
      <c r="L687" s="135"/>
      <c r="M687" s="137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34"/>
      <c r="B688" s="135"/>
      <c r="C688" s="135"/>
      <c r="D688" s="516"/>
      <c r="E688" s="135"/>
      <c r="F688" s="135"/>
      <c r="G688" s="135"/>
      <c r="H688" s="135"/>
      <c r="I688" s="516"/>
      <c r="J688" s="135"/>
      <c r="K688" s="135"/>
      <c r="L688" s="135"/>
      <c r="M688" s="137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34"/>
      <c r="B689" s="135"/>
      <c r="C689" s="135"/>
      <c r="D689" s="516"/>
      <c r="E689" s="135"/>
      <c r="F689" s="135"/>
      <c r="G689" s="135"/>
      <c r="H689" s="135"/>
      <c r="I689" s="516"/>
      <c r="J689" s="135"/>
      <c r="K689" s="135"/>
      <c r="L689" s="135"/>
      <c r="M689" s="137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34"/>
      <c r="B690" s="135"/>
      <c r="C690" s="135"/>
      <c r="D690" s="516"/>
      <c r="E690" s="135"/>
      <c r="F690" s="135"/>
      <c r="G690" s="135"/>
      <c r="H690" s="135"/>
      <c r="I690" s="516"/>
      <c r="J690" s="135"/>
      <c r="K690" s="135"/>
      <c r="L690" s="135"/>
      <c r="M690" s="137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34"/>
      <c r="B691" s="135"/>
      <c r="C691" s="135"/>
      <c r="D691" s="516"/>
      <c r="E691" s="135"/>
      <c r="F691" s="135"/>
      <c r="G691" s="135"/>
      <c r="H691" s="135"/>
      <c r="I691" s="516"/>
      <c r="J691" s="135"/>
      <c r="K691" s="135"/>
      <c r="L691" s="135"/>
      <c r="M691" s="137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34"/>
      <c r="B692" s="135"/>
      <c r="C692" s="135"/>
      <c r="D692" s="516"/>
      <c r="E692" s="135"/>
      <c r="F692" s="135"/>
      <c r="G692" s="135"/>
      <c r="H692" s="135"/>
      <c r="I692" s="516"/>
      <c r="J692" s="135"/>
      <c r="K692" s="135"/>
      <c r="L692" s="135"/>
      <c r="M692" s="137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34"/>
      <c r="B693" s="135"/>
      <c r="C693" s="135"/>
      <c r="D693" s="516"/>
      <c r="E693" s="135"/>
      <c r="F693" s="135"/>
      <c r="G693" s="135"/>
      <c r="H693" s="135"/>
      <c r="I693" s="516"/>
      <c r="J693" s="135"/>
      <c r="K693" s="135"/>
      <c r="L693" s="135"/>
      <c r="M693" s="137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34"/>
      <c r="B694" s="135"/>
      <c r="C694" s="135"/>
      <c r="D694" s="516"/>
      <c r="E694" s="135"/>
      <c r="F694" s="135"/>
      <c r="G694" s="135"/>
      <c r="H694" s="135"/>
      <c r="I694" s="516"/>
      <c r="J694" s="135"/>
      <c r="K694" s="135"/>
      <c r="L694" s="135"/>
      <c r="M694" s="137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34"/>
      <c r="B695" s="135"/>
      <c r="C695" s="135"/>
      <c r="D695" s="516"/>
      <c r="E695" s="135"/>
      <c r="F695" s="135"/>
      <c r="G695" s="135"/>
      <c r="H695" s="135"/>
      <c r="I695" s="516"/>
      <c r="J695" s="135"/>
      <c r="K695" s="135"/>
      <c r="L695" s="135"/>
      <c r="M695" s="137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hidden="1" customHeight="1">
      <c r="A696" s="134"/>
      <c r="B696" s="135"/>
      <c r="C696" s="135"/>
      <c r="D696" s="516"/>
      <c r="E696" s="135"/>
      <c r="F696" s="135"/>
      <c r="G696" s="135"/>
      <c r="H696" s="135"/>
      <c r="I696" s="516"/>
      <c r="J696" s="135"/>
      <c r="K696" s="135"/>
      <c r="L696" s="135"/>
      <c r="M696" s="137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hidden="1" customHeight="1">
      <c r="A697" s="134"/>
      <c r="B697" s="135"/>
      <c r="C697" s="135"/>
      <c r="D697" s="516"/>
      <c r="E697" s="135"/>
      <c r="F697" s="135"/>
      <c r="G697" s="135"/>
      <c r="H697" s="135"/>
      <c r="I697" s="516"/>
      <c r="J697" s="135"/>
      <c r="K697" s="135"/>
      <c r="L697" s="135"/>
      <c r="M697" s="137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hidden="1" customHeight="1">
      <c r="A698" s="134"/>
      <c r="B698" s="135"/>
      <c r="C698" s="135"/>
      <c r="D698" s="516"/>
      <c r="E698" s="135"/>
      <c r="F698" s="135"/>
      <c r="G698" s="135"/>
      <c r="H698" s="135"/>
      <c r="I698" s="516"/>
      <c r="J698" s="135"/>
      <c r="K698" s="135"/>
      <c r="L698" s="135"/>
      <c r="M698" s="137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hidden="1" customHeight="1">
      <c r="A699" s="134"/>
      <c r="B699" s="135"/>
      <c r="C699" s="135"/>
      <c r="D699" s="516"/>
      <c r="E699" s="135"/>
      <c r="F699" s="135"/>
      <c r="G699" s="135"/>
      <c r="H699" s="135"/>
      <c r="I699" s="516"/>
      <c r="J699" s="135"/>
      <c r="K699" s="135"/>
      <c r="L699" s="135"/>
      <c r="M699" s="137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hidden="1" customHeight="1">
      <c r="A700" s="134"/>
      <c r="B700" s="135"/>
      <c r="C700" s="135"/>
      <c r="D700" s="516"/>
      <c r="E700" s="135"/>
      <c r="F700" s="135"/>
      <c r="G700" s="135"/>
      <c r="H700" s="135"/>
      <c r="I700" s="516"/>
      <c r="J700" s="135"/>
      <c r="K700" s="135"/>
      <c r="L700" s="135"/>
      <c r="M700" s="137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hidden="1" customHeight="1">
      <c r="A701" s="134"/>
      <c r="B701" s="135"/>
      <c r="C701" s="135"/>
      <c r="D701" s="516"/>
      <c r="E701" s="135"/>
      <c r="F701" s="135"/>
      <c r="G701" s="135"/>
      <c r="H701" s="135"/>
      <c r="I701" s="516"/>
      <c r="J701" s="135"/>
      <c r="K701" s="135"/>
      <c r="L701" s="135"/>
      <c r="M701" s="137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hidden="1" customHeight="1">
      <c r="A702" s="134"/>
      <c r="B702" s="135"/>
      <c r="C702" s="135"/>
      <c r="D702" s="516"/>
      <c r="E702" s="135"/>
      <c r="F702" s="135"/>
      <c r="G702" s="135"/>
      <c r="H702" s="135"/>
      <c r="I702" s="516"/>
      <c r="J702" s="135"/>
      <c r="K702" s="135"/>
      <c r="L702" s="135"/>
      <c r="M702" s="137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hidden="1" customHeight="1">
      <c r="A703" s="134"/>
      <c r="B703" s="135"/>
      <c r="C703" s="135"/>
      <c r="D703" s="516"/>
      <c r="E703" s="135"/>
      <c r="F703" s="135"/>
      <c r="G703" s="135"/>
      <c r="H703" s="135"/>
      <c r="I703" s="516"/>
      <c r="J703" s="135"/>
      <c r="K703" s="135"/>
      <c r="L703" s="135"/>
      <c r="M703" s="137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hidden="1" customHeight="1">
      <c r="A704" s="134"/>
      <c r="B704" s="135"/>
      <c r="C704" s="135"/>
      <c r="D704" s="516"/>
      <c r="E704" s="135"/>
      <c r="F704" s="135"/>
      <c r="G704" s="135"/>
      <c r="H704" s="135"/>
      <c r="I704" s="516"/>
      <c r="J704" s="135"/>
      <c r="K704" s="135"/>
      <c r="L704" s="135"/>
      <c r="M704" s="137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hidden="1" customHeight="1">
      <c r="A705" s="134"/>
      <c r="B705" s="135"/>
      <c r="C705" s="135"/>
      <c r="D705" s="516"/>
      <c r="E705" s="135"/>
      <c r="F705" s="135"/>
      <c r="G705" s="135"/>
      <c r="H705" s="135"/>
      <c r="I705" s="516"/>
      <c r="J705" s="135"/>
      <c r="K705" s="135"/>
      <c r="L705" s="135"/>
      <c r="M705" s="137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hidden="1" customHeight="1">
      <c r="A706" s="134"/>
      <c r="B706" s="135"/>
      <c r="C706" s="135"/>
      <c r="D706" s="516"/>
      <c r="E706" s="135"/>
      <c r="F706" s="135"/>
      <c r="G706" s="135"/>
      <c r="H706" s="135"/>
      <c r="I706" s="516"/>
      <c r="J706" s="135"/>
      <c r="K706" s="135"/>
      <c r="L706" s="135"/>
      <c r="M706" s="137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hidden="1" customHeight="1">
      <c r="A707" s="134"/>
      <c r="B707" s="135"/>
      <c r="C707" s="135"/>
      <c r="D707" s="516"/>
      <c r="E707" s="135"/>
      <c r="F707" s="135"/>
      <c r="G707" s="135"/>
      <c r="H707" s="135"/>
      <c r="I707" s="516"/>
      <c r="J707" s="135"/>
      <c r="K707" s="135"/>
      <c r="L707" s="135"/>
      <c r="M707" s="137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hidden="1" customHeight="1">
      <c r="A708" s="134"/>
      <c r="B708" s="135"/>
      <c r="C708" s="135"/>
      <c r="D708" s="516"/>
      <c r="E708" s="135"/>
      <c r="F708" s="135"/>
      <c r="G708" s="135"/>
      <c r="H708" s="135"/>
      <c r="I708" s="516"/>
      <c r="J708" s="135"/>
      <c r="K708" s="135"/>
      <c r="L708" s="135"/>
      <c r="M708" s="137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hidden="1" customHeight="1">
      <c r="A709" s="134"/>
      <c r="B709" s="135"/>
      <c r="C709" s="135"/>
      <c r="D709" s="516"/>
      <c r="E709" s="135"/>
      <c r="F709" s="135"/>
      <c r="G709" s="135"/>
      <c r="H709" s="135"/>
      <c r="I709" s="516"/>
      <c r="J709" s="135"/>
      <c r="K709" s="135"/>
      <c r="L709" s="135"/>
      <c r="M709" s="137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hidden="1" customHeight="1">
      <c r="A710" s="134"/>
      <c r="B710" s="135"/>
      <c r="C710" s="135"/>
      <c r="D710" s="516"/>
      <c r="E710" s="135"/>
      <c r="F710" s="135"/>
      <c r="G710" s="135"/>
      <c r="H710" s="135"/>
      <c r="I710" s="516"/>
      <c r="J710" s="135"/>
      <c r="K710" s="135"/>
      <c r="L710" s="135"/>
      <c r="M710" s="137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hidden="1" customHeight="1">
      <c r="A711" s="134"/>
      <c r="B711" s="135"/>
      <c r="C711" s="135"/>
      <c r="D711" s="516"/>
      <c r="E711" s="135"/>
      <c r="F711" s="135"/>
      <c r="G711" s="135"/>
      <c r="H711" s="135"/>
      <c r="I711" s="516"/>
      <c r="J711" s="135"/>
      <c r="K711" s="135"/>
      <c r="L711" s="135"/>
      <c r="M711" s="137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hidden="1" customHeight="1">
      <c r="A712" s="134"/>
      <c r="B712" s="135"/>
      <c r="C712" s="135"/>
      <c r="D712" s="516"/>
      <c r="E712" s="135"/>
      <c r="F712" s="135"/>
      <c r="G712" s="135"/>
      <c r="H712" s="135"/>
      <c r="I712" s="516"/>
      <c r="J712" s="135"/>
      <c r="K712" s="135"/>
      <c r="L712" s="135"/>
      <c r="M712" s="137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hidden="1" customHeight="1">
      <c r="A713" s="134"/>
      <c r="B713" s="135"/>
      <c r="C713" s="135"/>
      <c r="D713" s="516"/>
      <c r="E713" s="135"/>
      <c r="F713" s="135"/>
      <c r="G713" s="135"/>
      <c r="H713" s="135"/>
      <c r="I713" s="516"/>
      <c r="J713" s="135"/>
      <c r="K713" s="135"/>
      <c r="L713" s="135"/>
      <c r="M713" s="137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hidden="1" customHeight="1">
      <c r="A714" s="134"/>
      <c r="B714" s="135"/>
      <c r="C714" s="135"/>
      <c r="D714" s="516"/>
      <c r="E714" s="135"/>
      <c r="F714" s="135"/>
      <c r="G714" s="135"/>
      <c r="H714" s="135"/>
      <c r="I714" s="516"/>
      <c r="J714" s="135"/>
      <c r="K714" s="135"/>
      <c r="L714" s="135"/>
      <c r="M714" s="137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hidden="1" customHeight="1">
      <c r="A715" s="134"/>
      <c r="B715" s="135"/>
      <c r="C715" s="135"/>
      <c r="D715" s="516"/>
      <c r="E715" s="135"/>
      <c r="F715" s="135"/>
      <c r="G715" s="135"/>
      <c r="H715" s="135"/>
      <c r="I715" s="516"/>
      <c r="J715" s="135"/>
      <c r="K715" s="135"/>
      <c r="L715" s="135"/>
      <c r="M715" s="137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hidden="1" customHeight="1">
      <c r="A716" s="134"/>
      <c r="B716" s="135"/>
      <c r="C716" s="135"/>
      <c r="D716" s="516"/>
      <c r="E716" s="135"/>
      <c r="F716" s="135"/>
      <c r="G716" s="135"/>
      <c r="H716" s="135"/>
      <c r="I716" s="516"/>
      <c r="J716" s="135"/>
      <c r="K716" s="135"/>
      <c r="L716" s="135"/>
      <c r="M716" s="137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hidden="1" customHeight="1">
      <c r="A717" s="134"/>
      <c r="B717" s="135"/>
      <c r="C717" s="135"/>
      <c r="D717" s="516"/>
      <c r="E717" s="135"/>
      <c r="F717" s="135"/>
      <c r="G717" s="135"/>
      <c r="H717" s="135"/>
      <c r="I717" s="516"/>
      <c r="J717" s="135"/>
      <c r="K717" s="135"/>
      <c r="L717" s="135"/>
      <c r="M717" s="137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hidden="1" customHeight="1">
      <c r="A718" s="134"/>
      <c r="B718" s="135"/>
      <c r="C718" s="135"/>
      <c r="D718" s="516"/>
      <c r="E718" s="135"/>
      <c r="F718" s="135"/>
      <c r="G718" s="135"/>
      <c r="H718" s="135"/>
      <c r="I718" s="516"/>
      <c r="J718" s="135"/>
      <c r="K718" s="135"/>
      <c r="L718" s="135"/>
      <c r="M718" s="137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hidden="1" customHeight="1">
      <c r="A719" s="134"/>
      <c r="B719" s="135"/>
      <c r="C719" s="135"/>
      <c r="D719" s="516"/>
      <c r="E719" s="135"/>
      <c r="F719" s="135"/>
      <c r="G719" s="135"/>
      <c r="H719" s="135"/>
      <c r="I719" s="516"/>
      <c r="J719" s="135"/>
      <c r="K719" s="135"/>
      <c r="L719" s="135"/>
      <c r="M719" s="137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hidden="1" customHeight="1">
      <c r="A720" s="134"/>
      <c r="B720" s="135"/>
      <c r="C720" s="135"/>
      <c r="D720" s="516"/>
      <c r="E720" s="135"/>
      <c r="F720" s="135"/>
      <c r="G720" s="135"/>
      <c r="H720" s="135"/>
      <c r="I720" s="516"/>
      <c r="J720" s="135"/>
      <c r="K720" s="135"/>
      <c r="L720" s="135"/>
      <c r="M720" s="137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hidden="1" customHeight="1">
      <c r="A721" s="134"/>
      <c r="B721" s="135"/>
      <c r="C721" s="135"/>
      <c r="D721" s="516"/>
      <c r="E721" s="135"/>
      <c r="F721" s="135"/>
      <c r="G721" s="135"/>
      <c r="H721" s="135"/>
      <c r="I721" s="516"/>
      <c r="J721" s="135"/>
      <c r="K721" s="135"/>
      <c r="L721" s="135"/>
      <c r="M721" s="137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hidden="1" customHeight="1">
      <c r="A722" s="134"/>
      <c r="B722" s="135"/>
      <c r="C722" s="135"/>
      <c r="D722" s="516"/>
      <c r="E722" s="135"/>
      <c r="F722" s="135"/>
      <c r="G722" s="135"/>
      <c r="H722" s="135"/>
      <c r="I722" s="516"/>
      <c r="J722" s="135"/>
      <c r="K722" s="135"/>
      <c r="L722" s="135"/>
      <c r="M722" s="137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hidden="1" customHeight="1">
      <c r="A723" s="134"/>
      <c r="B723" s="135"/>
      <c r="C723" s="135"/>
      <c r="D723" s="516"/>
      <c r="E723" s="135"/>
      <c r="F723" s="135"/>
      <c r="G723" s="135"/>
      <c r="H723" s="135"/>
      <c r="I723" s="516"/>
      <c r="J723" s="135"/>
      <c r="K723" s="135"/>
      <c r="L723" s="135"/>
      <c r="M723" s="137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hidden="1" customHeight="1">
      <c r="A724" s="134"/>
      <c r="B724" s="135"/>
      <c r="C724" s="135"/>
      <c r="D724" s="516"/>
      <c r="E724" s="135"/>
      <c r="F724" s="135"/>
      <c r="G724" s="135"/>
      <c r="H724" s="135"/>
      <c r="I724" s="516"/>
      <c r="J724" s="135"/>
      <c r="K724" s="135"/>
      <c r="L724" s="135"/>
      <c r="M724" s="137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hidden="1" customHeight="1">
      <c r="A725" s="134"/>
      <c r="B725" s="135"/>
      <c r="C725" s="135"/>
      <c r="D725" s="516"/>
      <c r="E725" s="135"/>
      <c r="F725" s="135"/>
      <c r="G725" s="135"/>
      <c r="H725" s="135"/>
      <c r="I725" s="516"/>
      <c r="J725" s="135"/>
      <c r="K725" s="135"/>
      <c r="L725" s="135"/>
      <c r="M725" s="137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hidden="1" customHeight="1">
      <c r="A726" s="134"/>
      <c r="B726" s="135"/>
      <c r="C726" s="135"/>
      <c r="D726" s="516"/>
      <c r="E726" s="135"/>
      <c r="F726" s="135"/>
      <c r="G726" s="135"/>
      <c r="H726" s="135"/>
      <c r="I726" s="516"/>
      <c r="J726" s="135"/>
      <c r="K726" s="135"/>
      <c r="L726" s="135"/>
      <c r="M726" s="137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hidden="1" customHeight="1">
      <c r="A727" s="134"/>
      <c r="B727" s="135"/>
      <c r="C727" s="135"/>
      <c r="D727" s="516"/>
      <c r="E727" s="135"/>
      <c r="F727" s="135"/>
      <c r="G727" s="135"/>
      <c r="H727" s="135"/>
      <c r="I727" s="516"/>
      <c r="J727" s="135"/>
      <c r="K727" s="135"/>
      <c r="L727" s="135"/>
      <c r="M727" s="137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hidden="1" customHeight="1">
      <c r="A728" s="134"/>
      <c r="B728" s="135"/>
      <c r="C728" s="135"/>
      <c r="D728" s="516"/>
      <c r="E728" s="135"/>
      <c r="F728" s="135"/>
      <c r="G728" s="135"/>
      <c r="H728" s="135"/>
      <c r="I728" s="516"/>
      <c r="J728" s="135"/>
      <c r="K728" s="135"/>
      <c r="L728" s="135"/>
      <c r="M728" s="137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hidden="1" customHeight="1">
      <c r="A729" s="134"/>
      <c r="B729" s="135"/>
      <c r="C729" s="135"/>
      <c r="D729" s="516"/>
      <c r="E729" s="135"/>
      <c r="F729" s="135"/>
      <c r="G729" s="135"/>
      <c r="H729" s="135"/>
      <c r="I729" s="516"/>
      <c r="J729" s="135"/>
      <c r="K729" s="135"/>
      <c r="L729" s="135"/>
      <c r="M729" s="137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hidden="1" customHeight="1">
      <c r="A730" s="134"/>
      <c r="B730" s="135"/>
      <c r="C730" s="135"/>
      <c r="D730" s="516"/>
      <c r="E730" s="135"/>
      <c r="F730" s="135"/>
      <c r="G730" s="135"/>
      <c r="H730" s="135"/>
      <c r="I730" s="516"/>
      <c r="J730" s="135"/>
      <c r="K730" s="135"/>
      <c r="L730" s="135"/>
      <c r="M730" s="137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hidden="1" customHeight="1">
      <c r="A731" s="134"/>
      <c r="B731" s="135"/>
      <c r="C731" s="135"/>
      <c r="D731" s="516"/>
      <c r="E731" s="135"/>
      <c r="F731" s="135"/>
      <c r="G731" s="135"/>
      <c r="H731" s="135"/>
      <c r="I731" s="516"/>
      <c r="J731" s="135"/>
      <c r="K731" s="135"/>
      <c r="L731" s="135"/>
      <c r="M731" s="137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hidden="1" customHeight="1">
      <c r="A732" s="134"/>
      <c r="B732" s="135"/>
      <c r="C732" s="135"/>
      <c r="D732" s="516"/>
      <c r="E732" s="135"/>
      <c r="F732" s="135"/>
      <c r="G732" s="135"/>
      <c r="H732" s="135"/>
      <c r="I732" s="516"/>
      <c r="J732" s="135"/>
      <c r="K732" s="135"/>
      <c r="L732" s="135"/>
      <c r="M732" s="137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hidden="1" customHeight="1">
      <c r="A733" s="134"/>
      <c r="B733" s="135"/>
      <c r="C733" s="135"/>
      <c r="D733" s="516"/>
      <c r="E733" s="135"/>
      <c r="F733" s="135"/>
      <c r="G733" s="135"/>
      <c r="H733" s="135"/>
      <c r="I733" s="516"/>
      <c r="J733" s="135"/>
      <c r="K733" s="135"/>
      <c r="L733" s="135"/>
      <c r="M733" s="137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hidden="1" customHeight="1">
      <c r="A734" s="134"/>
      <c r="B734" s="135"/>
      <c r="C734" s="135"/>
      <c r="D734" s="516"/>
      <c r="E734" s="135"/>
      <c r="F734" s="135"/>
      <c r="G734" s="135"/>
      <c r="H734" s="135"/>
      <c r="I734" s="516"/>
      <c r="J734" s="135"/>
      <c r="K734" s="135"/>
      <c r="L734" s="135"/>
      <c r="M734" s="137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hidden="1" customHeight="1">
      <c r="A735" s="134"/>
      <c r="B735" s="135"/>
      <c r="C735" s="135"/>
      <c r="D735" s="516"/>
      <c r="E735" s="135"/>
      <c r="F735" s="135"/>
      <c r="G735" s="135"/>
      <c r="H735" s="135"/>
      <c r="I735" s="516"/>
      <c r="J735" s="135"/>
      <c r="K735" s="135"/>
      <c r="L735" s="135"/>
      <c r="M735" s="137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hidden="1" customHeight="1">
      <c r="A736" s="134"/>
      <c r="B736" s="135"/>
      <c r="C736" s="135"/>
      <c r="D736" s="516"/>
      <c r="E736" s="135"/>
      <c r="F736" s="135"/>
      <c r="G736" s="135"/>
      <c r="H736" s="135"/>
      <c r="I736" s="516"/>
      <c r="J736" s="135"/>
      <c r="K736" s="135"/>
      <c r="L736" s="135"/>
      <c r="M736" s="137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hidden="1" customHeight="1">
      <c r="A737" s="134"/>
      <c r="B737" s="135"/>
      <c r="C737" s="135"/>
      <c r="D737" s="516"/>
      <c r="E737" s="135"/>
      <c r="F737" s="135"/>
      <c r="G737" s="135"/>
      <c r="H737" s="135"/>
      <c r="I737" s="516"/>
      <c r="J737" s="135"/>
      <c r="K737" s="135"/>
      <c r="L737" s="135"/>
      <c r="M737" s="137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hidden="1" customHeight="1">
      <c r="A738" s="134"/>
      <c r="B738" s="135"/>
      <c r="C738" s="135"/>
      <c r="D738" s="516"/>
      <c r="E738" s="135"/>
      <c r="F738" s="135"/>
      <c r="G738" s="135"/>
      <c r="H738" s="135"/>
      <c r="I738" s="516"/>
      <c r="J738" s="135"/>
      <c r="K738" s="135"/>
      <c r="L738" s="135"/>
      <c r="M738" s="137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hidden="1" customHeight="1">
      <c r="A739" s="134"/>
      <c r="B739" s="135"/>
      <c r="C739" s="135"/>
      <c r="D739" s="516"/>
      <c r="E739" s="135"/>
      <c r="F739" s="135"/>
      <c r="G739" s="135"/>
      <c r="H739" s="135"/>
      <c r="I739" s="516"/>
      <c r="J739" s="135"/>
      <c r="K739" s="135"/>
      <c r="L739" s="135"/>
      <c r="M739" s="137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hidden="1" customHeight="1">
      <c r="A740" s="134"/>
      <c r="B740" s="135"/>
      <c r="C740" s="135"/>
      <c r="D740" s="516"/>
      <c r="E740" s="135"/>
      <c r="F740" s="135"/>
      <c r="G740" s="135"/>
      <c r="H740" s="135"/>
      <c r="I740" s="516"/>
      <c r="J740" s="135"/>
      <c r="K740" s="135"/>
      <c r="L740" s="135"/>
      <c r="M740" s="137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hidden="1" customHeight="1">
      <c r="A741" s="134"/>
      <c r="B741" s="135"/>
      <c r="C741" s="135"/>
      <c r="D741" s="516"/>
      <c r="E741" s="135"/>
      <c r="F741" s="135"/>
      <c r="G741" s="135"/>
      <c r="H741" s="135"/>
      <c r="I741" s="516"/>
      <c r="J741" s="135"/>
      <c r="K741" s="135"/>
      <c r="L741" s="135"/>
      <c r="M741" s="137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hidden="1" customHeight="1">
      <c r="A742" s="134"/>
      <c r="B742" s="135"/>
      <c r="C742" s="135"/>
      <c r="D742" s="516"/>
      <c r="E742" s="135"/>
      <c r="F742" s="135"/>
      <c r="G742" s="135"/>
      <c r="H742" s="135"/>
      <c r="I742" s="516"/>
      <c r="J742" s="135"/>
      <c r="K742" s="135"/>
      <c r="L742" s="135"/>
      <c r="M742" s="137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hidden="1" customHeight="1">
      <c r="A743" s="134"/>
      <c r="B743" s="135"/>
      <c r="C743" s="135"/>
      <c r="D743" s="516"/>
      <c r="E743" s="135"/>
      <c r="F743" s="135"/>
      <c r="G743" s="135"/>
      <c r="H743" s="135"/>
      <c r="I743" s="516"/>
      <c r="J743" s="135"/>
      <c r="K743" s="135"/>
      <c r="L743" s="135"/>
      <c r="M743" s="137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hidden="1" customHeight="1">
      <c r="A744" s="134"/>
      <c r="B744" s="135"/>
      <c r="C744" s="135"/>
      <c r="D744" s="516"/>
      <c r="E744" s="135"/>
      <c r="F744" s="135"/>
      <c r="G744" s="135"/>
      <c r="H744" s="135"/>
      <c r="I744" s="516"/>
      <c r="J744" s="135"/>
      <c r="K744" s="135"/>
      <c r="L744" s="135"/>
      <c r="M744" s="137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hidden="1" customHeight="1">
      <c r="A745" s="134"/>
      <c r="B745" s="135"/>
      <c r="C745" s="135"/>
      <c r="D745" s="516"/>
      <c r="E745" s="135"/>
      <c r="F745" s="135"/>
      <c r="G745" s="135"/>
      <c r="H745" s="135"/>
      <c r="I745" s="516"/>
      <c r="J745" s="135"/>
      <c r="K745" s="135"/>
      <c r="L745" s="135"/>
      <c r="M745" s="137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hidden="1" customHeight="1">
      <c r="A746" s="134"/>
      <c r="B746" s="135"/>
      <c r="C746" s="135"/>
      <c r="D746" s="516"/>
      <c r="E746" s="135"/>
      <c r="F746" s="135"/>
      <c r="G746" s="135"/>
      <c r="H746" s="135"/>
      <c r="I746" s="516"/>
      <c r="J746" s="135"/>
      <c r="K746" s="135"/>
      <c r="L746" s="135"/>
      <c r="M746" s="137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hidden="1" customHeight="1">
      <c r="A747" s="134"/>
      <c r="B747" s="135"/>
      <c r="C747" s="135"/>
      <c r="D747" s="516"/>
      <c r="E747" s="135"/>
      <c r="F747" s="135"/>
      <c r="G747" s="135"/>
      <c r="H747" s="135"/>
      <c r="I747" s="516"/>
      <c r="J747" s="135"/>
      <c r="K747" s="135"/>
      <c r="L747" s="135"/>
      <c r="M747" s="137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hidden="1" customHeight="1">
      <c r="A748" s="134"/>
      <c r="B748" s="135"/>
      <c r="C748" s="135"/>
      <c r="D748" s="516"/>
      <c r="E748" s="135"/>
      <c r="F748" s="135"/>
      <c r="G748" s="135"/>
      <c r="H748" s="135"/>
      <c r="I748" s="516"/>
      <c r="J748" s="135"/>
      <c r="K748" s="135"/>
      <c r="L748" s="135"/>
      <c r="M748" s="137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hidden="1" customHeight="1">
      <c r="A749" s="134"/>
      <c r="B749" s="135"/>
      <c r="C749" s="135"/>
      <c r="D749" s="516"/>
      <c r="E749" s="135"/>
      <c r="F749" s="135"/>
      <c r="G749" s="135"/>
      <c r="H749" s="135"/>
      <c r="I749" s="516"/>
      <c r="J749" s="135"/>
      <c r="K749" s="135"/>
      <c r="L749" s="135"/>
      <c r="M749" s="137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hidden="1" customHeight="1">
      <c r="A750" s="134"/>
      <c r="B750" s="135"/>
      <c r="C750" s="135"/>
      <c r="D750" s="516"/>
      <c r="E750" s="135"/>
      <c r="F750" s="135"/>
      <c r="G750" s="135"/>
      <c r="H750" s="135"/>
      <c r="I750" s="516"/>
      <c r="J750" s="135"/>
      <c r="K750" s="135"/>
      <c r="L750" s="135"/>
      <c r="M750" s="137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hidden="1" customHeight="1">
      <c r="A751" s="134"/>
      <c r="B751" s="135"/>
      <c r="C751" s="135"/>
      <c r="D751" s="516"/>
      <c r="E751" s="135"/>
      <c r="F751" s="135"/>
      <c r="G751" s="135"/>
      <c r="H751" s="135"/>
      <c r="I751" s="516"/>
      <c r="J751" s="135"/>
      <c r="K751" s="135"/>
      <c r="L751" s="135"/>
      <c r="M751" s="137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hidden="1" customHeight="1">
      <c r="A752" s="134"/>
      <c r="B752" s="135"/>
      <c r="C752" s="135"/>
      <c r="D752" s="516"/>
      <c r="E752" s="135"/>
      <c r="F752" s="135"/>
      <c r="G752" s="135"/>
      <c r="H752" s="135"/>
      <c r="I752" s="516"/>
      <c r="J752" s="135"/>
      <c r="K752" s="135"/>
      <c r="L752" s="135"/>
      <c r="M752" s="137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hidden="1" customHeight="1">
      <c r="A753" s="134"/>
      <c r="B753" s="135"/>
      <c r="C753" s="135"/>
      <c r="D753" s="516"/>
      <c r="E753" s="135"/>
      <c r="F753" s="135"/>
      <c r="G753" s="135"/>
      <c r="H753" s="135"/>
      <c r="I753" s="516"/>
      <c r="J753" s="135"/>
      <c r="K753" s="135"/>
      <c r="L753" s="135"/>
      <c r="M753" s="137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hidden="1" customHeight="1">
      <c r="A754" s="134"/>
      <c r="B754" s="135"/>
      <c r="C754" s="135"/>
      <c r="D754" s="516"/>
      <c r="E754" s="135"/>
      <c r="F754" s="135"/>
      <c r="G754" s="135"/>
      <c r="H754" s="135"/>
      <c r="I754" s="516"/>
      <c r="J754" s="135"/>
      <c r="K754" s="135"/>
      <c r="L754" s="135"/>
      <c r="M754" s="137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hidden="1" customHeight="1">
      <c r="A755" s="134"/>
      <c r="B755" s="135"/>
      <c r="C755" s="135"/>
      <c r="D755" s="516"/>
      <c r="E755" s="135"/>
      <c r="F755" s="135"/>
      <c r="G755" s="135"/>
      <c r="H755" s="135"/>
      <c r="I755" s="516"/>
      <c r="J755" s="135"/>
      <c r="K755" s="135"/>
      <c r="L755" s="135"/>
      <c r="M755" s="137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hidden="1" customHeight="1">
      <c r="A756" s="134"/>
      <c r="B756" s="135"/>
      <c r="C756" s="135"/>
      <c r="D756" s="516"/>
      <c r="E756" s="135"/>
      <c r="F756" s="135"/>
      <c r="G756" s="135"/>
      <c r="H756" s="135"/>
      <c r="I756" s="516"/>
      <c r="J756" s="135"/>
      <c r="K756" s="135"/>
      <c r="L756" s="135"/>
      <c r="M756" s="137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hidden="1" customHeight="1">
      <c r="A757" s="134"/>
      <c r="B757" s="135"/>
      <c r="C757" s="135"/>
      <c r="D757" s="516"/>
      <c r="E757" s="135"/>
      <c r="F757" s="135"/>
      <c r="G757" s="135"/>
      <c r="H757" s="135"/>
      <c r="I757" s="516"/>
      <c r="J757" s="135"/>
      <c r="K757" s="135"/>
      <c r="L757" s="135"/>
      <c r="M757" s="137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hidden="1" customHeight="1">
      <c r="A758" s="134"/>
      <c r="B758" s="135"/>
      <c r="C758" s="135"/>
      <c r="D758" s="516"/>
      <c r="E758" s="135"/>
      <c r="F758" s="135"/>
      <c r="G758" s="135"/>
      <c r="H758" s="135"/>
      <c r="I758" s="516"/>
      <c r="J758" s="135"/>
      <c r="K758" s="135"/>
      <c r="L758" s="135"/>
      <c r="M758" s="137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hidden="1" customHeight="1">
      <c r="A759" s="134"/>
      <c r="B759" s="135"/>
      <c r="C759" s="135"/>
      <c r="D759" s="516"/>
      <c r="E759" s="135"/>
      <c r="F759" s="135"/>
      <c r="G759" s="135"/>
      <c r="H759" s="135"/>
      <c r="I759" s="516"/>
      <c r="J759" s="135"/>
      <c r="K759" s="135"/>
      <c r="L759" s="135"/>
      <c r="M759" s="137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hidden="1" customHeight="1">
      <c r="A760" s="134"/>
      <c r="B760" s="135"/>
      <c r="C760" s="135"/>
      <c r="D760" s="516"/>
      <c r="E760" s="135"/>
      <c r="F760" s="135"/>
      <c r="G760" s="135"/>
      <c r="H760" s="135"/>
      <c r="I760" s="516"/>
      <c r="J760" s="135"/>
      <c r="K760" s="135"/>
      <c r="L760" s="135"/>
      <c r="M760" s="137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hidden="1" customHeight="1">
      <c r="A761" s="134"/>
      <c r="B761" s="135"/>
      <c r="C761" s="135"/>
      <c r="D761" s="516"/>
      <c r="E761" s="135"/>
      <c r="F761" s="135"/>
      <c r="G761" s="135"/>
      <c r="H761" s="135"/>
      <c r="I761" s="516"/>
      <c r="J761" s="135"/>
      <c r="K761" s="135"/>
      <c r="L761" s="135"/>
      <c r="M761" s="137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hidden="1" customHeight="1">
      <c r="A762" s="134"/>
      <c r="B762" s="135"/>
      <c r="C762" s="135"/>
      <c r="D762" s="516"/>
      <c r="E762" s="135"/>
      <c r="F762" s="135"/>
      <c r="G762" s="135"/>
      <c r="H762" s="135"/>
      <c r="I762" s="516"/>
      <c r="J762" s="135"/>
      <c r="K762" s="135"/>
      <c r="L762" s="135"/>
      <c r="M762" s="137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hidden="1" customHeight="1">
      <c r="A763" s="134"/>
      <c r="B763" s="135"/>
      <c r="C763" s="135"/>
      <c r="D763" s="516"/>
      <c r="E763" s="135"/>
      <c r="F763" s="135"/>
      <c r="G763" s="135"/>
      <c r="H763" s="135"/>
      <c r="I763" s="516"/>
      <c r="J763" s="135"/>
      <c r="K763" s="135"/>
      <c r="L763" s="135"/>
      <c r="M763" s="137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hidden="1" customHeight="1">
      <c r="A764" s="134"/>
      <c r="B764" s="135"/>
      <c r="C764" s="135"/>
      <c r="D764" s="516"/>
      <c r="E764" s="135"/>
      <c r="F764" s="135"/>
      <c r="G764" s="135"/>
      <c r="H764" s="135"/>
      <c r="I764" s="516"/>
      <c r="J764" s="135"/>
      <c r="K764" s="135"/>
      <c r="L764" s="135"/>
      <c r="M764" s="137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hidden="1" customHeight="1">
      <c r="A765" s="134"/>
      <c r="B765" s="135"/>
      <c r="C765" s="135"/>
      <c r="D765" s="516"/>
      <c r="E765" s="135"/>
      <c r="F765" s="135"/>
      <c r="G765" s="135"/>
      <c r="H765" s="135"/>
      <c r="I765" s="516"/>
      <c r="J765" s="135"/>
      <c r="K765" s="135"/>
      <c r="L765" s="135"/>
      <c r="M765" s="137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hidden="1" customHeight="1">
      <c r="A766" s="138"/>
      <c r="B766" s="139"/>
      <c r="C766" s="139"/>
      <c r="D766" s="194"/>
      <c r="E766" s="141"/>
      <c r="F766" s="142"/>
      <c r="G766" s="141"/>
      <c r="H766" s="142"/>
      <c r="I766" s="194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hidden="1" customHeight="1">
      <c r="A767" s="138"/>
      <c r="B767" s="139"/>
      <c r="C767" s="139"/>
      <c r="D767" s="194"/>
      <c r="E767" s="141"/>
      <c r="F767" s="142"/>
      <c r="G767" s="141"/>
      <c r="H767" s="142"/>
      <c r="I767" s="194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hidden="1" customHeight="1">
      <c r="A768" s="138"/>
      <c r="B768" s="139"/>
      <c r="C768" s="139"/>
      <c r="D768" s="194"/>
      <c r="E768" s="141"/>
      <c r="F768" s="142"/>
      <c r="G768" s="141"/>
      <c r="H768" s="142"/>
      <c r="I768" s="194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hidden="1" customHeight="1">
      <c r="A769" s="138"/>
      <c r="B769" s="139"/>
      <c r="C769" s="139"/>
      <c r="D769" s="194"/>
      <c r="E769" s="141"/>
      <c r="F769" s="142"/>
      <c r="G769" s="141"/>
      <c r="H769" s="142"/>
      <c r="I769" s="194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hidden="1" customHeight="1">
      <c r="A770" s="138"/>
      <c r="B770" s="139"/>
      <c r="C770" s="139"/>
      <c r="D770" s="194"/>
      <c r="E770" s="141"/>
      <c r="F770" s="142"/>
      <c r="G770" s="141"/>
      <c r="H770" s="142"/>
      <c r="I770" s="194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hidden="1" customHeight="1">
      <c r="A771" s="138"/>
      <c r="B771" s="139"/>
      <c r="C771" s="139"/>
      <c r="D771" s="194"/>
      <c r="E771" s="141"/>
      <c r="F771" s="142"/>
      <c r="G771" s="141"/>
      <c r="H771" s="142"/>
      <c r="I771" s="194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hidden="1" customHeight="1">
      <c r="A772" s="138"/>
      <c r="B772" s="139"/>
      <c r="C772" s="139"/>
      <c r="D772" s="194"/>
      <c r="E772" s="141"/>
      <c r="F772" s="142"/>
      <c r="G772" s="141"/>
      <c r="H772" s="142"/>
      <c r="I772" s="194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hidden="1" customHeight="1">
      <c r="A773" s="138"/>
      <c r="B773" s="139"/>
      <c r="C773" s="139"/>
      <c r="D773" s="194"/>
      <c r="E773" s="141"/>
      <c r="F773" s="142"/>
      <c r="G773" s="141"/>
      <c r="H773" s="142"/>
      <c r="I773" s="194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hidden="1" customHeight="1">
      <c r="A774" s="138"/>
      <c r="B774" s="139"/>
      <c r="C774" s="139"/>
      <c r="D774" s="194"/>
      <c r="E774" s="141"/>
      <c r="F774" s="142"/>
      <c r="G774" s="141"/>
      <c r="H774" s="142"/>
      <c r="I774" s="194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hidden="1" customHeight="1">
      <c r="A775" s="138"/>
      <c r="B775" s="139"/>
      <c r="C775" s="139"/>
      <c r="D775" s="194"/>
      <c r="E775" s="141"/>
      <c r="F775" s="142"/>
      <c r="G775" s="141"/>
      <c r="H775" s="142"/>
      <c r="I775" s="194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hidden="1" customHeight="1">
      <c r="A776" s="138"/>
      <c r="B776" s="139"/>
      <c r="C776" s="139"/>
      <c r="D776" s="194"/>
      <c r="E776" s="141"/>
      <c r="F776" s="142"/>
      <c r="G776" s="141"/>
      <c r="H776" s="142"/>
      <c r="I776" s="194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hidden="1" customHeight="1">
      <c r="A777" s="138"/>
      <c r="B777" s="139"/>
      <c r="C777" s="139"/>
      <c r="D777" s="194"/>
      <c r="E777" s="141"/>
      <c r="F777" s="142"/>
      <c r="G777" s="141"/>
      <c r="H777" s="142"/>
      <c r="I777" s="194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hidden="1" customHeight="1">
      <c r="A778" s="138"/>
      <c r="B778" s="139"/>
      <c r="C778" s="139"/>
      <c r="D778" s="194"/>
      <c r="E778" s="141"/>
      <c r="F778" s="142"/>
      <c r="G778" s="141"/>
      <c r="H778" s="142"/>
      <c r="I778" s="194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hidden="1" customHeight="1">
      <c r="A779" s="138"/>
      <c r="B779" s="139"/>
      <c r="C779" s="139"/>
      <c r="D779" s="194"/>
      <c r="E779" s="141"/>
      <c r="F779" s="142"/>
      <c r="G779" s="141"/>
      <c r="H779" s="142"/>
      <c r="I779" s="194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hidden="1" customHeight="1">
      <c r="A780" s="138"/>
      <c r="B780" s="139"/>
      <c r="C780" s="139"/>
      <c r="D780" s="194"/>
      <c r="E780" s="141"/>
      <c r="F780" s="142"/>
      <c r="G780" s="141"/>
      <c r="H780" s="142"/>
      <c r="I780" s="194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hidden="1" customHeight="1">
      <c r="A781" s="138"/>
      <c r="B781" s="139"/>
      <c r="C781" s="139"/>
      <c r="D781" s="194"/>
      <c r="E781" s="141"/>
      <c r="F781" s="142"/>
      <c r="G781" s="141"/>
      <c r="H781" s="142"/>
      <c r="I781" s="194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hidden="1" customHeight="1">
      <c r="A782" s="138"/>
      <c r="B782" s="139"/>
      <c r="C782" s="139"/>
      <c r="D782" s="194"/>
      <c r="E782" s="141"/>
      <c r="F782" s="142"/>
      <c r="G782" s="141"/>
      <c r="H782" s="142"/>
      <c r="I782" s="194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hidden="1" customHeight="1">
      <c r="A783" s="138"/>
      <c r="B783" s="139"/>
      <c r="C783" s="139"/>
      <c r="D783" s="194"/>
      <c r="E783" s="141"/>
      <c r="F783" s="142"/>
      <c r="G783" s="141"/>
      <c r="H783" s="142"/>
      <c r="I783" s="194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hidden="1" customHeight="1">
      <c r="A784" s="138"/>
      <c r="B784" s="139"/>
      <c r="C784" s="139"/>
      <c r="D784" s="194"/>
      <c r="E784" s="141"/>
      <c r="F784" s="142"/>
      <c r="G784" s="141"/>
      <c r="H784" s="142"/>
      <c r="I784" s="194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hidden="1" customHeight="1">
      <c r="A785" s="138"/>
      <c r="B785" s="139"/>
      <c r="C785" s="139"/>
      <c r="D785" s="194"/>
      <c r="E785" s="141"/>
      <c r="F785" s="142"/>
      <c r="G785" s="141"/>
      <c r="H785" s="142"/>
      <c r="I785" s="194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hidden="1" customHeight="1">
      <c r="A786" s="138"/>
      <c r="B786" s="139"/>
      <c r="C786" s="139"/>
      <c r="D786" s="194"/>
      <c r="E786" s="141"/>
      <c r="F786" s="142"/>
      <c r="G786" s="141"/>
      <c r="H786" s="142"/>
      <c r="I786" s="194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hidden="1" customHeight="1">
      <c r="A787" s="138"/>
      <c r="B787" s="139"/>
      <c r="C787" s="139"/>
      <c r="D787" s="194"/>
      <c r="E787" s="141"/>
      <c r="F787" s="142"/>
      <c r="G787" s="141"/>
      <c r="H787" s="142"/>
      <c r="I787" s="194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hidden="1" customHeight="1">
      <c r="A788" s="138"/>
      <c r="B788" s="139"/>
      <c r="C788" s="139"/>
      <c r="D788" s="194"/>
      <c r="E788" s="141"/>
      <c r="F788" s="142"/>
      <c r="G788" s="141"/>
      <c r="H788" s="142"/>
      <c r="I788" s="194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hidden="1" customHeight="1">
      <c r="A789" s="138"/>
      <c r="B789" s="139"/>
      <c r="C789" s="139"/>
      <c r="D789" s="194"/>
      <c r="E789" s="141"/>
      <c r="F789" s="142"/>
      <c r="G789" s="141"/>
      <c r="H789" s="142"/>
      <c r="I789" s="194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hidden="1" customHeight="1">
      <c r="A790" s="138"/>
      <c r="B790" s="139"/>
      <c r="C790" s="139"/>
      <c r="D790" s="194"/>
      <c r="E790" s="141"/>
      <c r="F790" s="142"/>
      <c r="G790" s="141"/>
      <c r="H790" s="142"/>
      <c r="I790" s="194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hidden="1" customHeight="1">
      <c r="A791" s="138"/>
      <c r="B791" s="139"/>
      <c r="C791" s="139"/>
      <c r="D791" s="194"/>
      <c r="E791" s="141"/>
      <c r="F791" s="142"/>
      <c r="G791" s="141"/>
      <c r="H791" s="142"/>
      <c r="I791" s="194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hidden="1" customHeight="1">
      <c r="A792" s="138"/>
      <c r="B792" s="139"/>
      <c r="C792" s="139"/>
      <c r="D792" s="194"/>
      <c r="E792" s="141"/>
      <c r="F792" s="142"/>
      <c r="G792" s="141"/>
      <c r="H792" s="142"/>
      <c r="I792" s="194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hidden="1" customHeight="1">
      <c r="A793" s="138"/>
      <c r="B793" s="139"/>
      <c r="C793" s="139"/>
      <c r="D793" s="194"/>
      <c r="E793" s="141"/>
      <c r="F793" s="142"/>
      <c r="G793" s="141"/>
      <c r="H793" s="142"/>
      <c r="I793" s="194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hidden="1" customHeight="1">
      <c r="A794" s="138"/>
      <c r="B794" s="139"/>
      <c r="C794" s="139"/>
      <c r="D794" s="194"/>
      <c r="E794" s="141"/>
      <c r="F794" s="142"/>
      <c r="G794" s="141"/>
      <c r="H794" s="142"/>
      <c r="I794" s="194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hidden="1" customHeight="1">
      <c r="A795" s="138"/>
      <c r="B795" s="139"/>
      <c r="C795" s="139"/>
      <c r="D795" s="194"/>
      <c r="E795" s="141"/>
      <c r="F795" s="142"/>
      <c r="G795" s="141"/>
      <c r="H795" s="142"/>
      <c r="I795" s="194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hidden="1" customHeight="1">
      <c r="A796" s="138"/>
      <c r="B796" s="139"/>
      <c r="C796" s="139"/>
      <c r="D796" s="194"/>
      <c r="E796" s="141"/>
      <c r="F796" s="142"/>
      <c r="G796" s="141"/>
      <c r="H796" s="142"/>
      <c r="I796" s="194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hidden="1" customHeight="1">
      <c r="A797" s="138"/>
      <c r="B797" s="139"/>
      <c r="C797" s="139"/>
      <c r="D797" s="194"/>
      <c r="E797" s="141"/>
      <c r="F797" s="142"/>
      <c r="G797" s="141"/>
      <c r="H797" s="142"/>
      <c r="I797" s="194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hidden="1" customHeight="1">
      <c r="A798" s="138"/>
      <c r="B798" s="139"/>
      <c r="C798" s="139"/>
      <c r="D798" s="194"/>
      <c r="E798" s="141"/>
      <c r="F798" s="142"/>
      <c r="G798" s="141"/>
      <c r="H798" s="142"/>
      <c r="I798" s="194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hidden="1" customHeight="1">
      <c r="A799" s="138"/>
      <c r="B799" s="139"/>
      <c r="C799" s="139"/>
      <c r="D799" s="194"/>
      <c r="E799" s="141"/>
      <c r="F799" s="142"/>
      <c r="G799" s="141"/>
      <c r="H799" s="142"/>
      <c r="I799" s="194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hidden="1" customHeight="1">
      <c r="A800" s="138"/>
      <c r="B800" s="139"/>
      <c r="C800" s="139"/>
      <c r="D800" s="194"/>
      <c r="E800" s="141"/>
      <c r="F800" s="142"/>
      <c r="G800" s="141"/>
      <c r="H800" s="142"/>
      <c r="I800" s="194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hidden="1" customHeight="1">
      <c r="A801" s="138"/>
      <c r="B801" s="139"/>
      <c r="C801" s="139"/>
      <c r="D801" s="194"/>
      <c r="E801" s="141"/>
      <c r="F801" s="142"/>
      <c r="G801" s="141"/>
      <c r="H801" s="142"/>
      <c r="I801" s="194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hidden="1" customHeight="1">
      <c r="A802" s="138"/>
      <c r="B802" s="139"/>
      <c r="C802" s="139"/>
      <c r="D802" s="194"/>
      <c r="E802" s="141"/>
      <c r="F802" s="142"/>
      <c r="G802" s="141"/>
      <c r="H802" s="142"/>
      <c r="I802" s="194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hidden="1" customHeight="1">
      <c r="A803" s="138"/>
      <c r="B803" s="139"/>
      <c r="C803" s="139"/>
      <c r="D803" s="194"/>
      <c r="E803" s="141"/>
      <c r="F803" s="142"/>
      <c r="G803" s="141"/>
      <c r="H803" s="142"/>
      <c r="I803" s="194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hidden="1" customHeight="1">
      <c r="A804" s="138"/>
      <c r="B804" s="139"/>
      <c r="C804" s="139"/>
      <c r="D804" s="194"/>
      <c r="E804" s="141"/>
      <c r="F804" s="142"/>
      <c r="G804" s="141"/>
      <c r="H804" s="142"/>
      <c r="I804" s="194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hidden="1" customHeight="1">
      <c r="A805" s="138"/>
      <c r="B805" s="139"/>
      <c r="C805" s="139"/>
      <c r="D805" s="194"/>
      <c r="E805" s="141"/>
      <c r="F805" s="142"/>
      <c r="G805" s="141"/>
      <c r="H805" s="142"/>
      <c r="I805" s="194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hidden="1" customHeight="1">
      <c r="A806" s="138"/>
      <c r="B806" s="139"/>
      <c r="C806" s="139"/>
      <c r="D806" s="194"/>
      <c r="E806" s="141"/>
      <c r="F806" s="142"/>
      <c r="G806" s="141"/>
      <c r="H806" s="142"/>
      <c r="I806" s="194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hidden="1" customHeight="1">
      <c r="A807" s="138"/>
      <c r="B807" s="139"/>
      <c r="C807" s="139"/>
      <c r="D807" s="194"/>
      <c r="E807" s="141"/>
      <c r="F807" s="142"/>
      <c r="G807" s="141"/>
      <c r="H807" s="142"/>
      <c r="I807" s="194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hidden="1" customHeight="1">
      <c r="A808" s="138"/>
      <c r="B808" s="139"/>
      <c r="C808" s="139"/>
      <c r="D808" s="194"/>
      <c r="E808" s="141"/>
      <c r="F808" s="142"/>
      <c r="G808" s="141"/>
      <c r="H808" s="142"/>
      <c r="I808" s="194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hidden="1" customHeight="1">
      <c r="A809" s="138"/>
      <c r="B809" s="139"/>
      <c r="C809" s="139"/>
      <c r="D809" s="194"/>
      <c r="E809" s="141"/>
      <c r="F809" s="142"/>
      <c r="G809" s="141"/>
      <c r="H809" s="142"/>
      <c r="I809" s="194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hidden="1" customHeight="1">
      <c r="A810" s="138"/>
      <c r="B810" s="139"/>
      <c r="C810" s="139"/>
      <c r="D810" s="194"/>
      <c r="E810" s="141"/>
      <c r="F810" s="142"/>
      <c r="G810" s="141"/>
      <c r="H810" s="142"/>
      <c r="I810" s="194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hidden="1" customHeight="1">
      <c r="A811" s="138"/>
      <c r="B811" s="139"/>
      <c r="C811" s="139"/>
      <c r="D811" s="194"/>
      <c r="E811" s="141"/>
      <c r="F811" s="142"/>
      <c r="G811" s="141"/>
      <c r="H811" s="142"/>
      <c r="I811" s="194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hidden="1" customHeight="1">
      <c r="A812" s="138"/>
      <c r="B812" s="139"/>
      <c r="C812" s="139"/>
      <c r="D812" s="194"/>
      <c r="E812" s="141"/>
      <c r="F812" s="142"/>
      <c r="G812" s="141"/>
      <c r="H812" s="142"/>
      <c r="I812" s="194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hidden="1" customHeight="1">
      <c r="A813" s="138"/>
      <c r="B813" s="139"/>
      <c r="C813" s="139"/>
      <c r="D813" s="194"/>
      <c r="E813" s="141"/>
      <c r="F813" s="142"/>
      <c r="G813" s="141"/>
      <c r="H813" s="142"/>
      <c r="I813" s="194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hidden="1" customHeight="1">
      <c r="A814" s="138"/>
      <c r="B814" s="139"/>
      <c r="C814" s="139"/>
      <c r="D814" s="194"/>
      <c r="E814" s="141"/>
      <c r="F814" s="142"/>
      <c r="G814" s="141"/>
      <c r="H814" s="142"/>
      <c r="I814" s="194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hidden="1" customHeight="1">
      <c r="A815" s="138"/>
      <c r="B815" s="139"/>
      <c r="C815" s="139"/>
      <c r="D815" s="194"/>
      <c r="E815" s="141"/>
      <c r="F815" s="142"/>
      <c r="G815" s="141"/>
      <c r="H815" s="142"/>
      <c r="I815" s="194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hidden="1" customHeight="1">
      <c r="A816" s="138"/>
      <c r="B816" s="139"/>
      <c r="C816" s="139"/>
      <c r="D816" s="194"/>
      <c r="E816" s="141"/>
      <c r="F816" s="142"/>
      <c r="G816" s="141"/>
      <c r="H816" s="142"/>
      <c r="I816" s="194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hidden="1" customHeight="1">
      <c r="A817" s="138"/>
      <c r="B817" s="139"/>
      <c r="C817" s="139"/>
      <c r="D817" s="194"/>
      <c r="E817" s="141"/>
      <c r="F817" s="142"/>
      <c r="G817" s="141"/>
      <c r="H817" s="142"/>
      <c r="I817" s="194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hidden="1" customHeight="1">
      <c r="A818" s="138"/>
      <c r="B818" s="139"/>
      <c r="C818" s="139"/>
      <c r="D818" s="194"/>
      <c r="E818" s="141"/>
      <c r="F818" s="142"/>
      <c r="G818" s="141"/>
      <c r="H818" s="142"/>
      <c r="I818" s="194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hidden="1" customHeight="1">
      <c r="A819" s="138"/>
      <c r="B819" s="139"/>
      <c r="C819" s="139"/>
      <c r="D819" s="194"/>
      <c r="E819" s="141"/>
      <c r="F819" s="142"/>
      <c r="G819" s="141"/>
      <c r="H819" s="142"/>
      <c r="I819" s="194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hidden="1" customHeight="1">
      <c r="A820" s="138"/>
      <c r="B820" s="139"/>
      <c r="C820" s="139"/>
      <c r="D820" s="194"/>
      <c r="E820" s="141"/>
      <c r="F820" s="142"/>
      <c r="G820" s="141"/>
      <c r="H820" s="142"/>
      <c r="I820" s="194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hidden="1" customHeight="1">
      <c r="A821" s="138"/>
      <c r="B821" s="139"/>
      <c r="C821" s="139"/>
      <c r="D821" s="194"/>
      <c r="E821" s="141"/>
      <c r="F821" s="142"/>
      <c r="G821" s="141"/>
      <c r="H821" s="142"/>
      <c r="I821" s="194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hidden="1" customHeight="1">
      <c r="A822" s="138"/>
      <c r="B822" s="139"/>
      <c r="C822" s="139"/>
      <c r="D822" s="194"/>
      <c r="E822" s="141"/>
      <c r="F822" s="142"/>
      <c r="G822" s="141"/>
      <c r="H822" s="142"/>
      <c r="I822" s="194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hidden="1" customHeight="1">
      <c r="A823" s="138"/>
      <c r="B823" s="139"/>
      <c r="C823" s="139"/>
      <c r="D823" s="194"/>
      <c r="E823" s="141"/>
      <c r="F823" s="142"/>
      <c r="G823" s="141"/>
      <c r="H823" s="142"/>
      <c r="I823" s="194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hidden="1" customHeight="1">
      <c r="A824" s="138"/>
      <c r="B824" s="139"/>
      <c r="C824" s="139"/>
      <c r="D824" s="194"/>
      <c r="E824" s="141"/>
      <c r="F824" s="142"/>
      <c r="G824" s="141"/>
      <c r="H824" s="142"/>
      <c r="I824" s="194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hidden="1" customHeight="1">
      <c r="A825" s="138"/>
      <c r="B825" s="139"/>
      <c r="C825" s="139"/>
      <c r="D825" s="194"/>
      <c r="E825" s="141"/>
      <c r="F825" s="142"/>
      <c r="G825" s="141"/>
      <c r="H825" s="142"/>
      <c r="I825" s="194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hidden="1" customHeight="1">
      <c r="A826" s="138"/>
      <c r="B826" s="139"/>
      <c r="C826" s="139"/>
      <c r="D826" s="194"/>
      <c r="E826" s="141"/>
      <c r="F826" s="142"/>
      <c r="G826" s="141"/>
      <c r="H826" s="142"/>
      <c r="I826" s="194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hidden="1" customHeight="1">
      <c r="A827" s="138"/>
      <c r="B827" s="139"/>
      <c r="C827" s="139"/>
      <c r="D827" s="194"/>
      <c r="E827" s="141"/>
      <c r="F827" s="142"/>
      <c r="G827" s="141"/>
      <c r="H827" s="142"/>
      <c r="I827" s="194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hidden="1" customHeight="1">
      <c r="A828" s="138"/>
      <c r="B828" s="139"/>
      <c r="C828" s="139"/>
      <c r="D828" s="194"/>
      <c r="E828" s="141"/>
      <c r="F828" s="142"/>
      <c r="G828" s="141"/>
      <c r="H828" s="142"/>
      <c r="I828" s="194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hidden="1" customHeight="1">
      <c r="A829" s="138"/>
      <c r="B829" s="139"/>
      <c r="C829" s="139"/>
      <c r="D829" s="194"/>
      <c r="E829" s="141"/>
      <c r="F829" s="142"/>
      <c r="G829" s="141"/>
      <c r="H829" s="142"/>
      <c r="I829" s="194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hidden="1" customHeight="1">
      <c r="A830" s="138"/>
      <c r="B830" s="139"/>
      <c r="C830" s="139"/>
      <c r="D830" s="194"/>
      <c r="E830" s="141"/>
      <c r="F830" s="142"/>
      <c r="G830" s="141"/>
      <c r="H830" s="142"/>
      <c r="I830" s="194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hidden="1" customHeight="1">
      <c r="A831" s="138"/>
      <c r="B831" s="139"/>
      <c r="C831" s="139"/>
      <c r="D831" s="194"/>
      <c r="E831" s="141"/>
      <c r="F831" s="142"/>
      <c r="G831" s="141"/>
      <c r="H831" s="142"/>
      <c r="I831" s="194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hidden="1" customHeight="1">
      <c r="A832" s="138"/>
      <c r="B832" s="139"/>
      <c r="C832" s="139"/>
      <c r="D832" s="194"/>
      <c r="E832" s="141"/>
      <c r="F832" s="142"/>
      <c r="G832" s="141"/>
      <c r="H832" s="142"/>
      <c r="I832" s="194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hidden="1" customHeight="1">
      <c r="A833" s="138"/>
      <c r="B833" s="139"/>
      <c r="C833" s="139"/>
      <c r="D833" s="194"/>
      <c r="E833" s="141"/>
      <c r="F833" s="142"/>
      <c r="G833" s="141"/>
      <c r="H833" s="142"/>
      <c r="I833" s="194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hidden="1" customHeight="1">
      <c r="A834" s="138"/>
      <c r="B834" s="139"/>
      <c r="C834" s="139"/>
      <c r="D834" s="194"/>
      <c r="E834" s="141"/>
      <c r="F834" s="142"/>
      <c r="G834" s="141"/>
      <c r="H834" s="142"/>
      <c r="I834" s="194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hidden="1" customHeight="1">
      <c r="A835" s="138"/>
      <c r="B835" s="139"/>
      <c r="C835" s="139"/>
      <c r="D835" s="194"/>
      <c r="E835" s="141"/>
      <c r="F835" s="142"/>
      <c r="G835" s="141"/>
      <c r="H835" s="142"/>
      <c r="I835" s="194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hidden="1" customHeight="1">
      <c r="A836" s="138"/>
      <c r="B836" s="139"/>
      <c r="C836" s="139"/>
      <c r="D836" s="194"/>
      <c r="E836" s="141"/>
      <c r="F836" s="142"/>
      <c r="G836" s="141"/>
      <c r="H836" s="142"/>
      <c r="I836" s="194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hidden="1" customHeight="1">
      <c r="A837" s="138"/>
      <c r="B837" s="139"/>
      <c r="C837" s="139"/>
      <c r="D837" s="194"/>
      <c r="E837" s="141"/>
      <c r="F837" s="142"/>
      <c r="G837" s="141"/>
      <c r="H837" s="142"/>
      <c r="I837" s="194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hidden="1" customHeight="1">
      <c r="A838" s="138"/>
      <c r="B838" s="139"/>
      <c r="C838" s="139"/>
      <c r="D838" s="194"/>
      <c r="E838" s="141"/>
      <c r="F838" s="142"/>
      <c r="G838" s="141"/>
      <c r="H838" s="142"/>
      <c r="I838" s="194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hidden="1" customHeight="1">
      <c r="A839" s="138"/>
      <c r="B839" s="139"/>
      <c r="C839" s="139"/>
      <c r="D839" s="194"/>
      <c r="E839" s="141"/>
      <c r="F839" s="142"/>
      <c r="G839" s="141"/>
      <c r="H839" s="142"/>
      <c r="I839" s="194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hidden="1" customHeight="1">
      <c r="A840" s="138"/>
      <c r="B840" s="139"/>
      <c r="C840" s="139"/>
      <c r="D840" s="194"/>
      <c r="E840" s="141"/>
      <c r="F840" s="142"/>
      <c r="G840" s="141"/>
      <c r="H840" s="142"/>
      <c r="I840" s="194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hidden="1" customHeight="1">
      <c r="A841" s="138"/>
      <c r="B841" s="139"/>
      <c r="C841" s="139"/>
      <c r="D841" s="194"/>
      <c r="E841" s="141"/>
      <c r="F841" s="142"/>
      <c r="G841" s="141"/>
      <c r="H841" s="142"/>
      <c r="I841" s="194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hidden="1" customHeight="1">
      <c r="A842" s="138"/>
      <c r="B842" s="139"/>
      <c r="C842" s="139"/>
      <c r="D842" s="194"/>
      <c r="E842" s="141"/>
      <c r="F842" s="142"/>
      <c r="G842" s="141"/>
      <c r="H842" s="142"/>
      <c r="I842" s="194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hidden="1" customHeight="1">
      <c r="A843" s="138"/>
      <c r="B843" s="139"/>
      <c r="C843" s="139"/>
      <c r="D843" s="194"/>
      <c r="E843" s="141"/>
      <c r="F843" s="142"/>
      <c r="G843" s="141"/>
      <c r="H843" s="142"/>
      <c r="I843" s="194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hidden="1" customHeight="1">
      <c r="A844" s="138"/>
      <c r="B844" s="139"/>
      <c r="C844" s="139"/>
      <c r="D844" s="194"/>
      <c r="E844" s="141"/>
      <c r="F844" s="142"/>
      <c r="G844" s="141"/>
      <c r="H844" s="142"/>
      <c r="I844" s="194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hidden="1" customHeight="1">
      <c r="A845" s="138"/>
      <c r="B845" s="139"/>
      <c r="C845" s="139"/>
      <c r="D845" s="194"/>
      <c r="E845" s="141"/>
      <c r="F845" s="142"/>
      <c r="G845" s="141"/>
      <c r="H845" s="142"/>
      <c r="I845" s="194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hidden="1" customHeight="1">
      <c r="A846" s="138"/>
      <c r="B846" s="139"/>
      <c r="C846" s="139"/>
      <c r="D846" s="194"/>
      <c r="E846" s="141"/>
      <c r="F846" s="142"/>
      <c r="G846" s="141"/>
      <c r="H846" s="142"/>
      <c r="I846" s="194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hidden="1" customHeight="1">
      <c r="A847" s="138"/>
      <c r="B847" s="139"/>
      <c r="C847" s="139"/>
      <c r="D847" s="194"/>
      <c r="E847" s="141"/>
      <c r="F847" s="142"/>
      <c r="G847" s="141"/>
      <c r="H847" s="142"/>
      <c r="I847" s="194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hidden="1" customHeight="1">
      <c r="A848" s="138"/>
      <c r="B848" s="139"/>
      <c r="C848" s="139"/>
      <c r="D848" s="194"/>
      <c r="E848" s="141"/>
      <c r="F848" s="142"/>
      <c r="G848" s="141"/>
      <c r="H848" s="142"/>
      <c r="I848" s="194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hidden="1" customHeight="1">
      <c r="A849" s="138"/>
      <c r="B849" s="139"/>
      <c r="C849" s="139"/>
      <c r="D849" s="194"/>
      <c r="E849" s="141"/>
      <c r="F849" s="142"/>
      <c r="G849" s="141"/>
      <c r="H849" s="142"/>
      <c r="I849" s="194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hidden="1" customHeight="1">
      <c r="A850" s="138"/>
      <c r="B850" s="139"/>
      <c r="C850" s="139"/>
      <c r="D850" s="194"/>
      <c r="E850" s="141"/>
      <c r="F850" s="142"/>
      <c r="G850" s="141"/>
      <c r="H850" s="142"/>
      <c r="I850" s="194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hidden="1" customHeight="1">
      <c r="A851" s="138"/>
      <c r="B851" s="139"/>
      <c r="C851" s="139"/>
      <c r="D851" s="194"/>
      <c r="E851" s="141"/>
      <c r="F851" s="142"/>
      <c r="G851" s="141"/>
      <c r="H851" s="142"/>
      <c r="I851" s="194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hidden="1" customHeight="1">
      <c r="A852" s="138"/>
      <c r="B852" s="139"/>
      <c r="C852" s="139"/>
      <c r="D852" s="194"/>
      <c r="E852" s="141"/>
      <c r="F852" s="142"/>
      <c r="G852" s="141"/>
      <c r="H852" s="142"/>
      <c r="I852" s="194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hidden="1" customHeight="1">
      <c r="A853" s="138"/>
      <c r="B853" s="139"/>
      <c r="C853" s="139"/>
      <c r="D853" s="194"/>
      <c r="E853" s="141"/>
      <c r="F853" s="142"/>
      <c r="G853" s="141"/>
      <c r="H853" s="142"/>
      <c r="I853" s="194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hidden="1" customHeight="1">
      <c r="A854" s="138"/>
      <c r="B854" s="139"/>
      <c r="C854" s="139"/>
      <c r="D854" s="194"/>
      <c r="E854" s="141"/>
      <c r="F854" s="142"/>
      <c r="G854" s="141"/>
      <c r="H854" s="142"/>
      <c r="I854" s="194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hidden="1" customHeight="1">
      <c r="A855" s="138"/>
      <c r="B855" s="139"/>
      <c r="C855" s="139"/>
      <c r="D855" s="194"/>
      <c r="E855" s="141"/>
      <c r="F855" s="142"/>
      <c r="G855" s="141"/>
      <c r="H855" s="142"/>
      <c r="I855" s="194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hidden="1" customHeight="1">
      <c r="A856" s="138"/>
      <c r="B856" s="139"/>
      <c r="C856" s="139"/>
      <c r="D856" s="194"/>
      <c r="E856" s="141"/>
      <c r="F856" s="142"/>
      <c r="G856" s="141"/>
      <c r="H856" s="142"/>
      <c r="I856" s="194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hidden="1" customHeight="1">
      <c r="A857" s="138"/>
      <c r="B857" s="139"/>
      <c r="C857" s="139"/>
      <c r="D857" s="194"/>
      <c r="E857" s="141"/>
      <c r="F857" s="142"/>
      <c r="G857" s="141"/>
      <c r="H857" s="142"/>
      <c r="I857" s="194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hidden="1" customHeight="1">
      <c r="A858" s="138"/>
      <c r="B858" s="139"/>
      <c r="C858" s="139"/>
      <c r="D858" s="194"/>
      <c r="E858" s="141"/>
      <c r="F858" s="142"/>
      <c r="G858" s="141"/>
      <c r="H858" s="142"/>
      <c r="I858" s="194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hidden="1" customHeight="1">
      <c r="A859" s="138"/>
      <c r="B859" s="139"/>
      <c r="C859" s="139"/>
      <c r="D859" s="194"/>
      <c r="E859" s="141"/>
      <c r="F859" s="142"/>
      <c r="G859" s="141"/>
      <c r="H859" s="142"/>
      <c r="I859" s="194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hidden="1" customHeight="1">
      <c r="A860" s="138"/>
      <c r="B860" s="139"/>
      <c r="C860" s="139"/>
      <c r="D860" s="194"/>
      <c r="E860" s="141"/>
      <c r="F860" s="142"/>
      <c r="G860" s="141"/>
      <c r="H860" s="142"/>
      <c r="I860" s="194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hidden="1" customHeight="1">
      <c r="A861" s="138"/>
      <c r="B861" s="139"/>
      <c r="C861" s="139"/>
      <c r="D861" s="194"/>
      <c r="E861" s="141"/>
      <c r="F861" s="142"/>
      <c r="G861" s="141"/>
      <c r="H861" s="142"/>
      <c r="I861" s="194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hidden="1" customHeight="1">
      <c r="A862" s="138"/>
      <c r="B862" s="139"/>
      <c r="C862" s="139"/>
      <c r="D862" s="194"/>
      <c r="E862" s="141"/>
      <c r="F862" s="142"/>
      <c r="G862" s="141"/>
      <c r="H862" s="142"/>
      <c r="I862" s="194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hidden="1" customHeight="1">
      <c r="A863" s="138"/>
      <c r="B863" s="139"/>
      <c r="C863" s="139"/>
      <c r="D863" s="194"/>
      <c r="E863" s="141"/>
      <c r="F863" s="142"/>
      <c r="G863" s="141"/>
      <c r="H863" s="142"/>
      <c r="I863" s="194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hidden="1" customHeight="1">
      <c r="A864" s="138"/>
      <c r="B864" s="139"/>
      <c r="C864" s="139"/>
      <c r="D864" s="194"/>
      <c r="E864" s="141"/>
      <c r="F864" s="142"/>
      <c r="G864" s="141"/>
      <c r="H864" s="142"/>
      <c r="I864" s="194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hidden="1" customHeight="1">
      <c r="A865" s="138"/>
      <c r="B865" s="139"/>
      <c r="C865" s="139"/>
      <c r="D865" s="194"/>
      <c r="E865" s="141"/>
      <c r="F865" s="142"/>
      <c r="G865" s="141"/>
      <c r="H865" s="142"/>
      <c r="I865" s="194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hidden="1" customHeight="1">
      <c r="A866" s="138"/>
      <c r="B866" s="139"/>
      <c r="C866" s="139"/>
      <c r="D866" s="194"/>
      <c r="E866" s="141"/>
      <c r="F866" s="142"/>
      <c r="G866" s="141"/>
      <c r="H866" s="142"/>
      <c r="I866" s="194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hidden="1" customHeight="1">
      <c r="A867" s="138"/>
      <c r="B867" s="139"/>
      <c r="C867" s="139"/>
      <c r="D867" s="194"/>
      <c r="E867" s="141"/>
      <c r="F867" s="142"/>
      <c r="G867" s="141"/>
      <c r="H867" s="142"/>
      <c r="I867" s="194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hidden="1" customHeight="1">
      <c r="A868" s="138"/>
      <c r="B868" s="139"/>
      <c r="C868" s="139"/>
      <c r="D868" s="194"/>
      <c r="E868" s="141"/>
      <c r="F868" s="142"/>
      <c r="G868" s="141"/>
      <c r="H868" s="142"/>
      <c r="I868" s="194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hidden="1" customHeight="1">
      <c r="A869" s="138"/>
      <c r="B869" s="139"/>
      <c r="C869" s="139"/>
      <c r="D869" s="194"/>
      <c r="E869" s="141"/>
      <c r="F869" s="142"/>
      <c r="G869" s="141"/>
      <c r="H869" s="142"/>
      <c r="I869" s="194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hidden="1" customHeight="1">
      <c r="A870" s="138"/>
      <c r="B870" s="139"/>
      <c r="C870" s="139"/>
      <c r="D870" s="194"/>
      <c r="E870" s="141"/>
      <c r="F870" s="142"/>
      <c r="G870" s="141"/>
      <c r="H870" s="142"/>
      <c r="I870" s="194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hidden="1" customHeight="1">
      <c r="A871" s="138"/>
      <c r="B871" s="139"/>
      <c r="C871" s="139"/>
      <c r="D871" s="194"/>
      <c r="E871" s="141"/>
      <c r="F871" s="142"/>
      <c r="G871" s="141"/>
      <c r="H871" s="142"/>
      <c r="I871" s="194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hidden="1" customHeight="1">
      <c r="A872" s="138"/>
      <c r="B872" s="139"/>
      <c r="C872" s="139"/>
      <c r="D872" s="194"/>
      <c r="E872" s="141"/>
      <c r="F872" s="142"/>
      <c r="G872" s="141"/>
      <c r="H872" s="142"/>
      <c r="I872" s="194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hidden="1" customHeight="1">
      <c r="A873" s="138"/>
      <c r="B873" s="139"/>
      <c r="C873" s="139"/>
      <c r="D873" s="194"/>
      <c r="E873" s="141"/>
      <c r="F873" s="142"/>
      <c r="G873" s="141"/>
      <c r="H873" s="142"/>
      <c r="I873" s="194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hidden="1" customHeight="1">
      <c r="A874" s="138"/>
      <c r="B874" s="139"/>
      <c r="C874" s="139"/>
      <c r="D874" s="194"/>
      <c r="E874" s="141"/>
      <c r="F874" s="142"/>
      <c r="G874" s="141"/>
      <c r="H874" s="142"/>
      <c r="I874" s="194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hidden="1" customHeight="1">
      <c r="A875" s="138"/>
      <c r="B875" s="139"/>
      <c r="C875" s="139"/>
      <c r="D875" s="194"/>
      <c r="E875" s="141"/>
      <c r="F875" s="142"/>
      <c r="G875" s="141"/>
      <c r="H875" s="142"/>
      <c r="I875" s="194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hidden="1" customHeight="1">
      <c r="A876" s="138"/>
      <c r="B876" s="139"/>
      <c r="C876" s="139"/>
      <c r="D876" s="194"/>
      <c r="E876" s="141"/>
      <c r="F876" s="142"/>
      <c r="G876" s="141"/>
      <c r="H876" s="142"/>
      <c r="I876" s="194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hidden="1" customHeight="1">
      <c r="A877" s="138"/>
      <c r="B877" s="139"/>
      <c r="C877" s="139"/>
      <c r="D877" s="194"/>
      <c r="E877" s="141"/>
      <c r="F877" s="142"/>
      <c r="G877" s="141"/>
      <c r="H877" s="142"/>
      <c r="I877" s="194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hidden="1" customHeight="1">
      <c r="A878" s="138"/>
      <c r="B878" s="139"/>
      <c r="C878" s="139"/>
      <c r="D878" s="194"/>
      <c r="E878" s="141"/>
      <c r="F878" s="142"/>
      <c r="G878" s="141"/>
      <c r="H878" s="142"/>
      <c r="I878" s="194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hidden="1" customHeight="1">
      <c r="A879" s="138"/>
      <c r="B879" s="139"/>
      <c r="C879" s="139"/>
      <c r="D879" s="194"/>
      <c r="E879" s="141"/>
      <c r="F879" s="142"/>
      <c r="G879" s="141"/>
      <c r="H879" s="142"/>
      <c r="I879" s="194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hidden="1" customHeight="1">
      <c r="A880" s="138"/>
      <c r="B880" s="139"/>
      <c r="C880" s="139"/>
      <c r="D880" s="194"/>
      <c r="E880" s="141"/>
      <c r="F880" s="142"/>
      <c r="G880" s="141"/>
      <c r="H880" s="142"/>
      <c r="I880" s="194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hidden="1" customHeight="1">
      <c r="A881" s="138"/>
      <c r="B881" s="139"/>
      <c r="C881" s="139"/>
      <c r="D881" s="194"/>
      <c r="E881" s="141"/>
      <c r="F881" s="142"/>
      <c r="G881" s="141"/>
      <c r="H881" s="142"/>
      <c r="I881" s="194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hidden="1" customHeight="1">
      <c r="A882" s="138"/>
      <c r="B882" s="139"/>
      <c r="C882" s="139"/>
      <c r="D882" s="194"/>
      <c r="E882" s="141"/>
      <c r="F882" s="142"/>
      <c r="G882" s="141"/>
      <c r="H882" s="142"/>
      <c r="I882" s="194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hidden="1" customHeight="1">
      <c r="A883" s="138"/>
      <c r="B883" s="139"/>
      <c r="C883" s="139"/>
      <c r="D883" s="194"/>
      <c r="E883" s="141"/>
      <c r="F883" s="142"/>
      <c r="G883" s="141"/>
      <c r="H883" s="142"/>
      <c r="I883" s="194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hidden="1" customHeight="1">
      <c r="A884" s="138"/>
      <c r="B884" s="139"/>
      <c r="C884" s="139"/>
      <c r="D884" s="194"/>
      <c r="E884" s="141"/>
      <c r="F884" s="142"/>
      <c r="G884" s="141"/>
      <c r="H884" s="142"/>
      <c r="I884" s="194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hidden="1" customHeight="1">
      <c r="A885" s="138"/>
      <c r="B885" s="139"/>
      <c r="C885" s="139"/>
      <c r="D885" s="194"/>
      <c r="E885" s="141"/>
      <c r="F885" s="142"/>
      <c r="G885" s="141"/>
      <c r="H885" s="142"/>
      <c r="I885" s="194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hidden="1" customHeight="1">
      <c r="A886" s="138"/>
      <c r="B886" s="139"/>
      <c r="C886" s="139"/>
      <c r="D886" s="194"/>
      <c r="E886" s="141"/>
      <c r="F886" s="142"/>
      <c r="G886" s="141"/>
      <c r="H886" s="142"/>
      <c r="I886" s="194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hidden="1" customHeight="1">
      <c r="A887" s="138"/>
      <c r="B887" s="139"/>
      <c r="C887" s="139"/>
      <c r="D887" s="194"/>
      <c r="E887" s="141"/>
      <c r="F887" s="142"/>
      <c r="G887" s="141"/>
      <c r="H887" s="142"/>
      <c r="I887" s="194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hidden="1" customHeight="1">
      <c r="A888" s="138"/>
      <c r="B888" s="139"/>
      <c r="C888" s="139"/>
      <c r="D888" s="194"/>
      <c r="E888" s="141"/>
      <c r="F888" s="142"/>
      <c r="G888" s="141"/>
      <c r="H888" s="142"/>
      <c r="I888" s="194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hidden="1" customHeight="1">
      <c r="A889" s="138"/>
      <c r="B889" s="139"/>
      <c r="C889" s="139"/>
      <c r="D889" s="194"/>
      <c r="E889" s="141"/>
      <c r="F889" s="142"/>
      <c r="G889" s="141"/>
      <c r="H889" s="142"/>
      <c r="I889" s="194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hidden="1" customHeight="1">
      <c r="A890" s="138"/>
      <c r="B890" s="139"/>
      <c r="C890" s="139"/>
      <c r="D890" s="194"/>
      <c r="E890" s="141"/>
      <c r="F890" s="142"/>
      <c r="G890" s="141"/>
      <c r="H890" s="142"/>
      <c r="I890" s="194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hidden="1" customHeight="1">
      <c r="A891" s="138"/>
      <c r="B891" s="139"/>
      <c r="C891" s="139"/>
      <c r="D891" s="194"/>
      <c r="E891" s="141"/>
      <c r="F891" s="142"/>
      <c r="G891" s="141"/>
      <c r="H891" s="142"/>
      <c r="I891" s="194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hidden="1" customHeight="1">
      <c r="A892" s="138"/>
      <c r="B892" s="139"/>
      <c r="C892" s="139"/>
      <c r="D892" s="194"/>
      <c r="E892" s="141"/>
      <c r="F892" s="142"/>
      <c r="G892" s="141"/>
      <c r="H892" s="142"/>
      <c r="I892" s="194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hidden="1" customHeight="1">
      <c r="A893" s="138"/>
      <c r="B893" s="139"/>
      <c r="C893" s="139"/>
      <c r="D893" s="194"/>
      <c r="E893" s="141"/>
      <c r="F893" s="142"/>
      <c r="G893" s="141"/>
      <c r="H893" s="142"/>
      <c r="I893" s="194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hidden="1" customHeight="1">
      <c r="A894" s="138"/>
      <c r="B894" s="139"/>
      <c r="C894" s="139"/>
      <c r="D894" s="194"/>
      <c r="E894" s="141"/>
      <c r="F894" s="142"/>
      <c r="G894" s="141"/>
      <c r="H894" s="142"/>
      <c r="I894" s="194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hidden="1" customHeight="1">
      <c r="A895" s="138"/>
      <c r="B895" s="139"/>
      <c r="C895" s="139"/>
      <c r="D895" s="194"/>
      <c r="E895" s="141"/>
      <c r="F895" s="142"/>
      <c r="G895" s="141"/>
      <c r="H895" s="142"/>
      <c r="I895" s="194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hidden="1" customHeight="1">
      <c r="A896" s="138"/>
      <c r="B896" s="139"/>
      <c r="C896" s="139"/>
      <c r="D896" s="194"/>
      <c r="E896" s="141"/>
      <c r="F896" s="142"/>
      <c r="G896" s="141"/>
      <c r="H896" s="142"/>
      <c r="I896" s="194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hidden="1" customHeight="1">
      <c r="A897" s="138"/>
      <c r="B897" s="139"/>
      <c r="C897" s="139"/>
      <c r="D897" s="194"/>
      <c r="E897" s="141"/>
      <c r="F897" s="142"/>
      <c r="G897" s="141"/>
      <c r="H897" s="142"/>
      <c r="I897" s="194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hidden="1" customHeight="1">
      <c r="A898" s="138"/>
      <c r="B898" s="139"/>
      <c r="C898" s="139"/>
      <c r="D898" s="194"/>
      <c r="E898" s="141"/>
      <c r="F898" s="142"/>
      <c r="G898" s="141"/>
      <c r="H898" s="142"/>
      <c r="I898" s="194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hidden="1" customHeight="1">
      <c r="A899" s="138"/>
      <c r="B899" s="139"/>
      <c r="C899" s="139"/>
      <c r="D899" s="194"/>
      <c r="E899" s="141"/>
      <c r="F899" s="142"/>
      <c r="G899" s="141"/>
      <c r="H899" s="142"/>
      <c r="I899" s="194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hidden="1" customHeight="1">
      <c r="A900" s="138"/>
      <c r="B900" s="139"/>
      <c r="C900" s="139"/>
      <c r="D900" s="194"/>
      <c r="E900" s="141"/>
      <c r="F900" s="142"/>
      <c r="G900" s="141"/>
      <c r="H900" s="142"/>
      <c r="I900" s="194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hidden="1" customHeight="1">
      <c r="A901" s="138"/>
      <c r="B901" s="139"/>
      <c r="C901" s="139"/>
      <c r="D901" s="194"/>
      <c r="E901" s="141"/>
      <c r="F901" s="142"/>
      <c r="G901" s="141"/>
      <c r="H901" s="142"/>
      <c r="I901" s="194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hidden="1" customHeight="1">
      <c r="A902" s="138"/>
      <c r="B902" s="139"/>
      <c r="C902" s="139"/>
      <c r="D902" s="194"/>
      <c r="E902" s="141"/>
      <c r="F902" s="142"/>
      <c r="G902" s="141"/>
      <c r="H902" s="142"/>
      <c r="I902" s="194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hidden="1" customHeight="1">
      <c r="A903" s="138"/>
      <c r="B903" s="139"/>
      <c r="C903" s="139"/>
      <c r="D903" s="194"/>
      <c r="E903" s="141"/>
      <c r="F903" s="142"/>
      <c r="G903" s="141"/>
      <c r="H903" s="142"/>
      <c r="I903" s="194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hidden="1" customHeight="1">
      <c r="A904" s="138"/>
      <c r="B904" s="139"/>
      <c r="C904" s="139"/>
      <c r="D904" s="194"/>
      <c r="E904" s="141"/>
      <c r="F904" s="142"/>
      <c r="G904" s="141"/>
      <c r="H904" s="142"/>
      <c r="I904" s="194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hidden="1" customHeight="1">
      <c r="A905" s="138"/>
      <c r="B905" s="139"/>
      <c r="C905" s="139"/>
      <c r="D905" s="194"/>
      <c r="E905" s="141"/>
      <c r="F905" s="142"/>
      <c r="G905" s="141"/>
      <c r="H905" s="142"/>
      <c r="I905" s="194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hidden="1" customHeight="1">
      <c r="A906" s="138"/>
      <c r="B906" s="139"/>
      <c r="C906" s="139"/>
      <c r="D906" s="194"/>
      <c r="E906" s="141"/>
      <c r="F906" s="142"/>
      <c r="G906" s="141"/>
      <c r="H906" s="142"/>
      <c r="I906" s="194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hidden="1" customHeight="1">
      <c r="A907" s="138"/>
      <c r="B907" s="139"/>
      <c r="C907" s="139"/>
      <c r="D907" s="194"/>
      <c r="E907" s="141"/>
      <c r="F907" s="142"/>
      <c r="G907" s="141"/>
      <c r="H907" s="142"/>
      <c r="I907" s="194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hidden="1" customHeight="1">
      <c r="A908" s="138"/>
      <c r="B908" s="139"/>
      <c r="C908" s="139"/>
      <c r="D908" s="194"/>
      <c r="E908" s="141"/>
      <c r="F908" s="142"/>
      <c r="G908" s="141"/>
      <c r="H908" s="142"/>
      <c r="I908" s="194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hidden="1" customHeight="1">
      <c r="A909" s="138"/>
      <c r="B909" s="139"/>
      <c r="C909" s="139"/>
      <c r="D909" s="194"/>
      <c r="E909" s="141"/>
      <c r="F909" s="142"/>
      <c r="G909" s="141"/>
      <c r="H909" s="142"/>
      <c r="I909" s="194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hidden="1" customHeight="1">
      <c r="A910" s="138"/>
      <c r="B910" s="139"/>
      <c r="C910" s="139"/>
      <c r="D910" s="194"/>
      <c r="E910" s="141"/>
      <c r="F910" s="142"/>
      <c r="G910" s="141"/>
      <c r="H910" s="142"/>
      <c r="I910" s="194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hidden="1" customHeight="1">
      <c r="A911" s="138"/>
      <c r="B911" s="139"/>
      <c r="C911" s="139"/>
      <c r="D911" s="194"/>
      <c r="E911" s="141"/>
      <c r="F911" s="142"/>
      <c r="G911" s="141"/>
      <c r="H911" s="142"/>
      <c r="I911" s="194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hidden="1" customHeight="1">
      <c r="A912" s="138"/>
      <c r="B912" s="139"/>
      <c r="C912" s="139"/>
      <c r="D912" s="194"/>
      <c r="E912" s="141"/>
      <c r="F912" s="142"/>
      <c r="G912" s="141"/>
      <c r="H912" s="142"/>
      <c r="I912" s="194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hidden="1" customHeight="1">
      <c r="A913" s="138"/>
      <c r="B913" s="139"/>
      <c r="C913" s="139"/>
      <c r="D913" s="194"/>
      <c r="E913" s="141"/>
      <c r="F913" s="142"/>
      <c r="G913" s="141"/>
      <c r="H913" s="142"/>
      <c r="I913" s="194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hidden="1" customHeight="1">
      <c r="A914" s="138"/>
      <c r="B914" s="139"/>
      <c r="C914" s="139"/>
      <c r="D914" s="194"/>
      <c r="E914" s="141"/>
      <c r="F914" s="142"/>
      <c r="G914" s="141"/>
      <c r="H914" s="142"/>
      <c r="I914" s="194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hidden="1" customHeight="1">
      <c r="A915" s="138"/>
      <c r="B915" s="139"/>
      <c r="C915" s="139"/>
      <c r="D915" s="194"/>
      <c r="E915" s="141"/>
      <c r="F915" s="142"/>
      <c r="G915" s="141"/>
      <c r="H915" s="142"/>
      <c r="I915" s="194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hidden="1" customHeight="1">
      <c r="A916" s="138"/>
      <c r="B916" s="139"/>
      <c r="C916" s="139"/>
      <c r="D916" s="194"/>
      <c r="E916" s="141"/>
      <c r="F916" s="142"/>
      <c r="G916" s="141"/>
      <c r="H916" s="142"/>
      <c r="I916" s="194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hidden="1" customHeight="1">
      <c r="A917" s="138"/>
      <c r="B917" s="139"/>
      <c r="C917" s="139"/>
      <c r="D917" s="194"/>
      <c r="E917" s="141"/>
      <c r="F917" s="142"/>
      <c r="G917" s="141"/>
      <c r="H917" s="142"/>
      <c r="I917" s="194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hidden="1" customHeight="1">
      <c r="A918" s="138"/>
      <c r="B918" s="139"/>
      <c r="C918" s="139"/>
      <c r="D918" s="194"/>
      <c r="E918" s="141"/>
      <c r="F918" s="142"/>
      <c r="G918" s="141"/>
      <c r="H918" s="142"/>
      <c r="I918" s="194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hidden="1" customHeight="1">
      <c r="A919" s="138"/>
      <c r="B919" s="139"/>
      <c r="C919" s="139"/>
      <c r="D919" s="194"/>
      <c r="E919" s="141"/>
      <c r="F919" s="142"/>
      <c r="G919" s="141"/>
      <c r="H919" s="142"/>
      <c r="I919" s="194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hidden="1" customHeight="1">
      <c r="A920" s="138"/>
      <c r="B920" s="139"/>
      <c r="C920" s="139"/>
      <c r="D920" s="194"/>
      <c r="E920" s="141"/>
      <c r="F920" s="142"/>
      <c r="G920" s="141"/>
      <c r="H920" s="142"/>
      <c r="I920" s="194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hidden="1" customHeight="1">
      <c r="A921" s="138"/>
      <c r="B921" s="139"/>
      <c r="C921" s="139"/>
      <c r="D921" s="194"/>
      <c r="E921" s="141"/>
      <c r="F921" s="142"/>
      <c r="G921" s="141"/>
      <c r="H921" s="142"/>
      <c r="I921" s="194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hidden="1" customHeight="1">
      <c r="A922" s="138"/>
      <c r="B922" s="139"/>
      <c r="C922" s="139"/>
      <c r="D922" s="194"/>
      <c r="E922" s="141"/>
      <c r="F922" s="142"/>
      <c r="G922" s="141"/>
      <c r="H922" s="142"/>
      <c r="I922" s="194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hidden="1" customHeight="1">
      <c r="A923" s="138"/>
      <c r="B923" s="139"/>
      <c r="C923" s="139"/>
      <c r="D923" s="194"/>
      <c r="E923" s="141"/>
      <c r="F923" s="142"/>
      <c r="G923" s="141"/>
      <c r="H923" s="142"/>
      <c r="I923" s="194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hidden="1" customHeight="1">
      <c r="A924" s="138"/>
      <c r="B924" s="139"/>
      <c r="C924" s="139"/>
      <c r="D924" s="194"/>
      <c r="E924" s="141"/>
      <c r="F924" s="142"/>
      <c r="G924" s="141"/>
      <c r="H924" s="142"/>
      <c r="I924" s="194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hidden="1" customHeight="1">
      <c r="A925" s="138"/>
      <c r="B925" s="139"/>
      <c r="C925" s="139"/>
      <c r="D925" s="194"/>
      <c r="E925" s="141"/>
      <c r="F925" s="142"/>
      <c r="G925" s="141"/>
      <c r="H925" s="142"/>
      <c r="I925" s="194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hidden="1" customHeight="1">
      <c r="A926" s="138"/>
      <c r="B926" s="139"/>
      <c r="C926" s="139"/>
      <c r="D926" s="194"/>
      <c r="E926" s="141"/>
      <c r="F926" s="142"/>
      <c r="G926" s="141"/>
      <c r="H926" s="142"/>
      <c r="I926" s="194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hidden="1" customHeight="1">
      <c r="A927" s="138"/>
      <c r="B927" s="139"/>
      <c r="C927" s="139"/>
      <c r="D927" s="194"/>
      <c r="E927" s="141"/>
      <c r="F927" s="142"/>
      <c r="G927" s="141"/>
      <c r="H927" s="142"/>
      <c r="I927" s="194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hidden="1" customHeight="1">
      <c r="A928" s="138"/>
      <c r="B928" s="139"/>
      <c r="C928" s="139"/>
      <c r="D928" s="194"/>
      <c r="E928" s="141"/>
      <c r="F928" s="142"/>
      <c r="G928" s="141"/>
      <c r="H928" s="142"/>
      <c r="I928" s="194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hidden="1" customHeight="1">
      <c r="A929" s="138"/>
      <c r="B929" s="139"/>
      <c r="C929" s="139"/>
      <c r="D929" s="194"/>
      <c r="E929" s="141"/>
      <c r="F929" s="142"/>
      <c r="G929" s="141"/>
      <c r="H929" s="142"/>
      <c r="I929" s="194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hidden="1" customHeight="1">
      <c r="A930" s="138"/>
      <c r="B930" s="139"/>
      <c r="C930" s="139"/>
      <c r="D930" s="194"/>
      <c r="E930" s="141"/>
      <c r="F930" s="142"/>
      <c r="G930" s="141"/>
      <c r="H930" s="142"/>
      <c r="I930" s="194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hidden="1" customHeight="1">
      <c r="A931" s="138"/>
      <c r="B931" s="139"/>
      <c r="C931" s="139"/>
      <c r="D931" s="194"/>
      <c r="E931" s="141"/>
      <c r="F931" s="142"/>
      <c r="G931" s="141"/>
      <c r="H931" s="142"/>
      <c r="I931" s="194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hidden="1" customHeight="1">
      <c r="A932" s="138"/>
      <c r="B932" s="139"/>
      <c r="C932" s="139"/>
      <c r="D932" s="194"/>
      <c r="E932" s="141"/>
      <c r="F932" s="142"/>
      <c r="G932" s="141"/>
      <c r="H932" s="142"/>
      <c r="I932" s="194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hidden="1" customHeight="1">
      <c r="A933" s="138"/>
      <c r="B933" s="139"/>
      <c r="C933" s="139"/>
      <c r="D933" s="194"/>
      <c r="E933" s="141"/>
      <c r="F933" s="142"/>
      <c r="G933" s="141"/>
      <c r="H933" s="142"/>
      <c r="I933" s="194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hidden="1" customHeight="1">
      <c r="A934" s="138"/>
      <c r="B934" s="139"/>
      <c r="C934" s="139"/>
      <c r="D934" s="194"/>
      <c r="E934" s="141"/>
      <c r="F934" s="142"/>
      <c r="G934" s="141"/>
      <c r="H934" s="142"/>
      <c r="I934" s="194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hidden="1" customHeight="1">
      <c r="A935" s="138"/>
      <c r="B935" s="139"/>
      <c r="C935" s="139"/>
      <c r="D935" s="194"/>
      <c r="E935" s="141"/>
      <c r="F935" s="142"/>
      <c r="G935" s="141"/>
      <c r="H935" s="142"/>
      <c r="I935" s="194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hidden="1" customHeight="1">
      <c r="A936" s="138"/>
      <c r="B936" s="139"/>
      <c r="C936" s="139"/>
      <c r="D936" s="194"/>
      <c r="E936" s="141"/>
      <c r="F936" s="142"/>
      <c r="G936" s="141"/>
      <c r="H936" s="142"/>
      <c r="I936" s="194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hidden="1" customHeight="1">
      <c r="A937" s="138"/>
      <c r="B937" s="139"/>
      <c r="C937" s="139"/>
      <c r="D937" s="194"/>
      <c r="E937" s="141"/>
      <c r="F937" s="142"/>
      <c r="G937" s="141"/>
      <c r="H937" s="142"/>
      <c r="I937" s="194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hidden="1" customHeight="1">
      <c r="A938" s="138"/>
      <c r="B938" s="139"/>
      <c r="C938" s="139"/>
      <c r="D938" s="194"/>
      <c r="E938" s="141"/>
      <c r="F938" s="142"/>
      <c r="G938" s="141"/>
      <c r="H938" s="142"/>
      <c r="I938" s="194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hidden="1" customHeight="1">
      <c r="A939" s="138"/>
      <c r="B939" s="139"/>
      <c r="C939" s="139"/>
      <c r="D939" s="194"/>
      <c r="E939" s="141"/>
      <c r="F939" s="142"/>
      <c r="G939" s="141"/>
      <c r="H939" s="142"/>
      <c r="I939" s="194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hidden="1" customHeight="1">
      <c r="A940" s="138"/>
      <c r="B940" s="139"/>
      <c r="C940" s="139"/>
      <c r="D940" s="194"/>
      <c r="E940" s="141"/>
      <c r="F940" s="142"/>
      <c r="G940" s="141"/>
      <c r="H940" s="142"/>
      <c r="I940" s="194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hidden="1" customHeight="1">
      <c r="A941" s="138"/>
      <c r="B941" s="139"/>
      <c r="C941" s="139"/>
      <c r="D941" s="194"/>
      <c r="E941" s="141"/>
      <c r="F941" s="142"/>
      <c r="G941" s="141"/>
      <c r="H941" s="142"/>
      <c r="I941" s="194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hidden="1" customHeight="1">
      <c r="A942" s="138"/>
      <c r="B942" s="139"/>
      <c r="C942" s="139"/>
      <c r="D942" s="194"/>
      <c r="E942" s="141"/>
      <c r="F942" s="142"/>
      <c r="G942" s="141"/>
      <c r="H942" s="142"/>
      <c r="I942" s="194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hidden="1" customHeight="1">
      <c r="A943" s="138"/>
      <c r="B943" s="139"/>
      <c r="C943" s="139"/>
      <c r="D943" s="194"/>
      <c r="E943" s="141"/>
      <c r="F943" s="142"/>
      <c r="G943" s="141"/>
      <c r="H943" s="142"/>
      <c r="I943" s="194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hidden="1" customHeight="1">
      <c r="A944" s="138"/>
      <c r="B944" s="139"/>
      <c r="C944" s="139"/>
      <c r="D944" s="194"/>
      <c r="E944" s="141"/>
      <c r="F944" s="142"/>
      <c r="G944" s="141"/>
      <c r="H944" s="142"/>
      <c r="I944" s="194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hidden="1" customHeight="1">
      <c r="A945" s="138"/>
      <c r="B945" s="139"/>
      <c r="C945" s="139"/>
      <c r="D945" s="194"/>
      <c r="E945" s="141"/>
      <c r="F945" s="142"/>
      <c r="G945" s="141"/>
      <c r="H945" s="142"/>
      <c r="I945" s="194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hidden="1" customHeight="1">
      <c r="A946" s="138"/>
      <c r="B946" s="139"/>
      <c r="C946" s="139"/>
      <c r="D946" s="194"/>
      <c r="E946" s="141"/>
      <c r="F946" s="142"/>
      <c r="G946" s="141"/>
      <c r="H946" s="142"/>
      <c r="I946" s="194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hidden="1" customHeight="1">
      <c r="A947" s="138"/>
      <c r="B947" s="139"/>
      <c r="C947" s="139"/>
      <c r="D947" s="194"/>
      <c r="E947" s="141"/>
      <c r="F947" s="142"/>
      <c r="G947" s="141"/>
      <c r="H947" s="142"/>
      <c r="I947" s="194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hidden="1" customHeight="1">
      <c r="A948" s="138"/>
      <c r="B948" s="139"/>
      <c r="C948" s="139"/>
      <c r="D948" s="194"/>
      <c r="E948" s="141"/>
      <c r="F948" s="142"/>
      <c r="G948" s="141"/>
      <c r="H948" s="142"/>
      <c r="I948" s="194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hidden="1" customHeight="1">
      <c r="A949" s="138"/>
      <c r="B949" s="139"/>
      <c r="C949" s="139"/>
      <c r="D949" s="194"/>
      <c r="E949" s="141"/>
      <c r="F949" s="142"/>
      <c r="G949" s="141"/>
      <c r="H949" s="142"/>
      <c r="I949" s="194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hidden="1" customHeight="1">
      <c r="A950" s="138"/>
      <c r="B950" s="139"/>
      <c r="C950" s="139"/>
      <c r="D950" s="194"/>
      <c r="E950" s="141"/>
      <c r="F950" s="142"/>
      <c r="G950" s="141"/>
      <c r="H950" s="142"/>
      <c r="I950" s="194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hidden="1" customHeight="1">
      <c r="A951" s="138"/>
      <c r="B951" s="139"/>
      <c r="C951" s="139"/>
      <c r="D951" s="194"/>
      <c r="E951" s="141"/>
      <c r="F951" s="142"/>
      <c r="G951" s="141"/>
      <c r="H951" s="142"/>
      <c r="I951" s="194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hidden="1" customHeight="1">
      <c r="A952" s="138"/>
      <c r="B952" s="139"/>
      <c r="C952" s="139"/>
      <c r="D952" s="194"/>
      <c r="E952" s="141"/>
      <c r="F952" s="142"/>
      <c r="G952" s="141"/>
      <c r="H952" s="142"/>
      <c r="I952" s="194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hidden="1" customHeight="1">
      <c r="A953" s="138"/>
      <c r="B953" s="139"/>
      <c r="C953" s="139"/>
      <c r="D953" s="194"/>
      <c r="E953" s="141"/>
      <c r="F953" s="142"/>
      <c r="G953" s="141"/>
      <c r="H953" s="142"/>
      <c r="I953" s="194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hidden="1" customHeight="1">
      <c r="A954" s="138"/>
      <c r="B954" s="139"/>
      <c r="C954" s="139"/>
      <c r="D954" s="194"/>
      <c r="E954" s="141"/>
      <c r="F954" s="142"/>
      <c r="G954" s="141"/>
      <c r="H954" s="142"/>
      <c r="I954" s="194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hidden="1" customHeight="1">
      <c r="A955" s="138"/>
      <c r="B955" s="139"/>
      <c r="C955" s="139"/>
      <c r="D955" s="194"/>
      <c r="E955" s="141"/>
      <c r="F955" s="142"/>
      <c r="G955" s="141"/>
      <c r="H955" s="142"/>
      <c r="I955" s="194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hidden="1" customHeight="1">
      <c r="A956" s="138"/>
      <c r="B956" s="139"/>
      <c r="C956" s="139"/>
      <c r="D956" s="194"/>
      <c r="E956" s="141"/>
      <c r="F956" s="142"/>
      <c r="G956" s="141"/>
      <c r="H956" s="142"/>
      <c r="I956" s="194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hidden="1" customHeight="1">
      <c r="A957" s="138"/>
      <c r="B957" s="139"/>
      <c r="C957" s="139"/>
      <c r="D957" s="194"/>
      <c r="E957" s="141"/>
      <c r="F957" s="142"/>
      <c r="G957" s="141"/>
      <c r="H957" s="142"/>
      <c r="I957" s="194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hidden="1" customHeight="1">
      <c r="A958" s="138"/>
      <c r="B958" s="139"/>
      <c r="C958" s="139"/>
      <c r="D958" s="194"/>
      <c r="E958" s="141"/>
      <c r="F958" s="142"/>
      <c r="G958" s="141"/>
      <c r="H958" s="142"/>
      <c r="I958" s="194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hidden="1" customHeight="1">
      <c r="A959" s="138"/>
      <c r="B959" s="139"/>
      <c r="C959" s="139"/>
      <c r="D959" s="194"/>
      <c r="E959" s="141"/>
      <c r="F959" s="142"/>
      <c r="G959" s="141"/>
      <c r="H959" s="142"/>
      <c r="I959" s="194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hidden="1" customHeight="1">
      <c r="A960" s="138"/>
      <c r="B960" s="139"/>
      <c r="C960" s="139"/>
      <c r="D960" s="194"/>
      <c r="E960" s="141"/>
      <c r="F960" s="142"/>
      <c r="G960" s="141"/>
      <c r="H960" s="142"/>
      <c r="I960" s="194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hidden="1" customHeight="1">
      <c r="A961" s="138"/>
      <c r="B961" s="139"/>
      <c r="C961" s="139"/>
      <c r="D961" s="194"/>
      <c r="E961" s="141"/>
      <c r="F961" s="142"/>
      <c r="G961" s="141"/>
      <c r="H961" s="142"/>
      <c r="I961" s="194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hidden="1" customHeight="1">
      <c r="A962" s="138"/>
      <c r="B962" s="139"/>
      <c r="C962" s="139"/>
      <c r="D962" s="194"/>
      <c r="E962" s="141"/>
      <c r="F962" s="142"/>
      <c r="G962" s="141"/>
      <c r="H962" s="142"/>
      <c r="I962" s="194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hidden="1" customHeight="1">
      <c r="A963" s="138"/>
      <c r="B963" s="139"/>
      <c r="C963" s="139"/>
      <c r="D963" s="194"/>
      <c r="E963" s="141"/>
      <c r="F963" s="142"/>
      <c r="G963" s="141"/>
      <c r="H963" s="142"/>
      <c r="I963" s="194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hidden="1" customHeight="1">
      <c r="A964" s="138"/>
      <c r="B964" s="139"/>
      <c r="C964" s="139"/>
      <c r="D964" s="194"/>
      <c r="E964" s="141"/>
      <c r="F964" s="142"/>
      <c r="G964" s="141"/>
      <c r="H964" s="142"/>
      <c r="I964" s="194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hidden="1" customHeight="1">
      <c r="A965" s="138"/>
      <c r="B965" s="139"/>
      <c r="C965" s="139"/>
      <c r="D965" s="194"/>
      <c r="E965" s="141"/>
      <c r="F965" s="142"/>
      <c r="G965" s="141"/>
      <c r="H965" s="142"/>
      <c r="I965" s="194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hidden="1" customHeight="1">
      <c r="A966" s="138"/>
      <c r="B966" s="139"/>
      <c r="C966" s="139"/>
      <c r="D966" s="194"/>
      <c r="E966" s="141"/>
      <c r="F966" s="142"/>
      <c r="G966" s="141"/>
      <c r="H966" s="142"/>
      <c r="I966" s="194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hidden="1" customHeight="1">
      <c r="A967" s="138"/>
      <c r="B967" s="139"/>
      <c r="C967" s="139"/>
      <c r="D967" s="194"/>
      <c r="E967" s="141"/>
      <c r="F967" s="142"/>
      <c r="G967" s="141"/>
      <c r="H967" s="142"/>
      <c r="I967" s="194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hidden="1" customHeight="1">
      <c r="A968" s="138"/>
      <c r="B968" s="139"/>
      <c r="C968" s="139"/>
      <c r="D968" s="194"/>
      <c r="E968" s="141"/>
      <c r="F968" s="142"/>
      <c r="G968" s="141"/>
      <c r="H968" s="142"/>
      <c r="I968" s="194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hidden="1" customHeight="1">
      <c r="A969" s="138"/>
      <c r="B969" s="139"/>
      <c r="C969" s="139"/>
      <c r="D969" s="194"/>
      <c r="E969" s="141"/>
      <c r="F969" s="142"/>
      <c r="G969" s="141"/>
      <c r="H969" s="142"/>
      <c r="I969" s="194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hidden="1" customHeight="1">
      <c r="A970" s="138"/>
      <c r="B970" s="139"/>
      <c r="C970" s="139"/>
      <c r="D970" s="194"/>
      <c r="E970" s="141"/>
      <c r="F970" s="142"/>
      <c r="G970" s="141"/>
      <c r="H970" s="142"/>
      <c r="I970" s="194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hidden="1" customHeight="1">
      <c r="A971" s="138"/>
      <c r="B971" s="139"/>
      <c r="C971" s="139"/>
      <c r="D971" s="194"/>
      <c r="E971" s="141"/>
      <c r="F971" s="142"/>
      <c r="G971" s="141"/>
      <c r="H971" s="142"/>
      <c r="I971" s="194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hidden="1" customHeight="1">
      <c r="A972" s="138"/>
      <c r="B972" s="139"/>
      <c r="C972" s="139"/>
      <c r="D972" s="194"/>
      <c r="E972" s="141"/>
      <c r="F972" s="142"/>
      <c r="G972" s="141"/>
      <c r="H972" s="142"/>
      <c r="I972" s="194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hidden="1" customHeight="1">
      <c r="A973" s="138"/>
      <c r="B973" s="139"/>
      <c r="C973" s="139"/>
      <c r="D973" s="194"/>
      <c r="E973" s="141"/>
      <c r="F973" s="142"/>
      <c r="G973" s="141"/>
      <c r="H973" s="142"/>
      <c r="I973" s="194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hidden="1" customHeight="1">
      <c r="A974" s="138"/>
      <c r="B974" s="139"/>
      <c r="C974" s="139"/>
      <c r="D974" s="194"/>
      <c r="E974" s="141"/>
      <c r="F974" s="142"/>
      <c r="G974" s="141"/>
      <c r="H974" s="142"/>
      <c r="I974" s="194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hidden="1" customHeight="1">
      <c r="A975" s="138"/>
      <c r="B975" s="139"/>
      <c r="C975" s="139"/>
      <c r="D975" s="194"/>
      <c r="E975" s="141"/>
      <c r="F975" s="142"/>
      <c r="G975" s="141"/>
      <c r="H975" s="142"/>
      <c r="I975" s="194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hidden="1" customHeight="1">
      <c r="A976" s="138"/>
      <c r="B976" s="139"/>
      <c r="C976" s="139"/>
      <c r="D976" s="194"/>
      <c r="E976" s="141"/>
      <c r="F976" s="142"/>
      <c r="G976" s="141"/>
      <c r="H976" s="142"/>
      <c r="I976" s="194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hidden="1" customHeight="1">
      <c r="A977" s="138"/>
      <c r="B977" s="139"/>
      <c r="C977" s="139"/>
      <c r="D977" s="194"/>
      <c r="E977" s="141"/>
      <c r="F977" s="142"/>
      <c r="G977" s="141"/>
      <c r="H977" s="142"/>
      <c r="I977" s="194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hidden="1" customHeight="1">
      <c r="A978" s="138"/>
      <c r="B978" s="139"/>
      <c r="C978" s="139"/>
      <c r="D978" s="194"/>
      <c r="E978" s="141"/>
      <c r="F978" s="142"/>
      <c r="G978" s="141"/>
      <c r="H978" s="142"/>
      <c r="I978" s="194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hidden="1" customHeight="1">
      <c r="A979" s="138"/>
      <c r="B979" s="139"/>
      <c r="C979" s="139"/>
      <c r="D979" s="194"/>
      <c r="E979" s="141"/>
      <c r="F979" s="142"/>
      <c r="G979" s="141"/>
      <c r="H979" s="142"/>
      <c r="I979" s="194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hidden="1" customHeight="1">
      <c r="A980" s="138"/>
      <c r="B980" s="139"/>
      <c r="C980" s="139"/>
      <c r="D980" s="194"/>
      <c r="E980" s="141"/>
      <c r="F980" s="142"/>
      <c r="G980" s="141"/>
      <c r="H980" s="142"/>
      <c r="I980" s="194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hidden="1" customHeight="1">
      <c r="A981" s="138"/>
      <c r="B981" s="139"/>
      <c r="C981" s="139"/>
      <c r="D981" s="194"/>
      <c r="E981" s="141"/>
      <c r="F981" s="142"/>
      <c r="G981" s="141"/>
      <c r="H981" s="142"/>
      <c r="I981" s="194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hidden="1" customHeight="1">
      <c r="A982" s="138"/>
      <c r="B982" s="139"/>
      <c r="C982" s="139"/>
      <c r="D982" s="194"/>
      <c r="E982" s="141"/>
      <c r="F982" s="142"/>
      <c r="G982" s="141"/>
      <c r="H982" s="142"/>
      <c r="I982" s="194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hidden="1" customHeight="1">
      <c r="A983" s="138"/>
      <c r="B983" s="139"/>
      <c r="C983" s="139"/>
      <c r="D983" s="194"/>
      <c r="E983" s="141"/>
      <c r="F983" s="142"/>
      <c r="G983" s="141"/>
      <c r="H983" s="142"/>
      <c r="I983" s="194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hidden="1" customHeight="1">
      <c r="A984" s="138"/>
      <c r="B984" s="139"/>
      <c r="C984" s="139"/>
      <c r="D984" s="194"/>
      <c r="E984" s="141"/>
      <c r="F984" s="142"/>
      <c r="G984" s="141"/>
      <c r="H984" s="142"/>
      <c r="I984" s="194"/>
      <c r="J984" s="141"/>
      <c r="K984" s="141"/>
      <c r="L984" s="141"/>
      <c r="M984" s="143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hidden="1" customHeight="1">
      <c r="A985" s="138"/>
      <c r="B985" s="139"/>
      <c r="C985" s="139"/>
      <c r="D985" s="194"/>
      <c r="E985" s="141"/>
      <c r="F985" s="142"/>
      <c r="G985" s="141"/>
      <c r="H985" s="142"/>
      <c r="I985" s="194"/>
      <c r="J985" s="141"/>
      <c r="K985" s="141"/>
      <c r="L985" s="141"/>
      <c r="M985" s="143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hidden="1" customHeight="1">
      <c r="A986" s="138"/>
      <c r="B986" s="139"/>
      <c r="C986" s="139"/>
      <c r="D986" s="194"/>
      <c r="E986" s="141"/>
      <c r="F986" s="142"/>
      <c r="G986" s="141"/>
      <c r="H986" s="142"/>
      <c r="I986" s="194"/>
      <c r="J986" s="141"/>
      <c r="K986" s="141"/>
      <c r="L986" s="141"/>
      <c r="M986" s="143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hidden="1" customHeight="1">
      <c r="A987" s="138"/>
      <c r="B987" s="139"/>
      <c r="C987" s="139"/>
      <c r="D987" s="194"/>
      <c r="E987" s="141"/>
      <c r="F987" s="142"/>
      <c r="G987" s="141"/>
      <c r="H987" s="142"/>
      <c r="I987" s="194"/>
      <c r="J987" s="141"/>
      <c r="K987" s="141"/>
      <c r="L987" s="141"/>
      <c r="M987" s="143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hidden="1" customHeight="1">
      <c r="A988" s="138"/>
      <c r="B988" s="139"/>
      <c r="C988" s="139"/>
      <c r="D988" s="194"/>
      <c r="E988" s="141"/>
      <c r="F988" s="142"/>
      <c r="G988" s="141"/>
      <c r="H988" s="142"/>
      <c r="I988" s="194"/>
      <c r="J988" s="141"/>
      <c r="K988" s="141"/>
      <c r="L988" s="141"/>
      <c r="M988" s="143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hidden="1" customHeight="1">
      <c r="A989" s="138"/>
      <c r="B989" s="139"/>
      <c r="C989" s="139"/>
      <c r="D989" s="194"/>
      <c r="E989" s="141"/>
      <c r="F989" s="142"/>
      <c r="G989" s="141"/>
      <c r="H989" s="142"/>
      <c r="I989" s="194"/>
      <c r="J989" s="141"/>
      <c r="K989" s="141"/>
      <c r="L989" s="141"/>
      <c r="M989" s="143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hidden="1" customHeight="1">
      <c r="A990" s="138"/>
      <c r="B990" s="139"/>
      <c r="C990" s="139"/>
      <c r="D990" s="194"/>
      <c r="E990" s="141"/>
      <c r="F990" s="142"/>
      <c r="G990" s="141"/>
      <c r="H990" s="142"/>
      <c r="I990" s="194"/>
      <c r="J990" s="141"/>
      <c r="K990" s="141"/>
      <c r="L990" s="141"/>
      <c r="M990" s="143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hidden="1" customHeight="1">
      <c r="A991" s="138"/>
      <c r="B991" s="139"/>
      <c r="C991" s="139"/>
      <c r="D991" s="194"/>
      <c r="E991" s="141"/>
      <c r="F991" s="142"/>
      <c r="G991" s="141"/>
      <c r="H991" s="142"/>
      <c r="I991" s="194"/>
      <c r="J991" s="141"/>
      <c r="K991" s="141"/>
      <c r="L991" s="141"/>
      <c r="M991" s="143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hidden="1" customHeight="1">
      <c r="A992" s="138"/>
      <c r="B992" s="139"/>
      <c r="C992" s="139"/>
      <c r="D992" s="194"/>
      <c r="E992" s="141"/>
      <c r="F992" s="142"/>
      <c r="G992" s="141"/>
      <c r="H992" s="142"/>
      <c r="I992" s="194"/>
      <c r="J992" s="141"/>
      <c r="K992" s="141"/>
      <c r="L992" s="141"/>
      <c r="M992" s="143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hidden="1" customHeight="1">
      <c r="A993" s="138"/>
      <c r="B993" s="139"/>
      <c r="C993" s="139"/>
      <c r="D993" s="194"/>
      <c r="E993" s="141"/>
      <c r="F993" s="142"/>
      <c r="G993" s="141"/>
      <c r="H993" s="142"/>
      <c r="I993" s="194"/>
      <c r="J993" s="141"/>
      <c r="K993" s="141"/>
      <c r="L993" s="141"/>
      <c r="M993" s="143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hidden="1" customHeight="1">
      <c r="A994" s="138"/>
      <c r="B994" s="139"/>
      <c r="C994" s="139"/>
      <c r="D994" s="194"/>
      <c r="E994" s="141"/>
      <c r="F994" s="142"/>
      <c r="G994" s="141"/>
      <c r="H994" s="142"/>
      <c r="I994" s="194"/>
      <c r="J994" s="141"/>
      <c r="K994" s="141"/>
      <c r="L994" s="141"/>
      <c r="M994" s="143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hidden="1" customHeight="1">
      <c r="A995" s="138"/>
      <c r="B995" s="139"/>
      <c r="C995" s="139"/>
      <c r="D995" s="194"/>
      <c r="E995" s="141"/>
      <c r="F995" s="142"/>
      <c r="G995" s="141"/>
      <c r="H995" s="142"/>
      <c r="I995" s="194"/>
      <c r="J995" s="141"/>
      <c r="K995" s="141"/>
      <c r="L995" s="141"/>
      <c r="M995" s="143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hidden="1" customHeight="1">
      <c r="A996" s="138"/>
      <c r="B996" s="139"/>
      <c r="C996" s="139"/>
      <c r="D996" s="194"/>
      <c r="E996" s="141"/>
      <c r="F996" s="142"/>
      <c r="G996" s="141"/>
      <c r="H996" s="142"/>
      <c r="I996" s="194"/>
      <c r="J996" s="141"/>
      <c r="K996" s="141"/>
      <c r="L996" s="141"/>
      <c r="M996" s="143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hidden="1" customHeight="1">
      <c r="A997" s="138"/>
      <c r="B997" s="139"/>
      <c r="C997" s="139"/>
      <c r="D997" s="194"/>
      <c r="E997" s="141"/>
      <c r="F997" s="142"/>
      <c r="G997" s="141"/>
      <c r="H997" s="142"/>
      <c r="I997" s="194"/>
      <c r="J997" s="141"/>
      <c r="K997" s="141"/>
      <c r="L997" s="141"/>
      <c r="M997" s="143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hidden="1" customHeight="1">
      <c r="A998" s="138"/>
      <c r="B998" s="139"/>
      <c r="C998" s="139"/>
      <c r="D998" s="194"/>
      <c r="E998" s="141"/>
      <c r="F998" s="142"/>
      <c r="G998" s="141"/>
      <c r="H998" s="142"/>
      <c r="I998" s="194"/>
      <c r="J998" s="141"/>
      <c r="K998" s="141"/>
      <c r="L998" s="141"/>
      <c r="M998" s="143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hidden="1" customHeight="1">
      <c r="A999" s="138"/>
      <c r="B999" s="139"/>
      <c r="C999" s="139"/>
      <c r="D999" s="194"/>
      <c r="E999" s="141"/>
      <c r="F999" s="142"/>
      <c r="G999" s="141"/>
      <c r="H999" s="142"/>
      <c r="I999" s="194"/>
      <c r="J999" s="141"/>
      <c r="K999" s="141"/>
      <c r="L999" s="141"/>
      <c r="M999" s="143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hidden="1" customHeight="1">
      <c r="A1000" s="138"/>
      <c r="B1000" s="139"/>
      <c r="C1000" s="139"/>
      <c r="D1000" s="194"/>
      <c r="E1000" s="141"/>
      <c r="F1000" s="142"/>
      <c r="G1000" s="141"/>
      <c r="H1000" s="142"/>
      <c r="I1000" s="194"/>
      <c r="J1000" s="141"/>
      <c r="K1000" s="141"/>
      <c r="L1000" s="141"/>
      <c r="M1000" s="143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  <row r="1001" ht="12.75" hidden="1" customHeight="1">
      <c r="A1001" s="138"/>
      <c r="B1001" s="139"/>
      <c r="C1001" s="139"/>
      <c r="D1001" s="194"/>
      <c r="E1001" s="141"/>
      <c r="F1001" s="142"/>
      <c r="G1001" s="141"/>
      <c r="H1001" s="142"/>
      <c r="I1001" s="194"/>
      <c r="J1001" s="141"/>
      <c r="K1001" s="141"/>
      <c r="L1001" s="141"/>
      <c r="M1001" s="143"/>
      <c r="N1001" s="135"/>
      <c r="O1001" s="135"/>
      <c r="P1001" s="135"/>
      <c r="Q1001" s="135"/>
      <c r="R1001" s="135"/>
      <c r="S1001" s="135"/>
      <c r="T1001" s="135"/>
      <c r="U1001" s="135"/>
      <c r="V1001" s="135"/>
      <c r="W1001" s="135"/>
      <c r="X1001" s="135"/>
      <c r="Y1001" s="135"/>
      <c r="Z1001" s="135"/>
    </row>
  </sheetData>
  <autoFilter ref="$A$1:$M$660"/>
  <customSheetViews>
    <customSheetView guid="{79FBE3E8-7F5F-4A89-9A6A-AA8E4E519678}" filter="1" showAutoFilter="1">
      <autoFilter ref="$A$1:$M$653"/>
      <extLst>
        <ext uri="GoogleSheetsCustomDataVersion1">
          <go:sheetsCustomData xmlns:go="http://customooxmlschemas.google.com/" filterViewId="693691781"/>
        </ext>
      </extLst>
    </customSheetView>
  </customSheetViews>
  <mergeCells count="79">
    <mergeCell ref="P37:R37"/>
    <mergeCell ref="P38:R38"/>
    <mergeCell ref="P30:R30"/>
    <mergeCell ref="P31:R31"/>
    <mergeCell ref="P32:R32"/>
    <mergeCell ref="P33:R33"/>
    <mergeCell ref="P34:R34"/>
    <mergeCell ref="P35:R35"/>
    <mergeCell ref="P36:R36"/>
    <mergeCell ref="P39:R39"/>
    <mergeCell ref="P40:R40"/>
    <mergeCell ref="P41:R41"/>
    <mergeCell ref="P42:R42"/>
    <mergeCell ref="P43:R43"/>
    <mergeCell ref="P45:R45"/>
    <mergeCell ref="P44:R44"/>
    <mergeCell ref="P61:R61"/>
    <mergeCell ref="P62:R62"/>
    <mergeCell ref="P63:R63"/>
    <mergeCell ref="O67:R67"/>
    <mergeCell ref="O68:R68"/>
    <mergeCell ref="O69:R69"/>
    <mergeCell ref="O71:R71"/>
    <mergeCell ref="O72:R72"/>
    <mergeCell ref="O73:R73"/>
    <mergeCell ref="O74:R74"/>
    <mergeCell ref="O75:R75"/>
    <mergeCell ref="O76:R76"/>
    <mergeCell ref="O77:R77"/>
    <mergeCell ref="O70:R70"/>
    <mergeCell ref="P56:R56"/>
    <mergeCell ref="P57:R57"/>
    <mergeCell ref="O88:R88"/>
    <mergeCell ref="O89:R89"/>
    <mergeCell ref="O91:R92"/>
    <mergeCell ref="P93:R93"/>
    <mergeCell ref="P94:R94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54:R54"/>
    <mergeCell ref="P55:R55"/>
    <mergeCell ref="O87:R87"/>
    <mergeCell ref="O78:R78"/>
    <mergeCell ref="O79:R79"/>
    <mergeCell ref="O80:R80"/>
    <mergeCell ref="O82:T83"/>
    <mergeCell ref="O84:R84"/>
    <mergeCell ref="O85:R85"/>
    <mergeCell ref="O86:R86"/>
    <mergeCell ref="P102:R102"/>
    <mergeCell ref="P103:R103"/>
    <mergeCell ref="P96:R96"/>
    <mergeCell ref="P95:R95"/>
    <mergeCell ref="P97:R97"/>
    <mergeCell ref="P98:R98"/>
    <mergeCell ref="P99:R99"/>
    <mergeCell ref="P100:R100"/>
    <mergeCell ref="P101:R101"/>
    <mergeCell ref="P60:R60"/>
    <mergeCell ref="O65:T66"/>
    <mergeCell ref="P50:R50"/>
    <mergeCell ref="P51:R51"/>
    <mergeCell ref="O48:S49"/>
    <mergeCell ref="P59:R59"/>
    <mergeCell ref="P52:R52"/>
    <mergeCell ref="P53:R53"/>
    <mergeCell ref="P58:R58"/>
  </mergeCells>
  <conditionalFormatting sqref="I2:I37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hidden="1" min="22" max="26" width="8.71"/>
  </cols>
  <sheetData>
    <row r="1" ht="12.75" customHeight="1">
      <c r="A1" s="312" t="s">
        <v>0</v>
      </c>
      <c r="B1" s="313" t="s">
        <v>1</v>
      </c>
      <c r="C1" s="313" t="s">
        <v>2</v>
      </c>
      <c r="D1" s="314" t="s">
        <v>3</v>
      </c>
      <c r="E1" s="313" t="s">
        <v>4</v>
      </c>
      <c r="F1" s="313" t="s">
        <v>5</v>
      </c>
      <c r="G1" s="313" t="s">
        <v>6</v>
      </c>
      <c r="H1" s="313" t="s">
        <v>7</v>
      </c>
      <c r="I1" s="314" t="s">
        <v>8</v>
      </c>
      <c r="J1" s="313" t="s">
        <v>9</v>
      </c>
      <c r="K1" s="313" t="s">
        <v>10</v>
      </c>
      <c r="L1" s="313" t="s">
        <v>11</v>
      </c>
      <c r="M1" s="315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419" t="s">
        <v>851</v>
      </c>
      <c r="B2" s="420" t="s">
        <v>852</v>
      </c>
      <c r="C2" s="420">
        <v>2014.0</v>
      </c>
      <c r="D2" s="432">
        <v>41913.0</v>
      </c>
      <c r="E2" s="394" t="s">
        <v>853</v>
      </c>
      <c r="F2" s="422" t="s">
        <v>124</v>
      </c>
      <c r="G2" s="422" t="s">
        <v>17</v>
      </c>
      <c r="H2" s="394" t="s">
        <v>775</v>
      </c>
      <c r="I2" s="437">
        <v>44588.0</v>
      </c>
      <c r="J2" s="422">
        <v>1.0</v>
      </c>
      <c r="K2" s="517" t="s">
        <v>19</v>
      </c>
      <c r="L2" s="316" t="s">
        <v>258</v>
      </c>
      <c r="M2" s="316">
        <f t="shared" ref="M2:M653" si="1">I2-D2</f>
        <v>2675</v>
      </c>
      <c r="N2" s="15"/>
      <c r="O2" s="317" t="s">
        <v>854</v>
      </c>
      <c r="P2" s="318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425" t="s">
        <v>855</v>
      </c>
      <c r="B3" s="426" t="s">
        <v>856</v>
      </c>
      <c r="C3" s="426">
        <v>2015.0</v>
      </c>
      <c r="D3" s="431">
        <v>42177.0</v>
      </c>
      <c r="E3" s="428" t="s">
        <v>857</v>
      </c>
      <c r="F3" s="428" t="s">
        <v>124</v>
      </c>
      <c r="G3" s="397" t="s">
        <v>17</v>
      </c>
      <c r="H3" s="397" t="s">
        <v>50</v>
      </c>
      <c r="I3" s="435">
        <v>44588.0</v>
      </c>
      <c r="J3" s="428">
        <v>1.0</v>
      </c>
      <c r="K3" s="430" t="s">
        <v>19</v>
      </c>
      <c r="L3" s="319" t="s">
        <v>258</v>
      </c>
      <c r="M3" s="319">
        <f t="shared" si="1"/>
        <v>2411</v>
      </c>
      <c r="N3" s="15"/>
      <c r="O3" s="320" t="s">
        <v>27</v>
      </c>
      <c r="P3" s="320">
        <f>COUNTIF($G$2:$G$681,"PT")</f>
        <v>0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419" t="s">
        <v>858</v>
      </c>
      <c r="B4" s="420" t="s">
        <v>859</v>
      </c>
      <c r="C4" s="420">
        <v>2017.0</v>
      </c>
      <c r="D4" s="432">
        <v>42961.0</v>
      </c>
      <c r="E4" s="394" t="s">
        <v>860</v>
      </c>
      <c r="F4" s="422" t="s">
        <v>124</v>
      </c>
      <c r="G4" s="422" t="s">
        <v>17</v>
      </c>
      <c r="H4" s="394" t="s">
        <v>50</v>
      </c>
      <c r="I4" s="437">
        <v>44588.0</v>
      </c>
      <c r="J4" s="422">
        <v>1.0</v>
      </c>
      <c r="K4" s="424" t="s">
        <v>19</v>
      </c>
      <c r="L4" s="316" t="s">
        <v>258</v>
      </c>
      <c r="M4" s="316">
        <f t="shared" si="1"/>
        <v>1627</v>
      </c>
      <c r="N4" s="25"/>
      <c r="O4" s="321" t="s">
        <v>34</v>
      </c>
      <c r="P4" s="321">
        <f>COUNTIF($G$2:$G$681,"PTN")</f>
        <v>8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425" t="s">
        <v>861</v>
      </c>
      <c r="B5" s="426" t="s">
        <v>862</v>
      </c>
      <c r="C5" s="426">
        <v>2016.0</v>
      </c>
      <c r="D5" s="431">
        <v>42467.0</v>
      </c>
      <c r="E5" s="428" t="s">
        <v>863</v>
      </c>
      <c r="F5" s="428" t="s">
        <v>864</v>
      </c>
      <c r="G5" s="397" t="s">
        <v>17</v>
      </c>
      <c r="H5" s="397" t="s">
        <v>50</v>
      </c>
      <c r="I5" s="435">
        <v>44588.0</v>
      </c>
      <c r="J5" s="428">
        <v>1.0</v>
      </c>
      <c r="K5" s="430" t="s">
        <v>19</v>
      </c>
      <c r="L5" s="319" t="s">
        <v>258</v>
      </c>
      <c r="M5" s="319">
        <f t="shared" si="1"/>
        <v>2121</v>
      </c>
      <c r="N5" s="25"/>
      <c r="O5" s="322" t="s">
        <v>40</v>
      </c>
      <c r="P5" s="322">
        <f>COUNTIF($G$2:$G$681,"PTE")</f>
        <v>271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419" t="s">
        <v>865</v>
      </c>
      <c r="B6" s="420" t="s">
        <v>866</v>
      </c>
      <c r="C6" s="420">
        <v>2017.0</v>
      </c>
      <c r="D6" s="432">
        <v>42842.0</v>
      </c>
      <c r="E6" s="394" t="s">
        <v>867</v>
      </c>
      <c r="F6" s="422" t="s">
        <v>124</v>
      </c>
      <c r="G6" s="422" t="s">
        <v>17</v>
      </c>
      <c r="H6" s="394" t="s">
        <v>60</v>
      </c>
      <c r="I6" s="437">
        <v>44588.0</v>
      </c>
      <c r="J6" s="422">
        <v>1.0</v>
      </c>
      <c r="K6" s="424" t="s">
        <v>19</v>
      </c>
      <c r="L6" s="316" t="s">
        <v>258</v>
      </c>
      <c r="M6" s="316">
        <f t="shared" si="1"/>
        <v>1746</v>
      </c>
      <c r="N6" s="25"/>
      <c r="O6" s="321" t="s">
        <v>46</v>
      </c>
      <c r="P6" s="321">
        <f>COUNTIF($G$2:$G$681,"Pré-Mistura")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425" t="s">
        <v>868</v>
      </c>
      <c r="B7" s="426" t="s">
        <v>869</v>
      </c>
      <c r="C7" s="426">
        <v>2021.0</v>
      </c>
      <c r="D7" s="431">
        <v>44335.0</v>
      </c>
      <c r="E7" s="428" t="s">
        <v>870</v>
      </c>
      <c r="F7" s="428" t="s">
        <v>124</v>
      </c>
      <c r="G7" s="397" t="s">
        <v>17</v>
      </c>
      <c r="H7" s="397" t="s">
        <v>587</v>
      </c>
      <c r="I7" s="435">
        <v>44588.0</v>
      </c>
      <c r="J7" s="428">
        <v>1.0</v>
      </c>
      <c r="K7" s="430" t="s">
        <v>19</v>
      </c>
      <c r="L7" s="319" t="s">
        <v>258</v>
      </c>
      <c r="M7" s="319">
        <f t="shared" si="1"/>
        <v>253</v>
      </c>
      <c r="N7" s="25"/>
      <c r="O7" s="322" t="s">
        <v>553</v>
      </c>
      <c r="P7" s="322">
        <f>COUNTIF($G$2:$G$681,"PF")</f>
        <v>34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419" t="s">
        <v>871</v>
      </c>
      <c r="B8" s="420" t="s">
        <v>872</v>
      </c>
      <c r="C8" s="420">
        <v>2020.0</v>
      </c>
      <c r="D8" s="432">
        <v>43934.0</v>
      </c>
      <c r="E8" s="394" t="s">
        <v>873</v>
      </c>
      <c r="F8" s="422" t="s">
        <v>874</v>
      </c>
      <c r="G8" s="422" t="s">
        <v>17</v>
      </c>
      <c r="H8" s="394" t="s">
        <v>187</v>
      </c>
      <c r="I8" s="437">
        <v>44588.0</v>
      </c>
      <c r="J8" s="422">
        <v>1.0</v>
      </c>
      <c r="K8" s="424" t="s">
        <v>19</v>
      </c>
      <c r="L8" s="316" t="s">
        <v>256</v>
      </c>
      <c r="M8" s="316">
        <f t="shared" si="1"/>
        <v>654</v>
      </c>
      <c r="N8" s="25"/>
      <c r="O8" s="321" t="s">
        <v>547</v>
      </c>
      <c r="P8" s="321">
        <f>COUNTIF($G$2:$G$681,"PFN")</f>
        <v>35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425" t="s">
        <v>875</v>
      </c>
      <c r="B9" s="426" t="s">
        <v>876</v>
      </c>
      <c r="C9" s="426">
        <v>2017.0</v>
      </c>
      <c r="D9" s="431">
        <v>42814.0</v>
      </c>
      <c r="E9" s="428" t="s">
        <v>877</v>
      </c>
      <c r="F9" s="428" t="s">
        <v>874</v>
      </c>
      <c r="G9" s="397" t="s">
        <v>17</v>
      </c>
      <c r="H9" s="397" t="s">
        <v>56</v>
      </c>
      <c r="I9" s="435">
        <v>44588.0</v>
      </c>
      <c r="J9" s="428">
        <v>1.0</v>
      </c>
      <c r="K9" s="430" t="s">
        <v>19</v>
      </c>
      <c r="L9" s="319" t="s">
        <v>256</v>
      </c>
      <c r="M9" s="319">
        <f t="shared" si="1"/>
        <v>1774</v>
      </c>
      <c r="N9" s="25"/>
      <c r="O9" s="322" t="s">
        <v>560</v>
      </c>
      <c r="P9" s="322">
        <f>COUNTIF($G$2:$G$681,"PF/PTE")</f>
        <v>168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419" t="s">
        <v>878</v>
      </c>
      <c r="B10" s="420" t="s">
        <v>879</v>
      </c>
      <c r="C10" s="420">
        <v>2016.0</v>
      </c>
      <c r="D10" s="432">
        <v>42702.0</v>
      </c>
      <c r="E10" s="394" t="s">
        <v>880</v>
      </c>
      <c r="F10" s="422" t="s">
        <v>874</v>
      </c>
      <c r="G10" s="422" t="s">
        <v>17</v>
      </c>
      <c r="H10" s="394" t="s">
        <v>881</v>
      </c>
      <c r="I10" s="437">
        <v>44588.0</v>
      </c>
      <c r="J10" s="422">
        <v>1.0</v>
      </c>
      <c r="K10" s="424" t="s">
        <v>19</v>
      </c>
      <c r="L10" s="316" t="s">
        <v>256</v>
      </c>
      <c r="M10" s="316">
        <f t="shared" si="1"/>
        <v>1886</v>
      </c>
      <c r="N10" s="25"/>
      <c r="O10" s="321" t="s">
        <v>565</v>
      </c>
      <c r="P10" s="321">
        <f>COUNTIF($G$2:$G$681,"Bio")</f>
        <v>57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425" t="s">
        <v>882</v>
      </c>
      <c r="B11" s="426" t="s">
        <v>883</v>
      </c>
      <c r="C11" s="426">
        <v>2015.0</v>
      </c>
      <c r="D11" s="431">
        <v>42100.0</v>
      </c>
      <c r="E11" s="428" t="s">
        <v>884</v>
      </c>
      <c r="F11" s="428" t="s">
        <v>885</v>
      </c>
      <c r="G11" s="397" t="s">
        <v>17</v>
      </c>
      <c r="H11" s="397" t="s">
        <v>712</v>
      </c>
      <c r="I11" s="435">
        <v>44588.0</v>
      </c>
      <c r="J11" s="428">
        <v>1.0</v>
      </c>
      <c r="K11" s="430" t="s">
        <v>19</v>
      </c>
      <c r="L11" s="319" t="s">
        <v>256</v>
      </c>
      <c r="M11" s="319">
        <f t="shared" si="1"/>
        <v>2488</v>
      </c>
      <c r="N11" s="25"/>
      <c r="O11" s="323" t="s">
        <v>569</v>
      </c>
      <c r="P11" s="323">
        <f>COUNTIF($G$2:$G$681,"Bio/Org")</f>
        <v>79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419" t="s">
        <v>886</v>
      </c>
      <c r="B12" s="420" t="s">
        <v>887</v>
      </c>
      <c r="C12" s="420">
        <v>2015.0</v>
      </c>
      <c r="D12" s="432">
        <v>42193.0</v>
      </c>
      <c r="E12" s="394" t="s">
        <v>888</v>
      </c>
      <c r="F12" s="422" t="s">
        <v>167</v>
      </c>
      <c r="G12" s="422" t="s">
        <v>17</v>
      </c>
      <c r="H12" s="394" t="s">
        <v>130</v>
      </c>
      <c r="I12" s="437">
        <v>44588.0</v>
      </c>
      <c r="J12" s="422">
        <v>1.0</v>
      </c>
      <c r="K12" s="424" t="s">
        <v>19</v>
      </c>
      <c r="L12" s="316" t="s">
        <v>256</v>
      </c>
      <c r="M12" s="316">
        <f t="shared" si="1"/>
        <v>2395</v>
      </c>
      <c r="N12" s="25"/>
      <c r="O12" s="324" t="s">
        <v>51</v>
      </c>
      <c r="P12" s="325">
        <f>SUM(P3:P11)</f>
        <v>652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425" t="s">
        <v>889</v>
      </c>
      <c r="B13" s="426" t="s">
        <v>890</v>
      </c>
      <c r="C13" s="426">
        <v>2016.0</v>
      </c>
      <c r="D13" s="431">
        <v>42580.0</v>
      </c>
      <c r="E13" s="428" t="s">
        <v>891</v>
      </c>
      <c r="F13" s="428" t="s">
        <v>892</v>
      </c>
      <c r="G13" s="397" t="s">
        <v>17</v>
      </c>
      <c r="H13" s="397" t="s">
        <v>26</v>
      </c>
      <c r="I13" s="435">
        <v>44588.0</v>
      </c>
      <c r="J13" s="428">
        <v>1.0</v>
      </c>
      <c r="K13" s="430" t="s">
        <v>19</v>
      </c>
      <c r="L13" s="319" t="s">
        <v>256</v>
      </c>
      <c r="M13" s="319">
        <f t="shared" si="1"/>
        <v>2008</v>
      </c>
      <c r="N13" s="42"/>
      <c r="O13" s="25"/>
      <c r="P13" s="25"/>
      <c r="Q13" s="25"/>
      <c r="R13" s="326"/>
      <c r="S13" s="326"/>
      <c r="T13" s="25"/>
      <c r="U13" s="25"/>
      <c r="V13" s="25"/>
      <c r="W13" s="25"/>
      <c r="X13" s="25"/>
      <c r="Y13" s="25"/>
      <c r="Z13" s="25"/>
    </row>
    <row r="14" ht="15.0" customHeight="1">
      <c r="A14" s="419" t="s">
        <v>893</v>
      </c>
      <c r="B14" s="420" t="s">
        <v>894</v>
      </c>
      <c r="C14" s="420">
        <v>2014.0</v>
      </c>
      <c r="D14" s="432">
        <v>41717.0</v>
      </c>
      <c r="E14" s="394" t="s">
        <v>895</v>
      </c>
      <c r="F14" s="422" t="s">
        <v>896</v>
      </c>
      <c r="G14" s="422" t="s">
        <v>17</v>
      </c>
      <c r="H14" s="394" t="s">
        <v>163</v>
      </c>
      <c r="I14" s="437">
        <v>44588.0</v>
      </c>
      <c r="J14" s="422">
        <v>1.0</v>
      </c>
      <c r="K14" s="424" t="s">
        <v>19</v>
      </c>
      <c r="L14" s="316" t="s">
        <v>258</v>
      </c>
      <c r="M14" s="316">
        <f t="shared" si="1"/>
        <v>2871</v>
      </c>
      <c r="N14" s="42"/>
      <c r="O14" s="327" t="s">
        <v>61</v>
      </c>
      <c r="P14" s="102"/>
      <c r="Q14" s="102"/>
      <c r="R14" s="102"/>
      <c r="S14" s="103"/>
      <c r="T14" s="25"/>
      <c r="U14" s="25"/>
      <c r="V14" s="25"/>
      <c r="W14" s="25"/>
      <c r="X14" s="25"/>
      <c r="Y14" s="25"/>
      <c r="Z14" s="25"/>
    </row>
    <row r="15" ht="15.0" customHeight="1">
      <c r="A15" s="425" t="s">
        <v>897</v>
      </c>
      <c r="B15" s="426" t="s">
        <v>898</v>
      </c>
      <c r="C15" s="426">
        <v>2016.0</v>
      </c>
      <c r="D15" s="431">
        <v>42564.0</v>
      </c>
      <c r="E15" s="428" t="s">
        <v>899</v>
      </c>
      <c r="F15" s="428" t="s">
        <v>900</v>
      </c>
      <c r="G15" s="397" t="s">
        <v>17</v>
      </c>
      <c r="H15" s="397" t="s">
        <v>901</v>
      </c>
      <c r="I15" s="435">
        <v>44588.0</v>
      </c>
      <c r="J15" s="428">
        <v>1.0</v>
      </c>
      <c r="K15" s="430" t="s">
        <v>19</v>
      </c>
      <c r="L15" s="319" t="s">
        <v>256</v>
      </c>
      <c r="M15" s="319">
        <f t="shared" si="1"/>
        <v>2024</v>
      </c>
      <c r="N15" s="25"/>
      <c r="O15" s="328"/>
      <c r="P15" s="329"/>
      <c r="Q15" s="329"/>
      <c r="R15" s="329"/>
      <c r="S15" s="330"/>
      <c r="T15" s="25"/>
      <c r="U15" s="25"/>
      <c r="V15" s="25"/>
      <c r="W15" s="25"/>
      <c r="X15" s="25"/>
      <c r="Y15" s="25"/>
      <c r="Z15" s="25"/>
    </row>
    <row r="16" ht="15.0" customHeight="1">
      <c r="A16" s="419" t="s">
        <v>902</v>
      </c>
      <c r="B16" s="420" t="s">
        <v>903</v>
      </c>
      <c r="C16" s="420">
        <v>2018.0</v>
      </c>
      <c r="D16" s="432">
        <v>43410.0</v>
      </c>
      <c r="E16" s="394" t="s">
        <v>904</v>
      </c>
      <c r="F16" s="422" t="s">
        <v>71</v>
      </c>
      <c r="G16" s="422" t="s">
        <v>17</v>
      </c>
      <c r="H16" s="394" t="s">
        <v>39</v>
      </c>
      <c r="I16" s="437">
        <v>44610.0</v>
      </c>
      <c r="J16" s="422">
        <v>2.0</v>
      </c>
      <c r="K16" s="424" t="s">
        <v>19</v>
      </c>
      <c r="L16" s="316" t="s">
        <v>258</v>
      </c>
      <c r="M16" s="316">
        <f t="shared" si="1"/>
        <v>1200</v>
      </c>
      <c r="N16" s="25"/>
      <c r="O16" s="331" t="s">
        <v>905</v>
      </c>
      <c r="P16" s="332"/>
      <c r="Q16" s="332"/>
      <c r="R16" s="332"/>
      <c r="S16" s="333"/>
      <c r="T16" s="25"/>
      <c r="U16" s="25"/>
      <c r="V16" s="25"/>
      <c r="W16" s="25"/>
      <c r="X16" s="25"/>
      <c r="Y16" s="25"/>
      <c r="Z16" s="25"/>
    </row>
    <row r="17" ht="15.0" customHeight="1">
      <c r="A17" s="425" t="s">
        <v>906</v>
      </c>
      <c r="B17" s="426" t="s">
        <v>907</v>
      </c>
      <c r="C17" s="426">
        <v>2019.0</v>
      </c>
      <c r="D17" s="431">
        <v>43819.0</v>
      </c>
      <c r="E17" s="428" t="s">
        <v>908</v>
      </c>
      <c r="F17" s="428" t="s">
        <v>909</v>
      </c>
      <c r="G17" s="397" t="s">
        <v>17</v>
      </c>
      <c r="H17" s="397" t="s">
        <v>596</v>
      </c>
      <c r="I17" s="435">
        <v>44610.0</v>
      </c>
      <c r="J17" s="428">
        <v>2.0</v>
      </c>
      <c r="K17" s="430" t="s">
        <v>19</v>
      </c>
      <c r="L17" s="319" t="s">
        <v>258</v>
      </c>
      <c r="M17" s="319">
        <f t="shared" si="1"/>
        <v>791</v>
      </c>
      <c r="N17" s="25"/>
      <c r="O17" s="334" t="s">
        <v>910</v>
      </c>
      <c r="P17" s="113"/>
      <c r="Q17" s="113"/>
      <c r="R17" s="113"/>
      <c r="S17" s="114"/>
      <c r="T17" s="25"/>
      <c r="U17" s="25"/>
      <c r="V17" s="25"/>
      <c r="W17" s="25"/>
      <c r="X17" s="25"/>
      <c r="Y17" s="25"/>
      <c r="Z17" s="25"/>
    </row>
    <row r="18" ht="15.0" customHeight="1">
      <c r="A18" s="419" t="s">
        <v>911</v>
      </c>
      <c r="B18" s="394" t="s">
        <v>912</v>
      </c>
      <c r="C18" s="420">
        <v>2015.0</v>
      </c>
      <c r="D18" s="518">
        <v>42334.0</v>
      </c>
      <c r="E18" s="394" t="s">
        <v>913</v>
      </c>
      <c r="F18" s="422" t="s">
        <v>909</v>
      </c>
      <c r="G18" s="422" t="s">
        <v>17</v>
      </c>
      <c r="H18" s="394" t="s">
        <v>18</v>
      </c>
      <c r="I18" s="437">
        <v>44610.0</v>
      </c>
      <c r="J18" s="422">
        <v>2.0</v>
      </c>
      <c r="K18" s="424" t="s">
        <v>19</v>
      </c>
      <c r="L18" s="316" t="s">
        <v>258</v>
      </c>
      <c r="M18" s="316">
        <f t="shared" si="1"/>
        <v>2276</v>
      </c>
      <c r="N18" s="25"/>
      <c r="O18" s="335" t="s">
        <v>914</v>
      </c>
      <c r="P18" s="113"/>
      <c r="Q18" s="113"/>
      <c r="R18" s="113"/>
      <c r="S18" s="114"/>
      <c r="T18" s="25"/>
      <c r="U18" s="25"/>
      <c r="V18" s="25"/>
      <c r="W18" s="25"/>
      <c r="X18" s="25"/>
      <c r="Y18" s="25"/>
      <c r="Z18" s="25"/>
    </row>
    <row r="19" ht="15.0" customHeight="1">
      <c r="A19" s="425" t="s">
        <v>915</v>
      </c>
      <c r="B19" s="426" t="s">
        <v>916</v>
      </c>
      <c r="C19" s="426">
        <v>2014.0</v>
      </c>
      <c r="D19" s="431">
        <v>41912.0</v>
      </c>
      <c r="E19" s="428" t="s">
        <v>917</v>
      </c>
      <c r="F19" s="428" t="s">
        <v>909</v>
      </c>
      <c r="G19" s="397" t="s">
        <v>17</v>
      </c>
      <c r="H19" s="397" t="s">
        <v>712</v>
      </c>
      <c r="I19" s="435">
        <v>44610.0</v>
      </c>
      <c r="J19" s="428">
        <v>2.0</v>
      </c>
      <c r="K19" s="430" t="s">
        <v>19</v>
      </c>
      <c r="L19" s="319" t="s">
        <v>258</v>
      </c>
      <c r="M19" s="319">
        <f t="shared" si="1"/>
        <v>2698</v>
      </c>
      <c r="N19" s="25"/>
      <c r="O19" s="334" t="s">
        <v>918</v>
      </c>
      <c r="P19" s="113"/>
      <c r="Q19" s="113"/>
      <c r="R19" s="113"/>
      <c r="S19" s="114"/>
      <c r="T19" s="25"/>
      <c r="U19" s="25"/>
      <c r="V19" s="25"/>
      <c r="W19" s="25"/>
      <c r="X19" s="25"/>
      <c r="Y19" s="25"/>
      <c r="Z19" s="25"/>
    </row>
    <row r="20" ht="15.0" customHeight="1">
      <c r="A20" s="419" t="s">
        <v>919</v>
      </c>
      <c r="B20" s="420" t="s">
        <v>920</v>
      </c>
      <c r="C20" s="420">
        <v>2015.0</v>
      </c>
      <c r="D20" s="432">
        <v>42271.0</v>
      </c>
      <c r="E20" s="436" t="s">
        <v>921</v>
      </c>
      <c r="F20" s="422" t="s">
        <v>922</v>
      </c>
      <c r="G20" s="422" t="s">
        <v>34</v>
      </c>
      <c r="H20" s="394" t="s">
        <v>923</v>
      </c>
      <c r="I20" s="437">
        <v>44610.0</v>
      </c>
      <c r="J20" s="422">
        <v>2.0</v>
      </c>
      <c r="K20" s="433" t="s">
        <v>242</v>
      </c>
      <c r="L20" s="316" t="s">
        <v>256</v>
      </c>
      <c r="M20" s="316">
        <f t="shared" si="1"/>
        <v>2339</v>
      </c>
      <c r="N20" s="25"/>
      <c r="O20" s="335" t="s">
        <v>924</v>
      </c>
      <c r="P20" s="113"/>
      <c r="Q20" s="113"/>
      <c r="R20" s="113"/>
      <c r="S20" s="114"/>
      <c r="T20" s="25"/>
      <c r="U20" s="25"/>
      <c r="V20" s="25"/>
      <c r="W20" s="25"/>
      <c r="X20" s="25"/>
      <c r="Y20" s="25"/>
      <c r="Z20" s="25"/>
    </row>
    <row r="21" ht="15.0" customHeight="1">
      <c r="A21" s="425" t="s">
        <v>925</v>
      </c>
      <c r="B21" s="426" t="s">
        <v>926</v>
      </c>
      <c r="C21" s="426">
        <v>2015.0</v>
      </c>
      <c r="D21" s="431">
        <v>42249.0</v>
      </c>
      <c r="E21" s="428" t="s">
        <v>927</v>
      </c>
      <c r="F21" s="428" t="s">
        <v>928</v>
      </c>
      <c r="G21" s="397" t="s">
        <v>17</v>
      </c>
      <c r="H21" s="397" t="s">
        <v>929</v>
      </c>
      <c r="I21" s="435">
        <v>44610.0</v>
      </c>
      <c r="J21" s="428">
        <v>2.0</v>
      </c>
      <c r="K21" s="430" t="s">
        <v>19</v>
      </c>
      <c r="L21" s="319" t="s">
        <v>256</v>
      </c>
      <c r="M21" s="319">
        <f t="shared" si="1"/>
        <v>2361</v>
      </c>
      <c r="N21" s="25"/>
      <c r="O21" s="334" t="s">
        <v>930</v>
      </c>
      <c r="P21" s="113"/>
      <c r="Q21" s="113"/>
      <c r="R21" s="113"/>
      <c r="S21" s="114"/>
      <c r="T21" s="25"/>
      <c r="U21" s="25"/>
      <c r="V21" s="25"/>
      <c r="W21" s="25"/>
      <c r="X21" s="25"/>
      <c r="Y21" s="25"/>
      <c r="Z21" s="25"/>
    </row>
    <row r="22" ht="15.0" customHeight="1">
      <c r="A22" s="419" t="s">
        <v>931</v>
      </c>
      <c r="B22" s="420" t="s">
        <v>932</v>
      </c>
      <c r="C22" s="420">
        <v>2019.0</v>
      </c>
      <c r="D22" s="432">
        <v>43647.0</v>
      </c>
      <c r="E22" s="394" t="s">
        <v>933</v>
      </c>
      <c r="F22" s="422" t="s">
        <v>909</v>
      </c>
      <c r="G22" s="422" t="s">
        <v>17</v>
      </c>
      <c r="H22" s="394" t="s">
        <v>934</v>
      </c>
      <c r="I22" s="437">
        <v>44610.0</v>
      </c>
      <c r="J22" s="422">
        <v>2.0</v>
      </c>
      <c r="K22" s="424" t="s">
        <v>19</v>
      </c>
      <c r="L22" s="316" t="s">
        <v>258</v>
      </c>
      <c r="M22" s="316">
        <f t="shared" si="1"/>
        <v>963</v>
      </c>
      <c r="N22" s="25"/>
      <c r="O22" s="335" t="s">
        <v>935</v>
      </c>
      <c r="P22" s="113"/>
      <c r="Q22" s="113"/>
      <c r="R22" s="113"/>
      <c r="S22" s="114"/>
      <c r="T22" s="25"/>
      <c r="U22" s="25"/>
      <c r="V22" s="25"/>
      <c r="W22" s="25"/>
      <c r="X22" s="25"/>
      <c r="Y22" s="25"/>
      <c r="Z22" s="25"/>
    </row>
    <row r="23" ht="15.0" customHeight="1">
      <c r="A23" s="425" t="s">
        <v>936</v>
      </c>
      <c r="B23" s="426" t="s">
        <v>937</v>
      </c>
      <c r="C23" s="426">
        <v>2019.0</v>
      </c>
      <c r="D23" s="431">
        <v>43476.0</v>
      </c>
      <c r="E23" s="428" t="s">
        <v>938</v>
      </c>
      <c r="F23" s="428" t="s">
        <v>900</v>
      </c>
      <c r="G23" s="397" t="s">
        <v>17</v>
      </c>
      <c r="H23" s="397" t="s">
        <v>39</v>
      </c>
      <c r="I23" s="435">
        <v>44610.0</v>
      </c>
      <c r="J23" s="428">
        <v>2.0</v>
      </c>
      <c r="K23" s="430" t="s">
        <v>19</v>
      </c>
      <c r="L23" s="319" t="s">
        <v>256</v>
      </c>
      <c r="M23" s="319">
        <f t="shared" si="1"/>
        <v>1134</v>
      </c>
      <c r="N23" s="25"/>
      <c r="O23" s="334" t="s">
        <v>939</v>
      </c>
      <c r="P23" s="113"/>
      <c r="Q23" s="113"/>
      <c r="R23" s="113"/>
      <c r="S23" s="114"/>
      <c r="T23" s="25"/>
      <c r="U23" s="25"/>
      <c r="V23" s="25"/>
      <c r="W23" s="25"/>
      <c r="X23" s="25"/>
      <c r="Y23" s="25"/>
      <c r="Z23" s="25"/>
    </row>
    <row r="24" ht="15.0" customHeight="1">
      <c r="A24" s="419" t="s">
        <v>940</v>
      </c>
      <c r="B24" s="420" t="s">
        <v>941</v>
      </c>
      <c r="C24" s="420">
        <v>2015.0</v>
      </c>
      <c r="D24" s="432">
        <v>42124.0</v>
      </c>
      <c r="E24" s="394" t="s">
        <v>942</v>
      </c>
      <c r="F24" s="422" t="s">
        <v>909</v>
      </c>
      <c r="G24" s="422" t="s">
        <v>17</v>
      </c>
      <c r="H24" s="394" t="s">
        <v>583</v>
      </c>
      <c r="I24" s="437">
        <v>44610.0</v>
      </c>
      <c r="J24" s="422">
        <v>2.0</v>
      </c>
      <c r="K24" s="424" t="s">
        <v>19</v>
      </c>
      <c r="L24" s="316" t="s">
        <v>258</v>
      </c>
      <c r="M24" s="316">
        <f t="shared" si="1"/>
        <v>2486</v>
      </c>
      <c r="N24" s="25"/>
      <c r="O24" s="336" t="s">
        <v>943</v>
      </c>
      <c r="P24" s="118"/>
      <c r="Q24" s="118"/>
      <c r="R24" s="118"/>
      <c r="S24" s="119"/>
      <c r="T24" s="25"/>
      <c r="U24" s="25"/>
      <c r="V24" s="25"/>
      <c r="W24" s="25"/>
      <c r="X24" s="25"/>
      <c r="Y24" s="25"/>
      <c r="Z24" s="25"/>
    </row>
    <row r="25" ht="15.0" customHeight="1">
      <c r="A25" s="425" t="s">
        <v>944</v>
      </c>
      <c r="B25" s="426" t="s">
        <v>945</v>
      </c>
      <c r="C25" s="426">
        <v>2015.0</v>
      </c>
      <c r="D25" s="431">
        <v>42359.0</v>
      </c>
      <c r="E25" s="428" t="s">
        <v>946</v>
      </c>
      <c r="F25" s="428" t="s">
        <v>947</v>
      </c>
      <c r="G25" s="397" t="s">
        <v>17</v>
      </c>
      <c r="H25" s="397" t="s">
        <v>573</v>
      </c>
      <c r="I25" s="435">
        <v>44610.0</v>
      </c>
      <c r="J25" s="428">
        <v>2.0</v>
      </c>
      <c r="K25" s="430" t="s">
        <v>19</v>
      </c>
      <c r="L25" s="319" t="s">
        <v>258</v>
      </c>
      <c r="M25" s="319">
        <f t="shared" si="1"/>
        <v>2251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419" t="s">
        <v>948</v>
      </c>
      <c r="B26" s="420" t="s">
        <v>949</v>
      </c>
      <c r="C26" s="420">
        <v>2018.0</v>
      </c>
      <c r="D26" s="432">
        <v>43382.0</v>
      </c>
      <c r="E26" s="394" t="s">
        <v>950</v>
      </c>
      <c r="F26" s="422" t="s">
        <v>885</v>
      </c>
      <c r="G26" s="422" t="s">
        <v>17</v>
      </c>
      <c r="H26" s="394" t="s">
        <v>573</v>
      </c>
      <c r="I26" s="437">
        <v>44610.0</v>
      </c>
      <c r="J26" s="422">
        <v>2.0</v>
      </c>
      <c r="K26" s="424" t="s">
        <v>19</v>
      </c>
      <c r="L26" s="316" t="s">
        <v>256</v>
      </c>
      <c r="M26" s="316">
        <f t="shared" si="1"/>
        <v>1228</v>
      </c>
      <c r="N26" s="25"/>
      <c r="O26" s="327" t="s">
        <v>617</v>
      </c>
      <c r="P26" s="102"/>
      <c r="Q26" s="102"/>
      <c r="R26" s="102"/>
      <c r="S26" s="103"/>
      <c r="T26" s="25"/>
      <c r="U26" s="25"/>
      <c r="V26" s="25"/>
      <c r="W26" s="25"/>
      <c r="X26" s="25"/>
      <c r="Y26" s="25"/>
      <c r="Z26" s="25"/>
    </row>
    <row r="27" ht="15.0" customHeight="1">
      <c r="A27" s="425" t="s">
        <v>951</v>
      </c>
      <c r="B27" s="426" t="s">
        <v>952</v>
      </c>
      <c r="C27" s="426">
        <v>2016.0</v>
      </c>
      <c r="D27" s="431">
        <v>42450.0</v>
      </c>
      <c r="E27" s="428" t="s">
        <v>953</v>
      </c>
      <c r="F27" s="428" t="s">
        <v>148</v>
      </c>
      <c r="G27" s="397" t="s">
        <v>17</v>
      </c>
      <c r="H27" s="397" t="s">
        <v>50</v>
      </c>
      <c r="I27" s="435">
        <v>44610.0</v>
      </c>
      <c r="J27" s="428">
        <v>2.0</v>
      </c>
      <c r="K27" s="430" t="s">
        <v>19</v>
      </c>
      <c r="L27" s="319" t="s">
        <v>256</v>
      </c>
      <c r="M27" s="319">
        <f t="shared" si="1"/>
        <v>2160</v>
      </c>
      <c r="N27" s="25"/>
      <c r="O27" s="104"/>
      <c r="P27" s="105"/>
      <c r="Q27" s="105"/>
      <c r="R27" s="105"/>
      <c r="S27" s="106"/>
      <c r="T27" s="25"/>
      <c r="U27" s="25"/>
      <c r="V27" s="25"/>
      <c r="W27" s="25"/>
      <c r="X27" s="25"/>
      <c r="Y27" s="25"/>
      <c r="Z27" s="25"/>
    </row>
    <row r="28" ht="15.0" customHeight="1">
      <c r="A28" s="419" t="s">
        <v>954</v>
      </c>
      <c r="B28" s="420" t="s">
        <v>955</v>
      </c>
      <c r="C28" s="420">
        <v>2018.0</v>
      </c>
      <c r="D28" s="432">
        <v>43383.0</v>
      </c>
      <c r="E28" s="394" t="s">
        <v>956</v>
      </c>
      <c r="F28" s="422" t="s">
        <v>71</v>
      </c>
      <c r="G28" s="422" t="s">
        <v>17</v>
      </c>
      <c r="H28" s="394" t="s">
        <v>50</v>
      </c>
      <c r="I28" s="437">
        <v>44610.0</v>
      </c>
      <c r="J28" s="422">
        <v>2.0</v>
      </c>
      <c r="K28" s="424" t="s">
        <v>19</v>
      </c>
      <c r="L28" s="316" t="s">
        <v>258</v>
      </c>
      <c r="M28" s="316">
        <f t="shared" si="1"/>
        <v>1227</v>
      </c>
      <c r="N28" s="25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425" t="s">
        <v>957</v>
      </c>
      <c r="B29" s="426" t="s">
        <v>958</v>
      </c>
      <c r="C29" s="426">
        <v>2017.0</v>
      </c>
      <c r="D29" s="431">
        <v>42808.0</v>
      </c>
      <c r="E29" s="428" t="s">
        <v>959</v>
      </c>
      <c r="F29" s="428" t="s">
        <v>900</v>
      </c>
      <c r="G29" s="397" t="s">
        <v>17</v>
      </c>
      <c r="H29" s="397" t="s">
        <v>50</v>
      </c>
      <c r="I29" s="435">
        <v>44610.0</v>
      </c>
      <c r="J29" s="428">
        <v>2.0</v>
      </c>
      <c r="K29" s="430" t="s">
        <v>19</v>
      </c>
      <c r="L29" s="319" t="s">
        <v>256</v>
      </c>
      <c r="M29" s="319">
        <f t="shared" si="1"/>
        <v>1802</v>
      </c>
      <c r="N29" s="25"/>
      <c r="O29" s="322">
        <v>2008.0</v>
      </c>
      <c r="P29" s="342">
        <f>COUNTIF($C$2:$C$680,"2008")</f>
        <v>1</v>
      </c>
      <c r="Q29" s="332"/>
      <c r="R29" s="333"/>
      <c r="S29" s="343">
        <f>(P29/P44)</f>
        <v>0.001533742331</v>
      </c>
      <c r="T29" s="25"/>
      <c r="U29" s="25"/>
      <c r="V29" s="25"/>
      <c r="W29" s="25"/>
      <c r="X29" s="25"/>
      <c r="Y29" s="25"/>
      <c r="Z29" s="25"/>
    </row>
    <row r="30" ht="15.0" customHeight="1">
      <c r="A30" s="419" t="s">
        <v>960</v>
      </c>
      <c r="B30" s="420" t="s">
        <v>961</v>
      </c>
      <c r="C30" s="420">
        <v>2013.0</v>
      </c>
      <c r="D30" s="432">
        <v>41543.0</v>
      </c>
      <c r="E30" s="394" t="s">
        <v>962</v>
      </c>
      <c r="F30" s="422" t="s">
        <v>963</v>
      </c>
      <c r="G30" s="422" t="s">
        <v>17</v>
      </c>
      <c r="H30" s="394" t="s">
        <v>26</v>
      </c>
      <c r="I30" s="437">
        <v>44610.0</v>
      </c>
      <c r="J30" s="422">
        <v>2.0</v>
      </c>
      <c r="K30" s="424" t="s">
        <v>19</v>
      </c>
      <c r="L30" s="316" t="s">
        <v>258</v>
      </c>
      <c r="M30" s="316">
        <f t="shared" si="1"/>
        <v>3067</v>
      </c>
      <c r="N30" s="25"/>
      <c r="O30" s="321">
        <v>2009.0</v>
      </c>
      <c r="P30" s="344">
        <f>COUNTIF($C$2:$C$680,"2009")</f>
        <v>2</v>
      </c>
      <c r="Q30" s="113"/>
      <c r="R30" s="114"/>
      <c r="S30" s="345">
        <f>(P30/P44)</f>
        <v>0.003067484663</v>
      </c>
      <c r="T30" s="25"/>
      <c r="U30" s="25"/>
      <c r="V30" s="25"/>
      <c r="W30" s="25"/>
      <c r="X30" s="25"/>
      <c r="Y30" s="25"/>
      <c r="Z30" s="25"/>
    </row>
    <row r="31" ht="15.0" customHeight="1">
      <c r="A31" s="425" t="s">
        <v>964</v>
      </c>
      <c r="B31" s="426" t="s">
        <v>965</v>
      </c>
      <c r="C31" s="426">
        <v>2016.0</v>
      </c>
      <c r="D31" s="431">
        <v>42576.0</v>
      </c>
      <c r="E31" s="428" t="s">
        <v>966</v>
      </c>
      <c r="F31" s="428" t="s">
        <v>967</v>
      </c>
      <c r="G31" s="397" t="s">
        <v>17</v>
      </c>
      <c r="H31" s="397" t="s">
        <v>573</v>
      </c>
      <c r="I31" s="435">
        <v>44610.0</v>
      </c>
      <c r="J31" s="428">
        <v>2.0</v>
      </c>
      <c r="K31" s="430" t="s">
        <v>19</v>
      </c>
      <c r="L31" s="319" t="s">
        <v>256</v>
      </c>
      <c r="M31" s="319">
        <f t="shared" si="1"/>
        <v>2034</v>
      </c>
      <c r="N31" s="25"/>
      <c r="O31" s="322">
        <v>2010.0</v>
      </c>
      <c r="P31" s="346">
        <f>COUNTIF($C$2:$C$680,"2010")</f>
        <v>8</v>
      </c>
      <c r="Q31" s="113"/>
      <c r="R31" s="114"/>
      <c r="S31" s="343">
        <f>(P31/P44)</f>
        <v>0.01226993865</v>
      </c>
      <c r="T31" s="25"/>
      <c r="U31" s="25"/>
      <c r="V31" s="25"/>
      <c r="W31" s="25"/>
      <c r="X31" s="25"/>
      <c r="Y31" s="25"/>
      <c r="Z31" s="25"/>
    </row>
    <row r="32" ht="15.0" customHeight="1">
      <c r="A32" s="419" t="s">
        <v>968</v>
      </c>
      <c r="B32" s="420" t="s">
        <v>969</v>
      </c>
      <c r="C32" s="420">
        <v>2014.0</v>
      </c>
      <c r="D32" s="432">
        <v>41997.0</v>
      </c>
      <c r="E32" s="394" t="s">
        <v>970</v>
      </c>
      <c r="F32" s="422" t="s">
        <v>765</v>
      </c>
      <c r="G32" s="422" t="s">
        <v>17</v>
      </c>
      <c r="H32" s="394" t="s">
        <v>573</v>
      </c>
      <c r="I32" s="437">
        <v>44610.0</v>
      </c>
      <c r="J32" s="422">
        <v>2.0</v>
      </c>
      <c r="K32" s="424" t="s">
        <v>19</v>
      </c>
      <c r="L32" s="316" t="s">
        <v>256</v>
      </c>
      <c r="M32" s="316">
        <f t="shared" si="1"/>
        <v>2613</v>
      </c>
      <c r="N32" s="25"/>
      <c r="O32" s="321">
        <v>2011.0</v>
      </c>
      <c r="P32" s="344">
        <f>COUNTIF($C$2:$C$680,"2011")</f>
        <v>7</v>
      </c>
      <c r="Q32" s="113"/>
      <c r="R32" s="114"/>
      <c r="S32" s="345">
        <f>(P32/P44)</f>
        <v>0.01073619632</v>
      </c>
      <c r="T32" s="25"/>
      <c r="U32" s="25"/>
      <c r="V32" s="25"/>
      <c r="W32" s="25"/>
      <c r="X32" s="25"/>
      <c r="Y32" s="25"/>
      <c r="Z32" s="25"/>
    </row>
    <row r="33" ht="15.0" customHeight="1">
      <c r="A33" s="425" t="s">
        <v>971</v>
      </c>
      <c r="B33" s="426" t="s">
        <v>972</v>
      </c>
      <c r="C33" s="426">
        <v>2019.0</v>
      </c>
      <c r="D33" s="431">
        <v>43665.0</v>
      </c>
      <c r="E33" s="428" t="s">
        <v>973</v>
      </c>
      <c r="F33" s="428" t="s">
        <v>900</v>
      </c>
      <c r="G33" s="397" t="s">
        <v>17</v>
      </c>
      <c r="H33" s="397" t="s">
        <v>573</v>
      </c>
      <c r="I33" s="435">
        <v>44610.0</v>
      </c>
      <c r="J33" s="428">
        <v>2.0</v>
      </c>
      <c r="K33" s="430" t="s">
        <v>19</v>
      </c>
      <c r="L33" s="319" t="s">
        <v>256</v>
      </c>
      <c r="M33" s="319">
        <f t="shared" si="1"/>
        <v>945</v>
      </c>
      <c r="N33" s="25"/>
      <c r="O33" s="322">
        <v>2012.0</v>
      </c>
      <c r="P33" s="346">
        <f>COUNTIF($C$2:$C$680,"2012")</f>
        <v>13</v>
      </c>
      <c r="Q33" s="113"/>
      <c r="R33" s="114"/>
      <c r="S33" s="343">
        <f>(P33/P44)</f>
        <v>0.01993865031</v>
      </c>
      <c r="T33" s="25"/>
      <c r="U33" s="25"/>
      <c r="V33" s="25"/>
      <c r="W33" s="25"/>
      <c r="X33" s="25"/>
      <c r="Y33" s="25"/>
      <c r="Z33" s="25"/>
    </row>
    <row r="34" ht="15.0" customHeight="1">
      <c r="A34" s="419" t="s">
        <v>974</v>
      </c>
      <c r="B34" s="420" t="s">
        <v>975</v>
      </c>
      <c r="C34" s="420">
        <v>2018.0</v>
      </c>
      <c r="D34" s="432">
        <v>43292.0</v>
      </c>
      <c r="E34" s="394" t="s">
        <v>976</v>
      </c>
      <c r="F34" s="422" t="s">
        <v>71</v>
      </c>
      <c r="G34" s="422" t="s">
        <v>17</v>
      </c>
      <c r="H34" s="394" t="s">
        <v>573</v>
      </c>
      <c r="I34" s="437">
        <v>44610.0</v>
      </c>
      <c r="J34" s="422">
        <v>2.0</v>
      </c>
      <c r="K34" s="424" t="s">
        <v>19</v>
      </c>
      <c r="L34" s="316" t="s">
        <v>258</v>
      </c>
      <c r="M34" s="316">
        <f t="shared" si="1"/>
        <v>1318</v>
      </c>
      <c r="N34" s="25"/>
      <c r="O34" s="321">
        <v>2013.0</v>
      </c>
      <c r="P34" s="344">
        <f>COUNTIF($C$2:$C$680,"2013")</f>
        <v>15</v>
      </c>
      <c r="Q34" s="113"/>
      <c r="R34" s="114"/>
      <c r="S34" s="345">
        <f>(P34/P44)</f>
        <v>0.02300613497</v>
      </c>
      <c r="T34" s="25"/>
      <c r="U34" s="25"/>
      <c r="V34" s="25"/>
      <c r="W34" s="25"/>
      <c r="X34" s="25"/>
      <c r="Y34" s="25"/>
      <c r="Z34" s="25"/>
    </row>
    <row r="35" ht="15.0" customHeight="1">
      <c r="A35" s="425" t="s">
        <v>977</v>
      </c>
      <c r="B35" s="426" t="s">
        <v>978</v>
      </c>
      <c r="C35" s="426">
        <v>2017.0</v>
      </c>
      <c r="D35" s="431">
        <v>43000.0</v>
      </c>
      <c r="E35" s="428" t="s">
        <v>979</v>
      </c>
      <c r="F35" s="428" t="s">
        <v>909</v>
      </c>
      <c r="G35" s="397" t="s">
        <v>17</v>
      </c>
      <c r="H35" s="397" t="s">
        <v>573</v>
      </c>
      <c r="I35" s="435">
        <v>44610.0</v>
      </c>
      <c r="J35" s="428">
        <v>2.0</v>
      </c>
      <c r="K35" s="430" t="s">
        <v>19</v>
      </c>
      <c r="L35" s="319" t="s">
        <v>258</v>
      </c>
      <c r="M35" s="319">
        <f t="shared" si="1"/>
        <v>1610</v>
      </c>
      <c r="N35" s="25"/>
      <c r="O35" s="322">
        <v>2014.0</v>
      </c>
      <c r="P35" s="346">
        <f>COUNTIF($C$2:$C$680,"2014")</f>
        <v>43</v>
      </c>
      <c r="Q35" s="113"/>
      <c r="R35" s="114"/>
      <c r="S35" s="343">
        <f>(P35/P44)</f>
        <v>0.06595092025</v>
      </c>
      <c r="T35" s="25"/>
      <c r="U35" s="25"/>
      <c r="V35" s="25"/>
      <c r="W35" s="25"/>
      <c r="X35" s="25"/>
      <c r="Y35" s="25"/>
      <c r="Z35" s="25"/>
    </row>
    <row r="36" ht="15.0" customHeight="1">
      <c r="A36" s="419" t="s">
        <v>980</v>
      </c>
      <c r="B36" s="420" t="s">
        <v>981</v>
      </c>
      <c r="C36" s="420">
        <v>2015.0</v>
      </c>
      <c r="D36" s="432">
        <v>42027.0</v>
      </c>
      <c r="E36" s="394" t="s">
        <v>982</v>
      </c>
      <c r="F36" s="422" t="s">
        <v>909</v>
      </c>
      <c r="G36" s="422" t="s">
        <v>17</v>
      </c>
      <c r="H36" s="394" t="s">
        <v>775</v>
      </c>
      <c r="I36" s="437">
        <v>44610.0</v>
      </c>
      <c r="J36" s="422">
        <v>2.0</v>
      </c>
      <c r="K36" s="424" t="s">
        <v>19</v>
      </c>
      <c r="L36" s="316" t="s">
        <v>258</v>
      </c>
      <c r="M36" s="316">
        <f t="shared" si="1"/>
        <v>2583</v>
      </c>
      <c r="N36" s="25"/>
      <c r="O36" s="321">
        <v>2015.0</v>
      </c>
      <c r="P36" s="344">
        <f>COUNTIF($C$2:$C$680,"2015")</f>
        <v>92</v>
      </c>
      <c r="Q36" s="113"/>
      <c r="R36" s="114"/>
      <c r="S36" s="345">
        <f>(P36/P44)</f>
        <v>0.1411042945</v>
      </c>
      <c r="T36" s="25"/>
      <c r="U36" s="25"/>
      <c r="V36" s="25"/>
      <c r="W36" s="25"/>
      <c r="X36" s="25"/>
      <c r="Y36" s="25"/>
      <c r="Z36" s="25"/>
    </row>
    <row r="37" ht="15.0" customHeight="1">
      <c r="A37" s="425" t="s">
        <v>983</v>
      </c>
      <c r="B37" s="426" t="s">
        <v>984</v>
      </c>
      <c r="C37" s="426">
        <v>2014.0</v>
      </c>
      <c r="D37" s="431">
        <v>41995.0</v>
      </c>
      <c r="E37" s="428" t="s">
        <v>985</v>
      </c>
      <c r="F37" s="428" t="s">
        <v>25</v>
      </c>
      <c r="G37" s="397" t="s">
        <v>17</v>
      </c>
      <c r="H37" s="397" t="s">
        <v>66</v>
      </c>
      <c r="I37" s="435">
        <v>44610.0</v>
      </c>
      <c r="J37" s="428">
        <v>2.0</v>
      </c>
      <c r="K37" s="430" t="s">
        <v>19</v>
      </c>
      <c r="L37" s="319" t="s">
        <v>256</v>
      </c>
      <c r="M37" s="319">
        <f t="shared" si="1"/>
        <v>2615</v>
      </c>
      <c r="N37" s="25"/>
      <c r="O37" s="322">
        <v>2016.0</v>
      </c>
      <c r="P37" s="346">
        <f>COUNTIF($C$2:$C$680,"2016")</f>
        <v>75</v>
      </c>
      <c r="Q37" s="113"/>
      <c r="R37" s="114"/>
      <c r="S37" s="343">
        <f>(P37/P44)</f>
        <v>0.1150306748</v>
      </c>
      <c r="T37" s="25"/>
      <c r="U37" s="25"/>
      <c r="V37" s="25"/>
      <c r="W37" s="25"/>
      <c r="X37" s="25"/>
      <c r="Y37" s="25"/>
      <c r="Z37" s="25"/>
    </row>
    <row r="38" ht="15.0" customHeight="1">
      <c r="A38" s="419" t="s">
        <v>986</v>
      </c>
      <c r="B38" s="420" t="s">
        <v>987</v>
      </c>
      <c r="C38" s="420">
        <v>2017.0</v>
      </c>
      <c r="D38" s="432">
        <v>43090.0</v>
      </c>
      <c r="E38" s="394" t="s">
        <v>988</v>
      </c>
      <c r="F38" s="422" t="s">
        <v>989</v>
      </c>
      <c r="G38" s="422" t="s">
        <v>17</v>
      </c>
      <c r="H38" s="394" t="s">
        <v>990</v>
      </c>
      <c r="I38" s="437">
        <v>44610.0</v>
      </c>
      <c r="J38" s="422">
        <v>2.0</v>
      </c>
      <c r="K38" s="424" t="s">
        <v>19</v>
      </c>
      <c r="L38" s="316" t="s">
        <v>258</v>
      </c>
      <c r="M38" s="316">
        <f t="shared" si="1"/>
        <v>1520</v>
      </c>
      <c r="N38" s="25"/>
      <c r="O38" s="321">
        <v>2017.0</v>
      </c>
      <c r="P38" s="344">
        <f>COUNTIF($C$2:$C$680,"2017")</f>
        <v>65</v>
      </c>
      <c r="Q38" s="113"/>
      <c r="R38" s="114"/>
      <c r="S38" s="345">
        <f>(P38/P44)</f>
        <v>0.09969325153</v>
      </c>
      <c r="T38" s="25"/>
      <c r="U38" s="25"/>
      <c r="V38" s="25"/>
      <c r="W38" s="25"/>
      <c r="X38" s="25"/>
      <c r="Y38" s="25"/>
      <c r="Z38" s="25"/>
    </row>
    <row r="39" ht="15.0" customHeight="1">
      <c r="A39" s="425" t="s">
        <v>991</v>
      </c>
      <c r="B39" s="426" t="s">
        <v>992</v>
      </c>
      <c r="C39" s="426">
        <v>2020.0</v>
      </c>
      <c r="D39" s="431">
        <v>43850.0</v>
      </c>
      <c r="E39" s="428" t="s">
        <v>993</v>
      </c>
      <c r="F39" s="428" t="s">
        <v>994</v>
      </c>
      <c r="G39" s="397" t="s">
        <v>17</v>
      </c>
      <c r="H39" s="397" t="s">
        <v>587</v>
      </c>
      <c r="I39" s="435">
        <v>44610.0</v>
      </c>
      <c r="J39" s="428">
        <v>2.0</v>
      </c>
      <c r="K39" s="430" t="s">
        <v>19</v>
      </c>
      <c r="L39" s="319" t="s">
        <v>258</v>
      </c>
      <c r="M39" s="319">
        <f t="shared" si="1"/>
        <v>760</v>
      </c>
      <c r="N39" s="25"/>
      <c r="O39" s="322">
        <v>2018.0</v>
      </c>
      <c r="P39" s="346">
        <f>COUNTIF($C$2:$C$680,"2018")</f>
        <v>48</v>
      </c>
      <c r="Q39" s="113"/>
      <c r="R39" s="114"/>
      <c r="S39" s="343">
        <f>(P39/P44)</f>
        <v>0.0736196319</v>
      </c>
      <c r="T39" s="25"/>
      <c r="U39" s="25"/>
      <c r="V39" s="25"/>
      <c r="W39" s="25"/>
      <c r="X39" s="25"/>
      <c r="Y39" s="25"/>
      <c r="Z39" s="25"/>
    </row>
    <row r="40" ht="15.0" customHeight="1">
      <c r="A40" s="419" t="s">
        <v>995</v>
      </c>
      <c r="B40" s="420" t="s">
        <v>996</v>
      </c>
      <c r="C40" s="420">
        <v>2013.0</v>
      </c>
      <c r="D40" s="432">
        <v>41564.0</v>
      </c>
      <c r="E40" s="394" t="s">
        <v>997</v>
      </c>
      <c r="F40" s="422" t="s">
        <v>765</v>
      </c>
      <c r="G40" s="422" t="s">
        <v>17</v>
      </c>
      <c r="H40" s="394" t="s">
        <v>130</v>
      </c>
      <c r="I40" s="437">
        <v>44610.0</v>
      </c>
      <c r="J40" s="422">
        <v>2.0</v>
      </c>
      <c r="K40" s="424" t="s">
        <v>19</v>
      </c>
      <c r="L40" s="316" t="s">
        <v>256</v>
      </c>
      <c r="M40" s="316">
        <f t="shared" si="1"/>
        <v>3046</v>
      </c>
      <c r="N40" s="25"/>
      <c r="O40" s="321">
        <v>2019.0</v>
      </c>
      <c r="P40" s="344">
        <f>COUNTIF($C$2:$C$680,"2019")</f>
        <v>53</v>
      </c>
      <c r="Q40" s="113"/>
      <c r="R40" s="114"/>
      <c r="S40" s="345">
        <f>(P40/P44)</f>
        <v>0.08128834356</v>
      </c>
      <c r="T40" s="25"/>
      <c r="U40" s="25"/>
      <c r="V40" s="25"/>
      <c r="W40" s="25"/>
      <c r="X40" s="25"/>
      <c r="Y40" s="25"/>
      <c r="Z40" s="25"/>
    </row>
    <row r="41" ht="15.0" customHeight="1">
      <c r="A41" s="425" t="s">
        <v>998</v>
      </c>
      <c r="B41" s="426" t="s">
        <v>999</v>
      </c>
      <c r="C41" s="426">
        <v>2010.0</v>
      </c>
      <c r="D41" s="431">
        <v>40241.0</v>
      </c>
      <c r="E41" s="428" t="s">
        <v>1000</v>
      </c>
      <c r="F41" s="428" t="s">
        <v>1001</v>
      </c>
      <c r="G41" s="397" t="s">
        <v>34</v>
      </c>
      <c r="H41" s="439" t="s">
        <v>1002</v>
      </c>
      <c r="I41" s="519">
        <v>44634.0</v>
      </c>
      <c r="J41" s="428">
        <v>3.0</v>
      </c>
      <c r="K41" s="438" t="s">
        <v>602</v>
      </c>
      <c r="L41" s="319" t="s">
        <v>258</v>
      </c>
      <c r="M41" s="319">
        <f t="shared" si="1"/>
        <v>4393</v>
      </c>
      <c r="N41" s="25"/>
      <c r="O41" s="322">
        <v>2020.0</v>
      </c>
      <c r="P41" s="346">
        <f>COUNTIF($C$2:$C$680,"2020")</f>
        <v>58</v>
      </c>
      <c r="Q41" s="113"/>
      <c r="R41" s="114"/>
      <c r="S41" s="343">
        <f>(P41/P44)</f>
        <v>0.08895705521</v>
      </c>
      <c r="T41" s="25"/>
      <c r="U41" s="25"/>
      <c r="V41" s="25"/>
      <c r="W41" s="25"/>
      <c r="X41" s="25"/>
      <c r="Y41" s="25"/>
      <c r="Z41" s="25"/>
    </row>
    <row r="42" ht="15.0" customHeight="1">
      <c r="A42" s="419" t="s">
        <v>1003</v>
      </c>
      <c r="B42" s="420" t="s">
        <v>1004</v>
      </c>
      <c r="C42" s="420">
        <v>2016.0</v>
      </c>
      <c r="D42" s="432">
        <v>42734.0</v>
      </c>
      <c r="E42" s="394" t="s">
        <v>1005</v>
      </c>
      <c r="F42" s="422" t="s">
        <v>1006</v>
      </c>
      <c r="G42" s="422" t="s">
        <v>17</v>
      </c>
      <c r="H42" s="394" t="s">
        <v>153</v>
      </c>
      <c r="I42" s="423">
        <v>44634.0</v>
      </c>
      <c r="J42" s="422">
        <v>3.0</v>
      </c>
      <c r="K42" s="424" t="s">
        <v>19</v>
      </c>
      <c r="L42" s="316" t="s">
        <v>258</v>
      </c>
      <c r="M42" s="316">
        <f t="shared" si="1"/>
        <v>1900</v>
      </c>
      <c r="N42" s="25"/>
      <c r="O42" s="321">
        <v>2021.0</v>
      </c>
      <c r="P42" s="344">
        <f>COUNTIF($C$2:$C$680,"2021")</f>
        <v>123</v>
      </c>
      <c r="Q42" s="113"/>
      <c r="R42" s="114"/>
      <c r="S42" s="345">
        <f>(P42/P44)</f>
        <v>0.1886503067</v>
      </c>
      <c r="T42" s="25"/>
      <c r="U42" s="25"/>
      <c r="V42" s="25"/>
      <c r="W42" s="25"/>
      <c r="X42" s="25"/>
      <c r="Y42" s="25"/>
      <c r="Z42" s="25"/>
    </row>
    <row r="43" ht="15.0" customHeight="1">
      <c r="A43" s="425" t="s">
        <v>1007</v>
      </c>
      <c r="B43" s="426" t="s">
        <v>1008</v>
      </c>
      <c r="C43" s="426">
        <v>2016.0</v>
      </c>
      <c r="D43" s="431">
        <v>42648.0</v>
      </c>
      <c r="E43" s="428" t="s">
        <v>1009</v>
      </c>
      <c r="F43" s="428" t="s">
        <v>900</v>
      </c>
      <c r="G43" s="397" t="s">
        <v>17</v>
      </c>
      <c r="H43" s="397" t="s">
        <v>60</v>
      </c>
      <c r="I43" s="429">
        <v>44651.0</v>
      </c>
      <c r="J43" s="428">
        <v>3.0</v>
      </c>
      <c r="K43" s="430" t="s">
        <v>19</v>
      </c>
      <c r="L43" s="319" t="s">
        <v>256</v>
      </c>
      <c r="M43" s="319">
        <f t="shared" si="1"/>
        <v>2003</v>
      </c>
      <c r="N43" s="25"/>
      <c r="O43" s="322">
        <v>2022.0</v>
      </c>
      <c r="P43" s="346">
        <f>COUNTIF($C$2:$C$680,"2022")</f>
        <v>49</v>
      </c>
      <c r="Q43" s="113"/>
      <c r="R43" s="114"/>
      <c r="S43" s="343">
        <f>(P43/P44)</f>
        <v>0.07515337423</v>
      </c>
      <c r="T43" s="25"/>
      <c r="U43" s="25"/>
      <c r="V43" s="25"/>
      <c r="W43" s="25"/>
      <c r="X43" s="25"/>
      <c r="Y43" s="25"/>
      <c r="Z43" s="25"/>
    </row>
    <row r="44" ht="15.0" customHeight="1">
      <c r="A44" s="419" t="s">
        <v>1010</v>
      </c>
      <c r="B44" s="420" t="s">
        <v>1011</v>
      </c>
      <c r="C44" s="420">
        <v>2020.0</v>
      </c>
      <c r="D44" s="421">
        <v>44027.0</v>
      </c>
      <c r="E44" s="394" t="s">
        <v>1012</v>
      </c>
      <c r="F44" s="422" t="s">
        <v>765</v>
      </c>
      <c r="G44" s="422" t="s">
        <v>17</v>
      </c>
      <c r="H44" s="394" t="s">
        <v>934</v>
      </c>
      <c r="I44" s="423">
        <v>44651.0</v>
      </c>
      <c r="J44" s="422">
        <v>3.0</v>
      </c>
      <c r="K44" s="424" t="s">
        <v>19</v>
      </c>
      <c r="L44" s="316" t="s">
        <v>256</v>
      </c>
      <c r="M44" s="316">
        <f t="shared" si="1"/>
        <v>624</v>
      </c>
      <c r="N44" s="25"/>
      <c r="O44" s="348" t="s">
        <v>179</v>
      </c>
      <c r="P44" s="349">
        <f>SUM(P29:R43)</f>
        <v>652</v>
      </c>
      <c r="Q44" s="350"/>
      <c r="R44" s="351"/>
      <c r="S44" s="352">
        <f>SUM(S29:S43)</f>
        <v>1</v>
      </c>
      <c r="T44" s="25"/>
      <c r="U44" s="25"/>
      <c r="V44" s="25"/>
      <c r="W44" s="25"/>
      <c r="X44" s="25"/>
      <c r="Y44" s="25"/>
      <c r="Z44" s="25"/>
    </row>
    <row r="45" ht="15.0" customHeight="1">
      <c r="A45" s="425" t="s">
        <v>1013</v>
      </c>
      <c r="B45" s="426" t="s">
        <v>1014</v>
      </c>
      <c r="C45" s="426">
        <v>2014.0</v>
      </c>
      <c r="D45" s="431">
        <v>41800.0</v>
      </c>
      <c r="E45" s="428" t="s">
        <v>1015</v>
      </c>
      <c r="F45" s="428" t="s">
        <v>947</v>
      </c>
      <c r="G45" s="397" t="s">
        <v>17</v>
      </c>
      <c r="H45" s="397" t="s">
        <v>149</v>
      </c>
      <c r="I45" s="429">
        <v>44652.0</v>
      </c>
      <c r="J45" s="428">
        <v>4.0</v>
      </c>
      <c r="K45" s="430" t="s">
        <v>19</v>
      </c>
      <c r="L45" s="319" t="s">
        <v>258</v>
      </c>
      <c r="M45" s="319">
        <f t="shared" si="1"/>
        <v>2852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5.0" customHeight="1">
      <c r="A46" s="419" t="s">
        <v>1016</v>
      </c>
      <c r="B46" s="420" t="s">
        <v>1017</v>
      </c>
      <c r="C46" s="420">
        <v>2016.0</v>
      </c>
      <c r="D46" s="421">
        <v>42487.0</v>
      </c>
      <c r="E46" s="394" t="s">
        <v>1018</v>
      </c>
      <c r="F46" s="422" t="s">
        <v>167</v>
      </c>
      <c r="G46" s="422" t="s">
        <v>17</v>
      </c>
      <c r="H46" s="394" t="s">
        <v>50</v>
      </c>
      <c r="I46" s="423">
        <v>44652.0</v>
      </c>
      <c r="J46" s="422">
        <v>4.0</v>
      </c>
      <c r="K46" s="424" t="s">
        <v>19</v>
      </c>
      <c r="L46" s="316" t="s">
        <v>256</v>
      </c>
      <c r="M46" s="316">
        <f t="shared" si="1"/>
        <v>2165</v>
      </c>
      <c r="N46" s="25"/>
      <c r="O46" s="327" t="s">
        <v>692</v>
      </c>
      <c r="P46" s="102"/>
      <c r="Q46" s="102"/>
      <c r="R46" s="102"/>
      <c r="S46" s="103"/>
      <c r="T46" s="25"/>
      <c r="U46" s="25"/>
      <c r="V46" s="25"/>
      <c r="W46" s="25"/>
      <c r="X46" s="25"/>
      <c r="Y46" s="25"/>
      <c r="Z46" s="25"/>
    </row>
    <row r="47" ht="15.0" customHeight="1">
      <c r="A47" s="425" t="s">
        <v>1019</v>
      </c>
      <c r="B47" s="426" t="s">
        <v>1020</v>
      </c>
      <c r="C47" s="426">
        <v>2020.0</v>
      </c>
      <c r="D47" s="427">
        <v>44012.0</v>
      </c>
      <c r="E47" s="428" t="s">
        <v>1021</v>
      </c>
      <c r="F47" s="428" t="s">
        <v>666</v>
      </c>
      <c r="G47" s="397" t="s">
        <v>17</v>
      </c>
      <c r="H47" s="397" t="s">
        <v>587</v>
      </c>
      <c r="I47" s="429">
        <v>44652.0</v>
      </c>
      <c r="J47" s="428">
        <v>4.0</v>
      </c>
      <c r="K47" s="430" t="s">
        <v>19</v>
      </c>
      <c r="L47" s="319" t="s">
        <v>258</v>
      </c>
      <c r="M47" s="319">
        <f t="shared" si="1"/>
        <v>640</v>
      </c>
      <c r="N47" s="25"/>
      <c r="O47" s="104"/>
      <c r="P47" s="105"/>
      <c r="Q47" s="105"/>
      <c r="R47" s="105"/>
      <c r="S47" s="106"/>
      <c r="T47" s="25"/>
      <c r="U47" s="25"/>
      <c r="V47" s="25"/>
      <c r="W47" s="25"/>
      <c r="X47" s="25"/>
      <c r="Y47" s="25"/>
      <c r="Z47" s="25"/>
    </row>
    <row r="48" ht="15.0" customHeight="1">
      <c r="A48" s="419" t="s">
        <v>1022</v>
      </c>
      <c r="B48" s="420" t="s">
        <v>1023</v>
      </c>
      <c r="C48" s="420">
        <v>2014.0</v>
      </c>
      <c r="D48" s="421">
        <v>41879.0</v>
      </c>
      <c r="E48" s="394" t="s">
        <v>1024</v>
      </c>
      <c r="F48" s="422" t="s">
        <v>102</v>
      </c>
      <c r="G48" s="422" t="s">
        <v>17</v>
      </c>
      <c r="H48" s="394" t="s">
        <v>573</v>
      </c>
      <c r="I48" s="423">
        <v>44663.0</v>
      </c>
      <c r="J48" s="422">
        <v>4.0</v>
      </c>
      <c r="K48" s="424" t="s">
        <v>19</v>
      </c>
      <c r="L48" s="316" t="s">
        <v>258</v>
      </c>
      <c r="M48" s="316">
        <f t="shared" si="1"/>
        <v>2784</v>
      </c>
      <c r="N48" s="25"/>
      <c r="O48" s="337" t="s">
        <v>9</v>
      </c>
      <c r="P48" s="338" t="s">
        <v>107</v>
      </c>
      <c r="Q48" s="339"/>
      <c r="R48" s="340"/>
      <c r="S48" s="341" t="s">
        <v>108</v>
      </c>
      <c r="T48" s="25"/>
      <c r="U48" s="25"/>
      <c r="V48" s="25"/>
      <c r="W48" s="25"/>
      <c r="X48" s="25"/>
      <c r="Y48" s="25"/>
      <c r="Z48" s="25"/>
    </row>
    <row r="49" ht="15.0" customHeight="1">
      <c r="A49" s="425" t="s">
        <v>1025</v>
      </c>
      <c r="B49" s="426" t="s">
        <v>1026</v>
      </c>
      <c r="C49" s="426">
        <v>2018.0</v>
      </c>
      <c r="D49" s="431">
        <v>43323.0</v>
      </c>
      <c r="E49" s="428" t="s">
        <v>1027</v>
      </c>
      <c r="F49" s="428" t="s">
        <v>1028</v>
      </c>
      <c r="G49" s="397" t="s">
        <v>17</v>
      </c>
      <c r="H49" s="397" t="s">
        <v>573</v>
      </c>
      <c r="I49" s="429">
        <v>44663.0</v>
      </c>
      <c r="J49" s="428">
        <v>4.0</v>
      </c>
      <c r="K49" s="430" t="s">
        <v>19</v>
      </c>
      <c r="L49" s="319" t="s">
        <v>258</v>
      </c>
      <c r="M49" s="319">
        <f t="shared" si="1"/>
        <v>1340</v>
      </c>
      <c r="N49" s="25"/>
      <c r="O49" s="353" t="s">
        <v>195</v>
      </c>
      <c r="P49" s="342">
        <f>COUNTIF($J$2:$J$680,"1")</f>
        <v>38</v>
      </c>
      <c r="Q49" s="332"/>
      <c r="R49" s="333"/>
      <c r="S49" s="354">
        <f>(P49/P61)</f>
        <v>0.05828220859</v>
      </c>
      <c r="T49" s="25"/>
      <c r="U49" s="25"/>
      <c r="V49" s="25"/>
      <c r="W49" s="25"/>
      <c r="X49" s="25"/>
      <c r="Y49" s="25"/>
      <c r="Z49" s="25"/>
    </row>
    <row r="50" ht="15.0" customHeight="1">
      <c r="A50" s="419" t="s">
        <v>1029</v>
      </c>
      <c r="B50" s="420" t="s">
        <v>1030</v>
      </c>
      <c r="C50" s="420">
        <v>2015.0</v>
      </c>
      <c r="D50" s="432">
        <v>42013.0</v>
      </c>
      <c r="E50" s="394" t="s">
        <v>1031</v>
      </c>
      <c r="F50" s="422" t="s">
        <v>1032</v>
      </c>
      <c r="G50" s="422" t="s">
        <v>17</v>
      </c>
      <c r="H50" s="394" t="s">
        <v>573</v>
      </c>
      <c r="I50" s="423">
        <v>44663.0</v>
      </c>
      <c r="J50" s="422">
        <v>4.0</v>
      </c>
      <c r="K50" s="424" t="s">
        <v>19</v>
      </c>
      <c r="L50" s="316" t="s">
        <v>256</v>
      </c>
      <c r="M50" s="316">
        <f t="shared" si="1"/>
        <v>2650</v>
      </c>
      <c r="N50" s="25"/>
      <c r="O50" s="321" t="s">
        <v>197</v>
      </c>
      <c r="P50" s="344">
        <f>COUNTIF($J$2:$J$680,"2")</f>
        <v>52</v>
      </c>
      <c r="Q50" s="113"/>
      <c r="R50" s="114"/>
      <c r="S50" s="345">
        <f>(P50/P61)</f>
        <v>0.07975460123</v>
      </c>
      <c r="T50" s="25"/>
      <c r="U50" s="25"/>
      <c r="V50" s="25"/>
      <c r="W50" s="25"/>
      <c r="X50" s="25"/>
      <c r="Y50" s="25"/>
      <c r="Z50" s="25"/>
    </row>
    <row r="51" ht="15.0" customHeight="1">
      <c r="A51" s="425" t="s">
        <v>1033</v>
      </c>
      <c r="B51" s="426" t="s">
        <v>1034</v>
      </c>
      <c r="C51" s="426">
        <v>2014.0</v>
      </c>
      <c r="D51" s="431">
        <v>41709.0</v>
      </c>
      <c r="E51" s="428" t="s">
        <v>1035</v>
      </c>
      <c r="F51" s="428" t="s">
        <v>666</v>
      </c>
      <c r="G51" s="397" t="s">
        <v>17</v>
      </c>
      <c r="H51" s="397" t="s">
        <v>163</v>
      </c>
      <c r="I51" s="429">
        <v>44663.0</v>
      </c>
      <c r="J51" s="428">
        <v>4.0</v>
      </c>
      <c r="K51" s="430" t="s">
        <v>19</v>
      </c>
      <c r="L51" s="319" t="s">
        <v>258</v>
      </c>
      <c r="M51" s="319">
        <f t="shared" si="1"/>
        <v>2954</v>
      </c>
      <c r="N51" s="25"/>
      <c r="O51" s="322" t="s">
        <v>199</v>
      </c>
      <c r="P51" s="346">
        <f>COUNTIF($J$2:$J$680,"3")</f>
        <v>23</v>
      </c>
      <c r="Q51" s="113"/>
      <c r="R51" s="114"/>
      <c r="S51" s="343">
        <f>(P51/P61)</f>
        <v>0.03527607362</v>
      </c>
      <c r="T51" s="25"/>
      <c r="U51" s="25"/>
      <c r="V51" s="25"/>
      <c r="W51" s="25"/>
      <c r="X51" s="25"/>
      <c r="Y51" s="25"/>
      <c r="Z51" s="25"/>
    </row>
    <row r="52" ht="15.0" customHeight="1">
      <c r="A52" s="419" t="s">
        <v>1036</v>
      </c>
      <c r="B52" s="420" t="s">
        <v>1037</v>
      </c>
      <c r="C52" s="420">
        <v>2014.0</v>
      </c>
      <c r="D52" s="421">
        <v>41988.0</v>
      </c>
      <c r="E52" s="394" t="s">
        <v>1038</v>
      </c>
      <c r="F52" s="422" t="s">
        <v>1039</v>
      </c>
      <c r="G52" s="422" t="s">
        <v>17</v>
      </c>
      <c r="H52" s="394" t="s">
        <v>66</v>
      </c>
      <c r="I52" s="423">
        <v>44663.0</v>
      </c>
      <c r="J52" s="422">
        <v>4.0</v>
      </c>
      <c r="K52" s="424" t="s">
        <v>19</v>
      </c>
      <c r="L52" s="316" t="s">
        <v>258</v>
      </c>
      <c r="M52" s="316">
        <f t="shared" si="1"/>
        <v>2675</v>
      </c>
      <c r="N52" s="25"/>
      <c r="O52" s="321" t="s">
        <v>201</v>
      </c>
      <c r="P52" s="344">
        <f>COUNTIF($J$2:$J$680,"4")</f>
        <v>54</v>
      </c>
      <c r="Q52" s="113"/>
      <c r="R52" s="114"/>
      <c r="S52" s="345">
        <f>(P52/P61)</f>
        <v>0.08282208589</v>
      </c>
      <c r="T52" s="25"/>
      <c r="U52" s="25"/>
      <c r="V52" s="25"/>
      <c r="W52" s="25"/>
      <c r="X52" s="25"/>
      <c r="Y52" s="25"/>
      <c r="Z52" s="25"/>
    </row>
    <row r="53" ht="15.0" customHeight="1">
      <c r="A53" s="425" t="s">
        <v>1040</v>
      </c>
      <c r="B53" s="426" t="s">
        <v>1041</v>
      </c>
      <c r="C53" s="426">
        <v>2015.0</v>
      </c>
      <c r="D53" s="431">
        <v>42160.0</v>
      </c>
      <c r="E53" s="428" t="s">
        <v>1042</v>
      </c>
      <c r="F53" s="428" t="s">
        <v>666</v>
      </c>
      <c r="G53" s="397" t="s">
        <v>17</v>
      </c>
      <c r="H53" s="397" t="s">
        <v>66</v>
      </c>
      <c r="I53" s="429">
        <v>44663.0</v>
      </c>
      <c r="J53" s="428">
        <v>4.0</v>
      </c>
      <c r="K53" s="430" t="s">
        <v>19</v>
      </c>
      <c r="L53" s="319" t="s">
        <v>258</v>
      </c>
      <c r="M53" s="319">
        <f t="shared" si="1"/>
        <v>2503</v>
      </c>
      <c r="N53" s="25"/>
      <c r="O53" s="322" t="s">
        <v>203</v>
      </c>
      <c r="P53" s="346">
        <f>COUNTIF($J$2:$J$680,"5")</f>
        <v>99</v>
      </c>
      <c r="Q53" s="113"/>
      <c r="R53" s="114"/>
      <c r="S53" s="343">
        <f>(P53/P61)</f>
        <v>0.1518404908</v>
      </c>
      <c r="T53" s="25"/>
      <c r="U53" s="25"/>
      <c r="V53" s="25"/>
      <c r="W53" s="25"/>
      <c r="X53" s="25"/>
      <c r="Y53" s="25"/>
      <c r="Z53" s="25"/>
    </row>
    <row r="54" ht="15.0" customHeight="1">
      <c r="A54" s="419" t="s">
        <v>1043</v>
      </c>
      <c r="B54" s="420" t="s">
        <v>1044</v>
      </c>
      <c r="C54" s="420">
        <v>2018.0</v>
      </c>
      <c r="D54" s="432">
        <v>43283.0</v>
      </c>
      <c r="E54" s="394" t="s">
        <v>1045</v>
      </c>
      <c r="F54" s="422" t="s">
        <v>666</v>
      </c>
      <c r="G54" s="422" t="s">
        <v>17</v>
      </c>
      <c r="H54" s="394" t="s">
        <v>1046</v>
      </c>
      <c r="I54" s="423">
        <v>44663.0</v>
      </c>
      <c r="J54" s="422">
        <v>4.0</v>
      </c>
      <c r="K54" s="424" t="s">
        <v>19</v>
      </c>
      <c r="L54" s="316" t="s">
        <v>258</v>
      </c>
      <c r="M54" s="316">
        <f t="shared" si="1"/>
        <v>1380</v>
      </c>
      <c r="N54" s="25"/>
      <c r="O54" s="321" t="s">
        <v>205</v>
      </c>
      <c r="P54" s="344">
        <f>COUNTIF($J$2:$J$680,"6")</f>
        <v>50</v>
      </c>
      <c r="Q54" s="113"/>
      <c r="R54" s="114"/>
      <c r="S54" s="345">
        <f>(P54/P61)</f>
        <v>0.07668711656</v>
      </c>
      <c r="T54" s="25"/>
      <c r="U54" s="25"/>
      <c r="V54" s="25"/>
      <c r="W54" s="25"/>
      <c r="X54" s="25"/>
      <c r="Y54" s="25"/>
      <c r="Z54" s="25"/>
    </row>
    <row r="55" ht="15.0" customHeight="1">
      <c r="A55" s="425" t="s">
        <v>1047</v>
      </c>
      <c r="B55" s="426" t="s">
        <v>1048</v>
      </c>
      <c r="C55" s="426">
        <v>2015.0</v>
      </c>
      <c r="D55" s="427">
        <v>42360.0</v>
      </c>
      <c r="E55" s="428" t="s">
        <v>1049</v>
      </c>
      <c r="F55" s="428" t="s">
        <v>178</v>
      </c>
      <c r="G55" s="397" t="s">
        <v>17</v>
      </c>
      <c r="H55" s="397" t="s">
        <v>97</v>
      </c>
      <c r="I55" s="429">
        <v>44663.0</v>
      </c>
      <c r="J55" s="428">
        <v>4.0</v>
      </c>
      <c r="K55" s="430" t="s">
        <v>19</v>
      </c>
      <c r="L55" s="319" t="s">
        <v>256</v>
      </c>
      <c r="M55" s="319">
        <f t="shared" si="1"/>
        <v>2303</v>
      </c>
      <c r="N55" s="25"/>
      <c r="O55" s="322" t="s">
        <v>207</v>
      </c>
      <c r="P55" s="346">
        <f>COUNTIF($J$2:$J$680,"7")</f>
        <v>53</v>
      </c>
      <c r="Q55" s="113"/>
      <c r="R55" s="114"/>
      <c r="S55" s="343">
        <f>(P55/P61)</f>
        <v>0.08128834356</v>
      </c>
      <c r="T55" s="25"/>
      <c r="U55" s="25"/>
      <c r="V55" s="25"/>
      <c r="W55" s="25"/>
      <c r="X55" s="25"/>
      <c r="Y55" s="25"/>
      <c r="Z55" s="25"/>
    </row>
    <row r="56" ht="15.0" customHeight="1">
      <c r="A56" s="419" t="s">
        <v>1050</v>
      </c>
      <c r="B56" s="420" t="s">
        <v>1051</v>
      </c>
      <c r="C56" s="420">
        <v>2021.0</v>
      </c>
      <c r="D56" s="421">
        <v>44224.0</v>
      </c>
      <c r="E56" s="394" t="s">
        <v>1052</v>
      </c>
      <c r="F56" s="422" t="s">
        <v>1053</v>
      </c>
      <c r="G56" s="422" t="s">
        <v>17</v>
      </c>
      <c r="H56" s="394" t="s">
        <v>26</v>
      </c>
      <c r="I56" s="423">
        <v>44663.0</v>
      </c>
      <c r="J56" s="422">
        <v>4.0</v>
      </c>
      <c r="K56" s="424" t="s">
        <v>19</v>
      </c>
      <c r="L56" s="316" t="s">
        <v>256</v>
      </c>
      <c r="M56" s="316">
        <f t="shared" si="1"/>
        <v>439</v>
      </c>
      <c r="N56" s="42"/>
      <c r="O56" s="321" t="s">
        <v>209</v>
      </c>
      <c r="P56" s="344">
        <f>COUNTIF($J$2:$J$680,"8")</f>
        <v>74</v>
      </c>
      <c r="Q56" s="113"/>
      <c r="R56" s="114"/>
      <c r="S56" s="345">
        <f>(P56/P61)</f>
        <v>0.1134969325</v>
      </c>
      <c r="T56" s="25"/>
      <c r="U56" s="25"/>
      <c r="V56" s="25"/>
      <c r="W56" s="25"/>
      <c r="X56" s="25"/>
      <c r="Y56" s="25"/>
      <c r="Z56" s="25"/>
    </row>
    <row r="57" ht="15.0" customHeight="1">
      <c r="A57" s="425" t="s">
        <v>1054</v>
      </c>
      <c r="B57" s="426" t="s">
        <v>1055</v>
      </c>
      <c r="C57" s="426">
        <v>2015.0</v>
      </c>
      <c r="D57" s="427">
        <v>42048.0</v>
      </c>
      <c r="E57" s="428" t="s">
        <v>1056</v>
      </c>
      <c r="F57" s="428" t="s">
        <v>666</v>
      </c>
      <c r="G57" s="397" t="s">
        <v>17</v>
      </c>
      <c r="H57" s="397" t="s">
        <v>583</v>
      </c>
      <c r="I57" s="429">
        <v>44663.0</v>
      </c>
      <c r="J57" s="428">
        <v>4.0</v>
      </c>
      <c r="K57" s="430" t="s">
        <v>19</v>
      </c>
      <c r="L57" s="319" t="s">
        <v>258</v>
      </c>
      <c r="M57" s="319">
        <f t="shared" si="1"/>
        <v>2615</v>
      </c>
      <c r="N57" s="25"/>
      <c r="O57" s="322" t="s">
        <v>211</v>
      </c>
      <c r="P57" s="346">
        <f>COUNTIF($J$2:$J$680,"9")</f>
        <v>19</v>
      </c>
      <c r="Q57" s="113"/>
      <c r="R57" s="114"/>
      <c r="S57" s="343">
        <f>(P57/P61)</f>
        <v>0.02914110429</v>
      </c>
      <c r="T57" s="25"/>
      <c r="U57" s="25"/>
      <c r="V57" s="25"/>
      <c r="W57" s="25"/>
      <c r="X57" s="25"/>
      <c r="Y57" s="25"/>
      <c r="Z57" s="25"/>
    </row>
    <row r="58" ht="15.0" customHeight="1">
      <c r="A58" s="419" t="s">
        <v>1057</v>
      </c>
      <c r="B58" s="420" t="s">
        <v>1058</v>
      </c>
      <c r="C58" s="420">
        <v>2016.0</v>
      </c>
      <c r="D58" s="421">
        <v>42388.0</v>
      </c>
      <c r="E58" s="394" t="s">
        <v>1059</v>
      </c>
      <c r="F58" s="422" t="s">
        <v>666</v>
      </c>
      <c r="G58" s="422" t="s">
        <v>17</v>
      </c>
      <c r="H58" s="394" t="s">
        <v>77</v>
      </c>
      <c r="I58" s="423">
        <v>44663.0</v>
      </c>
      <c r="J58" s="422">
        <v>4.0</v>
      </c>
      <c r="K58" s="424" t="s">
        <v>19</v>
      </c>
      <c r="L58" s="316" t="s">
        <v>258</v>
      </c>
      <c r="M58" s="316">
        <f t="shared" si="1"/>
        <v>2275</v>
      </c>
      <c r="N58" s="25"/>
      <c r="O58" s="321" t="s">
        <v>213</v>
      </c>
      <c r="P58" s="344">
        <f>COUNTIF($J$2:$J$680,"10")</f>
        <v>30</v>
      </c>
      <c r="Q58" s="113"/>
      <c r="R58" s="114"/>
      <c r="S58" s="345">
        <f>(P58/P61)</f>
        <v>0.04601226994</v>
      </c>
      <c r="T58" s="25"/>
      <c r="U58" s="25"/>
      <c r="V58" s="25"/>
      <c r="W58" s="25"/>
      <c r="X58" s="25"/>
      <c r="Y58" s="25"/>
      <c r="Z58" s="25"/>
    </row>
    <row r="59" ht="15.0" customHeight="1">
      <c r="A59" s="425" t="s">
        <v>1060</v>
      </c>
      <c r="B59" s="426" t="s">
        <v>1061</v>
      </c>
      <c r="C59" s="426">
        <v>2020.0</v>
      </c>
      <c r="D59" s="427">
        <v>43888.0</v>
      </c>
      <c r="E59" s="428" t="s">
        <v>1062</v>
      </c>
      <c r="F59" s="428" t="s">
        <v>1063</v>
      </c>
      <c r="G59" s="397" t="s">
        <v>17</v>
      </c>
      <c r="H59" s="397" t="s">
        <v>26</v>
      </c>
      <c r="I59" s="429">
        <v>44663.0</v>
      </c>
      <c r="J59" s="428">
        <v>4.0</v>
      </c>
      <c r="K59" s="430" t="s">
        <v>19</v>
      </c>
      <c r="L59" s="319" t="s">
        <v>256</v>
      </c>
      <c r="M59" s="319">
        <f t="shared" si="1"/>
        <v>775</v>
      </c>
      <c r="N59" s="25"/>
      <c r="O59" s="322" t="s">
        <v>215</v>
      </c>
      <c r="P59" s="346">
        <f>COUNTIF($J$2:$J$680,"11")</f>
        <v>66</v>
      </c>
      <c r="Q59" s="113"/>
      <c r="R59" s="114"/>
      <c r="S59" s="343">
        <f>(P59/P61)</f>
        <v>0.1012269939</v>
      </c>
      <c r="T59" s="25"/>
      <c r="U59" s="25"/>
      <c r="V59" s="25"/>
      <c r="W59" s="25"/>
      <c r="X59" s="25"/>
      <c r="Y59" s="25"/>
      <c r="Z59" s="25"/>
    </row>
    <row r="60" ht="15.0" customHeight="1">
      <c r="A60" s="419" t="s">
        <v>1064</v>
      </c>
      <c r="B60" s="420" t="s">
        <v>1065</v>
      </c>
      <c r="C60" s="420">
        <v>2020.0</v>
      </c>
      <c r="D60" s="421">
        <v>44070.0</v>
      </c>
      <c r="E60" s="394" t="s">
        <v>1066</v>
      </c>
      <c r="F60" s="422" t="s">
        <v>1067</v>
      </c>
      <c r="G60" s="422" t="s">
        <v>17</v>
      </c>
      <c r="H60" s="394" t="s">
        <v>727</v>
      </c>
      <c r="I60" s="423">
        <v>44663.0</v>
      </c>
      <c r="J60" s="422">
        <v>4.0</v>
      </c>
      <c r="K60" s="424" t="s">
        <v>19</v>
      </c>
      <c r="L60" s="316" t="s">
        <v>258</v>
      </c>
      <c r="M60" s="316">
        <f t="shared" si="1"/>
        <v>593</v>
      </c>
      <c r="N60" s="25"/>
      <c r="O60" s="355" t="s">
        <v>217</v>
      </c>
      <c r="P60" s="344">
        <f>COUNTIF($J$2:$J$680,"12")</f>
        <v>94</v>
      </c>
      <c r="Q60" s="113"/>
      <c r="R60" s="114"/>
      <c r="S60" s="356">
        <f>(P60/P61)</f>
        <v>0.1441717791</v>
      </c>
      <c r="T60" s="25"/>
      <c r="U60" s="25"/>
      <c r="V60" s="25"/>
      <c r="W60" s="25"/>
      <c r="X60" s="25"/>
      <c r="Y60" s="25"/>
      <c r="Z60" s="25"/>
    </row>
    <row r="61" ht="15.0" customHeight="1">
      <c r="A61" s="425" t="s">
        <v>1068</v>
      </c>
      <c r="B61" s="426" t="s">
        <v>1069</v>
      </c>
      <c r="C61" s="426">
        <v>2019.0</v>
      </c>
      <c r="D61" s="431">
        <v>43627.0</v>
      </c>
      <c r="E61" s="428" t="s">
        <v>1070</v>
      </c>
      <c r="F61" s="428" t="s">
        <v>994</v>
      </c>
      <c r="G61" s="397" t="s">
        <v>17</v>
      </c>
      <c r="H61" s="397" t="s">
        <v>72</v>
      </c>
      <c r="I61" s="429">
        <v>44663.0</v>
      </c>
      <c r="J61" s="428">
        <v>4.0</v>
      </c>
      <c r="K61" s="430" t="s">
        <v>19</v>
      </c>
      <c r="L61" s="319" t="s">
        <v>258</v>
      </c>
      <c r="M61" s="319">
        <f t="shared" si="1"/>
        <v>1036</v>
      </c>
      <c r="N61" s="25"/>
      <c r="O61" s="348" t="s">
        <v>219</v>
      </c>
      <c r="P61" s="349">
        <f>SUM(P49:R60)</f>
        <v>652</v>
      </c>
      <c r="Q61" s="350"/>
      <c r="R61" s="351"/>
      <c r="S61" s="352">
        <f>SUM(S49:S60)</f>
        <v>1</v>
      </c>
      <c r="T61" s="25"/>
      <c r="U61" s="25"/>
      <c r="V61" s="25"/>
      <c r="W61" s="25"/>
      <c r="X61" s="25"/>
      <c r="Y61" s="25"/>
      <c r="Z61" s="25"/>
    </row>
    <row r="62" ht="15.0" customHeight="1">
      <c r="A62" s="419" t="s">
        <v>1071</v>
      </c>
      <c r="B62" s="420" t="s">
        <v>1072</v>
      </c>
      <c r="C62" s="420">
        <v>2013.0</v>
      </c>
      <c r="D62" s="421">
        <v>41627.0</v>
      </c>
      <c r="E62" s="394" t="s">
        <v>1073</v>
      </c>
      <c r="F62" s="422" t="s">
        <v>1032</v>
      </c>
      <c r="G62" s="422" t="s">
        <v>17</v>
      </c>
      <c r="H62" s="394" t="s">
        <v>153</v>
      </c>
      <c r="I62" s="423">
        <v>44663.0</v>
      </c>
      <c r="J62" s="422">
        <v>4.0</v>
      </c>
      <c r="K62" s="424" t="s">
        <v>19</v>
      </c>
      <c r="L62" s="316" t="s">
        <v>256</v>
      </c>
      <c r="M62" s="316">
        <f t="shared" si="1"/>
        <v>3036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0" customHeight="1">
      <c r="A63" s="425" t="s">
        <v>1074</v>
      </c>
      <c r="B63" s="426" t="s">
        <v>1075</v>
      </c>
      <c r="C63" s="426">
        <v>2017.0</v>
      </c>
      <c r="D63" s="427">
        <v>43095.0</v>
      </c>
      <c r="E63" s="428" t="s">
        <v>1076</v>
      </c>
      <c r="F63" s="428" t="s">
        <v>1053</v>
      </c>
      <c r="G63" s="397" t="s">
        <v>17</v>
      </c>
      <c r="H63" s="397" t="s">
        <v>587</v>
      </c>
      <c r="I63" s="429">
        <v>44663.0</v>
      </c>
      <c r="J63" s="428">
        <v>4.0</v>
      </c>
      <c r="K63" s="430" t="s">
        <v>19</v>
      </c>
      <c r="L63" s="319" t="s">
        <v>256</v>
      </c>
      <c r="M63" s="319">
        <f t="shared" si="1"/>
        <v>1568</v>
      </c>
      <c r="N63" s="25"/>
      <c r="O63" s="357" t="s">
        <v>222</v>
      </c>
      <c r="P63" s="102"/>
      <c r="Q63" s="102"/>
      <c r="R63" s="102"/>
      <c r="S63" s="102"/>
      <c r="T63" s="103"/>
      <c r="U63" s="25"/>
      <c r="V63" s="25"/>
      <c r="W63" s="25"/>
      <c r="X63" s="25"/>
      <c r="Y63" s="25"/>
      <c r="Z63" s="25"/>
    </row>
    <row r="64" ht="15.0" customHeight="1">
      <c r="A64" s="419" t="s">
        <v>1077</v>
      </c>
      <c r="B64" s="420" t="s">
        <v>1078</v>
      </c>
      <c r="C64" s="420">
        <v>2016.0</v>
      </c>
      <c r="D64" s="421">
        <v>42635.0</v>
      </c>
      <c r="E64" s="394" t="s">
        <v>1079</v>
      </c>
      <c r="F64" s="422" t="s">
        <v>1053</v>
      </c>
      <c r="G64" s="422" t="s">
        <v>17</v>
      </c>
      <c r="H64" s="394" t="s">
        <v>60</v>
      </c>
      <c r="I64" s="423">
        <v>44663.0</v>
      </c>
      <c r="J64" s="422">
        <v>4.0</v>
      </c>
      <c r="K64" s="424" t="s">
        <v>19</v>
      </c>
      <c r="L64" s="316" t="s">
        <v>256</v>
      </c>
      <c r="M64" s="316">
        <f t="shared" si="1"/>
        <v>2028</v>
      </c>
      <c r="N64" s="25"/>
      <c r="O64" s="104"/>
      <c r="P64" s="105"/>
      <c r="Q64" s="105"/>
      <c r="R64" s="105"/>
      <c r="S64" s="105"/>
      <c r="T64" s="106"/>
      <c r="U64" s="25"/>
      <c r="V64" s="25"/>
      <c r="W64" s="25"/>
      <c r="X64" s="25"/>
      <c r="Y64" s="25"/>
      <c r="Z64" s="25"/>
    </row>
    <row r="65" ht="15.0" customHeight="1">
      <c r="A65" s="425" t="s">
        <v>1080</v>
      </c>
      <c r="B65" s="426" t="s">
        <v>1081</v>
      </c>
      <c r="C65" s="426">
        <v>2015.0</v>
      </c>
      <c r="D65" s="427">
        <v>42118.0</v>
      </c>
      <c r="E65" s="428" t="s">
        <v>1082</v>
      </c>
      <c r="F65" s="428" t="s">
        <v>1083</v>
      </c>
      <c r="G65" s="397" t="s">
        <v>17</v>
      </c>
      <c r="H65" s="397" t="s">
        <v>1084</v>
      </c>
      <c r="I65" s="429">
        <v>44663.0</v>
      </c>
      <c r="J65" s="428">
        <v>4.0</v>
      </c>
      <c r="K65" s="430" t="s">
        <v>19</v>
      </c>
      <c r="L65" s="319" t="s">
        <v>256</v>
      </c>
      <c r="M65" s="319">
        <f t="shared" si="1"/>
        <v>2545</v>
      </c>
      <c r="N65" s="42"/>
      <c r="O65" s="358" t="s">
        <v>225</v>
      </c>
      <c r="P65" s="359"/>
      <c r="Q65" s="359"/>
      <c r="R65" s="360"/>
      <c r="S65" s="520" t="s">
        <v>226</v>
      </c>
      <c r="T65" s="521" t="s">
        <v>108</v>
      </c>
      <c r="U65" s="25"/>
      <c r="V65" s="25"/>
      <c r="W65" s="25"/>
      <c r="X65" s="25"/>
      <c r="Y65" s="25"/>
      <c r="Z65" s="25"/>
    </row>
    <row r="66" ht="15.0" customHeight="1">
      <c r="A66" s="419" t="s">
        <v>1085</v>
      </c>
      <c r="B66" s="420" t="s">
        <v>1086</v>
      </c>
      <c r="C66" s="420">
        <v>2020.0</v>
      </c>
      <c r="D66" s="421">
        <v>44162.0</v>
      </c>
      <c r="E66" s="394" t="s">
        <v>1087</v>
      </c>
      <c r="F66" s="422" t="s">
        <v>1067</v>
      </c>
      <c r="G66" s="422" t="s">
        <v>17</v>
      </c>
      <c r="H66" s="394" t="s">
        <v>727</v>
      </c>
      <c r="I66" s="423">
        <v>44663.0</v>
      </c>
      <c r="J66" s="422">
        <v>4.0</v>
      </c>
      <c r="K66" s="424" t="s">
        <v>19</v>
      </c>
      <c r="L66" s="316" t="s">
        <v>258</v>
      </c>
      <c r="M66" s="316">
        <f t="shared" si="1"/>
        <v>501</v>
      </c>
      <c r="N66" s="25"/>
      <c r="O66" s="522" t="s">
        <v>228</v>
      </c>
      <c r="P66" s="523"/>
      <c r="Q66" s="523"/>
      <c r="R66" s="524"/>
      <c r="S66" s="365">
        <f>COUNTIF($K$2:$K$680,"I - Extremamente tóxico")</f>
        <v>1</v>
      </c>
      <c r="T66" s="366">
        <f>(S66/S78)</f>
        <v>0.001533742331</v>
      </c>
      <c r="U66" s="25"/>
      <c r="V66" s="25"/>
      <c r="W66" s="25"/>
      <c r="X66" s="25"/>
      <c r="Y66" s="25"/>
      <c r="Z66" s="25"/>
    </row>
    <row r="67" ht="15.0" customHeight="1">
      <c r="A67" s="425" t="s">
        <v>1088</v>
      </c>
      <c r="B67" s="426" t="s">
        <v>1089</v>
      </c>
      <c r="C67" s="426">
        <v>2020.0</v>
      </c>
      <c r="D67" s="427">
        <v>43889.0</v>
      </c>
      <c r="E67" s="428" t="s">
        <v>1090</v>
      </c>
      <c r="F67" s="428" t="s">
        <v>1053</v>
      </c>
      <c r="G67" s="397" t="s">
        <v>17</v>
      </c>
      <c r="H67" s="397" t="s">
        <v>1091</v>
      </c>
      <c r="I67" s="429">
        <v>44708.0</v>
      </c>
      <c r="J67" s="428">
        <v>5.0</v>
      </c>
      <c r="K67" s="430" t="s">
        <v>19</v>
      </c>
      <c r="L67" s="319" t="s">
        <v>256</v>
      </c>
      <c r="M67" s="319">
        <f t="shared" si="1"/>
        <v>819</v>
      </c>
      <c r="N67" s="25"/>
      <c r="O67" s="367" t="s">
        <v>230</v>
      </c>
      <c r="P67" s="368"/>
      <c r="Q67" s="368"/>
      <c r="R67" s="369"/>
      <c r="S67" s="370">
        <f>COUNTIF($K$2:$K$680,"Categoria 1 - Produto Extremamente Tóxico")</f>
        <v>1</v>
      </c>
      <c r="T67" s="371">
        <f>(S67/S78)</f>
        <v>0.001533742331</v>
      </c>
      <c r="U67" s="25"/>
      <c r="V67" s="25"/>
      <c r="W67" s="25"/>
      <c r="X67" s="25"/>
      <c r="Y67" s="25"/>
      <c r="Z67" s="25"/>
    </row>
    <row r="68" ht="15.0" customHeight="1">
      <c r="A68" s="419" t="s">
        <v>1092</v>
      </c>
      <c r="B68" s="420" t="s">
        <v>1093</v>
      </c>
      <c r="C68" s="420">
        <v>2020.0</v>
      </c>
      <c r="D68" s="421">
        <v>44011.0</v>
      </c>
      <c r="E68" s="394" t="s">
        <v>1094</v>
      </c>
      <c r="F68" s="422" t="s">
        <v>16</v>
      </c>
      <c r="G68" s="422" t="s">
        <v>17</v>
      </c>
      <c r="H68" s="394" t="s">
        <v>1091</v>
      </c>
      <c r="I68" s="423">
        <v>44708.0</v>
      </c>
      <c r="J68" s="422">
        <v>5.0</v>
      </c>
      <c r="K68" s="424" t="s">
        <v>19</v>
      </c>
      <c r="L68" s="316" t="s">
        <v>256</v>
      </c>
      <c r="M68" s="316">
        <f t="shared" si="1"/>
        <v>697</v>
      </c>
      <c r="N68" s="25"/>
      <c r="O68" s="367" t="s">
        <v>232</v>
      </c>
      <c r="P68" s="368"/>
      <c r="Q68" s="368"/>
      <c r="R68" s="369"/>
      <c r="S68" s="370">
        <f>COUNTIF($K$2:$K$680,"Categoria 2 - Produto Altamente Tóxico")</f>
        <v>10</v>
      </c>
      <c r="T68" s="371">
        <f>(S68/S78)</f>
        <v>0.01533742331</v>
      </c>
      <c r="U68" s="25"/>
      <c r="V68" s="25"/>
      <c r="W68" s="25"/>
      <c r="X68" s="25"/>
      <c r="Y68" s="25"/>
      <c r="Z68" s="25"/>
    </row>
    <row r="69" ht="15.0" customHeight="1">
      <c r="A69" s="425" t="s">
        <v>1095</v>
      </c>
      <c r="B69" s="426" t="s">
        <v>1096</v>
      </c>
      <c r="C69" s="426">
        <v>2015.0</v>
      </c>
      <c r="D69" s="431">
        <v>42014.0</v>
      </c>
      <c r="E69" s="428" t="s">
        <v>1097</v>
      </c>
      <c r="F69" s="428" t="s">
        <v>1067</v>
      </c>
      <c r="G69" s="397" t="s">
        <v>17</v>
      </c>
      <c r="H69" s="397" t="s">
        <v>573</v>
      </c>
      <c r="I69" s="429">
        <v>44708.0</v>
      </c>
      <c r="J69" s="428">
        <v>5.0</v>
      </c>
      <c r="K69" s="430" t="s">
        <v>19</v>
      </c>
      <c r="L69" s="319" t="s">
        <v>258</v>
      </c>
      <c r="M69" s="319">
        <f t="shared" si="1"/>
        <v>2694</v>
      </c>
      <c r="N69" s="25"/>
      <c r="O69" s="372" t="s">
        <v>234</v>
      </c>
      <c r="P69" s="368"/>
      <c r="Q69" s="368"/>
      <c r="R69" s="369"/>
      <c r="S69" s="373">
        <f>COUNTIF($K$2:$K$680,"II - Altamente tóxico")</f>
        <v>0</v>
      </c>
      <c r="T69" s="374">
        <f>(S69/S78)</f>
        <v>0</v>
      </c>
      <c r="U69" s="25"/>
      <c r="V69" s="25"/>
      <c r="W69" s="25"/>
      <c r="X69" s="25"/>
      <c r="Y69" s="25"/>
      <c r="Z69" s="25"/>
    </row>
    <row r="70" ht="15.0" customHeight="1">
      <c r="A70" s="419" t="s">
        <v>1098</v>
      </c>
      <c r="B70" s="420" t="s">
        <v>1099</v>
      </c>
      <c r="C70" s="420">
        <v>2017.0</v>
      </c>
      <c r="D70" s="421">
        <v>42972.0</v>
      </c>
      <c r="E70" s="394" t="s">
        <v>1100</v>
      </c>
      <c r="F70" s="422" t="s">
        <v>178</v>
      </c>
      <c r="G70" s="422" t="s">
        <v>17</v>
      </c>
      <c r="H70" s="394" t="s">
        <v>573</v>
      </c>
      <c r="I70" s="423">
        <v>44708.0</v>
      </c>
      <c r="J70" s="422">
        <v>5.0</v>
      </c>
      <c r="K70" s="424" t="s">
        <v>19</v>
      </c>
      <c r="L70" s="316" t="s">
        <v>256</v>
      </c>
      <c r="M70" s="316">
        <f t="shared" si="1"/>
        <v>1736</v>
      </c>
      <c r="N70" s="25"/>
      <c r="O70" s="372" t="s">
        <v>236</v>
      </c>
      <c r="P70" s="368"/>
      <c r="Q70" s="368"/>
      <c r="R70" s="369"/>
      <c r="S70" s="373">
        <f>COUNTIF($K$2:$K$680,"Categoria 3 - Produto Moderadamente Tóxico")</f>
        <v>20</v>
      </c>
      <c r="T70" s="374">
        <f>(S70/S78)</f>
        <v>0.03067484663</v>
      </c>
      <c r="U70" s="25"/>
      <c r="V70" s="25"/>
      <c r="W70" s="25"/>
      <c r="X70" s="25"/>
      <c r="Y70" s="25"/>
      <c r="Z70" s="25"/>
    </row>
    <row r="71" ht="15.0" customHeight="1">
      <c r="A71" s="425" t="s">
        <v>1101</v>
      </c>
      <c r="B71" s="426" t="s">
        <v>1102</v>
      </c>
      <c r="C71" s="426">
        <v>2015.0</v>
      </c>
      <c r="D71" s="431">
        <v>42102.0</v>
      </c>
      <c r="E71" s="428" t="s">
        <v>1103</v>
      </c>
      <c r="F71" s="428" t="s">
        <v>1104</v>
      </c>
      <c r="G71" s="397" t="s">
        <v>17</v>
      </c>
      <c r="H71" s="397" t="s">
        <v>740</v>
      </c>
      <c r="I71" s="429">
        <v>44708.0</v>
      </c>
      <c r="J71" s="428">
        <v>5.0</v>
      </c>
      <c r="K71" s="430" t="s">
        <v>19</v>
      </c>
      <c r="L71" s="319" t="s">
        <v>840</v>
      </c>
      <c r="M71" s="319">
        <f t="shared" si="1"/>
        <v>2606</v>
      </c>
      <c r="N71" s="25"/>
      <c r="O71" s="375" t="s">
        <v>238</v>
      </c>
      <c r="P71" s="368"/>
      <c r="Q71" s="368"/>
      <c r="R71" s="369"/>
      <c r="S71" s="376">
        <f>COUNTIF($K$2:$K$680,"III - Medianamente tóxico")</f>
        <v>5</v>
      </c>
      <c r="T71" s="377">
        <f>(S71/S78)</f>
        <v>0.007668711656</v>
      </c>
      <c r="U71" s="25"/>
      <c r="V71" s="25"/>
      <c r="W71" s="25"/>
      <c r="X71" s="25"/>
      <c r="Y71" s="25"/>
      <c r="Z71" s="25"/>
    </row>
    <row r="72" ht="15.0" customHeight="1">
      <c r="A72" s="419" t="s">
        <v>1105</v>
      </c>
      <c r="B72" s="420" t="s">
        <v>1106</v>
      </c>
      <c r="C72" s="420">
        <v>2021.0</v>
      </c>
      <c r="D72" s="421">
        <v>44337.0</v>
      </c>
      <c r="E72" s="394" t="s">
        <v>1107</v>
      </c>
      <c r="F72" s="422" t="s">
        <v>1108</v>
      </c>
      <c r="G72" s="422" t="s">
        <v>17</v>
      </c>
      <c r="H72" s="394" t="s">
        <v>39</v>
      </c>
      <c r="I72" s="423">
        <v>44708.0</v>
      </c>
      <c r="J72" s="422">
        <v>5.0</v>
      </c>
      <c r="K72" s="424" t="s">
        <v>19</v>
      </c>
      <c r="L72" s="316" t="s">
        <v>256</v>
      </c>
      <c r="M72" s="316">
        <f t="shared" si="1"/>
        <v>371</v>
      </c>
      <c r="N72" s="25"/>
      <c r="O72" s="375" t="s">
        <v>240</v>
      </c>
      <c r="P72" s="368"/>
      <c r="Q72" s="368"/>
      <c r="R72" s="369"/>
      <c r="S72" s="376">
        <f>COUNTIF($K$2:$K$680,"Categoria 4 - Produto Pouco Tóxico")</f>
        <v>81</v>
      </c>
      <c r="T72" s="377">
        <f>(S72/S78)</f>
        <v>0.1242331288</v>
      </c>
      <c r="U72" s="25"/>
      <c r="V72" s="25"/>
      <c r="W72" s="25"/>
      <c r="X72" s="25"/>
      <c r="Y72" s="25"/>
      <c r="Z72" s="25"/>
    </row>
    <row r="73" ht="15.0" customHeight="1">
      <c r="A73" s="425" t="s">
        <v>1109</v>
      </c>
      <c r="B73" s="426" t="s">
        <v>1110</v>
      </c>
      <c r="C73" s="426">
        <v>2018.0</v>
      </c>
      <c r="D73" s="427">
        <v>43280.0</v>
      </c>
      <c r="E73" s="428" t="s">
        <v>1111</v>
      </c>
      <c r="F73" s="428" t="s">
        <v>1083</v>
      </c>
      <c r="G73" s="397" t="s">
        <v>17</v>
      </c>
      <c r="H73" s="397" t="s">
        <v>1091</v>
      </c>
      <c r="I73" s="429">
        <v>44708.0</v>
      </c>
      <c r="J73" s="428">
        <v>5.0</v>
      </c>
      <c r="K73" s="430" t="s">
        <v>19</v>
      </c>
      <c r="L73" s="319" t="s">
        <v>256</v>
      </c>
      <c r="M73" s="319">
        <f t="shared" si="1"/>
        <v>1428</v>
      </c>
      <c r="N73" s="25"/>
      <c r="O73" s="375" t="s">
        <v>242</v>
      </c>
      <c r="P73" s="368"/>
      <c r="Q73" s="368"/>
      <c r="R73" s="369"/>
      <c r="S73" s="376">
        <f>COUNTIF($K$2:$K$680,"Categoria 5 - Produto Improvável de Causar Dano Agudo")</f>
        <v>210</v>
      </c>
      <c r="T73" s="377">
        <f>(S73/S78)</f>
        <v>0.3220858896</v>
      </c>
      <c r="U73" s="25"/>
      <c r="V73" s="25"/>
      <c r="W73" s="25"/>
      <c r="X73" s="25"/>
      <c r="Y73" s="25"/>
      <c r="Z73" s="25"/>
    </row>
    <row r="74" ht="15.0" customHeight="1">
      <c r="A74" s="419" t="s">
        <v>1112</v>
      </c>
      <c r="B74" s="420" t="s">
        <v>1113</v>
      </c>
      <c r="C74" s="420">
        <v>2015.0</v>
      </c>
      <c r="D74" s="432">
        <v>42075.0</v>
      </c>
      <c r="E74" s="394" t="s">
        <v>1114</v>
      </c>
      <c r="F74" s="422" t="s">
        <v>909</v>
      </c>
      <c r="G74" s="422" t="s">
        <v>17</v>
      </c>
      <c r="H74" s="394" t="s">
        <v>66</v>
      </c>
      <c r="I74" s="423">
        <v>44708.0</v>
      </c>
      <c r="J74" s="422">
        <v>5.0</v>
      </c>
      <c r="K74" s="424" t="s">
        <v>19</v>
      </c>
      <c r="L74" s="316" t="s">
        <v>258</v>
      </c>
      <c r="M74" s="316">
        <f t="shared" si="1"/>
        <v>2633</v>
      </c>
      <c r="N74" s="25"/>
      <c r="O74" s="378" t="s">
        <v>244</v>
      </c>
      <c r="P74" s="368"/>
      <c r="Q74" s="368"/>
      <c r="R74" s="369"/>
      <c r="S74" s="379">
        <f>COUNTIF($K$2:$K$680,"IV - Pouco tóxico")</f>
        <v>0</v>
      </c>
      <c r="T74" s="380">
        <f>(S74/S78)</f>
        <v>0</v>
      </c>
      <c r="U74" s="25"/>
      <c r="V74" s="25"/>
      <c r="W74" s="25"/>
      <c r="X74" s="25"/>
      <c r="Y74" s="25"/>
      <c r="Z74" s="25"/>
    </row>
    <row r="75" ht="15.0" customHeight="1">
      <c r="A75" s="425" t="s">
        <v>1115</v>
      </c>
      <c r="B75" s="426" t="s">
        <v>1116</v>
      </c>
      <c r="C75" s="426">
        <v>2021.0</v>
      </c>
      <c r="D75" s="427">
        <v>44435.0</v>
      </c>
      <c r="E75" s="428" t="s">
        <v>1117</v>
      </c>
      <c r="F75" s="428" t="s">
        <v>666</v>
      </c>
      <c r="G75" s="397" t="s">
        <v>17</v>
      </c>
      <c r="H75" s="397" t="s">
        <v>56</v>
      </c>
      <c r="I75" s="429">
        <v>44708.0</v>
      </c>
      <c r="J75" s="428">
        <v>5.0</v>
      </c>
      <c r="K75" s="430" t="s">
        <v>19</v>
      </c>
      <c r="L75" s="319" t="s">
        <v>258</v>
      </c>
      <c r="M75" s="319">
        <f t="shared" si="1"/>
        <v>273</v>
      </c>
      <c r="N75" s="25"/>
      <c r="O75" s="378" t="s">
        <v>822</v>
      </c>
      <c r="P75" s="368"/>
      <c r="Q75" s="368"/>
      <c r="R75" s="369"/>
      <c r="S75" s="379">
        <f>COUNTIF($K$2:$K$680,"Não classificado - Produto não classificado")</f>
        <v>52</v>
      </c>
      <c r="T75" s="380">
        <f>(S75/S78)</f>
        <v>0.07975460123</v>
      </c>
      <c r="U75" s="25"/>
      <c r="V75" s="25"/>
      <c r="W75" s="25"/>
      <c r="X75" s="25"/>
      <c r="Y75" s="25"/>
      <c r="Z75" s="25"/>
    </row>
    <row r="76" ht="15.0" customHeight="1">
      <c r="A76" s="419" t="s">
        <v>1118</v>
      </c>
      <c r="B76" s="420" t="s">
        <v>1119</v>
      </c>
      <c r="C76" s="420">
        <v>2019.0</v>
      </c>
      <c r="D76" s="421">
        <v>43797.0</v>
      </c>
      <c r="E76" s="394" t="s">
        <v>1120</v>
      </c>
      <c r="F76" s="422" t="s">
        <v>1067</v>
      </c>
      <c r="G76" s="422" t="s">
        <v>17</v>
      </c>
      <c r="H76" s="394" t="s">
        <v>56</v>
      </c>
      <c r="I76" s="423">
        <v>44708.0</v>
      </c>
      <c r="J76" s="422">
        <v>5.0</v>
      </c>
      <c r="K76" s="424" t="s">
        <v>19</v>
      </c>
      <c r="L76" s="316" t="s">
        <v>258</v>
      </c>
      <c r="M76" s="316">
        <f t="shared" si="1"/>
        <v>911</v>
      </c>
      <c r="N76" s="25"/>
      <c r="O76" s="378" t="s">
        <v>850</v>
      </c>
      <c r="P76" s="368"/>
      <c r="Q76" s="368"/>
      <c r="R76" s="369"/>
      <c r="S76" s="379">
        <f>COUNTIF($K$2:$K$680,"Não determinada devido à natureza do produto (Inimigos naturais)")</f>
        <v>0</v>
      </c>
      <c r="T76" s="380">
        <f>(S76/S78)</f>
        <v>0</v>
      </c>
      <c r="U76" s="25"/>
      <c r="V76" s="25"/>
      <c r="W76" s="25"/>
      <c r="X76" s="25"/>
      <c r="Y76" s="25"/>
      <c r="Z76" s="25"/>
    </row>
    <row r="77" ht="15.0" customHeight="1">
      <c r="A77" s="425" t="s">
        <v>1121</v>
      </c>
      <c r="B77" s="428" t="s">
        <v>1122</v>
      </c>
      <c r="C77" s="426">
        <v>2015.0</v>
      </c>
      <c r="D77" s="427">
        <v>42181.0</v>
      </c>
      <c r="E77" s="428" t="s">
        <v>1123</v>
      </c>
      <c r="F77" s="428" t="s">
        <v>909</v>
      </c>
      <c r="G77" s="397" t="s">
        <v>17</v>
      </c>
      <c r="H77" s="397" t="s">
        <v>56</v>
      </c>
      <c r="I77" s="429">
        <v>44708.0</v>
      </c>
      <c r="J77" s="428">
        <v>5.0</v>
      </c>
      <c r="K77" s="430" t="s">
        <v>19</v>
      </c>
      <c r="L77" s="319" t="s">
        <v>258</v>
      </c>
      <c r="M77" s="319">
        <f t="shared" si="1"/>
        <v>2527</v>
      </c>
      <c r="N77" s="25"/>
      <c r="O77" s="381" t="s">
        <v>19</v>
      </c>
      <c r="P77" s="382"/>
      <c r="Q77" s="382"/>
      <c r="R77" s="383"/>
      <c r="S77" s="384">
        <f>COUNTIF($K$2:$K$680,"O perfil toxicológico foi considerado equivalente ao produto técnico de referência")</f>
        <v>272</v>
      </c>
      <c r="T77" s="385">
        <f>(S77/S78)</f>
        <v>0.4171779141</v>
      </c>
      <c r="U77" s="25"/>
      <c r="V77" s="25"/>
      <c r="W77" s="25"/>
      <c r="X77" s="25"/>
      <c r="Y77" s="25"/>
      <c r="Z77" s="25"/>
    </row>
    <row r="78" ht="15.0" customHeight="1">
      <c r="A78" s="419" t="s">
        <v>1124</v>
      </c>
      <c r="B78" s="420" t="s">
        <v>1125</v>
      </c>
      <c r="C78" s="420">
        <v>2021.0</v>
      </c>
      <c r="D78" s="421">
        <v>44550.0</v>
      </c>
      <c r="E78" s="394" t="s">
        <v>1126</v>
      </c>
      <c r="F78" s="422" t="s">
        <v>1108</v>
      </c>
      <c r="G78" s="422" t="s">
        <v>17</v>
      </c>
      <c r="H78" s="394" t="s">
        <v>583</v>
      </c>
      <c r="I78" s="423">
        <v>44708.0</v>
      </c>
      <c r="J78" s="422">
        <v>5.0</v>
      </c>
      <c r="K78" s="424" t="s">
        <v>19</v>
      </c>
      <c r="L78" s="316" t="s">
        <v>256</v>
      </c>
      <c r="M78" s="316">
        <f t="shared" si="1"/>
        <v>158</v>
      </c>
      <c r="N78" s="25"/>
      <c r="O78" s="386" t="s">
        <v>219</v>
      </c>
      <c r="P78" s="332"/>
      <c r="Q78" s="332"/>
      <c r="R78" s="387"/>
      <c r="S78" s="388">
        <f>SUM(S66:S77)</f>
        <v>652</v>
      </c>
      <c r="T78" s="389">
        <f>(S78/S78)</f>
        <v>1</v>
      </c>
      <c r="U78" s="25"/>
      <c r="V78" s="25"/>
      <c r="W78" s="25"/>
      <c r="X78" s="25"/>
      <c r="Y78" s="25"/>
      <c r="Z78" s="25"/>
    </row>
    <row r="79" ht="15.0" customHeight="1">
      <c r="A79" s="425" t="s">
        <v>1127</v>
      </c>
      <c r="B79" s="426" t="s">
        <v>1128</v>
      </c>
      <c r="C79" s="426">
        <v>2015.0</v>
      </c>
      <c r="D79" s="427">
        <v>42268.0</v>
      </c>
      <c r="E79" s="428" t="s">
        <v>1129</v>
      </c>
      <c r="F79" s="428" t="s">
        <v>909</v>
      </c>
      <c r="G79" s="397" t="s">
        <v>17</v>
      </c>
      <c r="H79" s="397" t="s">
        <v>583</v>
      </c>
      <c r="I79" s="429">
        <v>44708.0</v>
      </c>
      <c r="J79" s="428">
        <v>5.0</v>
      </c>
      <c r="K79" s="430" t="s">
        <v>19</v>
      </c>
      <c r="L79" s="319" t="s">
        <v>258</v>
      </c>
      <c r="M79" s="319">
        <f t="shared" si="1"/>
        <v>2440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0" customHeight="1">
      <c r="A80" s="419" t="s">
        <v>1130</v>
      </c>
      <c r="B80" s="420" t="s">
        <v>1131</v>
      </c>
      <c r="C80" s="420">
        <v>2020.0</v>
      </c>
      <c r="D80" s="432">
        <v>44112.0</v>
      </c>
      <c r="E80" s="394" t="s">
        <v>1132</v>
      </c>
      <c r="F80" s="422" t="s">
        <v>16</v>
      </c>
      <c r="G80" s="422" t="s">
        <v>17</v>
      </c>
      <c r="H80" s="394" t="s">
        <v>583</v>
      </c>
      <c r="I80" s="423">
        <v>44708.0</v>
      </c>
      <c r="J80" s="422">
        <v>5.0</v>
      </c>
      <c r="K80" s="424" t="s">
        <v>19</v>
      </c>
      <c r="L80" s="316" t="s">
        <v>256</v>
      </c>
      <c r="M80" s="316">
        <f t="shared" si="1"/>
        <v>596</v>
      </c>
      <c r="N80" s="25"/>
      <c r="O80" s="357" t="s">
        <v>11</v>
      </c>
      <c r="P80" s="102"/>
      <c r="Q80" s="102"/>
      <c r="R80" s="102"/>
      <c r="S80" s="102"/>
      <c r="T80" s="103"/>
      <c r="U80" s="25"/>
      <c r="V80" s="25"/>
      <c r="W80" s="25"/>
      <c r="X80" s="25"/>
      <c r="Y80" s="25"/>
      <c r="Z80" s="25"/>
    </row>
    <row r="81" ht="15.0" customHeight="1">
      <c r="A81" s="425" t="s">
        <v>1133</v>
      </c>
      <c r="B81" s="426" t="s">
        <v>1134</v>
      </c>
      <c r="C81" s="426">
        <v>2020.0</v>
      </c>
      <c r="D81" s="427">
        <v>43997.0</v>
      </c>
      <c r="E81" s="428" t="s">
        <v>1135</v>
      </c>
      <c r="F81" s="428" t="s">
        <v>1136</v>
      </c>
      <c r="G81" s="397" t="s">
        <v>17</v>
      </c>
      <c r="H81" s="397" t="s">
        <v>583</v>
      </c>
      <c r="I81" s="429">
        <v>44708.0</v>
      </c>
      <c r="J81" s="428">
        <v>5.0</v>
      </c>
      <c r="K81" s="430" t="s">
        <v>19</v>
      </c>
      <c r="L81" s="319" t="s">
        <v>260</v>
      </c>
      <c r="M81" s="319">
        <f t="shared" si="1"/>
        <v>711</v>
      </c>
      <c r="N81" s="25"/>
      <c r="O81" s="104"/>
      <c r="P81" s="105"/>
      <c r="Q81" s="105"/>
      <c r="R81" s="105"/>
      <c r="S81" s="105"/>
      <c r="T81" s="106"/>
      <c r="U81" s="25"/>
      <c r="V81" s="25"/>
      <c r="W81" s="25"/>
      <c r="X81" s="25"/>
      <c r="Y81" s="25"/>
      <c r="Z81" s="25"/>
    </row>
    <row r="82" ht="15.0" customHeight="1">
      <c r="A82" s="419" t="s">
        <v>1137</v>
      </c>
      <c r="B82" s="420" t="s">
        <v>1138</v>
      </c>
      <c r="C82" s="420">
        <v>2016.0</v>
      </c>
      <c r="D82" s="432">
        <v>42685.0</v>
      </c>
      <c r="E82" s="394" t="s">
        <v>1139</v>
      </c>
      <c r="F82" s="422" t="s">
        <v>1136</v>
      </c>
      <c r="G82" s="422" t="s">
        <v>17</v>
      </c>
      <c r="H82" s="394" t="s">
        <v>50</v>
      </c>
      <c r="I82" s="423">
        <v>44708.0</v>
      </c>
      <c r="J82" s="422">
        <v>5.0</v>
      </c>
      <c r="K82" s="424" t="s">
        <v>19</v>
      </c>
      <c r="L82" s="316" t="s">
        <v>260</v>
      </c>
      <c r="M82" s="316">
        <f t="shared" si="1"/>
        <v>2023</v>
      </c>
      <c r="N82" s="25"/>
      <c r="O82" s="358" t="s">
        <v>225</v>
      </c>
      <c r="P82" s="359"/>
      <c r="Q82" s="359"/>
      <c r="R82" s="360"/>
      <c r="S82" s="525" t="s">
        <v>226</v>
      </c>
      <c r="T82" s="526" t="s">
        <v>108</v>
      </c>
      <c r="U82" s="25"/>
      <c r="V82" s="25"/>
      <c r="W82" s="25"/>
      <c r="X82" s="25"/>
      <c r="Y82" s="25"/>
      <c r="Z82" s="25"/>
    </row>
    <row r="83" ht="15.0" customHeight="1">
      <c r="A83" s="425" t="s">
        <v>1140</v>
      </c>
      <c r="B83" s="426" t="s">
        <v>1141</v>
      </c>
      <c r="C83" s="426">
        <v>2019.0</v>
      </c>
      <c r="D83" s="427">
        <v>43670.0</v>
      </c>
      <c r="E83" s="428" t="s">
        <v>1142</v>
      </c>
      <c r="F83" s="428" t="s">
        <v>1136</v>
      </c>
      <c r="G83" s="397" t="s">
        <v>17</v>
      </c>
      <c r="H83" s="397" t="s">
        <v>1143</v>
      </c>
      <c r="I83" s="429">
        <v>44708.0</v>
      </c>
      <c r="J83" s="428">
        <v>5.0</v>
      </c>
      <c r="K83" s="430" t="s">
        <v>19</v>
      </c>
      <c r="L83" s="319" t="s">
        <v>260</v>
      </c>
      <c r="M83" s="319">
        <f t="shared" si="1"/>
        <v>1038</v>
      </c>
      <c r="N83" s="25"/>
      <c r="O83" s="527" t="s">
        <v>254</v>
      </c>
      <c r="P83" s="332"/>
      <c r="Q83" s="332"/>
      <c r="R83" s="333"/>
      <c r="S83" s="394">
        <f>COUNTIF($L$2:$L$680,"I - Produto Altamente Perigoso ao Meio Ambiente")</f>
        <v>20</v>
      </c>
      <c r="T83" s="395">
        <f>(S83/S87)</f>
        <v>0.03067484663</v>
      </c>
      <c r="U83" s="25"/>
      <c r="V83" s="25"/>
      <c r="W83" s="25"/>
      <c r="X83" s="25"/>
      <c r="Y83" s="25"/>
      <c r="Z83" s="25"/>
    </row>
    <row r="84" ht="15.0" customHeight="1">
      <c r="A84" s="419" t="s">
        <v>1144</v>
      </c>
      <c r="B84" s="420" t="s">
        <v>1145</v>
      </c>
      <c r="C84" s="420">
        <v>2021.0</v>
      </c>
      <c r="D84" s="421">
        <v>44369.0</v>
      </c>
      <c r="E84" s="394" t="s">
        <v>1146</v>
      </c>
      <c r="F84" s="422" t="s">
        <v>1136</v>
      </c>
      <c r="G84" s="422" t="s">
        <v>17</v>
      </c>
      <c r="H84" s="394" t="s">
        <v>990</v>
      </c>
      <c r="I84" s="423">
        <v>44708.0</v>
      </c>
      <c r="J84" s="422">
        <v>5.0</v>
      </c>
      <c r="K84" s="424" t="s">
        <v>19</v>
      </c>
      <c r="L84" s="316" t="s">
        <v>260</v>
      </c>
      <c r="M84" s="316">
        <f t="shared" si="1"/>
        <v>339</v>
      </c>
      <c r="N84" s="25"/>
      <c r="O84" s="396" t="s">
        <v>256</v>
      </c>
      <c r="P84" s="113"/>
      <c r="Q84" s="113"/>
      <c r="R84" s="114"/>
      <c r="S84" s="397">
        <f>COUNTIF($L$2:$L$680,"II - Produto muito perigoso ao meio ambiente")</f>
        <v>254</v>
      </c>
      <c r="T84" s="398">
        <f>(S84/S87)</f>
        <v>0.3895705521</v>
      </c>
      <c r="U84" s="25"/>
      <c r="V84" s="25"/>
      <c r="W84" s="25"/>
      <c r="X84" s="25"/>
      <c r="Y84" s="25"/>
      <c r="Z84" s="25"/>
    </row>
    <row r="85" ht="15.0" customHeight="1">
      <c r="A85" s="425" t="s">
        <v>1147</v>
      </c>
      <c r="B85" s="426" t="s">
        <v>1148</v>
      </c>
      <c r="C85" s="426">
        <v>2014.0</v>
      </c>
      <c r="D85" s="431">
        <v>41707.0</v>
      </c>
      <c r="E85" s="428" t="s">
        <v>1149</v>
      </c>
      <c r="F85" s="428" t="s">
        <v>1150</v>
      </c>
      <c r="G85" s="397" t="s">
        <v>17</v>
      </c>
      <c r="H85" s="397" t="s">
        <v>583</v>
      </c>
      <c r="I85" s="429">
        <v>44708.0</v>
      </c>
      <c r="J85" s="428">
        <v>5.0</v>
      </c>
      <c r="K85" s="430" t="s">
        <v>19</v>
      </c>
      <c r="L85" s="319" t="s">
        <v>256</v>
      </c>
      <c r="M85" s="319">
        <f t="shared" si="1"/>
        <v>3001</v>
      </c>
      <c r="N85" s="25"/>
      <c r="O85" s="399" t="s">
        <v>258</v>
      </c>
      <c r="P85" s="113"/>
      <c r="Q85" s="113"/>
      <c r="R85" s="114"/>
      <c r="S85" s="394">
        <f>COUNTIF($L$2:$L$680,"III - Produto perigoso ao meio ambiente")</f>
        <v>226</v>
      </c>
      <c r="T85" s="395">
        <f>(S85/S87)</f>
        <v>0.3466257669</v>
      </c>
      <c r="U85" s="25"/>
      <c r="V85" s="25"/>
      <c r="W85" s="25"/>
      <c r="X85" s="25"/>
      <c r="Y85" s="25"/>
      <c r="Z85" s="25"/>
    </row>
    <row r="86" ht="15.0" customHeight="1">
      <c r="A86" s="419" t="s">
        <v>1151</v>
      </c>
      <c r="B86" s="420" t="s">
        <v>1152</v>
      </c>
      <c r="C86" s="420">
        <v>2021.0</v>
      </c>
      <c r="D86" s="421">
        <v>44543.0</v>
      </c>
      <c r="E86" s="394" t="s">
        <v>1153</v>
      </c>
      <c r="F86" s="422" t="s">
        <v>900</v>
      </c>
      <c r="G86" s="422" t="s">
        <v>17</v>
      </c>
      <c r="H86" s="394" t="s">
        <v>1154</v>
      </c>
      <c r="I86" s="423">
        <v>44708.0</v>
      </c>
      <c r="J86" s="422">
        <v>5.0</v>
      </c>
      <c r="K86" s="424" t="s">
        <v>19</v>
      </c>
      <c r="L86" s="316" t="s">
        <v>256</v>
      </c>
      <c r="M86" s="316">
        <f t="shared" si="1"/>
        <v>165</v>
      </c>
      <c r="N86" s="25"/>
      <c r="O86" s="396" t="s">
        <v>260</v>
      </c>
      <c r="P86" s="113"/>
      <c r="Q86" s="113"/>
      <c r="R86" s="114"/>
      <c r="S86" s="397">
        <f>COUNTIF($L$2:$L$680,"IV - Produto pouco perigoso ao meio ambiente")</f>
        <v>152</v>
      </c>
      <c r="T86" s="398">
        <f>(S86/S87)</f>
        <v>0.2331288344</v>
      </c>
      <c r="U86" s="25"/>
      <c r="V86" s="25"/>
      <c r="W86" s="25"/>
      <c r="X86" s="25"/>
      <c r="Y86" s="25"/>
      <c r="Z86" s="25"/>
    </row>
    <row r="87" ht="15.0" customHeight="1">
      <c r="A87" s="425" t="s">
        <v>1155</v>
      </c>
      <c r="B87" s="426" t="s">
        <v>1156</v>
      </c>
      <c r="C87" s="426">
        <v>2016.0</v>
      </c>
      <c r="D87" s="427">
        <v>42488.0</v>
      </c>
      <c r="E87" s="428" t="s">
        <v>1157</v>
      </c>
      <c r="F87" s="428" t="s">
        <v>909</v>
      </c>
      <c r="G87" s="397" t="s">
        <v>17</v>
      </c>
      <c r="H87" s="397" t="s">
        <v>163</v>
      </c>
      <c r="I87" s="429">
        <v>44708.0</v>
      </c>
      <c r="J87" s="428">
        <v>5.0</v>
      </c>
      <c r="K87" s="430" t="s">
        <v>19</v>
      </c>
      <c r="L87" s="319" t="s">
        <v>258</v>
      </c>
      <c r="M87" s="319">
        <f t="shared" si="1"/>
        <v>2220</v>
      </c>
      <c r="N87" s="25"/>
      <c r="O87" s="358" t="s">
        <v>219</v>
      </c>
      <c r="P87" s="359"/>
      <c r="Q87" s="359"/>
      <c r="R87" s="360"/>
      <c r="S87" s="388">
        <f>SUM(S83:S86)</f>
        <v>652</v>
      </c>
      <c r="T87" s="389">
        <f>(S87/S87)</f>
        <v>1</v>
      </c>
      <c r="U87" s="25"/>
      <c r="V87" s="25"/>
      <c r="W87" s="25"/>
      <c r="X87" s="25"/>
      <c r="Y87" s="25"/>
      <c r="Z87" s="25"/>
    </row>
    <row r="88" ht="15.0" customHeight="1">
      <c r="A88" s="419" t="s">
        <v>1158</v>
      </c>
      <c r="B88" s="420" t="s">
        <v>1159</v>
      </c>
      <c r="C88" s="420">
        <v>2018.0</v>
      </c>
      <c r="D88" s="432">
        <v>43196.0</v>
      </c>
      <c r="E88" s="394" t="s">
        <v>1160</v>
      </c>
      <c r="F88" s="422" t="s">
        <v>186</v>
      </c>
      <c r="G88" s="422" t="s">
        <v>17</v>
      </c>
      <c r="H88" s="394" t="s">
        <v>39</v>
      </c>
      <c r="I88" s="423">
        <v>44708.0</v>
      </c>
      <c r="J88" s="422">
        <v>5.0</v>
      </c>
      <c r="K88" s="424" t="s">
        <v>19</v>
      </c>
      <c r="L88" s="316" t="s">
        <v>256</v>
      </c>
      <c r="M88" s="316">
        <f t="shared" si="1"/>
        <v>1512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425" t="s">
        <v>1161</v>
      </c>
      <c r="B89" s="426" t="s">
        <v>1162</v>
      </c>
      <c r="C89" s="426">
        <v>2013.0</v>
      </c>
      <c r="D89" s="427">
        <v>41628.0</v>
      </c>
      <c r="E89" s="428" t="s">
        <v>1163</v>
      </c>
      <c r="F89" s="428" t="s">
        <v>186</v>
      </c>
      <c r="G89" s="397" t="s">
        <v>17</v>
      </c>
      <c r="H89" s="397" t="s">
        <v>153</v>
      </c>
      <c r="I89" s="429">
        <v>44708.0</v>
      </c>
      <c r="J89" s="428">
        <v>5.0</v>
      </c>
      <c r="K89" s="430" t="s">
        <v>19</v>
      </c>
      <c r="L89" s="319" t="s">
        <v>256</v>
      </c>
      <c r="M89" s="319">
        <f t="shared" si="1"/>
        <v>3080</v>
      </c>
      <c r="N89" s="25"/>
      <c r="O89" s="403" t="s">
        <v>264</v>
      </c>
      <c r="P89" s="404"/>
      <c r="Q89" s="404"/>
      <c r="R89" s="405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419" t="s">
        <v>1164</v>
      </c>
      <c r="B90" s="420" t="s">
        <v>1165</v>
      </c>
      <c r="C90" s="420">
        <v>2021.0</v>
      </c>
      <c r="D90" s="421">
        <v>44459.0</v>
      </c>
      <c r="E90" s="394" t="s">
        <v>1166</v>
      </c>
      <c r="F90" s="422" t="s">
        <v>31</v>
      </c>
      <c r="G90" s="422" t="s">
        <v>17</v>
      </c>
      <c r="H90" s="394" t="s">
        <v>56</v>
      </c>
      <c r="I90" s="423">
        <v>44708.0</v>
      </c>
      <c r="J90" s="422">
        <v>5.0</v>
      </c>
      <c r="K90" s="424" t="s">
        <v>19</v>
      </c>
      <c r="L90" s="316" t="s">
        <v>258</v>
      </c>
      <c r="M90" s="316">
        <f t="shared" si="1"/>
        <v>249</v>
      </c>
      <c r="N90" s="25"/>
      <c r="O90" s="406"/>
      <c r="P90" s="105"/>
      <c r="Q90" s="105"/>
      <c r="R90" s="407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425" t="s">
        <v>1167</v>
      </c>
      <c r="B91" s="426" t="s">
        <v>1168</v>
      </c>
      <c r="C91" s="426">
        <v>2019.0</v>
      </c>
      <c r="D91" s="427">
        <v>43523.0</v>
      </c>
      <c r="E91" s="428" t="s">
        <v>1169</v>
      </c>
      <c r="F91" s="428" t="s">
        <v>1170</v>
      </c>
      <c r="G91" s="397" t="s">
        <v>17</v>
      </c>
      <c r="H91" s="397" t="s">
        <v>18</v>
      </c>
      <c r="I91" s="429">
        <v>44708.0</v>
      </c>
      <c r="J91" s="428">
        <v>5.0</v>
      </c>
      <c r="K91" s="430" t="s">
        <v>19</v>
      </c>
      <c r="L91" s="319" t="s">
        <v>256</v>
      </c>
      <c r="M91" s="319">
        <f t="shared" si="1"/>
        <v>1185</v>
      </c>
      <c r="N91" s="25"/>
      <c r="O91" s="408" t="s">
        <v>267</v>
      </c>
      <c r="P91" s="409" t="s">
        <v>268</v>
      </c>
      <c r="Q91" s="410"/>
      <c r="R91" s="411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419" t="s">
        <v>1171</v>
      </c>
      <c r="B92" s="420" t="s">
        <v>1172</v>
      </c>
      <c r="C92" s="420">
        <v>2020.0</v>
      </c>
      <c r="D92" s="421">
        <v>44162.0</v>
      </c>
      <c r="E92" s="394" t="s">
        <v>1173</v>
      </c>
      <c r="F92" s="422" t="s">
        <v>1067</v>
      </c>
      <c r="G92" s="422" t="s">
        <v>17</v>
      </c>
      <c r="H92" s="394" t="s">
        <v>587</v>
      </c>
      <c r="I92" s="423">
        <v>44708.0</v>
      </c>
      <c r="J92" s="422">
        <v>5.0</v>
      </c>
      <c r="K92" s="424" t="s">
        <v>19</v>
      </c>
      <c r="L92" s="316" t="s">
        <v>258</v>
      </c>
      <c r="M92" s="316">
        <f t="shared" si="1"/>
        <v>546</v>
      </c>
      <c r="N92" s="25"/>
      <c r="O92" s="412" t="s">
        <v>270</v>
      </c>
      <c r="P92" s="413" t="str">
        <f>AVERAGEIF(G2:G564,"PT",M2:M564)</f>
        <v>#DIV/0!</v>
      </c>
      <c r="Q92" s="368"/>
      <c r="R92" s="369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425" t="s">
        <v>1174</v>
      </c>
      <c r="B93" s="426" t="s">
        <v>1175</v>
      </c>
      <c r="C93" s="426">
        <v>2021.0</v>
      </c>
      <c r="D93" s="427">
        <v>44330.0</v>
      </c>
      <c r="E93" s="428" t="s">
        <v>1176</v>
      </c>
      <c r="F93" s="428" t="s">
        <v>1177</v>
      </c>
      <c r="G93" s="397" t="s">
        <v>17</v>
      </c>
      <c r="H93" s="397" t="s">
        <v>1178</v>
      </c>
      <c r="I93" s="429">
        <v>44708.0</v>
      </c>
      <c r="J93" s="428">
        <v>5.0</v>
      </c>
      <c r="K93" s="430" t="s">
        <v>19</v>
      </c>
      <c r="L93" s="319" t="s">
        <v>258</v>
      </c>
      <c r="M93" s="319">
        <f t="shared" si="1"/>
        <v>378</v>
      </c>
      <c r="N93" s="25"/>
      <c r="O93" s="414" t="s">
        <v>34</v>
      </c>
      <c r="P93" s="415">
        <f>AVERAGEIF(G2:G564,"PTN",M2:M564)</f>
        <v>2627.5</v>
      </c>
      <c r="Q93" s="368"/>
      <c r="R93" s="369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419" t="s">
        <v>1179</v>
      </c>
      <c r="B94" s="420" t="s">
        <v>1180</v>
      </c>
      <c r="C94" s="420">
        <v>2019.0</v>
      </c>
      <c r="D94" s="421">
        <v>43521.0</v>
      </c>
      <c r="E94" s="394" t="s">
        <v>1181</v>
      </c>
      <c r="F94" s="422" t="s">
        <v>1063</v>
      </c>
      <c r="G94" s="422" t="s">
        <v>17</v>
      </c>
      <c r="H94" s="394" t="s">
        <v>26</v>
      </c>
      <c r="I94" s="423">
        <v>44708.0</v>
      </c>
      <c r="J94" s="422">
        <v>5.0</v>
      </c>
      <c r="K94" s="424" t="s">
        <v>19</v>
      </c>
      <c r="L94" s="316" t="s">
        <v>256</v>
      </c>
      <c r="M94" s="316">
        <f t="shared" si="1"/>
        <v>1187</v>
      </c>
      <c r="N94" s="25"/>
      <c r="O94" s="412" t="s">
        <v>17</v>
      </c>
      <c r="P94" s="413">
        <f>AVERAGEIF(G2:G564,"PTE",M2:M564)</f>
        <v>1721.151292</v>
      </c>
      <c r="Q94" s="368"/>
      <c r="R94" s="369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425" t="s">
        <v>1182</v>
      </c>
      <c r="B95" s="426" t="s">
        <v>1183</v>
      </c>
      <c r="C95" s="426">
        <v>2021.0</v>
      </c>
      <c r="D95" s="427">
        <v>44377.0</v>
      </c>
      <c r="E95" s="428" t="s">
        <v>1184</v>
      </c>
      <c r="F95" s="428" t="s">
        <v>874</v>
      </c>
      <c r="G95" s="397" t="s">
        <v>17</v>
      </c>
      <c r="H95" s="397" t="s">
        <v>26</v>
      </c>
      <c r="I95" s="429">
        <v>44708.0</v>
      </c>
      <c r="J95" s="428">
        <v>5.0</v>
      </c>
      <c r="K95" s="430" t="s">
        <v>19</v>
      </c>
      <c r="L95" s="319" t="s">
        <v>256</v>
      </c>
      <c r="M95" s="319">
        <f t="shared" si="1"/>
        <v>331</v>
      </c>
      <c r="N95" s="25"/>
      <c r="O95" s="414" t="s">
        <v>46</v>
      </c>
      <c r="P95" s="415" t="str">
        <f>AVERAGEIF(G2:G564,"Pré-Mistura",M2:M564)</f>
        <v>#DIV/0!</v>
      </c>
      <c r="Q95" s="368"/>
      <c r="R95" s="369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419" t="s">
        <v>1185</v>
      </c>
      <c r="B96" s="420" t="s">
        <v>1186</v>
      </c>
      <c r="C96" s="420">
        <v>2020.0</v>
      </c>
      <c r="D96" s="432">
        <v>43962.0</v>
      </c>
      <c r="E96" s="394" t="s">
        <v>1187</v>
      </c>
      <c r="F96" s="422" t="s">
        <v>874</v>
      </c>
      <c r="G96" s="422" t="s">
        <v>17</v>
      </c>
      <c r="H96" s="394" t="s">
        <v>587</v>
      </c>
      <c r="I96" s="423">
        <v>44708.0</v>
      </c>
      <c r="J96" s="422">
        <v>5.0</v>
      </c>
      <c r="K96" s="424" t="s">
        <v>19</v>
      </c>
      <c r="L96" s="316" t="s">
        <v>256</v>
      </c>
      <c r="M96" s="316">
        <f t="shared" si="1"/>
        <v>746</v>
      </c>
      <c r="N96" s="25"/>
      <c r="O96" s="412" t="s">
        <v>650</v>
      </c>
      <c r="P96" s="413">
        <f>AVERAGEIF(G2:G564,"PF",M2:M564)</f>
        <v>1945.62069</v>
      </c>
      <c r="Q96" s="368"/>
      <c r="R96" s="369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425" t="s">
        <v>1188</v>
      </c>
      <c r="B97" s="426" t="s">
        <v>1189</v>
      </c>
      <c r="C97" s="426">
        <v>2018.0</v>
      </c>
      <c r="D97" s="427">
        <v>43395.0</v>
      </c>
      <c r="E97" s="428" t="s">
        <v>1190</v>
      </c>
      <c r="F97" s="428" t="s">
        <v>178</v>
      </c>
      <c r="G97" s="397" t="s">
        <v>17</v>
      </c>
      <c r="H97" s="397" t="s">
        <v>149</v>
      </c>
      <c r="I97" s="429">
        <v>44708.0</v>
      </c>
      <c r="J97" s="428">
        <v>5.0</v>
      </c>
      <c r="K97" s="430" t="s">
        <v>19</v>
      </c>
      <c r="L97" s="319" t="s">
        <v>256</v>
      </c>
      <c r="M97" s="319">
        <f t="shared" si="1"/>
        <v>1313</v>
      </c>
      <c r="N97" s="25"/>
      <c r="O97" s="414" t="s">
        <v>547</v>
      </c>
      <c r="P97" s="415">
        <f>AVERAGEIF(G2:G564,"PFN",M2:M564)</f>
        <v>2299.32</v>
      </c>
      <c r="Q97" s="368"/>
      <c r="R97" s="369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419" t="s">
        <v>1191</v>
      </c>
      <c r="B98" s="420" t="s">
        <v>1192</v>
      </c>
      <c r="C98" s="420">
        <v>2020.0</v>
      </c>
      <c r="D98" s="421">
        <v>43966.0</v>
      </c>
      <c r="E98" s="394" t="s">
        <v>1193</v>
      </c>
      <c r="F98" s="422" t="s">
        <v>765</v>
      </c>
      <c r="G98" s="422" t="s">
        <v>17</v>
      </c>
      <c r="H98" s="394" t="s">
        <v>564</v>
      </c>
      <c r="I98" s="423">
        <v>44708.0</v>
      </c>
      <c r="J98" s="422">
        <v>5.0</v>
      </c>
      <c r="K98" s="424" t="s">
        <v>19</v>
      </c>
      <c r="L98" s="316" t="s">
        <v>256</v>
      </c>
      <c r="M98" s="316">
        <f t="shared" si="1"/>
        <v>742</v>
      </c>
      <c r="N98" s="25"/>
      <c r="O98" s="412" t="s">
        <v>552</v>
      </c>
      <c r="P98" s="413">
        <f>AVERAGEIF(G2:G564,"PF/PTE",M2:M564)</f>
        <v>2051.715328</v>
      </c>
      <c r="Q98" s="368"/>
      <c r="R98" s="369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425" t="s">
        <v>1194</v>
      </c>
      <c r="B99" s="426" t="s">
        <v>1195</v>
      </c>
      <c r="C99" s="426">
        <v>2015.0</v>
      </c>
      <c r="D99" s="431">
        <v>42097.0</v>
      </c>
      <c r="E99" s="428" t="s">
        <v>1196</v>
      </c>
      <c r="F99" s="428" t="s">
        <v>1150</v>
      </c>
      <c r="G99" s="397" t="s">
        <v>17</v>
      </c>
      <c r="H99" s="397" t="s">
        <v>60</v>
      </c>
      <c r="I99" s="429">
        <v>44708.0</v>
      </c>
      <c r="J99" s="428">
        <v>5.0</v>
      </c>
      <c r="K99" s="430" t="s">
        <v>19</v>
      </c>
      <c r="L99" s="319" t="s">
        <v>256</v>
      </c>
      <c r="M99" s="319">
        <f t="shared" si="1"/>
        <v>2611</v>
      </c>
      <c r="N99" s="25"/>
      <c r="O99" s="414" t="s">
        <v>565</v>
      </c>
      <c r="P99" s="415">
        <f>AVERAGEIF(G2:G546,"Bio",M2:M564)</f>
        <v>284.2631579</v>
      </c>
      <c r="Q99" s="368"/>
      <c r="R99" s="369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419" t="s">
        <v>1197</v>
      </c>
      <c r="B100" s="420" t="s">
        <v>1198</v>
      </c>
      <c r="C100" s="420">
        <v>2019.0</v>
      </c>
      <c r="D100" s="421">
        <v>43731.0</v>
      </c>
      <c r="E100" s="394" t="s">
        <v>1199</v>
      </c>
      <c r="F100" s="422" t="s">
        <v>909</v>
      </c>
      <c r="G100" s="422" t="s">
        <v>17</v>
      </c>
      <c r="H100" s="394" t="s">
        <v>990</v>
      </c>
      <c r="I100" s="423">
        <v>44708.0</v>
      </c>
      <c r="J100" s="422">
        <v>5.0</v>
      </c>
      <c r="K100" s="424" t="s">
        <v>19</v>
      </c>
      <c r="L100" s="316" t="s">
        <v>258</v>
      </c>
      <c r="M100" s="316">
        <f t="shared" si="1"/>
        <v>977</v>
      </c>
      <c r="N100" s="25"/>
      <c r="O100" s="412" t="s">
        <v>569</v>
      </c>
      <c r="P100" s="413">
        <f>AVERAGEIF(G2:G564,"Bio/Org",M2:M564)</f>
        <v>236.5555556</v>
      </c>
      <c r="Q100" s="368"/>
      <c r="R100" s="369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425" t="s">
        <v>1200</v>
      </c>
      <c r="B101" s="426" t="s">
        <v>1201</v>
      </c>
      <c r="C101" s="426">
        <v>2015.0</v>
      </c>
      <c r="D101" s="427">
        <v>42076.0</v>
      </c>
      <c r="E101" s="428" t="s">
        <v>1202</v>
      </c>
      <c r="F101" s="428" t="s">
        <v>1203</v>
      </c>
      <c r="G101" s="397" t="s">
        <v>17</v>
      </c>
      <c r="H101" s="397" t="s">
        <v>775</v>
      </c>
      <c r="I101" s="429">
        <v>44708.0</v>
      </c>
      <c r="J101" s="428">
        <v>5.0</v>
      </c>
      <c r="K101" s="430" t="s">
        <v>19</v>
      </c>
      <c r="L101" s="319" t="s">
        <v>256</v>
      </c>
      <c r="M101" s="319">
        <f t="shared" si="1"/>
        <v>2632</v>
      </c>
      <c r="N101" s="25"/>
      <c r="O101" s="416" t="s">
        <v>275</v>
      </c>
      <c r="P101" s="417">
        <f>AVERAGE(M2:M563)</f>
        <v>1612.624555</v>
      </c>
      <c r="Q101" s="418"/>
      <c r="R101" s="318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419" t="s">
        <v>1204</v>
      </c>
      <c r="B102" s="420" t="s">
        <v>1205</v>
      </c>
      <c r="C102" s="420">
        <v>2016.0</v>
      </c>
      <c r="D102" s="421">
        <v>42613.0</v>
      </c>
      <c r="E102" s="394" t="s">
        <v>1206</v>
      </c>
      <c r="F102" s="422" t="s">
        <v>186</v>
      </c>
      <c r="G102" s="422" t="s">
        <v>17</v>
      </c>
      <c r="H102" s="394" t="s">
        <v>923</v>
      </c>
      <c r="I102" s="423">
        <v>44708.0</v>
      </c>
      <c r="J102" s="422">
        <v>5.0</v>
      </c>
      <c r="K102" s="424" t="s">
        <v>19</v>
      </c>
      <c r="L102" s="316" t="s">
        <v>256</v>
      </c>
      <c r="M102" s="316">
        <f t="shared" si="1"/>
        <v>2095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425" t="s">
        <v>1207</v>
      </c>
      <c r="B103" s="426" t="s">
        <v>1208</v>
      </c>
      <c r="C103" s="426">
        <v>2018.0</v>
      </c>
      <c r="D103" s="427">
        <v>43217.0</v>
      </c>
      <c r="E103" s="428" t="s">
        <v>1209</v>
      </c>
      <c r="F103" s="428" t="s">
        <v>909</v>
      </c>
      <c r="G103" s="397" t="s">
        <v>17</v>
      </c>
      <c r="H103" s="397" t="s">
        <v>112</v>
      </c>
      <c r="I103" s="429">
        <v>44708.0</v>
      </c>
      <c r="J103" s="428">
        <v>5.0</v>
      </c>
      <c r="K103" s="430" t="s">
        <v>19</v>
      </c>
      <c r="L103" s="319" t="s">
        <v>258</v>
      </c>
      <c r="M103" s="319">
        <f t="shared" si="1"/>
        <v>1491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19" t="s">
        <v>1210</v>
      </c>
      <c r="B104" s="420" t="s">
        <v>1211</v>
      </c>
      <c r="C104" s="420">
        <v>2018.0</v>
      </c>
      <c r="D104" s="421">
        <v>43187.0</v>
      </c>
      <c r="E104" s="394" t="s">
        <v>1212</v>
      </c>
      <c r="F104" s="422" t="s">
        <v>1063</v>
      </c>
      <c r="G104" s="422" t="s">
        <v>17</v>
      </c>
      <c r="H104" s="394" t="s">
        <v>56</v>
      </c>
      <c r="I104" s="423">
        <v>44708.0</v>
      </c>
      <c r="J104" s="422">
        <v>5.0</v>
      </c>
      <c r="K104" s="424" t="s">
        <v>19</v>
      </c>
      <c r="L104" s="316" t="s">
        <v>256</v>
      </c>
      <c r="M104" s="316">
        <f t="shared" si="1"/>
        <v>1521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25" t="s">
        <v>1213</v>
      </c>
      <c r="B105" s="426" t="s">
        <v>1214</v>
      </c>
      <c r="C105" s="426">
        <v>2016.0</v>
      </c>
      <c r="D105" s="427">
        <v>42669.0</v>
      </c>
      <c r="E105" s="428" t="s">
        <v>1215</v>
      </c>
      <c r="F105" s="428" t="s">
        <v>1203</v>
      </c>
      <c r="G105" s="397" t="s">
        <v>17</v>
      </c>
      <c r="H105" s="397" t="s">
        <v>77</v>
      </c>
      <c r="I105" s="429">
        <v>44708.0</v>
      </c>
      <c r="J105" s="428">
        <v>5.0</v>
      </c>
      <c r="K105" s="430" t="s">
        <v>19</v>
      </c>
      <c r="L105" s="319" t="s">
        <v>256</v>
      </c>
      <c r="M105" s="319">
        <f t="shared" si="1"/>
        <v>2039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19" t="s">
        <v>1216</v>
      </c>
      <c r="B106" s="420" t="s">
        <v>1217</v>
      </c>
      <c r="C106" s="420">
        <v>2014.0</v>
      </c>
      <c r="D106" s="421">
        <v>41834.0</v>
      </c>
      <c r="E106" s="394" t="s">
        <v>1218</v>
      </c>
      <c r="F106" s="422" t="s">
        <v>1219</v>
      </c>
      <c r="G106" s="422" t="s">
        <v>17</v>
      </c>
      <c r="H106" s="394" t="s">
        <v>596</v>
      </c>
      <c r="I106" s="423">
        <v>44708.0</v>
      </c>
      <c r="J106" s="422">
        <v>5.0</v>
      </c>
      <c r="K106" s="424" t="s">
        <v>19</v>
      </c>
      <c r="L106" s="316" t="s">
        <v>256</v>
      </c>
      <c r="M106" s="316">
        <f t="shared" si="1"/>
        <v>2874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25" t="s">
        <v>1220</v>
      </c>
      <c r="B107" s="426" t="s">
        <v>1221</v>
      </c>
      <c r="C107" s="426">
        <v>2015.0</v>
      </c>
      <c r="D107" s="427">
        <v>42276.0</v>
      </c>
      <c r="E107" s="428" t="s">
        <v>1222</v>
      </c>
      <c r="F107" s="428" t="s">
        <v>1219</v>
      </c>
      <c r="G107" s="397" t="s">
        <v>17</v>
      </c>
      <c r="H107" s="397" t="s">
        <v>18</v>
      </c>
      <c r="I107" s="429">
        <v>44708.0</v>
      </c>
      <c r="J107" s="428">
        <v>5.0</v>
      </c>
      <c r="K107" s="430" t="s">
        <v>19</v>
      </c>
      <c r="L107" s="319" t="s">
        <v>256</v>
      </c>
      <c r="M107" s="319">
        <f t="shared" si="1"/>
        <v>2432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19" t="s">
        <v>1223</v>
      </c>
      <c r="B108" s="420" t="s">
        <v>1224</v>
      </c>
      <c r="C108" s="420">
        <v>2016.0</v>
      </c>
      <c r="D108" s="421">
        <v>42489.0</v>
      </c>
      <c r="E108" s="394" t="s">
        <v>1225</v>
      </c>
      <c r="F108" s="422" t="s">
        <v>1006</v>
      </c>
      <c r="G108" s="422" t="s">
        <v>17</v>
      </c>
      <c r="H108" s="394" t="s">
        <v>26</v>
      </c>
      <c r="I108" s="423">
        <v>44708.0</v>
      </c>
      <c r="J108" s="422">
        <v>5.0</v>
      </c>
      <c r="K108" s="424" t="s">
        <v>19</v>
      </c>
      <c r="L108" s="316" t="s">
        <v>256</v>
      </c>
      <c r="M108" s="316">
        <f t="shared" si="1"/>
        <v>2219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25" t="s">
        <v>1226</v>
      </c>
      <c r="B109" s="426" t="s">
        <v>1227</v>
      </c>
      <c r="C109" s="426">
        <v>2016.0</v>
      </c>
      <c r="D109" s="431">
        <v>42437.0</v>
      </c>
      <c r="E109" s="428" t="s">
        <v>1228</v>
      </c>
      <c r="F109" s="428" t="s">
        <v>1219</v>
      </c>
      <c r="G109" s="397" t="s">
        <v>17</v>
      </c>
      <c r="H109" s="397" t="s">
        <v>18</v>
      </c>
      <c r="I109" s="429">
        <v>44708.0</v>
      </c>
      <c r="J109" s="428">
        <v>5.0</v>
      </c>
      <c r="K109" s="430" t="s">
        <v>19</v>
      </c>
      <c r="L109" s="319" t="s">
        <v>256</v>
      </c>
      <c r="M109" s="319">
        <f t="shared" si="1"/>
        <v>2271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19" t="s">
        <v>1229</v>
      </c>
      <c r="B110" s="420" t="s">
        <v>1230</v>
      </c>
      <c r="C110" s="420">
        <v>2020.0</v>
      </c>
      <c r="D110" s="432">
        <v>44140.0</v>
      </c>
      <c r="E110" s="394" t="s">
        <v>1231</v>
      </c>
      <c r="F110" s="422" t="s">
        <v>1232</v>
      </c>
      <c r="G110" s="422" t="s">
        <v>17</v>
      </c>
      <c r="H110" s="394" t="s">
        <v>587</v>
      </c>
      <c r="I110" s="423">
        <v>44711.0</v>
      </c>
      <c r="J110" s="422">
        <v>5.0</v>
      </c>
      <c r="K110" s="424" t="s">
        <v>19</v>
      </c>
      <c r="L110" s="316" t="s">
        <v>256</v>
      </c>
      <c r="M110" s="316">
        <f t="shared" si="1"/>
        <v>571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25" t="s">
        <v>1233</v>
      </c>
      <c r="B111" s="426" t="s">
        <v>1234</v>
      </c>
      <c r="C111" s="426">
        <v>2016.0</v>
      </c>
      <c r="D111" s="431">
        <v>42676.0</v>
      </c>
      <c r="E111" s="428" t="s">
        <v>1235</v>
      </c>
      <c r="F111" s="428" t="s">
        <v>1177</v>
      </c>
      <c r="G111" s="397" t="s">
        <v>17</v>
      </c>
      <c r="H111" s="397" t="s">
        <v>60</v>
      </c>
      <c r="I111" s="429">
        <v>44708.0</v>
      </c>
      <c r="J111" s="428">
        <v>5.0</v>
      </c>
      <c r="K111" s="430" t="s">
        <v>19</v>
      </c>
      <c r="L111" s="319" t="s">
        <v>258</v>
      </c>
      <c r="M111" s="319">
        <f t="shared" si="1"/>
        <v>2032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19" t="s">
        <v>1236</v>
      </c>
      <c r="B112" s="420" t="s">
        <v>1237</v>
      </c>
      <c r="C112" s="420">
        <v>2014.0</v>
      </c>
      <c r="D112" s="432">
        <v>41889.0</v>
      </c>
      <c r="E112" s="394" t="s">
        <v>1238</v>
      </c>
      <c r="F112" s="422" t="s">
        <v>739</v>
      </c>
      <c r="G112" s="422" t="s">
        <v>17</v>
      </c>
      <c r="H112" s="394" t="s">
        <v>1239</v>
      </c>
      <c r="I112" s="423">
        <v>44711.0</v>
      </c>
      <c r="J112" s="422">
        <v>5.0</v>
      </c>
      <c r="K112" s="424" t="s">
        <v>19</v>
      </c>
      <c r="L112" s="316" t="s">
        <v>258</v>
      </c>
      <c r="M112" s="316">
        <f t="shared" si="1"/>
        <v>2822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25" t="s">
        <v>1240</v>
      </c>
      <c r="B113" s="426" t="s">
        <v>1241</v>
      </c>
      <c r="C113" s="426">
        <v>2018.0</v>
      </c>
      <c r="D113" s="427">
        <v>43159.0</v>
      </c>
      <c r="E113" s="428" t="s">
        <v>1242</v>
      </c>
      <c r="F113" s="428" t="s">
        <v>947</v>
      </c>
      <c r="G113" s="397" t="s">
        <v>17</v>
      </c>
      <c r="H113" s="397" t="s">
        <v>596</v>
      </c>
      <c r="I113" s="429">
        <v>44708.0</v>
      </c>
      <c r="J113" s="428">
        <v>5.0</v>
      </c>
      <c r="K113" s="430" t="s">
        <v>19</v>
      </c>
      <c r="L113" s="319" t="s">
        <v>258</v>
      </c>
      <c r="M113" s="319">
        <f t="shared" si="1"/>
        <v>1549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19" t="s">
        <v>1243</v>
      </c>
      <c r="B114" s="420" t="s">
        <v>1244</v>
      </c>
      <c r="C114" s="420">
        <v>2016.0</v>
      </c>
      <c r="D114" s="421">
        <v>42578.0</v>
      </c>
      <c r="E114" s="394" t="s">
        <v>1245</v>
      </c>
      <c r="F114" s="422" t="s">
        <v>885</v>
      </c>
      <c r="G114" s="422" t="s">
        <v>17</v>
      </c>
      <c r="H114" s="394" t="s">
        <v>50</v>
      </c>
      <c r="I114" s="423">
        <v>44713.0</v>
      </c>
      <c r="J114" s="422">
        <v>6.0</v>
      </c>
      <c r="K114" s="424" t="s">
        <v>19</v>
      </c>
      <c r="L114" s="316" t="s">
        <v>256</v>
      </c>
      <c r="M114" s="316">
        <f t="shared" si="1"/>
        <v>2135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25" t="s">
        <v>1246</v>
      </c>
      <c r="B115" s="426" t="s">
        <v>1247</v>
      </c>
      <c r="C115" s="426">
        <v>2015.0</v>
      </c>
      <c r="D115" s="427">
        <v>42200.0</v>
      </c>
      <c r="E115" s="428" t="s">
        <v>1248</v>
      </c>
      <c r="F115" s="428" t="s">
        <v>885</v>
      </c>
      <c r="G115" s="397" t="s">
        <v>17</v>
      </c>
      <c r="H115" s="397" t="s">
        <v>50</v>
      </c>
      <c r="I115" s="429">
        <v>44713.0</v>
      </c>
      <c r="J115" s="428">
        <v>6.0</v>
      </c>
      <c r="K115" s="430" t="s">
        <v>19</v>
      </c>
      <c r="L115" s="319" t="s">
        <v>256</v>
      </c>
      <c r="M115" s="319">
        <f t="shared" si="1"/>
        <v>2513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19" t="s">
        <v>1249</v>
      </c>
      <c r="B116" s="420" t="s">
        <v>1250</v>
      </c>
      <c r="C116" s="420">
        <v>2015.0</v>
      </c>
      <c r="D116" s="421">
        <v>42271.0</v>
      </c>
      <c r="E116" s="394" t="s">
        <v>1251</v>
      </c>
      <c r="F116" s="422" t="s">
        <v>885</v>
      </c>
      <c r="G116" s="422" t="s">
        <v>17</v>
      </c>
      <c r="H116" s="394" t="s">
        <v>583</v>
      </c>
      <c r="I116" s="423">
        <v>44713.0</v>
      </c>
      <c r="J116" s="422">
        <v>6.0</v>
      </c>
      <c r="K116" s="424" t="s">
        <v>19</v>
      </c>
      <c r="L116" s="316" t="s">
        <v>256</v>
      </c>
      <c r="M116" s="316">
        <f t="shared" si="1"/>
        <v>2442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25" t="s">
        <v>1252</v>
      </c>
      <c r="B117" s="426" t="s">
        <v>1253</v>
      </c>
      <c r="C117" s="426">
        <v>2015.0</v>
      </c>
      <c r="D117" s="427">
        <v>42353.0</v>
      </c>
      <c r="E117" s="428" t="s">
        <v>1254</v>
      </c>
      <c r="F117" s="428" t="s">
        <v>1255</v>
      </c>
      <c r="G117" s="397" t="s">
        <v>17</v>
      </c>
      <c r="H117" s="397" t="s">
        <v>77</v>
      </c>
      <c r="I117" s="429">
        <v>44713.0</v>
      </c>
      <c r="J117" s="428">
        <v>6.0</v>
      </c>
      <c r="K117" s="430" t="s">
        <v>19</v>
      </c>
      <c r="L117" s="319" t="s">
        <v>256</v>
      </c>
      <c r="M117" s="319">
        <f t="shared" si="1"/>
        <v>2360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19" t="s">
        <v>1256</v>
      </c>
      <c r="B118" s="420" t="s">
        <v>1257</v>
      </c>
      <c r="C118" s="420">
        <v>2016.0</v>
      </c>
      <c r="D118" s="421">
        <v>42541.0</v>
      </c>
      <c r="E118" s="394" t="s">
        <v>1258</v>
      </c>
      <c r="F118" s="422" t="s">
        <v>909</v>
      </c>
      <c r="G118" s="422" t="s">
        <v>17</v>
      </c>
      <c r="H118" s="394" t="s">
        <v>77</v>
      </c>
      <c r="I118" s="423">
        <v>44713.0</v>
      </c>
      <c r="J118" s="422">
        <v>6.0</v>
      </c>
      <c r="K118" s="424" t="s">
        <v>19</v>
      </c>
      <c r="L118" s="316" t="s">
        <v>258</v>
      </c>
      <c r="M118" s="316">
        <f t="shared" si="1"/>
        <v>2172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25" t="s">
        <v>1259</v>
      </c>
      <c r="B119" s="426" t="s">
        <v>1260</v>
      </c>
      <c r="C119" s="426">
        <v>2015.0</v>
      </c>
      <c r="D119" s="431">
        <v>42339.0</v>
      </c>
      <c r="E119" s="428" t="s">
        <v>1261</v>
      </c>
      <c r="F119" s="428" t="s">
        <v>909</v>
      </c>
      <c r="G119" s="397" t="s">
        <v>17</v>
      </c>
      <c r="H119" s="397" t="s">
        <v>573</v>
      </c>
      <c r="I119" s="429">
        <v>44713.0</v>
      </c>
      <c r="J119" s="428">
        <v>6.0</v>
      </c>
      <c r="K119" s="430" t="s">
        <v>19</v>
      </c>
      <c r="L119" s="319" t="s">
        <v>258</v>
      </c>
      <c r="M119" s="319">
        <f t="shared" si="1"/>
        <v>2374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19" t="s">
        <v>1262</v>
      </c>
      <c r="B120" s="420" t="s">
        <v>1263</v>
      </c>
      <c r="C120" s="420">
        <v>2016.0</v>
      </c>
      <c r="D120" s="421">
        <v>42717.0</v>
      </c>
      <c r="E120" s="394" t="s">
        <v>1264</v>
      </c>
      <c r="F120" s="422" t="s">
        <v>909</v>
      </c>
      <c r="G120" s="422" t="s">
        <v>17</v>
      </c>
      <c r="H120" s="394" t="s">
        <v>56</v>
      </c>
      <c r="I120" s="423">
        <v>44713.0</v>
      </c>
      <c r="J120" s="422">
        <v>6.0</v>
      </c>
      <c r="K120" s="424" t="s">
        <v>19</v>
      </c>
      <c r="L120" s="316" t="s">
        <v>258</v>
      </c>
      <c r="M120" s="316">
        <f t="shared" si="1"/>
        <v>1996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25" t="s">
        <v>1265</v>
      </c>
      <c r="B121" s="426" t="s">
        <v>1266</v>
      </c>
      <c r="C121" s="426">
        <v>2015.0</v>
      </c>
      <c r="D121" s="427">
        <v>42020.0</v>
      </c>
      <c r="E121" s="428" t="s">
        <v>1267</v>
      </c>
      <c r="F121" s="428" t="s">
        <v>909</v>
      </c>
      <c r="G121" s="397" t="s">
        <v>17</v>
      </c>
      <c r="H121" s="397" t="s">
        <v>50</v>
      </c>
      <c r="I121" s="429">
        <v>44713.0</v>
      </c>
      <c r="J121" s="428">
        <v>6.0</v>
      </c>
      <c r="K121" s="430" t="s">
        <v>19</v>
      </c>
      <c r="L121" s="319" t="s">
        <v>258</v>
      </c>
      <c r="M121" s="319">
        <f t="shared" si="1"/>
        <v>2693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19" t="s">
        <v>1268</v>
      </c>
      <c r="B122" s="420" t="s">
        <v>1269</v>
      </c>
      <c r="C122" s="420">
        <v>2017.0</v>
      </c>
      <c r="D122" s="421">
        <v>42996.0</v>
      </c>
      <c r="E122" s="394" t="s">
        <v>1270</v>
      </c>
      <c r="F122" s="422" t="s">
        <v>719</v>
      </c>
      <c r="G122" s="422" t="s">
        <v>17</v>
      </c>
      <c r="H122" s="394" t="s">
        <v>587</v>
      </c>
      <c r="I122" s="423">
        <v>44713.0</v>
      </c>
      <c r="J122" s="422">
        <v>6.0</v>
      </c>
      <c r="K122" s="424" t="s">
        <v>19</v>
      </c>
      <c r="L122" s="316" t="s">
        <v>256</v>
      </c>
      <c r="M122" s="316">
        <f t="shared" si="1"/>
        <v>1717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25" t="s">
        <v>1271</v>
      </c>
      <c r="B123" s="426" t="s">
        <v>1272</v>
      </c>
      <c r="C123" s="426">
        <v>2017.0</v>
      </c>
      <c r="D123" s="427">
        <v>42807.0</v>
      </c>
      <c r="E123" s="428" t="s">
        <v>1273</v>
      </c>
      <c r="F123" s="428" t="s">
        <v>719</v>
      </c>
      <c r="G123" s="397" t="s">
        <v>17</v>
      </c>
      <c r="H123" s="397" t="s">
        <v>50</v>
      </c>
      <c r="I123" s="429">
        <v>44713.0</v>
      </c>
      <c r="J123" s="428">
        <v>6.0</v>
      </c>
      <c r="K123" s="430" t="s">
        <v>19</v>
      </c>
      <c r="L123" s="319" t="s">
        <v>256</v>
      </c>
      <c r="M123" s="319">
        <f t="shared" si="1"/>
        <v>1906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19" t="s">
        <v>1274</v>
      </c>
      <c r="B124" s="420" t="s">
        <v>1275</v>
      </c>
      <c r="C124" s="420">
        <v>2019.0</v>
      </c>
      <c r="D124" s="421">
        <v>43791.0</v>
      </c>
      <c r="E124" s="394" t="s">
        <v>1276</v>
      </c>
      <c r="F124" s="422" t="s">
        <v>1136</v>
      </c>
      <c r="G124" s="422" t="s">
        <v>17</v>
      </c>
      <c r="H124" s="394" t="s">
        <v>564</v>
      </c>
      <c r="I124" s="423">
        <v>44713.0</v>
      </c>
      <c r="J124" s="422">
        <v>6.0</v>
      </c>
      <c r="K124" s="424" t="s">
        <v>19</v>
      </c>
      <c r="L124" s="316" t="s">
        <v>260</v>
      </c>
      <c r="M124" s="316">
        <f t="shared" si="1"/>
        <v>922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25" t="s">
        <v>1277</v>
      </c>
      <c r="B125" s="426" t="s">
        <v>1278</v>
      </c>
      <c r="C125" s="426">
        <v>2018.0</v>
      </c>
      <c r="D125" s="427">
        <v>43217.0</v>
      </c>
      <c r="E125" s="428" t="s">
        <v>1279</v>
      </c>
      <c r="F125" s="428" t="s">
        <v>71</v>
      </c>
      <c r="G125" s="397" t="s">
        <v>17</v>
      </c>
      <c r="H125" s="397" t="s">
        <v>990</v>
      </c>
      <c r="I125" s="429">
        <v>44713.0</v>
      </c>
      <c r="J125" s="428">
        <v>6.0</v>
      </c>
      <c r="K125" s="430" t="s">
        <v>19</v>
      </c>
      <c r="L125" s="319" t="s">
        <v>258</v>
      </c>
      <c r="M125" s="319">
        <f t="shared" si="1"/>
        <v>1496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19" t="s">
        <v>1280</v>
      </c>
      <c r="B126" s="420" t="s">
        <v>1281</v>
      </c>
      <c r="C126" s="420">
        <v>2016.0</v>
      </c>
      <c r="D126" s="421">
        <v>42579.0</v>
      </c>
      <c r="E126" s="394" t="s">
        <v>1282</v>
      </c>
      <c r="F126" s="422" t="s">
        <v>16</v>
      </c>
      <c r="G126" s="422" t="s">
        <v>17</v>
      </c>
      <c r="H126" s="394" t="s">
        <v>130</v>
      </c>
      <c r="I126" s="423">
        <v>44713.0</v>
      </c>
      <c r="J126" s="422">
        <v>6.0</v>
      </c>
      <c r="K126" s="424" t="s">
        <v>19</v>
      </c>
      <c r="L126" s="316" t="s">
        <v>256</v>
      </c>
      <c r="M126" s="316">
        <f t="shared" si="1"/>
        <v>2134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25" t="s">
        <v>1283</v>
      </c>
      <c r="B127" s="426" t="s">
        <v>1284</v>
      </c>
      <c r="C127" s="426">
        <v>2016.0</v>
      </c>
      <c r="D127" s="427">
        <v>42459.0</v>
      </c>
      <c r="E127" s="428" t="s">
        <v>1285</v>
      </c>
      <c r="F127" s="428" t="s">
        <v>1108</v>
      </c>
      <c r="G127" s="397" t="s">
        <v>17</v>
      </c>
      <c r="H127" s="397" t="s">
        <v>26</v>
      </c>
      <c r="I127" s="429">
        <v>44713.0</v>
      </c>
      <c r="J127" s="428">
        <v>6.0</v>
      </c>
      <c r="K127" s="430" t="s">
        <v>19</v>
      </c>
      <c r="L127" s="319" t="s">
        <v>256</v>
      </c>
      <c r="M127" s="319">
        <f t="shared" si="1"/>
        <v>2254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19" t="s">
        <v>1286</v>
      </c>
      <c r="B128" s="420" t="s">
        <v>1287</v>
      </c>
      <c r="C128" s="420">
        <v>2016.0</v>
      </c>
      <c r="D128" s="432">
        <v>42525.0</v>
      </c>
      <c r="E128" s="394" t="s">
        <v>1288</v>
      </c>
      <c r="F128" s="422" t="s">
        <v>1108</v>
      </c>
      <c r="G128" s="422" t="s">
        <v>17</v>
      </c>
      <c r="H128" s="394" t="s">
        <v>77</v>
      </c>
      <c r="I128" s="423">
        <v>44713.0</v>
      </c>
      <c r="J128" s="422">
        <v>6.0</v>
      </c>
      <c r="K128" s="424" t="s">
        <v>19</v>
      </c>
      <c r="L128" s="316" t="s">
        <v>256</v>
      </c>
      <c r="M128" s="316">
        <f t="shared" si="1"/>
        <v>2188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25" t="s">
        <v>1289</v>
      </c>
      <c r="B129" s="426" t="s">
        <v>1290</v>
      </c>
      <c r="C129" s="426">
        <v>2020.0</v>
      </c>
      <c r="D129" s="427">
        <v>44070.0</v>
      </c>
      <c r="E129" s="428" t="s">
        <v>1291</v>
      </c>
      <c r="F129" s="428" t="s">
        <v>186</v>
      </c>
      <c r="G129" s="397" t="s">
        <v>17</v>
      </c>
      <c r="H129" s="397" t="s">
        <v>50</v>
      </c>
      <c r="I129" s="429">
        <v>44713.0</v>
      </c>
      <c r="J129" s="428">
        <v>6.0</v>
      </c>
      <c r="K129" s="430" t="s">
        <v>19</v>
      </c>
      <c r="L129" s="319" t="s">
        <v>256</v>
      </c>
      <c r="M129" s="319">
        <f t="shared" si="1"/>
        <v>643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19" t="s">
        <v>1292</v>
      </c>
      <c r="B130" s="420" t="s">
        <v>1293</v>
      </c>
      <c r="C130" s="420">
        <v>2013.0</v>
      </c>
      <c r="D130" s="432">
        <v>41343.0</v>
      </c>
      <c r="E130" s="394" t="s">
        <v>1294</v>
      </c>
      <c r="F130" s="422" t="s">
        <v>963</v>
      </c>
      <c r="G130" s="422" t="s">
        <v>17</v>
      </c>
      <c r="H130" s="394" t="s">
        <v>1178</v>
      </c>
      <c r="I130" s="423">
        <v>44713.0</v>
      </c>
      <c r="J130" s="422">
        <v>6.0</v>
      </c>
      <c r="K130" s="424" t="s">
        <v>19</v>
      </c>
      <c r="L130" s="316" t="s">
        <v>258</v>
      </c>
      <c r="M130" s="316">
        <f t="shared" si="1"/>
        <v>3370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25" t="s">
        <v>1295</v>
      </c>
      <c r="B131" s="426" t="s">
        <v>1296</v>
      </c>
      <c r="C131" s="426">
        <v>2018.0</v>
      </c>
      <c r="D131" s="427">
        <v>43332.0</v>
      </c>
      <c r="E131" s="428" t="s">
        <v>1297</v>
      </c>
      <c r="F131" s="428" t="s">
        <v>186</v>
      </c>
      <c r="G131" s="397" t="s">
        <v>17</v>
      </c>
      <c r="H131" s="397" t="s">
        <v>583</v>
      </c>
      <c r="I131" s="429">
        <v>44713.0</v>
      </c>
      <c r="J131" s="428">
        <v>6.0</v>
      </c>
      <c r="K131" s="430" t="s">
        <v>19</v>
      </c>
      <c r="L131" s="319" t="s">
        <v>256</v>
      </c>
      <c r="M131" s="319">
        <f t="shared" si="1"/>
        <v>1381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19" t="s">
        <v>1298</v>
      </c>
      <c r="B132" s="420" t="s">
        <v>1299</v>
      </c>
      <c r="C132" s="420">
        <v>2012.0</v>
      </c>
      <c r="D132" s="432">
        <v>40978.0</v>
      </c>
      <c r="E132" s="394" t="s">
        <v>1300</v>
      </c>
      <c r="F132" s="422" t="s">
        <v>1039</v>
      </c>
      <c r="G132" s="422" t="s">
        <v>17</v>
      </c>
      <c r="H132" s="394" t="s">
        <v>130</v>
      </c>
      <c r="I132" s="423">
        <v>44713.0</v>
      </c>
      <c r="J132" s="422">
        <v>6.0</v>
      </c>
      <c r="K132" s="424" t="s">
        <v>19</v>
      </c>
      <c r="L132" s="316" t="s">
        <v>258</v>
      </c>
      <c r="M132" s="316">
        <f t="shared" si="1"/>
        <v>3735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25" t="s">
        <v>1301</v>
      </c>
      <c r="B133" s="426" t="s">
        <v>1302</v>
      </c>
      <c r="C133" s="426">
        <v>2016.0</v>
      </c>
      <c r="D133" s="431">
        <v>42431.0</v>
      </c>
      <c r="E133" s="428" t="s">
        <v>1303</v>
      </c>
      <c r="F133" s="428" t="s">
        <v>947</v>
      </c>
      <c r="G133" s="397" t="s">
        <v>17</v>
      </c>
      <c r="H133" s="397" t="s">
        <v>573</v>
      </c>
      <c r="I133" s="429">
        <v>44713.0</v>
      </c>
      <c r="J133" s="428">
        <v>6.0</v>
      </c>
      <c r="K133" s="430" t="s">
        <v>19</v>
      </c>
      <c r="L133" s="319" t="s">
        <v>258</v>
      </c>
      <c r="M133" s="319">
        <f t="shared" si="1"/>
        <v>2282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19" t="s">
        <v>1304</v>
      </c>
      <c r="B134" s="420" t="s">
        <v>1305</v>
      </c>
      <c r="C134" s="420">
        <v>2018.0</v>
      </c>
      <c r="D134" s="421">
        <v>43408.0</v>
      </c>
      <c r="E134" s="394" t="s">
        <v>1306</v>
      </c>
      <c r="F134" s="422" t="s">
        <v>1307</v>
      </c>
      <c r="G134" s="422" t="s">
        <v>34</v>
      </c>
      <c r="H134" s="394" t="s">
        <v>158</v>
      </c>
      <c r="I134" s="423">
        <v>44741.0</v>
      </c>
      <c r="J134" s="422">
        <v>6.0</v>
      </c>
      <c r="K134" s="433" t="s">
        <v>240</v>
      </c>
      <c r="L134" s="316" t="s">
        <v>258</v>
      </c>
      <c r="M134" s="316">
        <f t="shared" si="1"/>
        <v>1333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25" t="s">
        <v>1308</v>
      </c>
      <c r="B135" s="426" t="s">
        <v>1309</v>
      </c>
      <c r="C135" s="426">
        <v>2021.0</v>
      </c>
      <c r="D135" s="427">
        <v>44400.0</v>
      </c>
      <c r="E135" s="428" t="s">
        <v>1310</v>
      </c>
      <c r="F135" s="428" t="s">
        <v>874</v>
      </c>
      <c r="G135" s="397" t="s">
        <v>17</v>
      </c>
      <c r="H135" s="397" t="s">
        <v>1311</v>
      </c>
      <c r="I135" s="429">
        <v>44742.0</v>
      </c>
      <c r="J135" s="428">
        <v>6.0</v>
      </c>
      <c r="K135" s="430" t="s">
        <v>19</v>
      </c>
      <c r="L135" s="319" t="s">
        <v>256</v>
      </c>
      <c r="M135" s="319">
        <f t="shared" si="1"/>
        <v>342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19" t="s">
        <v>1312</v>
      </c>
      <c r="B136" s="420" t="s">
        <v>1313</v>
      </c>
      <c r="C136" s="420">
        <v>2017.0</v>
      </c>
      <c r="D136" s="421">
        <v>43010.0</v>
      </c>
      <c r="E136" s="394" t="s">
        <v>1314</v>
      </c>
      <c r="F136" s="422" t="s">
        <v>1315</v>
      </c>
      <c r="G136" s="422" t="s">
        <v>17</v>
      </c>
      <c r="H136" s="394" t="s">
        <v>601</v>
      </c>
      <c r="I136" s="423">
        <v>44742.0</v>
      </c>
      <c r="J136" s="422">
        <v>6.0</v>
      </c>
      <c r="K136" s="424" t="s">
        <v>19</v>
      </c>
      <c r="L136" s="316" t="s">
        <v>258</v>
      </c>
      <c r="M136" s="316">
        <f t="shared" si="1"/>
        <v>1732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25" t="s">
        <v>1316</v>
      </c>
      <c r="B137" s="426" t="s">
        <v>1317</v>
      </c>
      <c r="C137" s="426">
        <v>2020.0</v>
      </c>
      <c r="D137" s="427">
        <v>43909.0</v>
      </c>
      <c r="E137" s="428" t="s">
        <v>1318</v>
      </c>
      <c r="F137" s="428" t="s">
        <v>167</v>
      </c>
      <c r="G137" s="397" t="s">
        <v>17</v>
      </c>
      <c r="H137" s="397" t="s">
        <v>153</v>
      </c>
      <c r="I137" s="429">
        <v>44742.0</v>
      </c>
      <c r="J137" s="428">
        <v>6.0</v>
      </c>
      <c r="K137" s="430" t="s">
        <v>19</v>
      </c>
      <c r="L137" s="319" t="s">
        <v>256</v>
      </c>
      <c r="M137" s="319">
        <f t="shared" si="1"/>
        <v>833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19" t="s">
        <v>1319</v>
      </c>
      <c r="B138" s="420" t="s">
        <v>1320</v>
      </c>
      <c r="C138" s="420">
        <v>2019.0</v>
      </c>
      <c r="D138" s="421">
        <v>43778.0</v>
      </c>
      <c r="E138" s="394" t="s">
        <v>1321</v>
      </c>
      <c r="F138" s="422" t="s">
        <v>1322</v>
      </c>
      <c r="G138" s="422" t="s">
        <v>17</v>
      </c>
      <c r="H138" s="394" t="s">
        <v>72</v>
      </c>
      <c r="I138" s="423">
        <v>44742.0</v>
      </c>
      <c r="J138" s="422">
        <v>6.0</v>
      </c>
      <c r="K138" s="424" t="s">
        <v>19</v>
      </c>
      <c r="L138" s="316" t="s">
        <v>256</v>
      </c>
      <c r="M138" s="316">
        <f t="shared" si="1"/>
        <v>964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25" t="s">
        <v>1323</v>
      </c>
      <c r="B139" s="426" t="s">
        <v>1324</v>
      </c>
      <c r="C139" s="426">
        <v>2011.0</v>
      </c>
      <c r="D139" s="427">
        <v>40885.0</v>
      </c>
      <c r="E139" s="428" t="s">
        <v>1325</v>
      </c>
      <c r="F139" s="428" t="s">
        <v>719</v>
      </c>
      <c r="G139" s="397" t="s">
        <v>17</v>
      </c>
      <c r="H139" s="397" t="s">
        <v>153</v>
      </c>
      <c r="I139" s="429">
        <v>44742.0</v>
      </c>
      <c r="J139" s="428">
        <v>6.0</v>
      </c>
      <c r="K139" s="430" t="s">
        <v>19</v>
      </c>
      <c r="L139" s="319" t="s">
        <v>256</v>
      </c>
      <c r="M139" s="319">
        <f t="shared" si="1"/>
        <v>3857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19" t="s">
        <v>1326</v>
      </c>
      <c r="B140" s="420" t="s">
        <v>1327</v>
      </c>
      <c r="C140" s="420">
        <v>2019.0</v>
      </c>
      <c r="D140" s="421">
        <v>43757.0</v>
      </c>
      <c r="E140" s="394" t="s">
        <v>1328</v>
      </c>
      <c r="F140" s="422" t="s">
        <v>719</v>
      </c>
      <c r="G140" s="422" t="s">
        <v>17</v>
      </c>
      <c r="H140" s="394" t="s">
        <v>1329</v>
      </c>
      <c r="I140" s="423">
        <v>44742.0</v>
      </c>
      <c r="J140" s="422">
        <v>6.0</v>
      </c>
      <c r="K140" s="424" t="s">
        <v>19</v>
      </c>
      <c r="L140" s="316" t="s">
        <v>256</v>
      </c>
      <c r="M140" s="316">
        <f t="shared" si="1"/>
        <v>985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25" t="s">
        <v>1330</v>
      </c>
      <c r="B141" s="426" t="s">
        <v>1331</v>
      </c>
      <c r="C141" s="426">
        <v>2018.0</v>
      </c>
      <c r="D141" s="431">
        <v>43217.0</v>
      </c>
      <c r="E141" s="434" t="s">
        <v>1332</v>
      </c>
      <c r="F141" s="428" t="s">
        <v>71</v>
      </c>
      <c r="G141" s="397" t="s">
        <v>17</v>
      </c>
      <c r="H141" s="397" t="s">
        <v>583</v>
      </c>
      <c r="I141" s="435">
        <v>44763.0</v>
      </c>
      <c r="J141" s="428">
        <v>7.0</v>
      </c>
      <c r="K141" s="430" t="s">
        <v>19</v>
      </c>
      <c r="L141" s="319" t="s">
        <v>258</v>
      </c>
      <c r="M141" s="319">
        <f t="shared" si="1"/>
        <v>1546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19" t="s">
        <v>1333</v>
      </c>
      <c r="B142" s="420" t="s">
        <v>1334</v>
      </c>
      <c r="C142" s="420">
        <v>2019.0</v>
      </c>
      <c r="D142" s="432">
        <v>43724.0</v>
      </c>
      <c r="E142" s="436" t="s">
        <v>1335</v>
      </c>
      <c r="F142" s="422" t="s">
        <v>1336</v>
      </c>
      <c r="G142" s="422" t="s">
        <v>34</v>
      </c>
      <c r="H142" s="394" t="s">
        <v>1002</v>
      </c>
      <c r="I142" s="437">
        <v>44763.0</v>
      </c>
      <c r="J142" s="422">
        <v>7.0</v>
      </c>
      <c r="K142" s="438" t="s">
        <v>602</v>
      </c>
      <c r="L142" s="316" t="s">
        <v>258</v>
      </c>
      <c r="M142" s="316">
        <f t="shared" si="1"/>
        <v>1039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25" t="s">
        <v>1337</v>
      </c>
      <c r="B143" s="426" t="s">
        <v>1338</v>
      </c>
      <c r="C143" s="426">
        <v>2014.0</v>
      </c>
      <c r="D143" s="431">
        <v>43049.0</v>
      </c>
      <c r="E143" s="428" t="s">
        <v>1339</v>
      </c>
      <c r="F143" s="428" t="s">
        <v>1340</v>
      </c>
      <c r="G143" s="397" t="s">
        <v>17</v>
      </c>
      <c r="H143" s="397" t="s">
        <v>26</v>
      </c>
      <c r="I143" s="435">
        <v>44763.0</v>
      </c>
      <c r="J143" s="428">
        <v>7.0</v>
      </c>
      <c r="K143" s="430" t="s">
        <v>19</v>
      </c>
      <c r="L143" s="319" t="s">
        <v>258</v>
      </c>
      <c r="M143" s="319">
        <f t="shared" si="1"/>
        <v>1714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19" t="s">
        <v>1341</v>
      </c>
      <c r="B144" s="420" t="s">
        <v>1342</v>
      </c>
      <c r="C144" s="420">
        <v>2017.0</v>
      </c>
      <c r="D144" s="432">
        <v>42825.0</v>
      </c>
      <c r="E144" s="394" t="s">
        <v>1343</v>
      </c>
      <c r="F144" s="422" t="s">
        <v>666</v>
      </c>
      <c r="G144" s="422" t="s">
        <v>17</v>
      </c>
      <c r="H144" s="394" t="s">
        <v>596</v>
      </c>
      <c r="I144" s="437">
        <v>44763.0</v>
      </c>
      <c r="J144" s="422">
        <v>7.0</v>
      </c>
      <c r="K144" s="424" t="s">
        <v>19</v>
      </c>
      <c r="L144" s="316" t="s">
        <v>258</v>
      </c>
      <c r="M144" s="316">
        <f t="shared" si="1"/>
        <v>1938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25" t="s">
        <v>1344</v>
      </c>
      <c r="B145" s="426" t="s">
        <v>1345</v>
      </c>
      <c r="C145" s="426">
        <v>2017.0</v>
      </c>
      <c r="D145" s="431">
        <v>42825.0</v>
      </c>
      <c r="E145" s="428" t="s">
        <v>1346</v>
      </c>
      <c r="F145" s="428" t="s">
        <v>1347</v>
      </c>
      <c r="G145" s="397" t="s">
        <v>17</v>
      </c>
      <c r="H145" s="397" t="s">
        <v>596</v>
      </c>
      <c r="I145" s="435">
        <v>44763.0</v>
      </c>
      <c r="J145" s="428">
        <v>7.0</v>
      </c>
      <c r="K145" s="430" t="s">
        <v>19</v>
      </c>
      <c r="L145" s="319" t="s">
        <v>258</v>
      </c>
      <c r="M145" s="319">
        <f t="shared" si="1"/>
        <v>1938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19" t="s">
        <v>1348</v>
      </c>
      <c r="B146" s="420" t="s">
        <v>1349</v>
      </c>
      <c r="C146" s="420">
        <v>2015.0</v>
      </c>
      <c r="D146" s="421">
        <v>42034.0</v>
      </c>
      <c r="E146" s="394" t="s">
        <v>1350</v>
      </c>
      <c r="F146" s="422" t="s">
        <v>1347</v>
      </c>
      <c r="G146" s="422" t="s">
        <v>17</v>
      </c>
      <c r="H146" s="394" t="s">
        <v>596</v>
      </c>
      <c r="I146" s="437">
        <v>44763.0</v>
      </c>
      <c r="J146" s="422">
        <v>7.0</v>
      </c>
      <c r="K146" s="424" t="s">
        <v>19</v>
      </c>
      <c r="L146" s="316" t="s">
        <v>258</v>
      </c>
      <c r="M146" s="316">
        <f t="shared" si="1"/>
        <v>2729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25" t="s">
        <v>1351</v>
      </c>
      <c r="B147" s="426" t="s">
        <v>1352</v>
      </c>
      <c r="C147" s="426">
        <v>2019.0</v>
      </c>
      <c r="D147" s="431">
        <v>43700.0</v>
      </c>
      <c r="E147" s="428" t="s">
        <v>1353</v>
      </c>
      <c r="F147" s="428" t="s">
        <v>1354</v>
      </c>
      <c r="G147" s="397" t="s">
        <v>17</v>
      </c>
      <c r="H147" s="397" t="s">
        <v>1355</v>
      </c>
      <c r="I147" s="435">
        <v>44763.0</v>
      </c>
      <c r="J147" s="428">
        <v>7.0</v>
      </c>
      <c r="K147" s="430" t="s">
        <v>19</v>
      </c>
      <c r="L147" s="319" t="s">
        <v>258</v>
      </c>
      <c r="M147" s="319">
        <f t="shared" si="1"/>
        <v>1063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19" t="s">
        <v>1356</v>
      </c>
      <c r="B148" s="420" t="s">
        <v>1357</v>
      </c>
      <c r="C148" s="420">
        <v>2017.0</v>
      </c>
      <c r="D148" s="432">
        <v>42990.0</v>
      </c>
      <c r="E148" s="394" t="s">
        <v>1358</v>
      </c>
      <c r="F148" s="422" t="s">
        <v>102</v>
      </c>
      <c r="G148" s="422" t="s">
        <v>17</v>
      </c>
      <c r="H148" s="394" t="s">
        <v>32</v>
      </c>
      <c r="I148" s="437">
        <v>44763.0</v>
      </c>
      <c r="J148" s="422">
        <v>7.0</v>
      </c>
      <c r="K148" s="424" t="s">
        <v>19</v>
      </c>
      <c r="L148" s="316" t="s">
        <v>258</v>
      </c>
      <c r="M148" s="316">
        <f t="shared" si="1"/>
        <v>1773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25" t="s">
        <v>1359</v>
      </c>
      <c r="B149" s="426" t="s">
        <v>1360</v>
      </c>
      <c r="C149" s="426">
        <v>2014.0</v>
      </c>
      <c r="D149" s="431">
        <v>43048.0</v>
      </c>
      <c r="E149" s="428" t="s">
        <v>1361</v>
      </c>
      <c r="F149" s="428" t="s">
        <v>711</v>
      </c>
      <c r="G149" s="397" t="s">
        <v>17</v>
      </c>
      <c r="H149" s="397" t="s">
        <v>153</v>
      </c>
      <c r="I149" s="435">
        <v>44763.0</v>
      </c>
      <c r="J149" s="428">
        <v>7.0</v>
      </c>
      <c r="K149" s="430" t="s">
        <v>19</v>
      </c>
      <c r="L149" s="319" t="s">
        <v>256</v>
      </c>
      <c r="M149" s="319">
        <f t="shared" si="1"/>
        <v>1715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19" t="s">
        <v>1362</v>
      </c>
      <c r="B150" s="420" t="s">
        <v>1363</v>
      </c>
      <c r="C150" s="420">
        <v>2018.0</v>
      </c>
      <c r="D150" s="432">
        <v>43390.0</v>
      </c>
      <c r="E150" s="394" t="s">
        <v>1364</v>
      </c>
      <c r="F150" s="422" t="s">
        <v>71</v>
      </c>
      <c r="G150" s="422" t="s">
        <v>17</v>
      </c>
      <c r="H150" s="394" t="s">
        <v>1143</v>
      </c>
      <c r="I150" s="437">
        <v>44763.0</v>
      </c>
      <c r="J150" s="422">
        <v>7.0</v>
      </c>
      <c r="K150" s="424" t="s">
        <v>19</v>
      </c>
      <c r="L150" s="316" t="s">
        <v>258</v>
      </c>
      <c r="M150" s="316">
        <f t="shared" si="1"/>
        <v>1373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25" t="s">
        <v>1365</v>
      </c>
      <c r="B151" s="426" t="s">
        <v>1366</v>
      </c>
      <c r="C151" s="426">
        <v>2018.0</v>
      </c>
      <c r="D151" s="431">
        <v>43364.0</v>
      </c>
      <c r="E151" s="428" t="s">
        <v>1367</v>
      </c>
      <c r="F151" s="428" t="s">
        <v>71</v>
      </c>
      <c r="G151" s="397" t="s">
        <v>17</v>
      </c>
      <c r="H151" s="397" t="s">
        <v>163</v>
      </c>
      <c r="I151" s="435">
        <v>44763.0</v>
      </c>
      <c r="J151" s="428">
        <v>7.0</v>
      </c>
      <c r="K151" s="430" t="s">
        <v>19</v>
      </c>
      <c r="L151" s="319" t="s">
        <v>258</v>
      </c>
      <c r="M151" s="319">
        <f t="shared" si="1"/>
        <v>1399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19" t="s">
        <v>1368</v>
      </c>
      <c r="B152" s="420" t="s">
        <v>1369</v>
      </c>
      <c r="C152" s="420">
        <v>2017.0</v>
      </c>
      <c r="D152" s="432">
        <v>42941.0</v>
      </c>
      <c r="E152" s="394" t="s">
        <v>1370</v>
      </c>
      <c r="F152" s="422" t="s">
        <v>900</v>
      </c>
      <c r="G152" s="422" t="s">
        <v>17</v>
      </c>
      <c r="H152" s="394" t="s">
        <v>901</v>
      </c>
      <c r="I152" s="423">
        <v>44777.0</v>
      </c>
      <c r="J152" s="422">
        <v>8.0</v>
      </c>
      <c r="K152" s="424" t="s">
        <v>19</v>
      </c>
      <c r="L152" s="316" t="s">
        <v>256</v>
      </c>
      <c r="M152" s="316">
        <f t="shared" si="1"/>
        <v>1836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25" t="s">
        <v>1371</v>
      </c>
      <c r="B153" s="426" t="s">
        <v>1372</v>
      </c>
      <c r="C153" s="426">
        <v>2019.0</v>
      </c>
      <c r="D153" s="431">
        <v>43558.0</v>
      </c>
      <c r="E153" s="428" t="s">
        <v>1373</v>
      </c>
      <c r="F153" s="428" t="s">
        <v>71</v>
      </c>
      <c r="G153" s="397" t="s">
        <v>17</v>
      </c>
      <c r="H153" s="397" t="s">
        <v>26</v>
      </c>
      <c r="I153" s="429">
        <v>44777.0</v>
      </c>
      <c r="J153" s="428">
        <v>8.0</v>
      </c>
      <c r="K153" s="430" t="s">
        <v>19</v>
      </c>
      <c r="L153" s="319" t="s">
        <v>258</v>
      </c>
      <c r="M153" s="319">
        <f t="shared" si="1"/>
        <v>1219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19" t="s">
        <v>1374</v>
      </c>
      <c r="B154" s="420" t="s">
        <v>1375</v>
      </c>
      <c r="C154" s="420">
        <v>2015.0</v>
      </c>
      <c r="D154" s="432">
        <v>42101.0</v>
      </c>
      <c r="E154" s="394" t="s">
        <v>1376</v>
      </c>
      <c r="F154" s="422" t="s">
        <v>124</v>
      </c>
      <c r="G154" s="422" t="s">
        <v>17</v>
      </c>
      <c r="H154" s="394" t="s">
        <v>573</v>
      </c>
      <c r="I154" s="437">
        <v>44777.0</v>
      </c>
      <c r="J154" s="422">
        <v>8.0</v>
      </c>
      <c r="K154" s="424" t="s">
        <v>19</v>
      </c>
      <c r="L154" s="316" t="s">
        <v>258</v>
      </c>
      <c r="M154" s="316">
        <f t="shared" si="1"/>
        <v>2676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25" t="s">
        <v>1377</v>
      </c>
      <c r="B155" s="426" t="s">
        <v>1378</v>
      </c>
      <c r="C155" s="426">
        <v>2014.0</v>
      </c>
      <c r="D155" s="431">
        <v>41905.0</v>
      </c>
      <c r="E155" s="428" t="s">
        <v>1379</v>
      </c>
      <c r="F155" s="428" t="s">
        <v>124</v>
      </c>
      <c r="G155" s="397" t="s">
        <v>17</v>
      </c>
      <c r="H155" s="397" t="s">
        <v>130</v>
      </c>
      <c r="I155" s="435">
        <v>44777.0</v>
      </c>
      <c r="J155" s="428">
        <v>8.0</v>
      </c>
      <c r="K155" s="430" t="s">
        <v>19</v>
      </c>
      <c r="L155" s="319" t="s">
        <v>258</v>
      </c>
      <c r="M155" s="319">
        <f t="shared" si="1"/>
        <v>2872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19" t="s">
        <v>1380</v>
      </c>
      <c r="B156" s="420" t="s">
        <v>1381</v>
      </c>
      <c r="C156" s="420">
        <v>2017.0</v>
      </c>
      <c r="D156" s="432">
        <v>42984.0</v>
      </c>
      <c r="E156" s="394" t="s">
        <v>1382</v>
      </c>
      <c r="F156" s="422" t="s">
        <v>900</v>
      </c>
      <c r="G156" s="422" t="s">
        <v>17</v>
      </c>
      <c r="H156" s="394" t="s">
        <v>1383</v>
      </c>
      <c r="I156" s="437">
        <v>44777.0</v>
      </c>
      <c r="J156" s="422">
        <v>8.0</v>
      </c>
      <c r="K156" s="424" t="s">
        <v>19</v>
      </c>
      <c r="L156" s="316" t="s">
        <v>256</v>
      </c>
      <c r="M156" s="316">
        <f t="shared" si="1"/>
        <v>1793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25" t="s">
        <v>1384</v>
      </c>
      <c r="B157" s="426" t="s">
        <v>1385</v>
      </c>
      <c r="C157" s="426">
        <v>2015.0</v>
      </c>
      <c r="D157" s="431">
        <v>42355.0</v>
      </c>
      <c r="E157" s="428" t="s">
        <v>1386</v>
      </c>
      <c r="F157" s="428" t="s">
        <v>900</v>
      </c>
      <c r="G157" s="397" t="s">
        <v>17</v>
      </c>
      <c r="H157" s="397" t="s">
        <v>66</v>
      </c>
      <c r="I157" s="435">
        <v>44777.0</v>
      </c>
      <c r="J157" s="428">
        <v>8.0</v>
      </c>
      <c r="K157" s="430" t="s">
        <v>19</v>
      </c>
      <c r="L157" s="319" t="s">
        <v>256</v>
      </c>
      <c r="M157" s="319">
        <f t="shared" si="1"/>
        <v>2422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19" t="s">
        <v>1387</v>
      </c>
      <c r="B158" s="420" t="s">
        <v>1388</v>
      </c>
      <c r="C158" s="420">
        <v>2015.0</v>
      </c>
      <c r="D158" s="432">
        <v>42184.0</v>
      </c>
      <c r="E158" s="394" t="s">
        <v>1389</v>
      </c>
      <c r="F158" s="422" t="s">
        <v>900</v>
      </c>
      <c r="G158" s="422" t="s">
        <v>17</v>
      </c>
      <c r="H158" s="394" t="s">
        <v>50</v>
      </c>
      <c r="I158" s="437">
        <v>44777.0</v>
      </c>
      <c r="J158" s="422">
        <v>8.0</v>
      </c>
      <c r="K158" s="424" t="s">
        <v>19</v>
      </c>
      <c r="L158" s="316" t="s">
        <v>256</v>
      </c>
      <c r="M158" s="316">
        <f t="shared" si="1"/>
        <v>2593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25" t="s">
        <v>1390</v>
      </c>
      <c r="B159" s="426" t="s">
        <v>1391</v>
      </c>
      <c r="C159" s="426">
        <v>2017.0</v>
      </c>
      <c r="D159" s="431">
        <v>42951.0</v>
      </c>
      <c r="E159" s="428" t="s">
        <v>1392</v>
      </c>
      <c r="F159" s="428" t="s">
        <v>71</v>
      </c>
      <c r="G159" s="397" t="s">
        <v>17</v>
      </c>
      <c r="H159" s="397" t="s">
        <v>1393</v>
      </c>
      <c r="I159" s="435">
        <v>44777.0</v>
      </c>
      <c r="J159" s="428">
        <v>8.0</v>
      </c>
      <c r="K159" s="430" t="s">
        <v>19</v>
      </c>
      <c r="L159" s="319" t="s">
        <v>258</v>
      </c>
      <c r="M159" s="319">
        <f t="shared" si="1"/>
        <v>1826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19" t="s">
        <v>1394</v>
      </c>
      <c r="B160" s="420" t="s">
        <v>1395</v>
      </c>
      <c r="C160" s="420">
        <v>2018.0</v>
      </c>
      <c r="D160" s="432">
        <v>43137.0</v>
      </c>
      <c r="E160" s="394" t="s">
        <v>1396</v>
      </c>
      <c r="F160" s="422" t="s">
        <v>71</v>
      </c>
      <c r="G160" s="422" t="s">
        <v>17</v>
      </c>
      <c r="H160" s="394" t="s">
        <v>1397</v>
      </c>
      <c r="I160" s="437">
        <v>44777.0</v>
      </c>
      <c r="J160" s="422">
        <v>8.0</v>
      </c>
      <c r="K160" s="424" t="s">
        <v>19</v>
      </c>
      <c r="L160" s="316" t="s">
        <v>258</v>
      </c>
      <c r="M160" s="316">
        <f t="shared" si="1"/>
        <v>1640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25" t="s">
        <v>1398</v>
      </c>
      <c r="B161" s="426" t="s">
        <v>1399</v>
      </c>
      <c r="C161" s="426">
        <v>2018.0</v>
      </c>
      <c r="D161" s="431">
        <v>43453.0</v>
      </c>
      <c r="E161" s="428" t="s">
        <v>1400</v>
      </c>
      <c r="F161" s="428" t="s">
        <v>1401</v>
      </c>
      <c r="G161" s="397" t="s">
        <v>17</v>
      </c>
      <c r="H161" s="397" t="s">
        <v>573</v>
      </c>
      <c r="I161" s="435">
        <v>44777.0</v>
      </c>
      <c r="J161" s="428">
        <v>8.0</v>
      </c>
      <c r="K161" s="430" t="s">
        <v>19</v>
      </c>
      <c r="L161" s="319" t="s">
        <v>258</v>
      </c>
      <c r="M161" s="319">
        <f t="shared" si="1"/>
        <v>1324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19" t="s">
        <v>1402</v>
      </c>
      <c r="B162" s="420" t="s">
        <v>1403</v>
      </c>
      <c r="C162" s="420">
        <v>2016.0</v>
      </c>
      <c r="D162" s="432">
        <v>42618.0</v>
      </c>
      <c r="E162" s="394" t="s">
        <v>1404</v>
      </c>
      <c r="F162" s="422" t="s">
        <v>595</v>
      </c>
      <c r="G162" s="422" t="s">
        <v>17</v>
      </c>
      <c r="H162" s="394" t="s">
        <v>130</v>
      </c>
      <c r="I162" s="437">
        <v>44777.0</v>
      </c>
      <c r="J162" s="422">
        <v>8.0</v>
      </c>
      <c r="K162" s="424" t="s">
        <v>19</v>
      </c>
      <c r="L162" s="316" t="s">
        <v>840</v>
      </c>
      <c r="M162" s="316">
        <f t="shared" si="1"/>
        <v>2159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25" t="s">
        <v>1405</v>
      </c>
      <c r="B163" s="426" t="s">
        <v>1406</v>
      </c>
      <c r="C163" s="426">
        <v>2019.0</v>
      </c>
      <c r="D163" s="431">
        <v>43742.0</v>
      </c>
      <c r="E163" s="428" t="s">
        <v>1407</v>
      </c>
      <c r="F163" s="428" t="s">
        <v>1408</v>
      </c>
      <c r="G163" s="397" t="s">
        <v>17</v>
      </c>
      <c r="H163" s="397" t="s">
        <v>130</v>
      </c>
      <c r="I163" s="435">
        <v>44777.0</v>
      </c>
      <c r="J163" s="428">
        <v>8.0</v>
      </c>
      <c r="K163" s="430" t="s">
        <v>19</v>
      </c>
      <c r="L163" s="319" t="s">
        <v>256</v>
      </c>
      <c r="M163" s="319">
        <f t="shared" si="1"/>
        <v>1035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19" t="s">
        <v>1409</v>
      </c>
      <c r="B164" s="420" t="s">
        <v>1410</v>
      </c>
      <c r="C164" s="420">
        <v>2014.0</v>
      </c>
      <c r="D164" s="432">
        <v>41708.0</v>
      </c>
      <c r="E164" s="394" t="s">
        <v>1411</v>
      </c>
      <c r="F164" s="422" t="s">
        <v>666</v>
      </c>
      <c r="G164" s="422" t="s">
        <v>17</v>
      </c>
      <c r="H164" s="394" t="s">
        <v>97</v>
      </c>
      <c r="I164" s="437">
        <v>44777.0</v>
      </c>
      <c r="J164" s="422">
        <v>8.0</v>
      </c>
      <c r="K164" s="424" t="s">
        <v>19</v>
      </c>
      <c r="L164" s="316" t="s">
        <v>258</v>
      </c>
      <c r="M164" s="316">
        <f t="shared" si="1"/>
        <v>3069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25" t="s">
        <v>1412</v>
      </c>
      <c r="B165" s="426" t="s">
        <v>1413</v>
      </c>
      <c r="C165" s="426">
        <v>2020.0</v>
      </c>
      <c r="D165" s="431">
        <v>43964.0</v>
      </c>
      <c r="E165" s="428" t="s">
        <v>1414</v>
      </c>
      <c r="F165" s="428" t="s">
        <v>71</v>
      </c>
      <c r="G165" s="397" t="s">
        <v>17</v>
      </c>
      <c r="H165" s="397" t="s">
        <v>26</v>
      </c>
      <c r="I165" s="435">
        <v>44777.0</v>
      </c>
      <c r="J165" s="428">
        <v>8.0</v>
      </c>
      <c r="K165" s="430" t="s">
        <v>19</v>
      </c>
      <c r="L165" s="319" t="s">
        <v>258</v>
      </c>
      <c r="M165" s="319">
        <f t="shared" si="1"/>
        <v>813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19" t="s">
        <v>1415</v>
      </c>
      <c r="B166" s="420" t="s">
        <v>1416</v>
      </c>
      <c r="C166" s="420">
        <v>2015.0</v>
      </c>
      <c r="D166" s="432">
        <v>42332.0</v>
      </c>
      <c r="E166" s="394" t="s">
        <v>1417</v>
      </c>
      <c r="F166" s="422" t="s">
        <v>71</v>
      </c>
      <c r="G166" s="422" t="s">
        <v>17</v>
      </c>
      <c r="H166" s="394" t="s">
        <v>153</v>
      </c>
      <c r="I166" s="437">
        <v>44777.0</v>
      </c>
      <c r="J166" s="422">
        <v>8.0</v>
      </c>
      <c r="K166" s="424" t="s">
        <v>19</v>
      </c>
      <c r="L166" s="316" t="s">
        <v>258</v>
      </c>
      <c r="M166" s="316">
        <f t="shared" si="1"/>
        <v>2445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25" t="s">
        <v>1418</v>
      </c>
      <c r="B167" s="426" t="s">
        <v>1419</v>
      </c>
      <c r="C167" s="426">
        <v>2016.0</v>
      </c>
      <c r="D167" s="431">
        <v>42487.0</v>
      </c>
      <c r="E167" s="428" t="s">
        <v>1420</v>
      </c>
      <c r="F167" s="428" t="s">
        <v>785</v>
      </c>
      <c r="G167" s="397" t="s">
        <v>17</v>
      </c>
      <c r="H167" s="397" t="s">
        <v>1421</v>
      </c>
      <c r="I167" s="435">
        <v>44777.0</v>
      </c>
      <c r="J167" s="428">
        <v>8.0</v>
      </c>
      <c r="K167" s="430" t="s">
        <v>19</v>
      </c>
      <c r="L167" s="319" t="s">
        <v>256</v>
      </c>
      <c r="M167" s="319">
        <f t="shared" si="1"/>
        <v>2290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19" t="s">
        <v>1422</v>
      </c>
      <c r="B168" s="420" t="s">
        <v>1423</v>
      </c>
      <c r="C168" s="420">
        <v>2014.0</v>
      </c>
      <c r="D168" s="432">
        <v>41885.0</v>
      </c>
      <c r="E168" s="394" t="s">
        <v>1424</v>
      </c>
      <c r="F168" s="422" t="s">
        <v>785</v>
      </c>
      <c r="G168" s="422" t="s">
        <v>17</v>
      </c>
      <c r="H168" s="394" t="s">
        <v>1421</v>
      </c>
      <c r="I168" s="437">
        <v>44777.0</v>
      </c>
      <c r="J168" s="422">
        <v>8.0</v>
      </c>
      <c r="K168" s="424" t="s">
        <v>19</v>
      </c>
      <c r="L168" s="316" t="s">
        <v>256</v>
      </c>
      <c r="M168" s="316">
        <f t="shared" si="1"/>
        <v>2892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25" t="s">
        <v>1425</v>
      </c>
      <c r="B169" s="426" t="s">
        <v>1426</v>
      </c>
      <c r="C169" s="426">
        <v>2017.0</v>
      </c>
      <c r="D169" s="431">
        <v>42927.0</v>
      </c>
      <c r="E169" s="428" t="s">
        <v>1427</v>
      </c>
      <c r="F169" s="428" t="s">
        <v>666</v>
      </c>
      <c r="G169" s="397" t="s">
        <v>17</v>
      </c>
      <c r="H169" s="397" t="s">
        <v>1178</v>
      </c>
      <c r="I169" s="435">
        <v>44777.0</v>
      </c>
      <c r="J169" s="428">
        <v>8.0</v>
      </c>
      <c r="K169" s="430" t="s">
        <v>19</v>
      </c>
      <c r="L169" s="319" t="s">
        <v>258</v>
      </c>
      <c r="M169" s="319">
        <f t="shared" si="1"/>
        <v>1850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19" t="s">
        <v>1428</v>
      </c>
      <c r="B170" s="420" t="s">
        <v>1429</v>
      </c>
      <c r="C170" s="420">
        <v>2019.0</v>
      </c>
      <c r="D170" s="432">
        <v>43599.0</v>
      </c>
      <c r="E170" s="394" t="s">
        <v>1430</v>
      </c>
      <c r="F170" s="422" t="s">
        <v>71</v>
      </c>
      <c r="G170" s="422" t="s">
        <v>17</v>
      </c>
      <c r="H170" s="394" t="s">
        <v>56</v>
      </c>
      <c r="I170" s="437">
        <v>44777.0</v>
      </c>
      <c r="J170" s="422">
        <v>8.0</v>
      </c>
      <c r="K170" s="424" t="s">
        <v>19</v>
      </c>
      <c r="L170" s="316" t="s">
        <v>258</v>
      </c>
      <c r="M170" s="316">
        <f t="shared" si="1"/>
        <v>1178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25" t="s">
        <v>1431</v>
      </c>
      <c r="B171" s="426" t="s">
        <v>1432</v>
      </c>
      <c r="C171" s="426">
        <v>2019.0</v>
      </c>
      <c r="D171" s="431">
        <v>43567.0</v>
      </c>
      <c r="E171" s="428" t="s">
        <v>1433</v>
      </c>
      <c r="F171" s="428" t="s">
        <v>71</v>
      </c>
      <c r="G171" s="397" t="s">
        <v>17</v>
      </c>
      <c r="H171" s="397" t="s">
        <v>26</v>
      </c>
      <c r="I171" s="435">
        <v>44777.0</v>
      </c>
      <c r="J171" s="428">
        <v>8.0</v>
      </c>
      <c r="K171" s="430" t="s">
        <v>19</v>
      </c>
      <c r="L171" s="319" t="s">
        <v>258</v>
      </c>
      <c r="M171" s="319">
        <f t="shared" si="1"/>
        <v>1210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19" t="s">
        <v>1434</v>
      </c>
      <c r="B172" s="420" t="s">
        <v>1435</v>
      </c>
      <c r="C172" s="420">
        <v>2019.0</v>
      </c>
      <c r="D172" s="432">
        <v>43579.0</v>
      </c>
      <c r="E172" s="394" t="s">
        <v>1436</v>
      </c>
      <c r="F172" s="422" t="s">
        <v>71</v>
      </c>
      <c r="G172" s="422" t="s">
        <v>17</v>
      </c>
      <c r="H172" s="394" t="s">
        <v>573</v>
      </c>
      <c r="I172" s="437">
        <v>44777.0</v>
      </c>
      <c r="J172" s="422">
        <v>8.0</v>
      </c>
      <c r="K172" s="424" t="s">
        <v>19</v>
      </c>
      <c r="L172" s="316" t="s">
        <v>258</v>
      </c>
      <c r="M172" s="316">
        <f t="shared" si="1"/>
        <v>1198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customHeight="1">
      <c r="A173" s="425" t="s">
        <v>1437</v>
      </c>
      <c r="B173" s="426" t="s">
        <v>1438</v>
      </c>
      <c r="C173" s="426">
        <v>2015.0</v>
      </c>
      <c r="D173" s="431">
        <v>42359.0</v>
      </c>
      <c r="E173" s="428" t="s">
        <v>1439</v>
      </c>
      <c r="F173" s="428" t="s">
        <v>1440</v>
      </c>
      <c r="G173" s="397" t="s">
        <v>17</v>
      </c>
      <c r="H173" s="397" t="s">
        <v>26</v>
      </c>
      <c r="I173" s="435">
        <v>44777.0</v>
      </c>
      <c r="J173" s="428">
        <v>8.0</v>
      </c>
      <c r="K173" s="430" t="s">
        <v>19</v>
      </c>
      <c r="L173" s="319" t="s">
        <v>256</v>
      </c>
      <c r="M173" s="319">
        <f t="shared" si="1"/>
        <v>2418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19" t="s">
        <v>1441</v>
      </c>
      <c r="B174" s="420" t="s">
        <v>1442</v>
      </c>
      <c r="C174" s="420">
        <v>2020.0</v>
      </c>
      <c r="D174" s="432">
        <v>43966.0</v>
      </c>
      <c r="E174" s="394" t="s">
        <v>1443</v>
      </c>
      <c r="F174" s="422" t="s">
        <v>71</v>
      </c>
      <c r="G174" s="422" t="s">
        <v>17</v>
      </c>
      <c r="H174" s="394" t="s">
        <v>564</v>
      </c>
      <c r="I174" s="437">
        <v>44777.0</v>
      </c>
      <c r="J174" s="422">
        <v>8.0</v>
      </c>
      <c r="K174" s="424" t="s">
        <v>19</v>
      </c>
      <c r="L174" s="316" t="s">
        <v>258</v>
      </c>
      <c r="M174" s="316">
        <f t="shared" si="1"/>
        <v>811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25" t="s">
        <v>1444</v>
      </c>
      <c r="B175" s="426" t="s">
        <v>1445</v>
      </c>
      <c r="C175" s="426">
        <v>2019.0</v>
      </c>
      <c r="D175" s="431">
        <v>43755.0</v>
      </c>
      <c r="E175" s="428" t="s">
        <v>1446</v>
      </c>
      <c r="F175" s="428" t="s">
        <v>65</v>
      </c>
      <c r="G175" s="397" t="s">
        <v>17</v>
      </c>
      <c r="H175" s="397" t="s">
        <v>66</v>
      </c>
      <c r="I175" s="435">
        <v>44777.0</v>
      </c>
      <c r="J175" s="428">
        <v>8.0</v>
      </c>
      <c r="K175" s="430" t="s">
        <v>19</v>
      </c>
      <c r="L175" s="319" t="s">
        <v>840</v>
      </c>
      <c r="M175" s="319">
        <f t="shared" si="1"/>
        <v>1022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19" t="s">
        <v>1447</v>
      </c>
      <c r="B176" s="420" t="s">
        <v>1448</v>
      </c>
      <c r="C176" s="420">
        <v>2020.0</v>
      </c>
      <c r="D176" s="432">
        <v>44179.0</v>
      </c>
      <c r="E176" s="394" t="s">
        <v>1449</v>
      </c>
      <c r="F176" s="422" t="s">
        <v>739</v>
      </c>
      <c r="G176" s="422" t="s">
        <v>17</v>
      </c>
      <c r="H176" s="394" t="s">
        <v>66</v>
      </c>
      <c r="I176" s="437">
        <v>44777.0</v>
      </c>
      <c r="J176" s="422">
        <v>8.0</v>
      </c>
      <c r="K176" s="424" t="s">
        <v>19</v>
      </c>
      <c r="L176" s="316" t="s">
        <v>258</v>
      </c>
      <c r="M176" s="316">
        <f t="shared" si="1"/>
        <v>598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25" t="s">
        <v>1450</v>
      </c>
      <c r="B177" s="426" t="s">
        <v>1451</v>
      </c>
      <c r="C177" s="426">
        <v>2022.0</v>
      </c>
      <c r="D177" s="431">
        <v>44635.0</v>
      </c>
      <c r="E177" s="428" t="s">
        <v>1452</v>
      </c>
      <c r="F177" s="428" t="s">
        <v>65</v>
      </c>
      <c r="G177" s="397" t="s">
        <v>17</v>
      </c>
      <c r="H177" s="397" t="s">
        <v>901</v>
      </c>
      <c r="I177" s="435">
        <v>44778.0</v>
      </c>
      <c r="J177" s="428">
        <v>8.0</v>
      </c>
      <c r="K177" s="430" t="s">
        <v>19</v>
      </c>
      <c r="L177" s="319" t="s">
        <v>840</v>
      </c>
      <c r="M177" s="319">
        <f t="shared" si="1"/>
        <v>143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19" t="s">
        <v>1453</v>
      </c>
      <c r="B178" s="420" t="s">
        <v>1454</v>
      </c>
      <c r="C178" s="420">
        <v>2019.0</v>
      </c>
      <c r="D178" s="432">
        <v>43769.0</v>
      </c>
      <c r="E178" s="394" t="s">
        <v>1455</v>
      </c>
      <c r="F178" s="422" t="s">
        <v>65</v>
      </c>
      <c r="G178" s="422" t="s">
        <v>17</v>
      </c>
      <c r="H178" s="394" t="s">
        <v>1456</v>
      </c>
      <c r="I178" s="437">
        <v>44778.0</v>
      </c>
      <c r="J178" s="422">
        <v>8.0</v>
      </c>
      <c r="K178" s="424" t="s">
        <v>19</v>
      </c>
      <c r="L178" s="316" t="s">
        <v>840</v>
      </c>
      <c r="M178" s="316">
        <f t="shared" si="1"/>
        <v>1009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25" t="s">
        <v>1457</v>
      </c>
      <c r="B179" s="426" t="s">
        <v>1458</v>
      </c>
      <c r="C179" s="426">
        <v>2022.0</v>
      </c>
      <c r="D179" s="431">
        <v>44645.0</v>
      </c>
      <c r="E179" s="428" t="s">
        <v>1459</v>
      </c>
      <c r="F179" s="428" t="s">
        <v>1460</v>
      </c>
      <c r="G179" s="397" t="s">
        <v>17</v>
      </c>
      <c r="H179" s="397" t="s">
        <v>1002</v>
      </c>
      <c r="I179" s="435">
        <v>44778.0</v>
      </c>
      <c r="J179" s="428">
        <v>8.0</v>
      </c>
      <c r="K179" s="430" t="s">
        <v>19</v>
      </c>
      <c r="L179" s="319" t="s">
        <v>258</v>
      </c>
      <c r="M179" s="319">
        <f t="shared" si="1"/>
        <v>133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419" t="s">
        <v>1461</v>
      </c>
      <c r="B180" s="420" t="s">
        <v>1462</v>
      </c>
      <c r="C180" s="420">
        <v>2016.0</v>
      </c>
      <c r="D180" s="432">
        <v>42613.0</v>
      </c>
      <c r="E180" s="394" t="s">
        <v>1463</v>
      </c>
      <c r="F180" s="422" t="s">
        <v>1464</v>
      </c>
      <c r="G180" s="422" t="s">
        <v>17</v>
      </c>
      <c r="H180" s="394" t="s">
        <v>596</v>
      </c>
      <c r="I180" s="437">
        <v>44778.0</v>
      </c>
      <c r="J180" s="422">
        <v>8.0</v>
      </c>
      <c r="K180" s="424" t="s">
        <v>19</v>
      </c>
      <c r="L180" s="316" t="s">
        <v>256</v>
      </c>
      <c r="M180" s="316">
        <f t="shared" si="1"/>
        <v>2165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25" t="s">
        <v>1465</v>
      </c>
      <c r="B181" s="426" t="s">
        <v>1466</v>
      </c>
      <c r="C181" s="426">
        <v>2019.0</v>
      </c>
      <c r="D181" s="427">
        <v>43819.0</v>
      </c>
      <c r="E181" s="428" t="s">
        <v>1467</v>
      </c>
      <c r="F181" s="428" t="s">
        <v>928</v>
      </c>
      <c r="G181" s="397" t="s">
        <v>17</v>
      </c>
      <c r="H181" s="397" t="s">
        <v>990</v>
      </c>
      <c r="I181" s="435">
        <v>44784.0</v>
      </c>
      <c r="J181" s="428">
        <v>8.0</v>
      </c>
      <c r="K181" s="430" t="s">
        <v>19</v>
      </c>
      <c r="L181" s="319" t="s">
        <v>256</v>
      </c>
      <c r="M181" s="319">
        <f t="shared" si="1"/>
        <v>965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19" t="s">
        <v>1468</v>
      </c>
      <c r="B182" s="420" t="s">
        <v>1469</v>
      </c>
      <c r="C182" s="420">
        <v>2016.0</v>
      </c>
      <c r="D182" s="432">
        <v>42405.0</v>
      </c>
      <c r="E182" s="394" t="s">
        <v>1470</v>
      </c>
      <c r="F182" s="422" t="s">
        <v>25</v>
      </c>
      <c r="G182" s="422" t="s">
        <v>17</v>
      </c>
      <c r="H182" s="394" t="s">
        <v>26</v>
      </c>
      <c r="I182" s="423">
        <v>44789.0</v>
      </c>
      <c r="J182" s="422">
        <v>8.0</v>
      </c>
      <c r="K182" s="424" t="s">
        <v>19</v>
      </c>
      <c r="L182" s="316" t="s">
        <v>256</v>
      </c>
      <c r="M182" s="316">
        <f t="shared" si="1"/>
        <v>2384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25" t="s">
        <v>1471</v>
      </c>
      <c r="B183" s="426" t="s">
        <v>1472</v>
      </c>
      <c r="C183" s="426">
        <v>2016.0</v>
      </c>
      <c r="D183" s="427">
        <v>42551.0</v>
      </c>
      <c r="E183" s="428" t="s">
        <v>1473</v>
      </c>
      <c r="F183" s="428" t="s">
        <v>1474</v>
      </c>
      <c r="G183" s="397" t="s">
        <v>17</v>
      </c>
      <c r="H183" s="397" t="s">
        <v>26</v>
      </c>
      <c r="I183" s="429">
        <v>44789.0</v>
      </c>
      <c r="J183" s="428">
        <v>8.0</v>
      </c>
      <c r="K183" s="430" t="s">
        <v>19</v>
      </c>
      <c r="L183" s="319" t="s">
        <v>256</v>
      </c>
      <c r="M183" s="319">
        <f t="shared" si="1"/>
        <v>2238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19" t="s">
        <v>1475</v>
      </c>
      <c r="B184" s="420" t="s">
        <v>1476</v>
      </c>
      <c r="C184" s="420">
        <v>2018.0</v>
      </c>
      <c r="D184" s="432">
        <v>43231.0</v>
      </c>
      <c r="E184" s="394" t="s">
        <v>1477</v>
      </c>
      <c r="F184" s="422" t="s">
        <v>739</v>
      </c>
      <c r="G184" s="422" t="s">
        <v>17</v>
      </c>
      <c r="H184" s="394" t="s">
        <v>50</v>
      </c>
      <c r="I184" s="423">
        <v>44789.0</v>
      </c>
      <c r="J184" s="422">
        <v>8.0</v>
      </c>
      <c r="K184" s="424" t="s">
        <v>19</v>
      </c>
      <c r="L184" s="316" t="s">
        <v>258</v>
      </c>
      <c r="M184" s="316">
        <f t="shared" si="1"/>
        <v>1558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25" t="s">
        <v>1478</v>
      </c>
      <c r="B185" s="426" t="s">
        <v>1479</v>
      </c>
      <c r="C185" s="426">
        <v>2017.0</v>
      </c>
      <c r="D185" s="427">
        <v>42753.0</v>
      </c>
      <c r="E185" s="428" t="s">
        <v>1480</v>
      </c>
      <c r="F185" s="428" t="s">
        <v>595</v>
      </c>
      <c r="G185" s="397" t="s">
        <v>17</v>
      </c>
      <c r="H185" s="397" t="s">
        <v>26</v>
      </c>
      <c r="I185" s="429">
        <v>44790.0</v>
      </c>
      <c r="J185" s="428">
        <v>8.0</v>
      </c>
      <c r="K185" s="430" t="s">
        <v>19</v>
      </c>
      <c r="L185" s="319" t="s">
        <v>840</v>
      </c>
      <c r="M185" s="319">
        <f t="shared" si="1"/>
        <v>2037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19" t="s">
        <v>1481</v>
      </c>
      <c r="B186" s="420" t="s">
        <v>1482</v>
      </c>
      <c r="C186" s="420">
        <v>2016.0</v>
      </c>
      <c r="D186" s="421">
        <v>42376.0</v>
      </c>
      <c r="E186" s="394" t="s">
        <v>1483</v>
      </c>
      <c r="F186" s="422" t="s">
        <v>1484</v>
      </c>
      <c r="G186" s="422" t="s">
        <v>34</v>
      </c>
      <c r="H186" s="394" t="s">
        <v>651</v>
      </c>
      <c r="I186" s="423">
        <v>45154.0</v>
      </c>
      <c r="J186" s="422">
        <v>8.0</v>
      </c>
      <c r="K186" s="424" t="s">
        <v>19</v>
      </c>
      <c r="L186" s="316" t="s">
        <v>258</v>
      </c>
      <c r="M186" s="316">
        <f t="shared" si="1"/>
        <v>2778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425" t="s">
        <v>1485</v>
      </c>
      <c r="B187" s="426" t="s">
        <v>1486</v>
      </c>
      <c r="C187" s="426">
        <v>2021.0</v>
      </c>
      <c r="D187" s="427">
        <v>44340.0</v>
      </c>
      <c r="E187" s="428" t="s">
        <v>1487</v>
      </c>
      <c r="F187" s="428" t="s">
        <v>739</v>
      </c>
      <c r="G187" s="397" t="s">
        <v>17</v>
      </c>
      <c r="H187" s="397" t="s">
        <v>26</v>
      </c>
      <c r="I187" s="429">
        <v>44791.0</v>
      </c>
      <c r="J187" s="428">
        <v>8.0</v>
      </c>
      <c r="K187" s="430" t="s">
        <v>19</v>
      </c>
      <c r="L187" s="319" t="s">
        <v>258</v>
      </c>
      <c r="M187" s="319">
        <f t="shared" si="1"/>
        <v>451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19" t="s">
        <v>1488</v>
      </c>
      <c r="B188" s="420" t="s">
        <v>1489</v>
      </c>
      <c r="C188" s="420">
        <v>2015.0</v>
      </c>
      <c r="D188" s="432">
        <v>42340.0</v>
      </c>
      <c r="E188" s="394" t="s">
        <v>1490</v>
      </c>
      <c r="F188" s="422" t="s">
        <v>666</v>
      </c>
      <c r="G188" s="422" t="s">
        <v>17</v>
      </c>
      <c r="H188" s="394" t="s">
        <v>881</v>
      </c>
      <c r="I188" s="423">
        <v>44792.0</v>
      </c>
      <c r="J188" s="422">
        <v>8.0</v>
      </c>
      <c r="K188" s="424" t="s">
        <v>19</v>
      </c>
      <c r="L188" s="316" t="s">
        <v>258</v>
      </c>
      <c r="M188" s="316">
        <f t="shared" si="1"/>
        <v>2452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25" t="s">
        <v>1491</v>
      </c>
      <c r="B189" s="426" t="s">
        <v>1492</v>
      </c>
      <c r="C189" s="426">
        <v>2011.0</v>
      </c>
      <c r="D189" s="427">
        <v>40784.0</v>
      </c>
      <c r="E189" s="428" t="s">
        <v>1493</v>
      </c>
      <c r="F189" s="428" t="s">
        <v>1494</v>
      </c>
      <c r="G189" s="397" t="s">
        <v>34</v>
      </c>
      <c r="H189" s="439" t="s">
        <v>695</v>
      </c>
      <c r="I189" s="429">
        <v>44792.0</v>
      </c>
      <c r="J189" s="428">
        <v>8.0</v>
      </c>
      <c r="K189" s="438" t="s">
        <v>602</v>
      </c>
      <c r="L189" s="319" t="s">
        <v>260</v>
      </c>
      <c r="M189" s="319">
        <f t="shared" si="1"/>
        <v>4008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19" t="s">
        <v>1495</v>
      </c>
      <c r="B190" s="420" t="s">
        <v>1496</v>
      </c>
      <c r="C190" s="420">
        <v>2021.0</v>
      </c>
      <c r="D190" s="421">
        <v>44433.0</v>
      </c>
      <c r="E190" s="394" t="s">
        <v>1497</v>
      </c>
      <c r="F190" s="422" t="s">
        <v>71</v>
      </c>
      <c r="G190" s="422" t="s">
        <v>17</v>
      </c>
      <c r="H190" s="394" t="s">
        <v>149</v>
      </c>
      <c r="I190" s="423">
        <v>44792.0</v>
      </c>
      <c r="J190" s="422">
        <v>8.0</v>
      </c>
      <c r="K190" s="424" t="s">
        <v>19</v>
      </c>
      <c r="L190" s="316" t="s">
        <v>258</v>
      </c>
      <c r="M190" s="316">
        <f t="shared" si="1"/>
        <v>359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25" t="s">
        <v>1498</v>
      </c>
      <c r="B191" s="426" t="s">
        <v>1499</v>
      </c>
      <c r="C191" s="426">
        <v>2012.0</v>
      </c>
      <c r="D191" s="427">
        <v>41225.0</v>
      </c>
      <c r="E191" s="428" t="s">
        <v>1500</v>
      </c>
      <c r="F191" s="428" t="s">
        <v>134</v>
      </c>
      <c r="G191" s="397" t="s">
        <v>17</v>
      </c>
      <c r="H191" s="397" t="s">
        <v>1501</v>
      </c>
      <c r="I191" s="429">
        <v>44792.0</v>
      </c>
      <c r="J191" s="428">
        <v>8.0</v>
      </c>
      <c r="K191" s="430" t="s">
        <v>19</v>
      </c>
      <c r="L191" s="319" t="s">
        <v>256</v>
      </c>
      <c r="M191" s="319">
        <f t="shared" si="1"/>
        <v>3567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19" t="s">
        <v>1502</v>
      </c>
      <c r="B192" s="420" t="s">
        <v>1503</v>
      </c>
      <c r="C192" s="420">
        <v>2020.0</v>
      </c>
      <c r="D192" s="421">
        <v>44186.0</v>
      </c>
      <c r="E192" s="394" t="s">
        <v>1504</v>
      </c>
      <c r="F192" s="422" t="s">
        <v>71</v>
      </c>
      <c r="G192" s="422" t="s">
        <v>17</v>
      </c>
      <c r="H192" s="394" t="s">
        <v>934</v>
      </c>
      <c r="I192" s="423">
        <v>44792.0</v>
      </c>
      <c r="J192" s="422">
        <v>8.0</v>
      </c>
      <c r="K192" s="424" t="s">
        <v>19</v>
      </c>
      <c r="L192" s="316" t="s">
        <v>258</v>
      </c>
      <c r="M192" s="316">
        <f t="shared" si="1"/>
        <v>606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425" t="s">
        <v>1505</v>
      </c>
      <c r="B193" s="426" t="s">
        <v>1506</v>
      </c>
      <c r="C193" s="426">
        <v>2019.0</v>
      </c>
      <c r="D193" s="431">
        <v>43713.0</v>
      </c>
      <c r="E193" s="428" t="s">
        <v>1507</v>
      </c>
      <c r="F193" s="428" t="s">
        <v>753</v>
      </c>
      <c r="G193" s="397" t="s">
        <v>17</v>
      </c>
      <c r="H193" s="397" t="s">
        <v>901</v>
      </c>
      <c r="I193" s="429">
        <v>44792.0</v>
      </c>
      <c r="J193" s="428">
        <v>8.0</v>
      </c>
      <c r="K193" s="430" t="s">
        <v>19</v>
      </c>
      <c r="L193" s="319" t="s">
        <v>258</v>
      </c>
      <c r="M193" s="319">
        <f t="shared" si="1"/>
        <v>1079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19" t="s">
        <v>1508</v>
      </c>
      <c r="B194" s="420" t="s">
        <v>1509</v>
      </c>
      <c r="C194" s="420">
        <v>2016.0</v>
      </c>
      <c r="D194" s="432">
        <v>42591.0</v>
      </c>
      <c r="E194" s="394" t="s">
        <v>1510</v>
      </c>
      <c r="F194" s="422" t="s">
        <v>753</v>
      </c>
      <c r="G194" s="422" t="s">
        <v>17</v>
      </c>
      <c r="H194" s="394" t="s">
        <v>138</v>
      </c>
      <c r="I194" s="423">
        <v>44792.0</v>
      </c>
      <c r="J194" s="422">
        <v>8.0</v>
      </c>
      <c r="K194" s="424" t="s">
        <v>19</v>
      </c>
      <c r="L194" s="316" t="s">
        <v>258</v>
      </c>
      <c r="M194" s="316">
        <f t="shared" si="1"/>
        <v>2201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25" t="s">
        <v>1511</v>
      </c>
      <c r="B195" s="426" t="s">
        <v>1512</v>
      </c>
      <c r="C195" s="426">
        <v>2015.0</v>
      </c>
      <c r="D195" s="431">
        <v>42074.0</v>
      </c>
      <c r="E195" s="428" t="s">
        <v>1513</v>
      </c>
      <c r="F195" s="428" t="s">
        <v>1514</v>
      </c>
      <c r="G195" s="397" t="s">
        <v>17</v>
      </c>
      <c r="H195" s="397" t="s">
        <v>583</v>
      </c>
      <c r="I195" s="429">
        <v>44792.0</v>
      </c>
      <c r="J195" s="428">
        <v>8.0</v>
      </c>
      <c r="K195" s="430" t="s">
        <v>19</v>
      </c>
      <c r="L195" s="319" t="s">
        <v>256</v>
      </c>
      <c r="M195" s="319">
        <f t="shared" si="1"/>
        <v>2718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19" t="s">
        <v>1515</v>
      </c>
      <c r="B196" s="420" t="s">
        <v>1516</v>
      </c>
      <c r="C196" s="420">
        <v>2016.0</v>
      </c>
      <c r="D196" s="421">
        <v>42418.0</v>
      </c>
      <c r="E196" s="394" t="s">
        <v>1517</v>
      </c>
      <c r="F196" s="422" t="s">
        <v>753</v>
      </c>
      <c r="G196" s="422" t="s">
        <v>17</v>
      </c>
      <c r="H196" s="394" t="s">
        <v>50</v>
      </c>
      <c r="I196" s="423">
        <v>44792.0</v>
      </c>
      <c r="J196" s="422">
        <v>8.0</v>
      </c>
      <c r="K196" s="424" t="s">
        <v>19</v>
      </c>
      <c r="L196" s="316" t="s">
        <v>258</v>
      </c>
      <c r="M196" s="316">
        <f t="shared" si="1"/>
        <v>2374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25" t="s">
        <v>1518</v>
      </c>
      <c r="B197" s="426" t="s">
        <v>1519</v>
      </c>
      <c r="C197" s="426">
        <v>2014.0</v>
      </c>
      <c r="D197" s="427">
        <v>41815.0</v>
      </c>
      <c r="E197" s="428" t="s">
        <v>1520</v>
      </c>
      <c r="F197" s="428" t="s">
        <v>666</v>
      </c>
      <c r="G197" s="397" t="s">
        <v>17</v>
      </c>
      <c r="H197" s="397" t="s">
        <v>50</v>
      </c>
      <c r="I197" s="429">
        <v>44792.0</v>
      </c>
      <c r="J197" s="428">
        <v>8.0</v>
      </c>
      <c r="K197" s="430" t="s">
        <v>19</v>
      </c>
      <c r="L197" s="319" t="s">
        <v>258</v>
      </c>
      <c r="M197" s="319">
        <f t="shared" si="1"/>
        <v>2977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19" t="s">
        <v>1521</v>
      </c>
      <c r="B198" s="420" t="s">
        <v>1522</v>
      </c>
      <c r="C198" s="420">
        <v>2020.0</v>
      </c>
      <c r="D198" s="421">
        <v>44133.0</v>
      </c>
      <c r="E198" s="394" t="s">
        <v>1523</v>
      </c>
      <c r="F198" s="422" t="s">
        <v>739</v>
      </c>
      <c r="G198" s="422" t="s">
        <v>17</v>
      </c>
      <c r="H198" s="394" t="s">
        <v>93</v>
      </c>
      <c r="I198" s="423">
        <v>44792.0</v>
      </c>
      <c r="J198" s="422">
        <v>8.0</v>
      </c>
      <c r="K198" s="424" t="s">
        <v>19</v>
      </c>
      <c r="L198" s="316" t="s">
        <v>258</v>
      </c>
      <c r="M198" s="316">
        <f t="shared" si="1"/>
        <v>659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25" t="s">
        <v>1524</v>
      </c>
      <c r="B199" s="426" t="s">
        <v>1525</v>
      </c>
      <c r="C199" s="426">
        <v>2015.0</v>
      </c>
      <c r="D199" s="431">
        <v>42316.0</v>
      </c>
      <c r="E199" s="428" t="s">
        <v>1526</v>
      </c>
      <c r="F199" s="428" t="s">
        <v>900</v>
      </c>
      <c r="G199" s="397" t="s">
        <v>17</v>
      </c>
      <c r="H199" s="397" t="s">
        <v>881</v>
      </c>
      <c r="I199" s="429">
        <v>44838.0</v>
      </c>
      <c r="J199" s="428">
        <v>10.0</v>
      </c>
      <c r="K199" s="430" t="s">
        <v>19</v>
      </c>
      <c r="L199" s="319" t="s">
        <v>256</v>
      </c>
      <c r="M199" s="319">
        <f t="shared" si="1"/>
        <v>2522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19" t="s">
        <v>1527</v>
      </c>
      <c r="B200" s="420" t="s">
        <v>1528</v>
      </c>
      <c r="C200" s="420">
        <v>2014.0</v>
      </c>
      <c r="D200" s="421">
        <v>41874.0</v>
      </c>
      <c r="E200" s="394" t="s">
        <v>1529</v>
      </c>
      <c r="F200" s="422" t="s">
        <v>900</v>
      </c>
      <c r="G200" s="422" t="s">
        <v>17</v>
      </c>
      <c r="H200" s="394" t="s">
        <v>153</v>
      </c>
      <c r="I200" s="423">
        <v>44838.0</v>
      </c>
      <c r="J200" s="422">
        <v>10.0</v>
      </c>
      <c r="K200" s="424" t="s">
        <v>19</v>
      </c>
      <c r="L200" s="316" t="s">
        <v>256</v>
      </c>
      <c r="M200" s="316">
        <f t="shared" si="1"/>
        <v>2964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425" t="s">
        <v>1530</v>
      </c>
      <c r="B201" s="426" t="s">
        <v>1531</v>
      </c>
      <c r="C201" s="426">
        <v>2014.0</v>
      </c>
      <c r="D201" s="427">
        <v>41698.0</v>
      </c>
      <c r="E201" s="428" t="s">
        <v>1532</v>
      </c>
      <c r="F201" s="428" t="s">
        <v>1533</v>
      </c>
      <c r="G201" s="397" t="s">
        <v>17</v>
      </c>
      <c r="H201" s="397" t="s">
        <v>153</v>
      </c>
      <c r="I201" s="429">
        <v>44838.0</v>
      </c>
      <c r="J201" s="428">
        <v>10.0</v>
      </c>
      <c r="K201" s="430" t="s">
        <v>19</v>
      </c>
      <c r="L201" s="319" t="s">
        <v>256</v>
      </c>
      <c r="M201" s="319">
        <f t="shared" si="1"/>
        <v>3140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19" t="s">
        <v>1534</v>
      </c>
      <c r="B202" s="420" t="s">
        <v>1535</v>
      </c>
      <c r="C202" s="420">
        <v>2012.0</v>
      </c>
      <c r="D202" s="421">
        <v>41197.0</v>
      </c>
      <c r="E202" s="394" t="s">
        <v>1536</v>
      </c>
      <c r="F202" s="422" t="s">
        <v>1537</v>
      </c>
      <c r="G202" s="422" t="s">
        <v>17</v>
      </c>
      <c r="H202" s="394" t="s">
        <v>153</v>
      </c>
      <c r="I202" s="423">
        <v>44838.0</v>
      </c>
      <c r="J202" s="422">
        <v>10.0</v>
      </c>
      <c r="K202" s="424" t="s">
        <v>19</v>
      </c>
      <c r="L202" s="316" t="s">
        <v>256</v>
      </c>
      <c r="M202" s="316">
        <f t="shared" si="1"/>
        <v>3641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4.25" customHeight="1">
      <c r="A203" s="425" t="s">
        <v>1538</v>
      </c>
      <c r="B203" s="426" t="s">
        <v>1539</v>
      </c>
      <c r="C203" s="426">
        <v>2014.0</v>
      </c>
      <c r="D203" s="427">
        <v>41969.0</v>
      </c>
      <c r="E203" s="428" t="s">
        <v>1540</v>
      </c>
      <c r="F203" s="428" t="s">
        <v>1464</v>
      </c>
      <c r="G203" s="397" t="s">
        <v>17</v>
      </c>
      <c r="H203" s="397" t="s">
        <v>50</v>
      </c>
      <c r="I203" s="429">
        <v>44838.0</v>
      </c>
      <c r="J203" s="428">
        <v>10.0</v>
      </c>
      <c r="K203" s="430" t="s">
        <v>19</v>
      </c>
      <c r="L203" s="319" t="s">
        <v>256</v>
      </c>
      <c r="M203" s="319">
        <f t="shared" si="1"/>
        <v>2869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19" t="s">
        <v>1541</v>
      </c>
      <c r="B204" s="420" t="s">
        <v>1542</v>
      </c>
      <c r="C204" s="420">
        <v>2019.0</v>
      </c>
      <c r="D204" s="421">
        <v>43584.0</v>
      </c>
      <c r="E204" s="394" t="s">
        <v>1543</v>
      </c>
      <c r="F204" s="422" t="s">
        <v>1544</v>
      </c>
      <c r="G204" s="422" t="s">
        <v>17</v>
      </c>
      <c r="H204" s="394" t="s">
        <v>50</v>
      </c>
      <c r="I204" s="423">
        <v>44838.0</v>
      </c>
      <c r="J204" s="422">
        <v>10.0</v>
      </c>
      <c r="K204" s="424" t="s">
        <v>19</v>
      </c>
      <c r="L204" s="316" t="s">
        <v>840</v>
      </c>
      <c r="M204" s="316">
        <f t="shared" si="1"/>
        <v>1254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25" t="s">
        <v>1545</v>
      </c>
      <c r="B205" s="426" t="s">
        <v>1546</v>
      </c>
      <c r="C205" s="426">
        <v>2019.0</v>
      </c>
      <c r="D205" s="427">
        <v>43698.0</v>
      </c>
      <c r="E205" s="428" t="s">
        <v>1547</v>
      </c>
      <c r="F205" s="428" t="s">
        <v>120</v>
      </c>
      <c r="G205" s="397" t="s">
        <v>17</v>
      </c>
      <c r="H205" s="397" t="s">
        <v>77</v>
      </c>
      <c r="I205" s="429">
        <v>44839.0</v>
      </c>
      <c r="J205" s="428">
        <v>10.0</v>
      </c>
      <c r="K205" s="430" t="s">
        <v>19</v>
      </c>
      <c r="L205" s="319" t="s">
        <v>258</v>
      </c>
      <c r="M205" s="319">
        <f t="shared" si="1"/>
        <v>1141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19" t="s">
        <v>1548</v>
      </c>
      <c r="B206" s="420" t="s">
        <v>1549</v>
      </c>
      <c r="C206" s="420">
        <v>2016.0</v>
      </c>
      <c r="D206" s="421">
        <v>42698.0</v>
      </c>
      <c r="E206" s="394" t="s">
        <v>1550</v>
      </c>
      <c r="F206" s="422" t="s">
        <v>120</v>
      </c>
      <c r="G206" s="422" t="s">
        <v>17</v>
      </c>
      <c r="H206" s="394" t="s">
        <v>18</v>
      </c>
      <c r="I206" s="423">
        <v>44839.0</v>
      </c>
      <c r="J206" s="422">
        <v>10.0</v>
      </c>
      <c r="K206" s="424" t="s">
        <v>19</v>
      </c>
      <c r="L206" s="316" t="s">
        <v>258</v>
      </c>
      <c r="M206" s="316">
        <f t="shared" si="1"/>
        <v>2141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25" t="s">
        <v>1551</v>
      </c>
      <c r="B207" s="426" t="s">
        <v>1552</v>
      </c>
      <c r="C207" s="426">
        <v>2015.0</v>
      </c>
      <c r="D207" s="431">
        <v>42226.0</v>
      </c>
      <c r="E207" s="428" t="s">
        <v>1553</v>
      </c>
      <c r="F207" s="428" t="s">
        <v>1554</v>
      </c>
      <c r="G207" s="397" t="s">
        <v>17</v>
      </c>
      <c r="H207" s="397" t="s">
        <v>56</v>
      </c>
      <c r="I207" s="429">
        <v>44839.0</v>
      </c>
      <c r="J207" s="428">
        <v>10.0</v>
      </c>
      <c r="K207" s="430" t="s">
        <v>19</v>
      </c>
      <c r="L207" s="319" t="s">
        <v>258</v>
      </c>
      <c r="M207" s="319">
        <f t="shared" si="1"/>
        <v>2613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19" t="s">
        <v>1555</v>
      </c>
      <c r="B208" s="420" t="s">
        <v>1556</v>
      </c>
      <c r="C208" s="420">
        <v>2017.0</v>
      </c>
      <c r="D208" s="421">
        <v>42755.0</v>
      </c>
      <c r="E208" s="394" t="s">
        <v>1557</v>
      </c>
      <c r="F208" s="422" t="s">
        <v>162</v>
      </c>
      <c r="G208" s="422" t="s">
        <v>17</v>
      </c>
      <c r="H208" s="394" t="s">
        <v>130</v>
      </c>
      <c r="I208" s="423">
        <v>44839.0</v>
      </c>
      <c r="J208" s="422">
        <v>10.0</v>
      </c>
      <c r="K208" s="424" t="s">
        <v>19</v>
      </c>
      <c r="L208" s="316" t="s">
        <v>256</v>
      </c>
      <c r="M208" s="316">
        <f t="shared" si="1"/>
        <v>2084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25" t="s">
        <v>1558</v>
      </c>
      <c r="B209" s="426" t="s">
        <v>1559</v>
      </c>
      <c r="C209" s="426">
        <v>2017.0</v>
      </c>
      <c r="D209" s="427">
        <v>42838.0</v>
      </c>
      <c r="E209" s="428" t="s">
        <v>1560</v>
      </c>
      <c r="F209" s="428" t="s">
        <v>1554</v>
      </c>
      <c r="G209" s="397" t="s">
        <v>17</v>
      </c>
      <c r="H209" s="397" t="s">
        <v>573</v>
      </c>
      <c r="I209" s="429">
        <v>44839.0</v>
      </c>
      <c r="J209" s="428">
        <v>10.0</v>
      </c>
      <c r="K209" s="430" t="s">
        <v>19</v>
      </c>
      <c r="L209" s="319" t="s">
        <v>258</v>
      </c>
      <c r="M209" s="319">
        <f t="shared" si="1"/>
        <v>2001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19" t="s">
        <v>1561</v>
      </c>
      <c r="B210" s="420" t="s">
        <v>1562</v>
      </c>
      <c r="C210" s="420">
        <v>2014.0</v>
      </c>
      <c r="D210" s="432">
        <v>41856.0</v>
      </c>
      <c r="E210" s="394" t="s">
        <v>1563</v>
      </c>
      <c r="F210" s="422" t="s">
        <v>1533</v>
      </c>
      <c r="G210" s="422" t="s">
        <v>17</v>
      </c>
      <c r="H210" s="394" t="s">
        <v>740</v>
      </c>
      <c r="I210" s="423">
        <v>44839.0</v>
      </c>
      <c r="J210" s="422">
        <v>10.0</v>
      </c>
      <c r="K210" s="424" t="s">
        <v>19</v>
      </c>
      <c r="L210" s="316" t="s">
        <v>256</v>
      </c>
      <c r="M210" s="316">
        <f t="shared" si="1"/>
        <v>2983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25" t="s">
        <v>1564</v>
      </c>
      <c r="B211" s="426" t="s">
        <v>1565</v>
      </c>
      <c r="C211" s="426">
        <v>2021.0</v>
      </c>
      <c r="D211" s="427">
        <v>44286.0</v>
      </c>
      <c r="E211" s="428" t="s">
        <v>1566</v>
      </c>
      <c r="F211" s="428" t="s">
        <v>1567</v>
      </c>
      <c r="G211" s="397" t="s">
        <v>17</v>
      </c>
      <c r="H211" s="397" t="s">
        <v>1568</v>
      </c>
      <c r="I211" s="429">
        <v>44839.0</v>
      </c>
      <c r="J211" s="428">
        <v>10.0</v>
      </c>
      <c r="K211" s="430" t="s">
        <v>19</v>
      </c>
      <c r="L211" s="319" t="s">
        <v>256</v>
      </c>
      <c r="M211" s="319">
        <f t="shared" si="1"/>
        <v>553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19" t="s">
        <v>1569</v>
      </c>
      <c r="B212" s="420" t="s">
        <v>1570</v>
      </c>
      <c r="C212" s="420">
        <v>2012.0</v>
      </c>
      <c r="D212" s="421">
        <v>41173.0</v>
      </c>
      <c r="E212" s="394" t="s">
        <v>1571</v>
      </c>
      <c r="F212" s="422" t="s">
        <v>1572</v>
      </c>
      <c r="G212" s="422" t="s">
        <v>34</v>
      </c>
      <c r="H212" s="394" t="s">
        <v>158</v>
      </c>
      <c r="I212" s="423">
        <v>44845.0</v>
      </c>
      <c r="J212" s="422">
        <v>10.0</v>
      </c>
      <c r="K212" s="438" t="s">
        <v>602</v>
      </c>
      <c r="L212" s="316" t="s">
        <v>258</v>
      </c>
      <c r="M212" s="316">
        <f t="shared" si="1"/>
        <v>3672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25" t="s">
        <v>1573</v>
      </c>
      <c r="B213" s="440" t="s">
        <v>1574</v>
      </c>
      <c r="C213" s="440">
        <v>2015.0</v>
      </c>
      <c r="D213" s="427">
        <v>42328.0</v>
      </c>
      <c r="E213" s="428" t="s">
        <v>1575</v>
      </c>
      <c r="F213" s="428" t="s">
        <v>1533</v>
      </c>
      <c r="G213" s="397" t="s">
        <v>17</v>
      </c>
      <c r="H213" s="397" t="s">
        <v>130</v>
      </c>
      <c r="I213" s="427">
        <v>44858.0</v>
      </c>
      <c r="J213" s="434">
        <v>10.0</v>
      </c>
      <c r="K213" s="430" t="s">
        <v>19</v>
      </c>
      <c r="L213" s="319" t="s">
        <v>256</v>
      </c>
      <c r="M213" s="319">
        <f t="shared" si="1"/>
        <v>2530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19" t="s">
        <v>1576</v>
      </c>
      <c r="B214" s="441" t="s">
        <v>1577</v>
      </c>
      <c r="C214" s="441">
        <v>2020.0</v>
      </c>
      <c r="D214" s="421">
        <v>44125.0</v>
      </c>
      <c r="E214" s="436" t="s">
        <v>1578</v>
      </c>
      <c r="F214" s="442" t="s">
        <v>1544</v>
      </c>
      <c r="G214" s="422" t="s">
        <v>17</v>
      </c>
      <c r="H214" s="436" t="s">
        <v>149</v>
      </c>
      <c r="I214" s="421">
        <v>44858.0</v>
      </c>
      <c r="J214" s="442">
        <v>10.0</v>
      </c>
      <c r="K214" s="424" t="s">
        <v>19</v>
      </c>
      <c r="L214" s="316" t="s">
        <v>840</v>
      </c>
      <c r="M214" s="316">
        <f t="shared" si="1"/>
        <v>733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25" t="s">
        <v>1579</v>
      </c>
      <c r="B215" s="440" t="s">
        <v>1580</v>
      </c>
      <c r="C215" s="440">
        <v>2017.0</v>
      </c>
      <c r="D215" s="427">
        <v>43034.0</v>
      </c>
      <c r="E215" s="428" t="s">
        <v>1581</v>
      </c>
      <c r="F215" s="434" t="s">
        <v>1554</v>
      </c>
      <c r="G215" s="397" t="s">
        <v>17</v>
      </c>
      <c r="H215" s="439" t="s">
        <v>125</v>
      </c>
      <c r="I215" s="427">
        <v>44858.0</v>
      </c>
      <c r="J215" s="434">
        <v>10.0</v>
      </c>
      <c r="K215" s="430" t="s">
        <v>19</v>
      </c>
      <c r="L215" s="319" t="s">
        <v>258</v>
      </c>
      <c r="M215" s="319">
        <f t="shared" si="1"/>
        <v>1824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19" t="s">
        <v>1582</v>
      </c>
      <c r="B216" s="441" t="s">
        <v>1583</v>
      </c>
      <c r="C216" s="441">
        <v>2014.0</v>
      </c>
      <c r="D216" s="421">
        <v>41722.0</v>
      </c>
      <c r="E216" s="436" t="s">
        <v>1584</v>
      </c>
      <c r="F216" s="442" t="s">
        <v>1533</v>
      </c>
      <c r="G216" s="422" t="s">
        <v>17</v>
      </c>
      <c r="H216" s="436" t="s">
        <v>66</v>
      </c>
      <c r="I216" s="421">
        <v>44861.0</v>
      </c>
      <c r="J216" s="442">
        <v>10.0</v>
      </c>
      <c r="K216" s="424" t="s">
        <v>19</v>
      </c>
      <c r="L216" s="316" t="s">
        <v>256</v>
      </c>
      <c r="M216" s="316">
        <f t="shared" si="1"/>
        <v>3139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25" t="s">
        <v>1585</v>
      </c>
      <c r="B217" s="440" t="s">
        <v>1586</v>
      </c>
      <c r="C217" s="440">
        <v>2016.0</v>
      </c>
      <c r="D217" s="427">
        <v>42594.0</v>
      </c>
      <c r="E217" s="434" t="s">
        <v>1587</v>
      </c>
      <c r="F217" s="434" t="s">
        <v>1554</v>
      </c>
      <c r="G217" s="397" t="s">
        <v>17</v>
      </c>
      <c r="H217" s="439" t="s">
        <v>1588</v>
      </c>
      <c r="I217" s="427">
        <v>44861.0</v>
      </c>
      <c r="J217" s="434">
        <v>10.0</v>
      </c>
      <c r="K217" s="430" t="s">
        <v>19</v>
      </c>
      <c r="L217" s="319" t="s">
        <v>258</v>
      </c>
      <c r="M217" s="319">
        <f t="shared" si="1"/>
        <v>2267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19" t="s">
        <v>1589</v>
      </c>
      <c r="B218" s="441" t="s">
        <v>1590</v>
      </c>
      <c r="C218" s="441">
        <v>2018.0</v>
      </c>
      <c r="D218" s="421">
        <v>43299.0</v>
      </c>
      <c r="E218" s="436" t="s">
        <v>1591</v>
      </c>
      <c r="F218" s="442" t="s">
        <v>1554</v>
      </c>
      <c r="G218" s="422" t="s">
        <v>17</v>
      </c>
      <c r="H218" s="436" t="s">
        <v>39</v>
      </c>
      <c r="I218" s="421">
        <v>44861.0</v>
      </c>
      <c r="J218" s="442">
        <v>10.0</v>
      </c>
      <c r="K218" s="424" t="s">
        <v>19</v>
      </c>
      <c r="L218" s="316" t="s">
        <v>258</v>
      </c>
      <c r="M218" s="316">
        <f t="shared" si="1"/>
        <v>1562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25" t="s">
        <v>1592</v>
      </c>
      <c r="B219" s="440" t="s">
        <v>1593</v>
      </c>
      <c r="C219" s="440">
        <v>2018.0</v>
      </c>
      <c r="D219" s="427">
        <v>43299.0</v>
      </c>
      <c r="E219" s="434" t="s">
        <v>1594</v>
      </c>
      <c r="F219" s="434" t="s">
        <v>1554</v>
      </c>
      <c r="G219" s="397" t="s">
        <v>17</v>
      </c>
      <c r="H219" s="439" t="s">
        <v>1588</v>
      </c>
      <c r="I219" s="427">
        <v>44868.0</v>
      </c>
      <c r="J219" s="434">
        <v>11.0</v>
      </c>
      <c r="K219" s="430" t="s">
        <v>19</v>
      </c>
      <c r="L219" s="319" t="s">
        <v>258</v>
      </c>
      <c r="M219" s="319">
        <f t="shared" si="1"/>
        <v>1569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19" t="s">
        <v>1595</v>
      </c>
      <c r="B220" s="441" t="s">
        <v>1596</v>
      </c>
      <c r="C220" s="441">
        <v>2018.0</v>
      </c>
      <c r="D220" s="421">
        <v>43452.0</v>
      </c>
      <c r="E220" s="436" t="s">
        <v>1597</v>
      </c>
      <c r="F220" s="442" t="s">
        <v>1544</v>
      </c>
      <c r="G220" s="442" t="s">
        <v>17</v>
      </c>
      <c r="H220" s="436" t="s">
        <v>163</v>
      </c>
      <c r="I220" s="421">
        <v>44869.0</v>
      </c>
      <c r="J220" s="442">
        <v>11.0</v>
      </c>
      <c r="K220" s="424" t="s">
        <v>19</v>
      </c>
      <c r="L220" s="316" t="s">
        <v>840</v>
      </c>
      <c r="M220" s="316">
        <f t="shared" si="1"/>
        <v>1417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25" t="s">
        <v>1598</v>
      </c>
      <c r="B221" s="440" t="s">
        <v>1599</v>
      </c>
      <c r="C221" s="440">
        <v>2017.0</v>
      </c>
      <c r="D221" s="427">
        <v>42818.0</v>
      </c>
      <c r="E221" s="434" t="s">
        <v>1600</v>
      </c>
      <c r="F221" s="434" t="s">
        <v>1544</v>
      </c>
      <c r="G221" s="397" t="s">
        <v>17</v>
      </c>
      <c r="H221" s="439" t="s">
        <v>1601</v>
      </c>
      <c r="I221" s="427">
        <v>44869.0</v>
      </c>
      <c r="J221" s="434">
        <v>11.0</v>
      </c>
      <c r="K221" s="430" t="s">
        <v>19</v>
      </c>
      <c r="L221" s="319" t="s">
        <v>840</v>
      </c>
      <c r="M221" s="319">
        <f t="shared" si="1"/>
        <v>2051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19" t="s">
        <v>1602</v>
      </c>
      <c r="B222" s="441" t="s">
        <v>1603</v>
      </c>
      <c r="C222" s="441">
        <v>2020.0</v>
      </c>
      <c r="D222" s="421">
        <v>43870.0</v>
      </c>
      <c r="E222" s="436" t="s">
        <v>1604</v>
      </c>
      <c r="F222" s="442" t="s">
        <v>1136</v>
      </c>
      <c r="G222" s="442" t="s">
        <v>17</v>
      </c>
      <c r="H222" s="436" t="s">
        <v>587</v>
      </c>
      <c r="I222" s="443">
        <v>44662.0</v>
      </c>
      <c r="J222" s="442">
        <v>11.0</v>
      </c>
      <c r="K222" s="424" t="s">
        <v>19</v>
      </c>
      <c r="L222" s="316" t="s">
        <v>260</v>
      </c>
      <c r="M222" s="316">
        <f t="shared" si="1"/>
        <v>792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25" t="s">
        <v>1605</v>
      </c>
      <c r="B223" s="440" t="s">
        <v>1606</v>
      </c>
      <c r="C223" s="440">
        <v>2019.0</v>
      </c>
      <c r="D223" s="427">
        <v>43787.0</v>
      </c>
      <c r="E223" s="434" t="s">
        <v>1607</v>
      </c>
      <c r="F223" s="434" t="s">
        <v>120</v>
      </c>
      <c r="G223" s="439" t="s">
        <v>17</v>
      </c>
      <c r="H223" s="439" t="s">
        <v>1608</v>
      </c>
      <c r="I223" s="427">
        <v>44876.0</v>
      </c>
      <c r="J223" s="434">
        <v>11.0</v>
      </c>
      <c r="K223" s="430" t="s">
        <v>19</v>
      </c>
      <c r="L223" s="319" t="s">
        <v>256</v>
      </c>
      <c r="M223" s="319">
        <f t="shared" si="1"/>
        <v>1089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419" t="s">
        <v>1609</v>
      </c>
      <c r="B224" s="441" t="s">
        <v>1610</v>
      </c>
      <c r="C224" s="441">
        <v>2019.0</v>
      </c>
      <c r="D224" s="421">
        <v>43663.0</v>
      </c>
      <c r="E224" s="436" t="s">
        <v>1611</v>
      </c>
      <c r="F224" s="442" t="s">
        <v>120</v>
      </c>
      <c r="G224" s="442" t="s">
        <v>17</v>
      </c>
      <c r="H224" s="436" t="s">
        <v>1612</v>
      </c>
      <c r="I224" s="421">
        <v>44876.0</v>
      </c>
      <c r="J224" s="442">
        <v>11.0</v>
      </c>
      <c r="K224" s="424" t="s">
        <v>19</v>
      </c>
      <c r="L224" s="316" t="s">
        <v>256</v>
      </c>
      <c r="M224" s="316">
        <f t="shared" si="1"/>
        <v>1213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25" t="s">
        <v>1613</v>
      </c>
      <c r="B225" s="440" t="s">
        <v>1614</v>
      </c>
      <c r="C225" s="440">
        <v>2020.0</v>
      </c>
      <c r="D225" s="427">
        <v>44152.0</v>
      </c>
      <c r="E225" s="434" t="s">
        <v>1615</v>
      </c>
      <c r="F225" s="434" t="s">
        <v>186</v>
      </c>
      <c r="G225" s="439" t="s">
        <v>17</v>
      </c>
      <c r="H225" s="439" t="s">
        <v>587</v>
      </c>
      <c r="I225" s="427">
        <v>44876.0</v>
      </c>
      <c r="J225" s="434">
        <v>11.0</v>
      </c>
      <c r="K225" s="430" t="s">
        <v>19</v>
      </c>
      <c r="L225" s="319" t="s">
        <v>256</v>
      </c>
      <c r="M225" s="319">
        <f t="shared" si="1"/>
        <v>724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19" t="s">
        <v>1616</v>
      </c>
      <c r="B226" s="441" t="s">
        <v>1617</v>
      </c>
      <c r="C226" s="441">
        <v>2017.0</v>
      </c>
      <c r="D226" s="421">
        <v>43019.0</v>
      </c>
      <c r="E226" s="436" t="s">
        <v>1618</v>
      </c>
      <c r="F226" s="442" t="s">
        <v>120</v>
      </c>
      <c r="G226" s="442" t="s">
        <v>17</v>
      </c>
      <c r="H226" s="436" t="s">
        <v>50</v>
      </c>
      <c r="I226" s="421">
        <v>44876.0</v>
      </c>
      <c r="J226" s="442">
        <v>11.0</v>
      </c>
      <c r="K226" s="424" t="s">
        <v>19</v>
      </c>
      <c r="L226" s="316" t="s">
        <v>256</v>
      </c>
      <c r="M226" s="316">
        <f t="shared" si="1"/>
        <v>1857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25" t="s">
        <v>1619</v>
      </c>
      <c r="B227" s="440" t="s">
        <v>1620</v>
      </c>
      <c r="C227" s="440">
        <v>2016.0</v>
      </c>
      <c r="D227" s="427">
        <v>42474.0</v>
      </c>
      <c r="E227" s="434" t="s">
        <v>1621</v>
      </c>
      <c r="F227" s="434" t="s">
        <v>167</v>
      </c>
      <c r="G227" s="439" t="s">
        <v>17</v>
      </c>
      <c r="H227" s="439" t="s">
        <v>50</v>
      </c>
      <c r="I227" s="427">
        <v>44876.0</v>
      </c>
      <c r="J227" s="434">
        <v>11.0</v>
      </c>
      <c r="K227" s="430" t="s">
        <v>19</v>
      </c>
      <c r="L227" s="319" t="s">
        <v>256</v>
      </c>
      <c r="M227" s="319">
        <f t="shared" si="1"/>
        <v>2402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19" t="s">
        <v>1622</v>
      </c>
      <c r="B228" s="441" t="s">
        <v>1623</v>
      </c>
      <c r="C228" s="441">
        <v>2017.0</v>
      </c>
      <c r="D228" s="421">
        <v>43075.0</v>
      </c>
      <c r="E228" s="436" t="s">
        <v>1624</v>
      </c>
      <c r="F228" s="442" t="s">
        <v>1554</v>
      </c>
      <c r="G228" s="442" t="s">
        <v>17</v>
      </c>
      <c r="H228" s="436" t="s">
        <v>77</v>
      </c>
      <c r="I228" s="421">
        <v>44876.0</v>
      </c>
      <c r="J228" s="442">
        <v>11.0</v>
      </c>
      <c r="K228" s="424" t="s">
        <v>19</v>
      </c>
      <c r="L228" s="316" t="s">
        <v>258</v>
      </c>
      <c r="M228" s="316">
        <f t="shared" si="1"/>
        <v>1801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25" t="s">
        <v>1625</v>
      </c>
      <c r="B229" s="440" t="s">
        <v>1626</v>
      </c>
      <c r="C229" s="440">
        <v>2016.0</v>
      </c>
      <c r="D229" s="427">
        <v>42608.0</v>
      </c>
      <c r="E229" s="434" t="s">
        <v>1627</v>
      </c>
      <c r="F229" s="434" t="s">
        <v>1628</v>
      </c>
      <c r="G229" s="439" t="s">
        <v>17</v>
      </c>
      <c r="H229" s="439" t="s">
        <v>601</v>
      </c>
      <c r="I229" s="427">
        <v>44876.0</v>
      </c>
      <c r="J229" s="434">
        <v>11.0</v>
      </c>
      <c r="K229" s="430" t="s">
        <v>19</v>
      </c>
      <c r="L229" s="319" t="s">
        <v>256</v>
      </c>
      <c r="M229" s="319">
        <f t="shared" si="1"/>
        <v>2268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419" t="s">
        <v>1629</v>
      </c>
      <c r="B230" s="441" t="s">
        <v>1630</v>
      </c>
      <c r="C230" s="441">
        <v>2019.0</v>
      </c>
      <c r="D230" s="421">
        <v>43819.0</v>
      </c>
      <c r="E230" s="436" t="s">
        <v>1631</v>
      </c>
      <c r="F230" s="442" t="s">
        <v>1628</v>
      </c>
      <c r="G230" s="442" t="s">
        <v>17</v>
      </c>
      <c r="H230" s="436" t="s">
        <v>39</v>
      </c>
      <c r="I230" s="421">
        <v>44876.0</v>
      </c>
      <c r="J230" s="442">
        <v>11.0</v>
      </c>
      <c r="K230" s="424" t="s">
        <v>19</v>
      </c>
      <c r="L230" s="316" t="s">
        <v>256</v>
      </c>
      <c r="M230" s="316">
        <f t="shared" si="1"/>
        <v>1057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25" t="s">
        <v>1632</v>
      </c>
      <c r="B231" s="440" t="s">
        <v>1633</v>
      </c>
      <c r="C231" s="440">
        <v>2015.0</v>
      </c>
      <c r="D231" s="427">
        <v>42030.0</v>
      </c>
      <c r="E231" s="434" t="s">
        <v>1634</v>
      </c>
      <c r="F231" s="434" t="s">
        <v>928</v>
      </c>
      <c r="G231" s="439" t="s">
        <v>17</v>
      </c>
      <c r="H231" s="439" t="s">
        <v>26</v>
      </c>
      <c r="I231" s="427">
        <v>44876.0</v>
      </c>
      <c r="J231" s="434">
        <v>11.0</v>
      </c>
      <c r="K231" s="430" t="s">
        <v>19</v>
      </c>
      <c r="L231" s="319" t="s">
        <v>256</v>
      </c>
      <c r="M231" s="319">
        <f t="shared" si="1"/>
        <v>2846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19" t="s">
        <v>1635</v>
      </c>
      <c r="B232" s="441" t="s">
        <v>1636</v>
      </c>
      <c r="C232" s="441">
        <v>2020.0</v>
      </c>
      <c r="D232" s="421">
        <v>43910.0</v>
      </c>
      <c r="E232" s="436" t="s">
        <v>1637</v>
      </c>
      <c r="F232" s="442" t="s">
        <v>1638</v>
      </c>
      <c r="G232" s="442" t="s">
        <v>17</v>
      </c>
      <c r="H232" s="436" t="s">
        <v>1639</v>
      </c>
      <c r="I232" s="421">
        <v>44876.0</v>
      </c>
      <c r="J232" s="442">
        <v>11.0</v>
      </c>
      <c r="K232" s="424" t="s">
        <v>19</v>
      </c>
      <c r="L232" s="316" t="s">
        <v>258</v>
      </c>
      <c r="M232" s="316">
        <f t="shared" si="1"/>
        <v>966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25" t="s">
        <v>1640</v>
      </c>
      <c r="B233" s="440" t="s">
        <v>1641</v>
      </c>
      <c r="C233" s="444">
        <v>2019.0</v>
      </c>
      <c r="D233" s="445">
        <v>43572.0</v>
      </c>
      <c r="E233" s="434" t="s">
        <v>1642</v>
      </c>
      <c r="F233" s="434" t="s">
        <v>120</v>
      </c>
      <c r="G233" s="439" t="s">
        <v>17</v>
      </c>
      <c r="H233" s="439" t="s">
        <v>112</v>
      </c>
      <c r="I233" s="427">
        <v>44876.0</v>
      </c>
      <c r="J233" s="434">
        <v>11.0</v>
      </c>
      <c r="K233" s="430" t="s">
        <v>19</v>
      </c>
      <c r="L233" s="319" t="s">
        <v>258</v>
      </c>
      <c r="M233" s="319">
        <f t="shared" si="1"/>
        <v>1304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19" t="s">
        <v>1643</v>
      </c>
      <c r="B234" s="446" t="s">
        <v>1644</v>
      </c>
      <c r="C234" s="447">
        <v>2021.0</v>
      </c>
      <c r="D234" s="448">
        <v>44442.0</v>
      </c>
      <c r="E234" s="449" t="s">
        <v>1645</v>
      </c>
      <c r="F234" s="450" t="s">
        <v>120</v>
      </c>
      <c r="G234" s="450" t="s">
        <v>17</v>
      </c>
      <c r="H234" s="451" t="s">
        <v>727</v>
      </c>
      <c r="I234" s="452">
        <v>44876.0</v>
      </c>
      <c r="J234" s="450">
        <v>11.0</v>
      </c>
      <c r="K234" s="424" t="s">
        <v>19</v>
      </c>
      <c r="L234" s="316" t="s">
        <v>258</v>
      </c>
      <c r="M234" s="316">
        <f t="shared" si="1"/>
        <v>434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53" t="s">
        <v>1646</v>
      </c>
      <c r="B235" s="454" t="s">
        <v>1647</v>
      </c>
      <c r="C235" s="454">
        <v>2019.0</v>
      </c>
      <c r="D235" s="455">
        <v>43476.0</v>
      </c>
      <c r="E235" s="456" t="s">
        <v>1648</v>
      </c>
      <c r="F235" s="457" t="s">
        <v>120</v>
      </c>
      <c r="G235" s="458" t="s">
        <v>17</v>
      </c>
      <c r="H235" s="458" t="s">
        <v>573</v>
      </c>
      <c r="I235" s="459">
        <v>44876.0</v>
      </c>
      <c r="J235" s="457">
        <v>11.0</v>
      </c>
      <c r="K235" s="430" t="s">
        <v>19</v>
      </c>
      <c r="L235" s="319" t="s">
        <v>258</v>
      </c>
      <c r="M235" s="319">
        <f t="shared" si="1"/>
        <v>1400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60" t="s">
        <v>1649</v>
      </c>
      <c r="B236" s="461" t="s">
        <v>1650</v>
      </c>
      <c r="C236" s="461">
        <v>2021.0</v>
      </c>
      <c r="D236" s="462">
        <v>44481.0</v>
      </c>
      <c r="E236" s="463" t="s">
        <v>1651</v>
      </c>
      <c r="F236" s="464" t="s">
        <v>1638</v>
      </c>
      <c r="G236" s="464" t="s">
        <v>17</v>
      </c>
      <c r="H236" s="463" t="s">
        <v>77</v>
      </c>
      <c r="I236" s="462">
        <v>44876.0</v>
      </c>
      <c r="J236" s="464">
        <v>11.0</v>
      </c>
      <c r="K236" s="424" t="s">
        <v>19</v>
      </c>
      <c r="L236" s="316" t="s">
        <v>258</v>
      </c>
      <c r="M236" s="316">
        <f t="shared" si="1"/>
        <v>395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65" t="s">
        <v>1652</v>
      </c>
      <c r="B237" s="466" t="s">
        <v>1653</v>
      </c>
      <c r="C237" s="466">
        <v>2016.0</v>
      </c>
      <c r="D237" s="467">
        <v>42669.0</v>
      </c>
      <c r="E237" s="468" t="s">
        <v>1654</v>
      </c>
      <c r="F237" s="468" t="s">
        <v>178</v>
      </c>
      <c r="G237" s="469" t="s">
        <v>17</v>
      </c>
      <c r="H237" s="469" t="s">
        <v>163</v>
      </c>
      <c r="I237" s="467">
        <v>44889.0</v>
      </c>
      <c r="J237" s="468">
        <v>11.0</v>
      </c>
      <c r="K237" s="430" t="s">
        <v>19</v>
      </c>
      <c r="L237" s="319" t="s">
        <v>256</v>
      </c>
      <c r="M237" s="319">
        <f t="shared" si="1"/>
        <v>2220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60" t="s">
        <v>1655</v>
      </c>
      <c r="B238" s="470" t="s">
        <v>1656</v>
      </c>
      <c r="C238" s="470">
        <v>2016.0</v>
      </c>
      <c r="D238" s="471">
        <v>42674.0</v>
      </c>
      <c r="E238" s="472" t="s">
        <v>1657</v>
      </c>
      <c r="F238" s="473" t="s">
        <v>1554</v>
      </c>
      <c r="G238" s="473" t="s">
        <v>17</v>
      </c>
      <c r="H238" s="472" t="s">
        <v>929</v>
      </c>
      <c r="I238" s="471">
        <v>44889.0</v>
      </c>
      <c r="J238" s="473">
        <v>11.0</v>
      </c>
      <c r="K238" s="424" t="s">
        <v>19</v>
      </c>
      <c r="L238" s="316" t="s">
        <v>258</v>
      </c>
      <c r="M238" s="316">
        <f t="shared" si="1"/>
        <v>2215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65" t="s">
        <v>1658</v>
      </c>
      <c r="B239" s="474" t="s">
        <v>1659</v>
      </c>
      <c r="C239" s="474">
        <v>2022.0</v>
      </c>
      <c r="D239" s="475">
        <v>44648.0</v>
      </c>
      <c r="E239" s="476" t="s">
        <v>1660</v>
      </c>
      <c r="F239" s="476" t="s">
        <v>171</v>
      </c>
      <c r="G239" s="477" t="s">
        <v>17</v>
      </c>
      <c r="H239" s="477" t="s">
        <v>1661</v>
      </c>
      <c r="I239" s="467">
        <v>44889.0</v>
      </c>
      <c r="J239" s="476">
        <v>11.0</v>
      </c>
      <c r="K239" s="430" t="s">
        <v>19</v>
      </c>
      <c r="L239" s="319" t="s">
        <v>256</v>
      </c>
      <c r="M239" s="319">
        <f t="shared" si="1"/>
        <v>241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60" t="s">
        <v>1662</v>
      </c>
      <c r="B240" s="470" t="s">
        <v>1663</v>
      </c>
      <c r="C240" s="470">
        <v>2022.0</v>
      </c>
      <c r="D240" s="478">
        <v>44663.0</v>
      </c>
      <c r="E240" s="472" t="s">
        <v>1664</v>
      </c>
      <c r="F240" s="473" t="s">
        <v>120</v>
      </c>
      <c r="G240" s="473" t="s">
        <v>17</v>
      </c>
      <c r="H240" s="472" t="s">
        <v>583</v>
      </c>
      <c r="I240" s="471">
        <v>44889.0</v>
      </c>
      <c r="J240" s="473">
        <v>11.0</v>
      </c>
      <c r="K240" s="424" t="s">
        <v>19</v>
      </c>
      <c r="L240" s="316" t="s">
        <v>258</v>
      </c>
      <c r="M240" s="316">
        <f t="shared" si="1"/>
        <v>226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65" t="s">
        <v>1665</v>
      </c>
      <c r="B241" s="474" t="s">
        <v>1666</v>
      </c>
      <c r="C241" s="474">
        <v>2022.0</v>
      </c>
      <c r="D241" s="475">
        <v>44699.0</v>
      </c>
      <c r="E241" s="476" t="s">
        <v>1667</v>
      </c>
      <c r="F241" s="476" t="s">
        <v>559</v>
      </c>
      <c r="G241" s="477" t="s">
        <v>17</v>
      </c>
      <c r="H241" s="477" t="s">
        <v>138</v>
      </c>
      <c r="I241" s="467">
        <v>44889.0</v>
      </c>
      <c r="J241" s="476">
        <v>11.0</v>
      </c>
      <c r="K241" s="430" t="s">
        <v>19</v>
      </c>
      <c r="L241" s="319" t="s">
        <v>256</v>
      </c>
      <c r="M241" s="319">
        <f t="shared" si="1"/>
        <v>190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60" t="s">
        <v>1668</v>
      </c>
      <c r="B242" s="470" t="s">
        <v>1669</v>
      </c>
      <c r="C242" s="470">
        <v>2021.0</v>
      </c>
      <c r="D242" s="478">
        <v>44237.0</v>
      </c>
      <c r="E242" s="472" t="s">
        <v>1670</v>
      </c>
      <c r="F242" s="473" t="s">
        <v>31</v>
      </c>
      <c r="G242" s="473" t="s">
        <v>17</v>
      </c>
      <c r="H242" s="472" t="s">
        <v>187</v>
      </c>
      <c r="I242" s="471">
        <v>44889.0</v>
      </c>
      <c r="J242" s="473">
        <v>11.0</v>
      </c>
      <c r="K242" s="424" t="s">
        <v>19</v>
      </c>
      <c r="L242" s="316" t="s">
        <v>258</v>
      </c>
      <c r="M242" s="316">
        <f t="shared" si="1"/>
        <v>652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65" t="s">
        <v>1671</v>
      </c>
      <c r="B243" s="474" t="s">
        <v>1672</v>
      </c>
      <c r="C243" s="474">
        <v>2021.0</v>
      </c>
      <c r="D243" s="479">
        <v>44541.0</v>
      </c>
      <c r="E243" s="476" t="s">
        <v>1673</v>
      </c>
      <c r="F243" s="476" t="s">
        <v>1674</v>
      </c>
      <c r="G243" s="477" t="s">
        <v>17</v>
      </c>
      <c r="H243" s="477" t="s">
        <v>1675</v>
      </c>
      <c r="I243" s="467">
        <v>44889.0</v>
      </c>
      <c r="J243" s="476">
        <v>11.0</v>
      </c>
      <c r="K243" s="430" t="s">
        <v>19</v>
      </c>
      <c r="L243" s="319" t="s">
        <v>258</v>
      </c>
      <c r="M243" s="319">
        <f t="shared" si="1"/>
        <v>348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60" t="s">
        <v>1676</v>
      </c>
      <c r="B244" s="461" t="s">
        <v>1677</v>
      </c>
      <c r="C244" s="461">
        <v>2018.0</v>
      </c>
      <c r="D244" s="480">
        <v>43438.0</v>
      </c>
      <c r="E244" s="463" t="s">
        <v>1678</v>
      </c>
      <c r="F244" s="464" t="s">
        <v>632</v>
      </c>
      <c r="G244" s="464" t="s">
        <v>34</v>
      </c>
      <c r="H244" s="463" t="s">
        <v>633</v>
      </c>
      <c r="I244" s="478">
        <v>44896.0</v>
      </c>
      <c r="J244" s="464">
        <v>12.0</v>
      </c>
      <c r="K244" s="438" t="s">
        <v>602</v>
      </c>
      <c r="L244" s="316" t="s">
        <v>258</v>
      </c>
      <c r="M244" s="316">
        <f t="shared" si="1"/>
        <v>1458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65" t="s">
        <v>1679</v>
      </c>
      <c r="B245" s="466" t="s">
        <v>1680</v>
      </c>
      <c r="C245" s="466">
        <v>2015.0</v>
      </c>
      <c r="D245" s="481">
        <v>42207.0</v>
      </c>
      <c r="E245" s="468" t="s">
        <v>1681</v>
      </c>
      <c r="F245" s="468" t="s">
        <v>1083</v>
      </c>
      <c r="G245" s="469" t="s">
        <v>17</v>
      </c>
      <c r="H245" s="469" t="s">
        <v>50</v>
      </c>
      <c r="I245" s="482">
        <v>44907.0</v>
      </c>
      <c r="J245" s="468">
        <v>12.0</v>
      </c>
      <c r="K245" s="430" t="s">
        <v>19</v>
      </c>
      <c r="L245" s="319" t="s">
        <v>256</v>
      </c>
      <c r="M245" s="319">
        <f t="shared" si="1"/>
        <v>2700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60" t="s">
        <v>1682</v>
      </c>
      <c r="B246" s="461" t="s">
        <v>1683</v>
      </c>
      <c r="C246" s="461">
        <v>2019.0</v>
      </c>
      <c r="D246" s="478">
        <v>43515.0</v>
      </c>
      <c r="E246" s="463" t="s">
        <v>1684</v>
      </c>
      <c r="F246" s="464" t="s">
        <v>963</v>
      </c>
      <c r="G246" s="464" t="s">
        <v>17</v>
      </c>
      <c r="H246" s="463" t="s">
        <v>138</v>
      </c>
      <c r="I246" s="480">
        <v>44909.0</v>
      </c>
      <c r="J246" s="464">
        <v>12.0</v>
      </c>
      <c r="K246" s="424" t="s">
        <v>19</v>
      </c>
      <c r="L246" s="316" t="s">
        <v>258</v>
      </c>
      <c r="M246" s="316">
        <f t="shared" si="1"/>
        <v>1394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65" t="s">
        <v>1685</v>
      </c>
      <c r="B247" s="466" t="s">
        <v>1686</v>
      </c>
      <c r="C247" s="466">
        <v>2022.0</v>
      </c>
      <c r="D247" s="482">
        <v>44736.0</v>
      </c>
      <c r="E247" s="468" t="s">
        <v>1687</v>
      </c>
      <c r="F247" s="468" t="s">
        <v>874</v>
      </c>
      <c r="G247" s="469" t="s">
        <v>17</v>
      </c>
      <c r="H247" s="469" t="s">
        <v>116</v>
      </c>
      <c r="I247" s="482">
        <v>44909.0</v>
      </c>
      <c r="J247" s="468">
        <v>12.0</v>
      </c>
      <c r="K247" s="430" t="s">
        <v>19</v>
      </c>
      <c r="L247" s="319" t="s">
        <v>256</v>
      </c>
      <c r="M247" s="319">
        <f t="shared" si="1"/>
        <v>173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83" t="s">
        <v>1688</v>
      </c>
      <c r="B248" s="484" t="s">
        <v>1689</v>
      </c>
      <c r="C248" s="485">
        <v>2022.0</v>
      </c>
      <c r="D248" s="486">
        <v>44617.0</v>
      </c>
      <c r="E248" s="487" t="s">
        <v>1690</v>
      </c>
      <c r="F248" s="488" t="s">
        <v>963</v>
      </c>
      <c r="G248" s="464" t="s">
        <v>17</v>
      </c>
      <c r="H248" s="489" t="s">
        <v>149</v>
      </c>
      <c r="I248" s="480">
        <v>44909.0</v>
      </c>
      <c r="J248" s="464">
        <v>12.0</v>
      </c>
      <c r="K248" s="424" t="s">
        <v>19</v>
      </c>
      <c r="L248" s="316" t="s">
        <v>258</v>
      </c>
      <c r="M248" s="316">
        <f t="shared" si="1"/>
        <v>292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25" t="s">
        <v>1691</v>
      </c>
      <c r="B249" s="444" t="s">
        <v>1692</v>
      </c>
      <c r="C249" s="490">
        <v>2019.0</v>
      </c>
      <c r="D249" s="491">
        <v>43780.0</v>
      </c>
      <c r="E249" s="492" t="s">
        <v>1693</v>
      </c>
      <c r="F249" s="434" t="s">
        <v>963</v>
      </c>
      <c r="G249" s="469" t="s">
        <v>17</v>
      </c>
      <c r="H249" s="439" t="s">
        <v>50</v>
      </c>
      <c r="I249" s="482">
        <v>44909.0</v>
      </c>
      <c r="J249" s="434">
        <v>12.0</v>
      </c>
      <c r="K249" s="430" t="s">
        <v>19</v>
      </c>
      <c r="L249" s="319" t="s">
        <v>258</v>
      </c>
      <c r="M249" s="319">
        <f t="shared" si="1"/>
        <v>1129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19" t="s">
        <v>1694</v>
      </c>
      <c r="B250" s="493" t="s">
        <v>1695</v>
      </c>
      <c r="C250" s="494">
        <v>2015.0</v>
      </c>
      <c r="D250" s="495">
        <v>42326.0</v>
      </c>
      <c r="E250" s="436" t="s">
        <v>1696</v>
      </c>
      <c r="F250" s="442" t="s">
        <v>148</v>
      </c>
      <c r="G250" s="464" t="s">
        <v>17</v>
      </c>
      <c r="H250" s="436" t="s">
        <v>740</v>
      </c>
      <c r="I250" s="480">
        <v>44909.0</v>
      </c>
      <c r="J250" s="464">
        <v>12.0</v>
      </c>
      <c r="K250" s="424" t="s">
        <v>19</v>
      </c>
      <c r="L250" s="316" t="s">
        <v>256</v>
      </c>
      <c r="M250" s="316">
        <f t="shared" si="1"/>
        <v>2583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25" t="s">
        <v>1697</v>
      </c>
      <c r="B251" s="444" t="s">
        <v>1698</v>
      </c>
      <c r="C251" s="490">
        <v>2016.0</v>
      </c>
      <c r="D251" s="496">
        <v>42667.0</v>
      </c>
      <c r="E251" s="434" t="s">
        <v>1699</v>
      </c>
      <c r="F251" s="434" t="s">
        <v>1628</v>
      </c>
      <c r="G251" s="469" t="s">
        <v>17</v>
      </c>
      <c r="H251" s="439" t="s">
        <v>56</v>
      </c>
      <c r="I251" s="482">
        <v>44909.0</v>
      </c>
      <c r="J251" s="434">
        <v>12.0</v>
      </c>
      <c r="K251" s="430" t="s">
        <v>19</v>
      </c>
      <c r="L251" s="319" t="s">
        <v>256</v>
      </c>
      <c r="M251" s="319">
        <f t="shared" si="1"/>
        <v>2242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19" t="s">
        <v>1700</v>
      </c>
      <c r="B252" s="441" t="s">
        <v>1701</v>
      </c>
      <c r="C252" s="441">
        <v>2016.0</v>
      </c>
      <c r="D252" s="495">
        <v>42649.0</v>
      </c>
      <c r="E252" s="436" t="s">
        <v>1702</v>
      </c>
      <c r="F252" s="442" t="s">
        <v>1136</v>
      </c>
      <c r="G252" s="464" t="s">
        <v>17</v>
      </c>
      <c r="H252" s="436" t="s">
        <v>138</v>
      </c>
      <c r="I252" s="480">
        <v>44909.0</v>
      </c>
      <c r="J252" s="464">
        <v>12.0</v>
      </c>
      <c r="K252" s="424" t="s">
        <v>19</v>
      </c>
      <c r="L252" s="316" t="s">
        <v>260</v>
      </c>
      <c r="M252" s="316">
        <f t="shared" si="1"/>
        <v>2260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25" t="s">
        <v>1703</v>
      </c>
      <c r="B253" s="440" t="s">
        <v>1704</v>
      </c>
      <c r="C253" s="440">
        <v>2016.0</v>
      </c>
      <c r="D253" s="496">
        <v>42445.0</v>
      </c>
      <c r="E253" s="434" t="s">
        <v>1705</v>
      </c>
      <c r="F253" s="434" t="s">
        <v>1401</v>
      </c>
      <c r="G253" s="469" t="s">
        <v>17</v>
      </c>
      <c r="H253" s="439" t="s">
        <v>573</v>
      </c>
      <c r="I253" s="482">
        <v>44909.0</v>
      </c>
      <c r="J253" s="434">
        <v>12.0</v>
      </c>
      <c r="K253" s="430" t="s">
        <v>19</v>
      </c>
      <c r="L253" s="319" t="s">
        <v>258</v>
      </c>
      <c r="M253" s="319">
        <f t="shared" si="1"/>
        <v>2464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19" t="s">
        <v>1706</v>
      </c>
      <c r="B254" s="441" t="s">
        <v>1707</v>
      </c>
      <c r="C254" s="441">
        <v>2017.0</v>
      </c>
      <c r="D254" s="495">
        <v>42746.0</v>
      </c>
      <c r="E254" s="436" t="s">
        <v>1708</v>
      </c>
      <c r="F254" s="442" t="s">
        <v>120</v>
      </c>
      <c r="G254" s="464" t="s">
        <v>17</v>
      </c>
      <c r="H254" s="436" t="s">
        <v>66</v>
      </c>
      <c r="I254" s="480">
        <v>44909.0</v>
      </c>
      <c r="J254" s="464">
        <v>12.0</v>
      </c>
      <c r="K254" s="424" t="s">
        <v>19</v>
      </c>
      <c r="L254" s="316" t="s">
        <v>258</v>
      </c>
      <c r="M254" s="316">
        <f t="shared" si="1"/>
        <v>2163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25" t="s">
        <v>1709</v>
      </c>
      <c r="B255" s="440" t="s">
        <v>1710</v>
      </c>
      <c r="C255" s="440">
        <v>2019.0</v>
      </c>
      <c r="D255" s="496">
        <v>43812.0</v>
      </c>
      <c r="E255" s="434" t="s">
        <v>1711</v>
      </c>
      <c r="F255" s="434" t="s">
        <v>1638</v>
      </c>
      <c r="G255" s="469" t="s">
        <v>17</v>
      </c>
      <c r="H255" s="439" t="s">
        <v>934</v>
      </c>
      <c r="I255" s="482">
        <v>44909.0</v>
      </c>
      <c r="J255" s="434">
        <v>12.0</v>
      </c>
      <c r="K255" s="430" t="s">
        <v>19</v>
      </c>
      <c r="L255" s="319" t="s">
        <v>258</v>
      </c>
      <c r="M255" s="319">
        <f t="shared" si="1"/>
        <v>1097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19" t="s">
        <v>1712</v>
      </c>
      <c r="B256" s="441" t="s">
        <v>1713</v>
      </c>
      <c r="C256" s="441">
        <v>2019.0</v>
      </c>
      <c r="D256" s="495">
        <v>43703.0</v>
      </c>
      <c r="E256" s="436" t="s">
        <v>1714</v>
      </c>
      <c r="F256" s="442" t="s">
        <v>120</v>
      </c>
      <c r="G256" s="464" t="s">
        <v>17</v>
      </c>
      <c r="H256" s="436" t="s">
        <v>56</v>
      </c>
      <c r="I256" s="495">
        <v>44909.0</v>
      </c>
      <c r="J256" s="464">
        <v>12.0</v>
      </c>
      <c r="K256" s="424" t="s">
        <v>19</v>
      </c>
      <c r="L256" s="316" t="s">
        <v>258</v>
      </c>
      <c r="M256" s="316">
        <f t="shared" si="1"/>
        <v>1206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25" t="s">
        <v>1715</v>
      </c>
      <c r="B257" s="440" t="s">
        <v>1716</v>
      </c>
      <c r="C257" s="440">
        <v>2016.0</v>
      </c>
      <c r="D257" s="496">
        <v>42444.0</v>
      </c>
      <c r="E257" s="434" t="s">
        <v>1717</v>
      </c>
      <c r="F257" s="434" t="s">
        <v>1401</v>
      </c>
      <c r="G257" s="439" t="s">
        <v>17</v>
      </c>
      <c r="H257" s="439" t="s">
        <v>1178</v>
      </c>
      <c r="I257" s="496">
        <v>44909.0</v>
      </c>
      <c r="J257" s="434">
        <v>12.0</v>
      </c>
      <c r="K257" s="430" t="s">
        <v>19</v>
      </c>
      <c r="L257" s="319" t="s">
        <v>258</v>
      </c>
      <c r="M257" s="319">
        <f t="shared" si="1"/>
        <v>2465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19" t="s">
        <v>1718</v>
      </c>
      <c r="B258" s="441" t="s">
        <v>1719</v>
      </c>
      <c r="C258" s="441">
        <v>2019.0</v>
      </c>
      <c r="D258" s="495">
        <v>43644.0</v>
      </c>
      <c r="E258" s="436" t="s">
        <v>1720</v>
      </c>
      <c r="F258" s="442" t="s">
        <v>1638</v>
      </c>
      <c r="G258" s="464" t="s">
        <v>17</v>
      </c>
      <c r="H258" s="436" t="s">
        <v>990</v>
      </c>
      <c r="I258" s="495">
        <v>44914.0</v>
      </c>
      <c r="J258" s="464">
        <v>12.0</v>
      </c>
      <c r="K258" s="424" t="s">
        <v>19</v>
      </c>
      <c r="L258" s="316" t="s">
        <v>258</v>
      </c>
      <c r="M258" s="316">
        <f t="shared" si="1"/>
        <v>1270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25" t="s">
        <v>1721</v>
      </c>
      <c r="B259" s="440" t="s">
        <v>1722</v>
      </c>
      <c r="C259" s="440">
        <v>2014.0</v>
      </c>
      <c r="D259" s="496">
        <v>41851.0</v>
      </c>
      <c r="E259" s="434" t="s">
        <v>1723</v>
      </c>
      <c r="F259" s="434" t="s">
        <v>124</v>
      </c>
      <c r="G259" s="439" t="s">
        <v>17</v>
      </c>
      <c r="H259" s="439" t="s">
        <v>1588</v>
      </c>
      <c r="I259" s="496">
        <v>44914.0</v>
      </c>
      <c r="J259" s="434">
        <v>12.0</v>
      </c>
      <c r="K259" s="430" t="s">
        <v>19</v>
      </c>
      <c r="L259" s="319" t="s">
        <v>258</v>
      </c>
      <c r="M259" s="319">
        <f t="shared" si="1"/>
        <v>3063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19" t="s">
        <v>1724</v>
      </c>
      <c r="B260" s="441" t="s">
        <v>1725</v>
      </c>
      <c r="C260" s="441">
        <v>2021.0</v>
      </c>
      <c r="D260" s="495">
        <v>44286.0</v>
      </c>
      <c r="E260" s="436" t="s">
        <v>1726</v>
      </c>
      <c r="F260" s="442" t="s">
        <v>120</v>
      </c>
      <c r="G260" s="464" t="s">
        <v>17</v>
      </c>
      <c r="H260" s="436" t="s">
        <v>1727</v>
      </c>
      <c r="I260" s="495">
        <v>44914.0</v>
      </c>
      <c r="J260" s="464">
        <v>12.0</v>
      </c>
      <c r="K260" s="424" t="s">
        <v>19</v>
      </c>
      <c r="L260" s="316" t="s">
        <v>258</v>
      </c>
      <c r="M260" s="316">
        <f t="shared" si="1"/>
        <v>628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25" t="s">
        <v>1728</v>
      </c>
      <c r="B261" s="440" t="s">
        <v>1729</v>
      </c>
      <c r="C261" s="440">
        <v>2020.0</v>
      </c>
      <c r="D261" s="496">
        <v>44183.0</v>
      </c>
      <c r="E261" s="434" t="s">
        <v>1730</v>
      </c>
      <c r="F261" s="434" t="s">
        <v>120</v>
      </c>
      <c r="G261" s="439" t="s">
        <v>17</v>
      </c>
      <c r="H261" s="439" t="s">
        <v>187</v>
      </c>
      <c r="I261" s="496">
        <v>44914.0</v>
      </c>
      <c r="J261" s="434">
        <v>12.0</v>
      </c>
      <c r="K261" s="430" t="s">
        <v>19</v>
      </c>
      <c r="L261" s="319" t="s">
        <v>258</v>
      </c>
      <c r="M261" s="319">
        <f t="shared" si="1"/>
        <v>731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19" t="s">
        <v>1731</v>
      </c>
      <c r="B262" s="441" t="s">
        <v>1732</v>
      </c>
      <c r="C262" s="441">
        <v>2021.0</v>
      </c>
      <c r="D262" s="495">
        <v>44328.0</v>
      </c>
      <c r="E262" s="436" t="s">
        <v>1733</v>
      </c>
      <c r="F262" s="442" t="s">
        <v>1554</v>
      </c>
      <c r="G262" s="464" t="s">
        <v>17</v>
      </c>
      <c r="H262" s="436" t="s">
        <v>149</v>
      </c>
      <c r="I262" s="495">
        <v>44914.0</v>
      </c>
      <c r="J262" s="464">
        <v>12.0</v>
      </c>
      <c r="K262" s="424" t="s">
        <v>19</v>
      </c>
      <c r="L262" s="316" t="s">
        <v>258</v>
      </c>
      <c r="M262" s="316">
        <f t="shared" si="1"/>
        <v>586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25" t="s">
        <v>1734</v>
      </c>
      <c r="B263" s="440" t="s">
        <v>1735</v>
      </c>
      <c r="C263" s="440">
        <v>2019.0</v>
      </c>
      <c r="D263" s="496">
        <v>43546.0</v>
      </c>
      <c r="E263" s="434" t="s">
        <v>1736</v>
      </c>
      <c r="F263" s="434" t="s">
        <v>1628</v>
      </c>
      <c r="G263" s="439" t="s">
        <v>17</v>
      </c>
      <c r="H263" s="439" t="s">
        <v>573</v>
      </c>
      <c r="I263" s="496">
        <v>44914.0</v>
      </c>
      <c r="J263" s="434">
        <v>12.0</v>
      </c>
      <c r="K263" s="430" t="s">
        <v>19</v>
      </c>
      <c r="L263" s="319" t="s">
        <v>256</v>
      </c>
      <c r="M263" s="319">
        <f t="shared" si="1"/>
        <v>1368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19" t="s">
        <v>1737</v>
      </c>
      <c r="B264" s="441" t="s">
        <v>1738</v>
      </c>
      <c r="C264" s="441">
        <v>2021.0</v>
      </c>
      <c r="D264" s="495">
        <v>44255.0</v>
      </c>
      <c r="E264" s="436" t="s">
        <v>1739</v>
      </c>
      <c r="F264" s="442" t="s">
        <v>25</v>
      </c>
      <c r="G264" s="442" t="s">
        <v>17</v>
      </c>
      <c r="H264" s="436" t="s">
        <v>66</v>
      </c>
      <c r="I264" s="495">
        <v>44914.0</v>
      </c>
      <c r="J264" s="464">
        <v>12.0</v>
      </c>
      <c r="K264" s="424" t="s">
        <v>19</v>
      </c>
      <c r="L264" s="316" t="s">
        <v>256</v>
      </c>
      <c r="M264" s="316">
        <f t="shared" si="1"/>
        <v>659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25" t="s">
        <v>1740</v>
      </c>
      <c r="B265" s="440" t="s">
        <v>1741</v>
      </c>
      <c r="C265" s="440">
        <v>2019.0</v>
      </c>
      <c r="D265" s="496">
        <v>43817.0</v>
      </c>
      <c r="E265" s="434" t="s">
        <v>1742</v>
      </c>
      <c r="F265" s="434" t="s">
        <v>120</v>
      </c>
      <c r="G265" s="439" t="s">
        <v>17</v>
      </c>
      <c r="H265" s="439" t="s">
        <v>1091</v>
      </c>
      <c r="I265" s="496">
        <v>44914.0</v>
      </c>
      <c r="J265" s="434">
        <v>12.0</v>
      </c>
      <c r="K265" s="430" t="s">
        <v>19</v>
      </c>
      <c r="L265" s="319" t="s">
        <v>258</v>
      </c>
      <c r="M265" s="319">
        <f t="shared" si="1"/>
        <v>1097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19" t="s">
        <v>1743</v>
      </c>
      <c r="B266" s="441" t="s">
        <v>1744</v>
      </c>
      <c r="C266" s="441">
        <v>2018.0</v>
      </c>
      <c r="D266" s="495">
        <v>43364.0</v>
      </c>
      <c r="E266" s="436" t="s">
        <v>1745</v>
      </c>
      <c r="F266" s="442" t="s">
        <v>120</v>
      </c>
      <c r="G266" s="442" t="s">
        <v>17</v>
      </c>
      <c r="H266" s="436" t="s">
        <v>50</v>
      </c>
      <c r="I266" s="495">
        <v>44914.0</v>
      </c>
      <c r="J266" s="464">
        <v>12.0</v>
      </c>
      <c r="K266" s="424" t="s">
        <v>19</v>
      </c>
      <c r="L266" s="316" t="s">
        <v>258</v>
      </c>
      <c r="M266" s="316">
        <f t="shared" si="1"/>
        <v>1550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25" t="s">
        <v>1746</v>
      </c>
      <c r="B267" s="440" t="s">
        <v>1747</v>
      </c>
      <c r="C267" s="440">
        <v>2017.0</v>
      </c>
      <c r="D267" s="496">
        <v>42915.0</v>
      </c>
      <c r="E267" s="434" t="s">
        <v>1748</v>
      </c>
      <c r="F267" s="434" t="s">
        <v>711</v>
      </c>
      <c r="G267" s="439" t="s">
        <v>17</v>
      </c>
      <c r="H267" s="439" t="s">
        <v>1749</v>
      </c>
      <c r="I267" s="496">
        <v>44915.0</v>
      </c>
      <c r="J267" s="434">
        <v>12.0</v>
      </c>
      <c r="K267" s="430" t="s">
        <v>19</v>
      </c>
      <c r="L267" s="319" t="s">
        <v>256</v>
      </c>
      <c r="M267" s="319">
        <f t="shared" si="1"/>
        <v>2000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19" t="s">
        <v>1750</v>
      </c>
      <c r="B268" s="441" t="s">
        <v>1751</v>
      </c>
      <c r="C268" s="441">
        <v>2020.0</v>
      </c>
      <c r="D268" s="495">
        <v>43993.0</v>
      </c>
      <c r="E268" s="436" t="s">
        <v>1752</v>
      </c>
      <c r="F268" s="442" t="s">
        <v>65</v>
      </c>
      <c r="G268" s="442" t="s">
        <v>17</v>
      </c>
      <c r="H268" s="436" t="s">
        <v>77</v>
      </c>
      <c r="I268" s="495">
        <v>44917.0</v>
      </c>
      <c r="J268" s="464">
        <v>12.0</v>
      </c>
      <c r="K268" s="424" t="s">
        <v>19</v>
      </c>
      <c r="L268" s="316" t="s">
        <v>840</v>
      </c>
      <c r="M268" s="316">
        <f t="shared" si="1"/>
        <v>924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25" t="s">
        <v>1753</v>
      </c>
      <c r="B269" s="440" t="s">
        <v>1754</v>
      </c>
      <c r="C269" s="440">
        <v>2015.0</v>
      </c>
      <c r="D269" s="496">
        <v>42247.0</v>
      </c>
      <c r="E269" s="434" t="s">
        <v>1755</v>
      </c>
      <c r="F269" s="434" t="s">
        <v>186</v>
      </c>
      <c r="G269" s="439" t="s">
        <v>17</v>
      </c>
      <c r="H269" s="439" t="s">
        <v>50</v>
      </c>
      <c r="I269" s="496">
        <v>44917.0</v>
      </c>
      <c r="J269" s="434">
        <v>12.0</v>
      </c>
      <c r="K269" s="430" t="s">
        <v>19</v>
      </c>
      <c r="L269" s="319" t="s">
        <v>256</v>
      </c>
      <c r="M269" s="319">
        <f t="shared" si="1"/>
        <v>2670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419" t="s">
        <v>1756</v>
      </c>
      <c r="B270" s="441" t="s">
        <v>1757</v>
      </c>
      <c r="C270" s="441">
        <v>2019.0</v>
      </c>
      <c r="D270" s="495">
        <v>43553.0</v>
      </c>
      <c r="E270" s="436" t="s">
        <v>1758</v>
      </c>
      <c r="F270" s="442" t="s">
        <v>71</v>
      </c>
      <c r="G270" s="442" t="s">
        <v>17</v>
      </c>
      <c r="H270" s="436" t="s">
        <v>573</v>
      </c>
      <c r="I270" s="495">
        <v>44917.0</v>
      </c>
      <c r="J270" s="464">
        <v>12.0</v>
      </c>
      <c r="K270" s="424" t="s">
        <v>19</v>
      </c>
      <c r="L270" s="316" t="s">
        <v>258</v>
      </c>
      <c r="M270" s="316">
        <f t="shared" si="1"/>
        <v>1364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25" t="s">
        <v>1759</v>
      </c>
      <c r="B271" s="440" t="s">
        <v>1760</v>
      </c>
      <c r="C271" s="440">
        <v>2019.0</v>
      </c>
      <c r="D271" s="496">
        <v>43634.0</v>
      </c>
      <c r="E271" s="434" t="s">
        <v>1761</v>
      </c>
      <c r="F271" s="434" t="s">
        <v>1762</v>
      </c>
      <c r="G271" s="439" t="s">
        <v>17</v>
      </c>
      <c r="H271" s="439" t="s">
        <v>990</v>
      </c>
      <c r="I271" s="496">
        <v>44917.0</v>
      </c>
      <c r="J271" s="434">
        <v>12.0</v>
      </c>
      <c r="K271" s="430" t="s">
        <v>19</v>
      </c>
      <c r="L271" s="319" t="s">
        <v>256</v>
      </c>
      <c r="M271" s="319">
        <f t="shared" si="1"/>
        <v>1283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19" t="s">
        <v>1763</v>
      </c>
      <c r="B272" s="441" t="s">
        <v>1764</v>
      </c>
      <c r="C272" s="441">
        <v>2021.0</v>
      </c>
      <c r="D272" s="495">
        <v>44397.0</v>
      </c>
      <c r="E272" s="436" t="s">
        <v>1765</v>
      </c>
      <c r="F272" s="442" t="s">
        <v>1762</v>
      </c>
      <c r="G272" s="442" t="s">
        <v>17</v>
      </c>
      <c r="H272" s="436" t="s">
        <v>1178</v>
      </c>
      <c r="I272" s="495">
        <v>44917.0</v>
      </c>
      <c r="J272" s="464">
        <v>12.0</v>
      </c>
      <c r="K272" s="424" t="s">
        <v>19</v>
      </c>
      <c r="L272" s="316" t="s">
        <v>256</v>
      </c>
      <c r="M272" s="316">
        <f t="shared" si="1"/>
        <v>520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25" t="s">
        <v>1766</v>
      </c>
      <c r="B273" s="440" t="s">
        <v>1767</v>
      </c>
      <c r="C273" s="440">
        <v>2016.0</v>
      </c>
      <c r="D273" s="496">
        <v>42697.0</v>
      </c>
      <c r="E273" s="434" t="s">
        <v>1768</v>
      </c>
      <c r="F273" s="434" t="s">
        <v>1638</v>
      </c>
      <c r="G273" s="439" t="s">
        <v>17</v>
      </c>
      <c r="H273" s="439" t="s">
        <v>1769</v>
      </c>
      <c r="I273" s="496">
        <v>44917.0</v>
      </c>
      <c r="J273" s="434">
        <v>12.0</v>
      </c>
      <c r="K273" s="430" t="s">
        <v>19</v>
      </c>
      <c r="L273" s="319" t="s">
        <v>258</v>
      </c>
      <c r="M273" s="319">
        <f t="shared" si="1"/>
        <v>2220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19" t="s">
        <v>1770</v>
      </c>
      <c r="B274" s="441" t="s">
        <v>1771</v>
      </c>
      <c r="C274" s="441">
        <v>2021.0</v>
      </c>
      <c r="D274" s="495">
        <v>44316.0</v>
      </c>
      <c r="E274" s="436" t="s">
        <v>1772</v>
      </c>
      <c r="F274" s="442" t="s">
        <v>595</v>
      </c>
      <c r="G274" s="442" t="s">
        <v>17</v>
      </c>
      <c r="H274" s="436" t="s">
        <v>26</v>
      </c>
      <c r="I274" s="495">
        <v>44918.0</v>
      </c>
      <c r="J274" s="442">
        <v>12.0</v>
      </c>
      <c r="K274" s="424" t="s">
        <v>19</v>
      </c>
      <c r="L274" s="316" t="s">
        <v>840</v>
      </c>
      <c r="M274" s="316">
        <f t="shared" si="1"/>
        <v>602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25" t="s">
        <v>1773</v>
      </c>
      <c r="B275" s="440" t="s">
        <v>1774</v>
      </c>
      <c r="C275" s="440">
        <v>2014.0</v>
      </c>
      <c r="D275" s="496">
        <v>41995.0</v>
      </c>
      <c r="E275" s="434" t="s">
        <v>1775</v>
      </c>
      <c r="F275" s="434" t="s">
        <v>595</v>
      </c>
      <c r="G275" s="439" t="s">
        <v>17</v>
      </c>
      <c r="H275" s="439" t="s">
        <v>583</v>
      </c>
      <c r="I275" s="496">
        <v>44918.0</v>
      </c>
      <c r="J275" s="434">
        <v>12.0</v>
      </c>
      <c r="K275" s="430" t="s">
        <v>19</v>
      </c>
      <c r="L275" s="319" t="s">
        <v>840</v>
      </c>
      <c r="M275" s="319">
        <f t="shared" si="1"/>
        <v>2923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419" t="s">
        <v>1776</v>
      </c>
      <c r="B276" s="441" t="s">
        <v>1777</v>
      </c>
      <c r="C276" s="441">
        <v>2014.0</v>
      </c>
      <c r="D276" s="495">
        <v>41684.0</v>
      </c>
      <c r="E276" s="436" t="s">
        <v>1778</v>
      </c>
      <c r="F276" s="442" t="s">
        <v>1674</v>
      </c>
      <c r="G276" s="442" t="s">
        <v>17</v>
      </c>
      <c r="H276" s="436" t="s">
        <v>163</v>
      </c>
      <c r="I276" s="495">
        <v>44918.0</v>
      </c>
      <c r="J276" s="442">
        <v>12.0</v>
      </c>
      <c r="K276" s="424" t="s">
        <v>19</v>
      </c>
      <c r="L276" s="316" t="s">
        <v>258</v>
      </c>
      <c r="M276" s="316">
        <f t="shared" si="1"/>
        <v>3234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25" t="s">
        <v>1779</v>
      </c>
      <c r="B277" s="440" t="s">
        <v>1780</v>
      </c>
      <c r="C277" s="440">
        <v>2016.0</v>
      </c>
      <c r="D277" s="496">
        <v>42557.0</v>
      </c>
      <c r="E277" s="434" t="s">
        <v>1781</v>
      </c>
      <c r="F277" s="434" t="s">
        <v>71</v>
      </c>
      <c r="G277" s="439" t="s">
        <v>17</v>
      </c>
      <c r="H277" s="439" t="s">
        <v>1421</v>
      </c>
      <c r="I277" s="496">
        <v>44918.0</v>
      </c>
      <c r="J277" s="434">
        <v>12.0</v>
      </c>
      <c r="K277" s="430" t="s">
        <v>19</v>
      </c>
      <c r="L277" s="319" t="s">
        <v>258</v>
      </c>
      <c r="M277" s="319">
        <f t="shared" si="1"/>
        <v>2361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19" t="s">
        <v>1782</v>
      </c>
      <c r="B278" s="441" t="s">
        <v>1783</v>
      </c>
      <c r="C278" s="441">
        <v>2020.0</v>
      </c>
      <c r="D278" s="495">
        <v>44125.0</v>
      </c>
      <c r="E278" s="436" t="s">
        <v>1784</v>
      </c>
      <c r="F278" s="442" t="s">
        <v>102</v>
      </c>
      <c r="G278" s="442" t="s">
        <v>17</v>
      </c>
      <c r="H278" s="436" t="s">
        <v>149</v>
      </c>
      <c r="I278" s="495">
        <v>44918.0</v>
      </c>
      <c r="J278" s="442">
        <v>12.0</v>
      </c>
      <c r="K278" s="424" t="s">
        <v>19</v>
      </c>
      <c r="L278" s="316" t="s">
        <v>258</v>
      </c>
      <c r="M278" s="316">
        <f t="shared" si="1"/>
        <v>793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25" t="s">
        <v>1785</v>
      </c>
      <c r="B279" s="440" t="s">
        <v>1786</v>
      </c>
      <c r="C279" s="440">
        <v>2015.0</v>
      </c>
      <c r="D279" s="496">
        <v>42216.0</v>
      </c>
      <c r="E279" s="434" t="s">
        <v>1787</v>
      </c>
      <c r="F279" s="434" t="s">
        <v>102</v>
      </c>
      <c r="G279" s="439" t="s">
        <v>17</v>
      </c>
      <c r="H279" s="439" t="s">
        <v>66</v>
      </c>
      <c r="I279" s="496">
        <v>44918.0</v>
      </c>
      <c r="J279" s="434">
        <v>12.0</v>
      </c>
      <c r="K279" s="430" t="s">
        <v>19</v>
      </c>
      <c r="L279" s="319" t="s">
        <v>258</v>
      </c>
      <c r="M279" s="319">
        <f t="shared" si="1"/>
        <v>2702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19" t="s">
        <v>1788</v>
      </c>
      <c r="B280" s="441" t="s">
        <v>1789</v>
      </c>
      <c r="C280" s="441">
        <v>2018.0</v>
      </c>
      <c r="D280" s="495">
        <v>43314.0</v>
      </c>
      <c r="E280" s="436" t="s">
        <v>1790</v>
      </c>
      <c r="F280" s="442" t="s">
        <v>25</v>
      </c>
      <c r="G280" s="442" t="s">
        <v>17</v>
      </c>
      <c r="H280" s="436" t="s">
        <v>1791</v>
      </c>
      <c r="I280" s="495">
        <v>44918.0</v>
      </c>
      <c r="J280" s="442">
        <v>12.0</v>
      </c>
      <c r="K280" s="424" t="s">
        <v>19</v>
      </c>
      <c r="L280" s="316" t="s">
        <v>256</v>
      </c>
      <c r="M280" s="316">
        <f t="shared" si="1"/>
        <v>1604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19">
        <v>122.0</v>
      </c>
      <c r="B281" s="420" t="s">
        <v>1792</v>
      </c>
      <c r="C281" s="420">
        <v>2017.0</v>
      </c>
      <c r="D281" s="497">
        <v>43084.0</v>
      </c>
      <c r="E281" s="498" t="s">
        <v>1793</v>
      </c>
      <c r="F281" s="394" t="s">
        <v>1794</v>
      </c>
      <c r="G281" s="422" t="s">
        <v>547</v>
      </c>
      <c r="H281" s="394" t="s">
        <v>1795</v>
      </c>
      <c r="I281" s="497">
        <v>44566.0</v>
      </c>
      <c r="J281" s="499">
        <v>1.0</v>
      </c>
      <c r="K281" s="433" t="s">
        <v>242</v>
      </c>
      <c r="L281" s="316" t="s">
        <v>256</v>
      </c>
      <c r="M281" s="316">
        <f t="shared" si="1"/>
        <v>1482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25">
        <v>222.0</v>
      </c>
      <c r="B282" s="426" t="s">
        <v>1796</v>
      </c>
      <c r="C282" s="426">
        <v>2014.0</v>
      </c>
      <c r="D282" s="500">
        <v>41766.0</v>
      </c>
      <c r="E282" s="428" t="s">
        <v>1797</v>
      </c>
      <c r="F282" s="397" t="s">
        <v>1798</v>
      </c>
      <c r="G282" s="428" t="s">
        <v>650</v>
      </c>
      <c r="H282" s="439" t="s">
        <v>651</v>
      </c>
      <c r="I282" s="500">
        <v>44566.0</v>
      </c>
      <c r="J282" s="501">
        <v>1.0</v>
      </c>
      <c r="K282" s="433" t="s">
        <v>240</v>
      </c>
      <c r="L282" s="319" t="s">
        <v>256</v>
      </c>
      <c r="M282" s="319">
        <f t="shared" si="1"/>
        <v>2800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19">
        <v>322.0</v>
      </c>
      <c r="B283" s="420" t="s">
        <v>1799</v>
      </c>
      <c r="C283" s="420">
        <v>2018.0</v>
      </c>
      <c r="D283" s="497">
        <v>43343.0</v>
      </c>
      <c r="E283" s="498" t="s">
        <v>1800</v>
      </c>
      <c r="F283" s="394" t="s">
        <v>1801</v>
      </c>
      <c r="G283" s="442" t="s">
        <v>650</v>
      </c>
      <c r="H283" s="394" t="s">
        <v>1802</v>
      </c>
      <c r="I283" s="497">
        <v>44581.0</v>
      </c>
      <c r="J283" s="499">
        <v>1.0</v>
      </c>
      <c r="K283" s="502" t="s">
        <v>232</v>
      </c>
      <c r="L283" s="316" t="s">
        <v>256</v>
      </c>
      <c r="M283" s="316">
        <f t="shared" si="1"/>
        <v>1238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25">
        <v>422.0</v>
      </c>
      <c r="B284" s="426" t="s">
        <v>1803</v>
      </c>
      <c r="C284" s="426">
        <v>2019.0</v>
      </c>
      <c r="D284" s="500">
        <v>43798.0</v>
      </c>
      <c r="E284" s="428" t="s">
        <v>1804</v>
      </c>
      <c r="F284" s="397" t="s">
        <v>1805</v>
      </c>
      <c r="G284" s="434" t="s">
        <v>650</v>
      </c>
      <c r="H284" s="397" t="s">
        <v>1802</v>
      </c>
      <c r="I284" s="500">
        <v>44581.0</v>
      </c>
      <c r="J284" s="501">
        <v>1.0</v>
      </c>
      <c r="K284" s="433" t="s">
        <v>242</v>
      </c>
      <c r="L284" s="319" t="s">
        <v>256</v>
      </c>
      <c r="M284" s="319">
        <f t="shared" si="1"/>
        <v>783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19">
        <v>522.0</v>
      </c>
      <c r="B285" s="420" t="s">
        <v>1806</v>
      </c>
      <c r="C285" s="420">
        <v>2021.0</v>
      </c>
      <c r="D285" s="497">
        <v>44301.0</v>
      </c>
      <c r="E285" s="498" t="s">
        <v>1807</v>
      </c>
      <c r="F285" s="503" t="s">
        <v>1808</v>
      </c>
      <c r="G285" s="422" t="s">
        <v>565</v>
      </c>
      <c r="H285" s="394" t="s">
        <v>601</v>
      </c>
      <c r="I285" s="497">
        <v>44581.0</v>
      </c>
      <c r="J285" s="499">
        <v>1.0</v>
      </c>
      <c r="K285" s="433" t="s">
        <v>242</v>
      </c>
      <c r="L285" s="316" t="s">
        <v>260</v>
      </c>
      <c r="M285" s="316">
        <f t="shared" si="1"/>
        <v>280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25">
        <v>622.0</v>
      </c>
      <c r="B286" s="426" t="s">
        <v>1809</v>
      </c>
      <c r="C286" s="426">
        <v>2015.0</v>
      </c>
      <c r="D286" s="504">
        <v>42139.0</v>
      </c>
      <c r="E286" s="428" t="s">
        <v>1810</v>
      </c>
      <c r="F286" s="397" t="s">
        <v>1811</v>
      </c>
      <c r="G286" s="428" t="s">
        <v>650</v>
      </c>
      <c r="H286" s="397" t="s">
        <v>158</v>
      </c>
      <c r="I286" s="500">
        <v>44581.0</v>
      </c>
      <c r="J286" s="501">
        <v>1.0</v>
      </c>
      <c r="K286" s="433" t="s">
        <v>242</v>
      </c>
      <c r="L286" s="319" t="s">
        <v>258</v>
      </c>
      <c r="M286" s="319">
        <f t="shared" si="1"/>
        <v>2442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19">
        <v>722.0</v>
      </c>
      <c r="B287" s="420" t="s">
        <v>1812</v>
      </c>
      <c r="C287" s="420">
        <v>2017.0</v>
      </c>
      <c r="D287" s="497">
        <v>42884.0</v>
      </c>
      <c r="E287" s="498" t="s">
        <v>1813</v>
      </c>
      <c r="F287" s="394" t="s">
        <v>1814</v>
      </c>
      <c r="G287" s="422" t="s">
        <v>552</v>
      </c>
      <c r="H287" s="394" t="s">
        <v>573</v>
      </c>
      <c r="I287" s="497">
        <v>44581.0</v>
      </c>
      <c r="J287" s="499">
        <v>1.0</v>
      </c>
      <c r="K287" s="433" t="s">
        <v>240</v>
      </c>
      <c r="L287" s="316" t="s">
        <v>840</v>
      </c>
      <c r="M287" s="316">
        <f t="shared" si="1"/>
        <v>1697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25">
        <v>822.0</v>
      </c>
      <c r="B288" s="426" t="s">
        <v>1815</v>
      </c>
      <c r="C288" s="426">
        <v>2021.0</v>
      </c>
      <c r="D288" s="500">
        <v>44391.0</v>
      </c>
      <c r="E288" s="428" t="s">
        <v>1816</v>
      </c>
      <c r="F288" s="505" t="s">
        <v>1817</v>
      </c>
      <c r="G288" s="428" t="s">
        <v>569</v>
      </c>
      <c r="H288" s="397" t="s">
        <v>1818</v>
      </c>
      <c r="I288" s="500">
        <v>44581.0</v>
      </c>
      <c r="J288" s="501">
        <v>1.0</v>
      </c>
      <c r="K288" s="438" t="s">
        <v>602</v>
      </c>
      <c r="L288" s="319" t="s">
        <v>260</v>
      </c>
      <c r="M288" s="319">
        <f t="shared" si="1"/>
        <v>190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19">
        <v>922.0</v>
      </c>
      <c r="B289" s="420" t="s">
        <v>1819</v>
      </c>
      <c r="C289" s="420">
        <v>2014.0</v>
      </c>
      <c r="D289" s="497">
        <v>41962.0</v>
      </c>
      <c r="E289" s="498" t="s">
        <v>1820</v>
      </c>
      <c r="F289" s="394" t="s">
        <v>947</v>
      </c>
      <c r="G289" s="422" t="s">
        <v>552</v>
      </c>
      <c r="H289" s="394" t="s">
        <v>153</v>
      </c>
      <c r="I289" s="497">
        <v>44581.0</v>
      </c>
      <c r="J289" s="499">
        <v>1.0</v>
      </c>
      <c r="K289" s="433" t="s">
        <v>242</v>
      </c>
      <c r="L289" s="316" t="s">
        <v>258</v>
      </c>
      <c r="M289" s="316">
        <f t="shared" si="1"/>
        <v>2619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25">
        <v>1022.0</v>
      </c>
      <c r="B290" s="426" t="s">
        <v>1821</v>
      </c>
      <c r="C290" s="426">
        <v>2020.0</v>
      </c>
      <c r="D290" s="500">
        <v>44082.0</v>
      </c>
      <c r="E290" s="428" t="s">
        <v>1822</v>
      </c>
      <c r="F290" s="397" t="s">
        <v>1823</v>
      </c>
      <c r="G290" s="434" t="s">
        <v>552</v>
      </c>
      <c r="H290" s="397" t="s">
        <v>125</v>
      </c>
      <c r="I290" s="500">
        <v>44581.0</v>
      </c>
      <c r="J290" s="428">
        <v>1.0</v>
      </c>
      <c r="K290" s="502" t="s">
        <v>232</v>
      </c>
      <c r="L290" s="319" t="s">
        <v>256</v>
      </c>
      <c r="M290" s="319">
        <f t="shared" si="1"/>
        <v>499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19">
        <v>1122.0</v>
      </c>
      <c r="B291" s="420" t="s">
        <v>1824</v>
      </c>
      <c r="C291" s="420">
        <v>2020.0</v>
      </c>
      <c r="D291" s="497">
        <v>44039.0</v>
      </c>
      <c r="E291" s="498" t="s">
        <v>1825</v>
      </c>
      <c r="F291" s="394" t="s">
        <v>1826</v>
      </c>
      <c r="G291" s="422" t="s">
        <v>552</v>
      </c>
      <c r="H291" s="394" t="s">
        <v>125</v>
      </c>
      <c r="I291" s="497">
        <v>44581.0</v>
      </c>
      <c r="J291" s="422">
        <v>1.0</v>
      </c>
      <c r="K291" s="433" t="s">
        <v>240</v>
      </c>
      <c r="L291" s="316" t="s">
        <v>256</v>
      </c>
      <c r="M291" s="316">
        <f t="shared" si="1"/>
        <v>542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25">
        <v>1222.0</v>
      </c>
      <c r="B292" s="426" t="s">
        <v>1827</v>
      </c>
      <c r="C292" s="426">
        <v>2020.0</v>
      </c>
      <c r="D292" s="500">
        <v>44117.0</v>
      </c>
      <c r="E292" s="428" t="s">
        <v>1828</v>
      </c>
      <c r="F292" s="397" t="s">
        <v>1829</v>
      </c>
      <c r="G292" s="428" t="s">
        <v>552</v>
      </c>
      <c r="H292" s="397" t="s">
        <v>125</v>
      </c>
      <c r="I292" s="500">
        <v>44581.0</v>
      </c>
      <c r="J292" s="428">
        <v>1.0</v>
      </c>
      <c r="K292" s="433" t="s">
        <v>240</v>
      </c>
      <c r="L292" s="319" t="s">
        <v>256</v>
      </c>
      <c r="M292" s="319">
        <f t="shared" si="1"/>
        <v>464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19">
        <v>1322.0</v>
      </c>
      <c r="B293" s="420" t="s">
        <v>1830</v>
      </c>
      <c r="C293" s="420">
        <v>2020.0</v>
      </c>
      <c r="D293" s="497">
        <v>44082.0</v>
      </c>
      <c r="E293" s="498" t="s">
        <v>1831</v>
      </c>
      <c r="F293" s="394" t="s">
        <v>1823</v>
      </c>
      <c r="G293" s="442" t="s">
        <v>552</v>
      </c>
      <c r="H293" s="394" t="s">
        <v>125</v>
      </c>
      <c r="I293" s="497">
        <v>44581.0</v>
      </c>
      <c r="J293" s="422">
        <v>1.0</v>
      </c>
      <c r="K293" s="502" t="s">
        <v>232</v>
      </c>
      <c r="L293" s="316" t="s">
        <v>256</v>
      </c>
      <c r="M293" s="316">
        <f t="shared" si="1"/>
        <v>499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25">
        <v>1422.0</v>
      </c>
      <c r="B294" s="426" t="s">
        <v>1832</v>
      </c>
      <c r="C294" s="440">
        <v>2016.0</v>
      </c>
      <c r="D294" s="500">
        <v>42685.0</v>
      </c>
      <c r="E294" s="428" t="s">
        <v>1833</v>
      </c>
      <c r="F294" s="397" t="s">
        <v>1834</v>
      </c>
      <c r="G294" s="428" t="s">
        <v>552</v>
      </c>
      <c r="H294" s="397" t="s">
        <v>18</v>
      </c>
      <c r="I294" s="500">
        <v>44581.0</v>
      </c>
      <c r="J294" s="428">
        <v>1.0</v>
      </c>
      <c r="K294" s="433" t="s">
        <v>240</v>
      </c>
      <c r="L294" s="319" t="s">
        <v>258</v>
      </c>
      <c r="M294" s="319">
        <f t="shared" si="1"/>
        <v>1896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19">
        <v>1522.0</v>
      </c>
      <c r="B295" s="420" t="s">
        <v>1835</v>
      </c>
      <c r="C295" s="420">
        <v>2015.0</v>
      </c>
      <c r="D295" s="497">
        <v>42335.0</v>
      </c>
      <c r="E295" s="498" t="s">
        <v>1836</v>
      </c>
      <c r="F295" s="394" t="s">
        <v>1837</v>
      </c>
      <c r="G295" s="422" t="s">
        <v>552</v>
      </c>
      <c r="H295" s="394" t="s">
        <v>1091</v>
      </c>
      <c r="I295" s="497">
        <v>44585.0</v>
      </c>
      <c r="J295" s="422">
        <v>1.0</v>
      </c>
      <c r="K295" s="433" t="s">
        <v>242</v>
      </c>
      <c r="L295" s="316" t="s">
        <v>256</v>
      </c>
      <c r="M295" s="316">
        <f t="shared" si="1"/>
        <v>2250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25">
        <v>1622.0</v>
      </c>
      <c r="B296" s="426" t="s">
        <v>1838</v>
      </c>
      <c r="C296" s="426">
        <v>2020.0</v>
      </c>
      <c r="D296" s="500">
        <v>43949.0</v>
      </c>
      <c r="E296" s="428" t="s">
        <v>1839</v>
      </c>
      <c r="F296" s="397" t="s">
        <v>1840</v>
      </c>
      <c r="G296" s="428" t="s">
        <v>552</v>
      </c>
      <c r="H296" s="397" t="s">
        <v>573</v>
      </c>
      <c r="I296" s="500">
        <v>44585.0</v>
      </c>
      <c r="J296" s="428">
        <v>1.0</v>
      </c>
      <c r="K296" s="433" t="s">
        <v>242</v>
      </c>
      <c r="L296" s="319" t="s">
        <v>256</v>
      </c>
      <c r="M296" s="319">
        <f t="shared" si="1"/>
        <v>636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19">
        <v>1722.0</v>
      </c>
      <c r="B297" s="420" t="s">
        <v>1841</v>
      </c>
      <c r="C297" s="420">
        <v>2015.0</v>
      </c>
      <c r="D297" s="497">
        <v>42132.0</v>
      </c>
      <c r="E297" s="422" t="s">
        <v>1842</v>
      </c>
      <c r="F297" s="394" t="s">
        <v>1843</v>
      </c>
      <c r="G297" s="422" t="s">
        <v>552</v>
      </c>
      <c r="H297" s="394" t="s">
        <v>633</v>
      </c>
      <c r="I297" s="497">
        <v>44592.0</v>
      </c>
      <c r="J297" s="422">
        <v>1.0</v>
      </c>
      <c r="K297" s="506" t="s">
        <v>230</v>
      </c>
      <c r="L297" s="316" t="s">
        <v>260</v>
      </c>
      <c r="M297" s="316">
        <f t="shared" si="1"/>
        <v>2460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25">
        <v>1822.0</v>
      </c>
      <c r="B298" s="426" t="s">
        <v>1844</v>
      </c>
      <c r="C298" s="426">
        <v>2017.0</v>
      </c>
      <c r="D298" s="500">
        <v>43053.0</v>
      </c>
      <c r="E298" s="428" t="s">
        <v>1845</v>
      </c>
      <c r="F298" s="397" t="s">
        <v>1846</v>
      </c>
      <c r="G298" s="428" t="s">
        <v>552</v>
      </c>
      <c r="H298" s="397" t="s">
        <v>775</v>
      </c>
      <c r="I298" s="500">
        <v>44592.0</v>
      </c>
      <c r="J298" s="428">
        <v>1.0</v>
      </c>
      <c r="K298" s="433" t="s">
        <v>242</v>
      </c>
      <c r="L298" s="319" t="s">
        <v>258</v>
      </c>
      <c r="M298" s="319">
        <f t="shared" si="1"/>
        <v>1539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19">
        <v>1922.0</v>
      </c>
      <c r="B299" s="420" t="s">
        <v>1847</v>
      </c>
      <c r="C299" s="420">
        <v>2020.0</v>
      </c>
      <c r="D299" s="497">
        <v>44043.0</v>
      </c>
      <c r="E299" s="422" t="s">
        <v>1848</v>
      </c>
      <c r="F299" s="503" t="s">
        <v>1849</v>
      </c>
      <c r="G299" s="422" t="s">
        <v>569</v>
      </c>
      <c r="H299" s="394" t="s">
        <v>1850</v>
      </c>
      <c r="I299" s="497">
        <v>44592.0</v>
      </c>
      <c r="J299" s="422">
        <v>1.0</v>
      </c>
      <c r="K299" s="438" t="s">
        <v>602</v>
      </c>
      <c r="L299" s="316" t="s">
        <v>260</v>
      </c>
      <c r="M299" s="316">
        <f t="shared" si="1"/>
        <v>549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25">
        <v>2022.0</v>
      </c>
      <c r="B300" s="426" t="s">
        <v>1851</v>
      </c>
      <c r="C300" s="426">
        <v>2016.0</v>
      </c>
      <c r="D300" s="500">
        <v>42703.0</v>
      </c>
      <c r="E300" s="428" t="s">
        <v>1852</v>
      </c>
      <c r="F300" s="397" t="s">
        <v>1853</v>
      </c>
      <c r="G300" s="428" t="s">
        <v>650</v>
      </c>
      <c r="H300" s="397" t="s">
        <v>18</v>
      </c>
      <c r="I300" s="500">
        <v>44592.0</v>
      </c>
      <c r="J300" s="428">
        <v>1.0</v>
      </c>
      <c r="K300" s="438" t="s">
        <v>602</v>
      </c>
      <c r="L300" s="319" t="s">
        <v>258</v>
      </c>
      <c r="M300" s="319">
        <f t="shared" si="1"/>
        <v>1889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419">
        <v>2122.0</v>
      </c>
      <c r="B301" s="420" t="s">
        <v>1854</v>
      </c>
      <c r="C301" s="420">
        <v>2021.0</v>
      </c>
      <c r="D301" s="497">
        <v>44399.0</v>
      </c>
      <c r="E301" s="422" t="s">
        <v>1855</v>
      </c>
      <c r="F301" s="394" t="s">
        <v>1856</v>
      </c>
      <c r="G301" s="422" t="s">
        <v>569</v>
      </c>
      <c r="H301" s="394" t="s">
        <v>577</v>
      </c>
      <c r="I301" s="497">
        <v>44592.0</v>
      </c>
      <c r="J301" s="422">
        <v>1.0</v>
      </c>
      <c r="K301" s="433" t="s">
        <v>242</v>
      </c>
      <c r="L301" s="316" t="s">
        <v>260</v>
      </c>
      <c r="M301" s="316">
        <f t="shared" si="1"/>
        <v>193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25">
        <v>2222.0</v>
      </c>
      <c r="B302" s="426" t="s">
        <v>1857</v>
      </c>
      <c r="C302" s="426">
        <v>2020.0</v>
      </c>
      <c r="D302" s="500">
        <v>44033.0</v>
      </c>
      <c r="E302" s="428" t="s">
        <v>1858</v>
      </c>
      <c r="F302" s="397" t="s">
        <v>1859</v>
      </c>
      <c r="G302" s="428" t="s">
        <v>569</v>
      </c>
      <c r="H302" s="397" t="s">
        <v>1850</v>
      </c>
      <c r="I302" s="500">
        <v>44592.0</v>
      </c>
      <c r="J302" s="428">
        <v>1.0</v>
      </c>
      <c r="K302" s="438" t="s">
        <v>602</v>
      </c>
      <c r="L302" s="319" t="s">
        <v>260</v>
      </c>
      <c r="M302" s="319">
        <f t="shared" si="1"/>
        <v>559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19">
        <v>2322.0</v>
      </c>
      <c r="B303" s="420" t="s">
        <v>1860</v>
      </c>
      <c r="C303" s="420">
        <v>2016.0</v>
      </c>
      <c r="D303" s="497">
        <v>42563.0</v>
      </c>
      <c r="E303" s="422" t="s">
        <v>1861</v>
      </c>
      <c r="F303" s="394" t="s">
        <v>1853</v>
      </c>
      <c r="G303" s="422" t="s">
        <v>650</v>
      </c>
      <c r="H303" s="394" t="s">
        <v>18</v>
      </c>
      <c r="I303" s="497">
        <v>44592.0</v>
      </c>
      <c r="J303" s="422">
        <v>1.0</v>
      </c>
      <c r="K303" s="438" t="s">
        <v>602</v>
      </c>
      <c r="L303" s="316" t="s">
        <v>258</v>
      </c>
      <c r="M303" s="316">
        <f t="shared" si="1"/>
        <v>2029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25">
        <v>2422.0</v>
      </c>
      <c r="B304" s="426" t="s">
        <v>1862</v>
      </c>
      <c r="C304" s="426">
        <v>2016.0</v>
      </c>
      <c r="D304" s="500">
        <v>42563.0</v>
      </c>
      <c r="E304" s="428" t="s">
        <v>1863</v>
      </c>
      <c r="F304" s="397" t="s">
        <v>1853</v>
      </c>
      <c r="G304" s="428" t="s">
        <v>650</v>
      </c>
      <c r="H304" s="397" t="s">
        <v>18</v>
      </c>
      <c r="I304" s="500">
        <v>44592.0</v>
      </c>
      <c r="J304" s="428">
        <v>1.0</v>
      </c>
      <c r="K304" s="438" t="s">
        <v>602</v>
      </c>
      <c r="L304" s="319" t="s">
        <v>258</v>
      </c>
      <c r="M304" s="319">
        <f t="shared" si="1"/>
        <v>2029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19">
        <v>2522.0</v>
      </c>
      <c r="B305" s="420" t="s">
        <v>1864</v>
      </c>
      <c r="C305" s="420">
        <v>2018.0</v>
      </c>
      <c r="D305" s="497">
        <v>43343.0</v>
      </c>
      <c r="E305" s="422" t="s">
        <v>1865</v>
      </c>
      <c r="F305" s="394" t="s">
        <v>1866</v>
      </c>
      <c r="G305" s="422" t="s">
        <v>650</v>
      </c>
      <c r="H305" s="394" t="s">
        <v>1802</v>
      </c>
      <c r="I305" s="497">
        <v>44595.0</v>
      </c>
      <c r="J305" s="422">
        <v>2.0</v>
      </c>
      <c r="K305" s="502" t="s">
        <v>232</v>
      </c>
      <c r="L305" s="316" t="s">
        <v>256</v>
      </c>
      <c r="M305" s="316">
        <f t="shared" si="1"/>
        <v>1252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25">
        <v>2622.0</v>
      </c>
      <c r="B306" s="426" t="s">
        <v>1867</v>
      </c>
      <c r="C306" s="426">
        <v>2017.0</v>
      </c>
      <c r="D306" s="500">
        <v>42788.0</v>
      </c>
      <c r="E306" s="428" t="s">
        <v>1868</v>
      </c>
      <c r="F306" s="397" t="s">
        <v>739</v>
      </c>
      <c r="G306" s="428" t="s">
        <v>552</v>
      </c>
      <c r="H306" s="397" t="s">
        <v>740</v>
      </c>
      <c r="I306" s="500">
        <v>44607.0</v>
      </c>
      <c r="J306" s="428">
        <v>2.0</v>
      </c>
      <c r="K306" s="433" t="s">
        <v>240</v>
      </c>
      <c r="L306" s="319" t="s">
        <v>260</v>
      </c>
      <c r="M306" s="319">
        <f t="shared" si="1"/>
        <v>1819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19">
        <v>2722.0</v>
      </c>
      <c r="B307" s="420" t="s">
        <v>1869</v>
      </c>
      <c r="C307" s="420">
        <v>2011.0</v>
      </c>
      <c r="D307" s="497">
        <v>40591.0</v>
      </c>
      <c r="E307" s="422" t="s">
        <v>1870</v>
      </c>
      <c r="F307" s="394" t="s">
        <v>1871</v>
      </c>
      <c r="G307" s="422" t="s">
        <v>547</v>
      </c>
      <c r="H307" s="394" t="s">
        <v>1872</v>
      </c>
      <c r="I307" s="497">
        <v>44607.0</v>
      </c>
      <c r="J307" s="422">
        <v>2.0</v>
      </c>
      <c r="K307" s="433" t="s">
        <v>240</v>
      </c>
      <c r="L307" s="316" t="s">
        <v>256</v>
      </c>
      <c r="M307" s="316">
        <f t="shared" si="1"/>
        <v>4016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25">
        <v>2822.0</v>
      </c>
      <c r="B308" s="426" t="s">
        <v>1873</v>
      </c>
      <c r="C308" s="426">
        <v>2021.0</v>
      </c>
      <c r="D308" s="500">
        <v>44396.0</v>
      </c>
      <c r="E308" s="428" t="s">
        <v>1874</v>
      </c>
      <c r="F308" s="397" t="s">
        <v>1875</v>
      </c>
      <c r="G308" s="428" t="s">
        <v>569</v>
      </c>
      <c r="H308" s="397" t="s">
        <v>1876</v>
      </c>
      <c r="I308" s="500">
        <v>44607.0</v>
      </c>
      <c r="J308" s="428">
        <v>2.0</v>
      </c>
      <c r="K308" s="433" t="s">
        <v>242</v>
      </c>
      <c r="L308" s="319" t="s">
        <v>260</v>
      </c>
      <c r="M308" s="319">
        <f t="shared" si="1"/>
        <v>211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19">
        <v>2922.0</v>
      </c>
      <c r="B309" s="420" t="s">
        <v>1877</v>
      </c>
      <c r="C309" s="420">
        <v>2021.0</v>
      </c>
      <c r="D309" s="497">
        <v>44398.0</v>
      </c>
      <c r="E309" s="422" t="s">
        <v>1878</v>
      </c>
      <c r="F309" s="394" t="s">
        <v>1879</v>
      </c>
      <c r="G309" s="422" t="s">
        <v>565</v>
      </c>
      <c r="H309" s="394" t="s">
        <v>1880</v>
      </c>
      <c r="I309" s="497">
        <v>44607.0</v>
      </c>
      <c r="J309" s="422">
        <v>2.0</v>
      </c>
      <c r="K309" s="438" t="s">
        <v>602</v>
      </c>
      <c r="L309" s="316" t="s">
        <v>260</v>
      </c>
      <c r="M309" s="316">
        <f t="shared" si="1"/>
        <v>209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25">
        <v>3022.0</v>
      </c>
      <c r="B310" s="426" t="s">
        <v>1881</v>
      </c>
      <c r="C310" s="426">
        <v>2015.0</v>
      </c>
      <c r="D310" s="500">
        <v>42118.0</v>
      </c>
      <c r="E310" s="428" t="s">
        <v>1882</v>
      </c>
      <c r="F310" s="397" t="s">
        <v>711</v>
      </c>
      <c r="G310" s="428" t="s">
        <v>552</v>
      </c>
      <c r="H310" s="397" t="s">
        <v>740</v>
      </c>
      <c r="I310" s="500">
        <v>44610.0</v>
      </c>
      <c r="J310" s="428">
        <v>2.0</v>
      </c>
      <c r="K310" s="433" t="s">
        <v>240</v>
      </c>
      <c r="L310" s="319" t="s">
        <v>256</v>
      </c>
      <c r="M310" s="319">
        <f t="shared" si="1"/>
        <v>2492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19">
        <v>3122.0</v>
      </c>
      <c r="B311" s="420" t="s">
        <v>1883</v>
      </c>
      <c r="C311" s="420">
        <v>2014.0</v>
      </c>
      <c r="D311" s="497">
        <v>41799.0</v>
      </c>
      <c r="E311" s="422" t="s">
        <v>1884</v>
      </c>
      <c r="F311" s="394" t="s">
        <v>31</v>
      </c>
      <c r="G311" s="422" t="s">
        <v>552</v>
      </c>
      <c r="H311" s="394" t="s">
        <v>18</v>
      </c>
      <c r="I311" s="497">
        <v>44610.0</v>
      </c>
      <c r="J311" s="422">
        <v>2.0</v>
      </c>
      <c r="K311" s="433" t="s">
        <v>242</v>
      </c>
      <c r="L311" s="316" t="s">
        <v>258</v>
      </c>
      <c r="M311" s="316">
        <f t="shared" si="1"/>
        <v>2811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25">
        <v>3222.0</v>
      </c>
      <c r="B312" s="426" t="s">
        <v>1885</v>
      </c>
      <c r="C312" s="426">
        <v>2015.0</v>
      </c>
      <c r="D312" s="500">
        <v>42206.0</v>
      </c>
      <c r="E312" s="428" t="s">
        <v>1886</v>
      </c>
      <c r="F312" s="397" t="s">
        <v>1887</v>
      </c>
      <c r="G312" s="428" t="s">
        <v>552</v>
      </c>
      <c r="H312" s="397" t="s">
        <v>18</v>
      </c>
      <c r="I312" s="500">
        <v>44610.0</v>
      </c>
      <c r="J312" s="428">
        <v>2.0</v>
      </c>
      <c r="K312" s="433" t="s">
        <v>240</v>
      </c>
      <c r="L312" s="319" t="s">
        <v>256</v>
      </c>
      <c r="M312" s="319">
        <f t="shared" si="1"/>
        <v>2404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19">
        <v>3322.0</v>
      </c>
      <c r="B313" s="420" t="s">
        <v>1888</v>
      </c>
      <c r="C313" s="420">
        <v>2015.0</v>
      </c>
      <c r="D313" s="497">
        <v>42247.0</v>
      </c>
      <c r="E313" s="422" t="s">
        <v>1889</v>
      </c>
      <c r="F313" s="394" t="s">
        <v>162</v>
      </c>
      <c r="G313" s="422" t="s">
        <v>552</v>
      </c>
      <c r="H313" s="394" t="s">
        <v>1178</v>
      </c>
      <c r="I313" s="497">
        <v>44610.0</v>
      </c>
      <c r="J313" s="422">
        <v>2.0</v>
      </c>
      <c r="K313" s="433" t="s">
        <v>242</v>
      </c>
      <c r="L313" s="316" t="s">
        <v>258</v>
      </c>
      <c r="M313" s="316">
        <f t="shared" si="1"/>
        <v>2363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25">
        <v>3422.0</v>
      </c>
      <c r="B314" s="426" t="s">
        <v>1890</v>
      </c>
      <c r="C314" s="426">
        <v>2017.0</v>
      </c>
      <c r="D314" s="500">
        <v>43084.0</v>
      </c>
      <c r="E314" s="428" t="s">
        <v>1891</v>
      </c>
      <c r="F314" s="397" t="s">
        <v>1892</v>
      </c>
      <c r="G314" s="428" t="s">
        <v>547</v>
      </c>
      <c r="H314" s="397" t="s">
        <v>705</v>
      </c>
      <c r="I314" s="500">
        <v>44610.0</v>
      </c>
      <c r="J314" s="428">
        <v>2.0</v>
      </c>
      <c r="K314" s="433" t="s">
        <v>240</v>
      </c>
      <c r="L314" s="319" t="s">
        <v>256</v>
      </c>
      <c r="M314" s="319">
        <f t="shared" si="1"/>
        <v>1526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19">
        <v>3522.0</v>
      </c>
      <c r="B315" s="420" t="s">
        <v>1893</v>
      </c>
      <c r="C315" s="420">
        <v>2017.0</v>
      </c>
      <c r="D315" s="497">
        <v>43053.0</v>
      </c>
      <c r="E315" s="422" t="s">
        <v>1894</v>
      </c>
      <c r="F315" s="394" t="s">
        <v>1895</v>
      </c>
      <c r="G315" s="422" t="s">
        <v>552</v>
      </c>
      <c r="H315" s="394" t="s">
        <v>1896</v>
      </c>
      <c r="I315" s="497">
        <v>44610.0</v>
      </c>
      <c r="J315" s="422">
        <v>2.0</v>
      </c>
      <c r="K315" s="433" t="s">
        <v>242</v>
      </c>
      <c r="L315" s="316" t="s">
        <v>256</v>
      </c>
      <c r="M315" s="316">
        <f t="shared" si="1"/>
        <v>1557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25">
        <v>3622.0</v>
      </c>
      <c r="B316" s="426" t="s">
        <v>1897</v>
      </c>
      <c r="C316" s="426">
        <v>2017.0</v>
      </c>
      <c r="D316" s="500">
        <v>42942.0</v>
      </c>
      <c r="E316" s="428" t="s">
        <v>1898</v>
      </c>
      <c r="F316" s="397" t="s">
        <v>1899</v>
      </c>
      <c r="G316" s="428" t="s">
        <v>547</v>
      </c>
      <c r="H316" s="397" t="s">
        <v>158</v>
      </c>
      <c r="I316" s="500">
        <v>44610.0</v>
      </c>
      <c r="J316" s="428">
        <v>2.0</v>
      </c>
      <c r="K316" s="438" t="s">
        <v>602</v>
      </c>
      <c r="L316" s="319" t="s">
        <v>258</v>
      </c>
      <c r="M316" s="319">
        <f t="shared" si="1"/>
        <v>1668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419">
        <v>3722.0</v>
      </c>
      <c r="B317" s="420" t="s">
        <v>1900</v>
      </c>
      <c r="C317" s="420">
        <v>2015.0</v>
      </c>
      <c r="D317" s="497">
        <v>42145.0</v>
      </c>
      <c r="E317" s="422" t="s">
        <v>1901</v>
      </c>
      <c r="F317" s="394" t="s">
        <v>1902</v>
      </c>
      <c r="G317" s="422" t="s">
        <v>552</v>
      </c>
      <c r="H317" s="394" t="s">
        <v>1903</v>
      </c>
      <c r="I317" s="497">
        <v>44610.0</v>
      </c>
      <c r="J317" s="422">
        <v>2.0</v>
      </c>
      <c r="K317" s="433" t="s">
        <v>240</v>
      </c>
      <c r="L317" s="316" t="s">
        <v>258</v>
      </c>
      <c r="M317" s="316">
        <f t="shared" si="1"/>
        <v>2465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25">
        <v>3822.0</v>
      </c>
      <c r="B318" s="426" t="s">
        <v>1904</v>
      </c>
      <c r="C318" s="426">
        <v>2010.0</v>
      </c>
      <c r="D318" s="500">
        <v>40409.0</v>
      </c>
      <c r="E318" s="428" t="s">
        <v>1905</v>
      </c>
      <c r="F318" s="397" t="s">
        <v>1906</v>
      </c>
      <c r="G318" s="428" t="s">
        <v>552</v>
      </c>
      <c r="H318" s="397" t="s">
        <v>1907</v>
      </c>
      <c r="I318" s="500">
        <v>44610.0</v>
      </c>
      <c r="J318" s="428">
        <v>2.0</v>
      </c>
      <c r="K318" s="507" t="s">
        <v>238</v>
      </c>
      <c r="L318" s="319" t="s">
        <v>840</v>
      </c>
      <c r="M318" s="319">
        <f t="shared" si="1"/>
        <v>4201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19">
        <v>3922.0</v>
      </c>
      <c r="B319" s="420" t="s">
        <v>1908</v>
      </c>
      <c r="C319" s="420">
        <v>2016.0</v>
      </c>
      <c r="D319" s="497">
        <v>42732.0</v>
      </c>
      <c r="E319" s="422" t="s">
        <v>1909</v>
      </c>
      <c r="F319" s="394" t="s">
        <v>1910</v>
      </c>
      <c r="G319" s="422" t="s">
        <v>547</v>
      </c>
      <c r="H319" s="394" t="s">
        <v>1872</v>
      </c>
      <c r="I319" s="497">
        <v>44610.0</v>
      </c>
      <c r="J319" s="422">
        <v>2.0</v>
      </c>
      <c r="K319" s="433" t="s">
        <v>242</v>
      </c>
      <c r="L319" s="316" t="s">
        <v>256</v>
      </c>
      <c r="M319" s="316">
        <f t="shared" si="1"/>
        <v>1878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25">
        <v>4022.0</v>
      </c>
      <c r="B320" s="426" t="s">
        <v>1911</v>
      </c>
      <c r="C320" s="426">
        <v>2009.0</v>
      </c>
      <c r="D320" s="500">
        <v>40175.0</v>
      </c>
      <c r="E320" s="428" t="s">
        <v>1912</v>
      </c>
      <c r="F320" s="397" t="s">
        <v>1913</v>
      </c>
      <c r="G320" s="428" t="s">
        <v>547</v>
      </c>
      <c r="H320" s="397" t="s">
        <v>1872</v>
      </c>
      <c r="I320" s="500">
        <v>44610.0</v>
      </c>
      <c r="J320" s="428">
        <v>2.0</v>
      </c>
      <c r="K320" s="433" t="s">
        <v>240</v>
      </c>
      <c r="L320" s="319" t="s">
        <v>256</v>
      </c>
      <c r="M320" s="319">
        <f t="shared" si="1"/>
        <v>4435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19">
        <v>4122.0</v>
      </c>
      <c r="B321" s="420" t="s">
        <v>1914</v>
      </c>
      <c r="C321" s="420">
        <v>2017.0</v>
      </c>
      <c r="D321" s="497">
        <v>42852.0</v>
      </c>
      <c r="E321" s="422" t="s">
        <v>1915</v>
      </c>
      <c r="F321" s="394" t="s">
        <v>1910</v>
      </c>
      <c r="G321" s="422" t="s">
        <v>547</v>
      </c>
      <c r="H321" s="394" t="s">
        <v>1872</v>
      </c>
      <c r="I321" s="497">
        <v>44613.0</v>
      </c>
      <c r="J321" s="422">
        <v>2.0</v>
      </c>
      <c r="K321" s="433" t="s">
        <v>242</v>
      </c>
      <c r="L321" s="316" t="s">
        <v>256</v>
      </c>
      <c r="M321" s="316">
        <f t="shared" si="1"/>
        <v>1761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425">
        <v>4222.0</v>
      </c>
      <c r="B322" s="426" t="s">
        <v>1916</v>
      </c>
      <c r="C322" s="426">
        <v>2017.0</v>
      </c>
      <c r="D322" s="500">
        <v>42852.0</v>
      </c>
      <c r="E322" s="428" t="s">
        <v>1917</v>
      </c>
      <c r="F322" s="397" t="s">
        <v>1910</v>
      </c>
      <c r="G322" s="428" t="s">
        <v>547</v>
      </c>
      <c r="H322" s="397" t="s">
        <v>1872</v>
      </c>
      <c r="I322" s="500">
        <v>44613.0</v>
      </c>
      <c r="J322" s="428">
        <v>2.0</v>
      </c>
      <c r="K322" s="433" t="s">
        <v>242</v>
      </c>
      <c r="L322" s="319" t="s">
        <v>256</v>
      </c>
      <c r="M322" s="319">
        <f t="shared" si="1"/>
        <v>1761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19">
        <v>4322.0</v>
      </c>
      <c r="B323" s="420" t="s">
        <v>1918</v>
      </c>
      <c r="C323" s="420">
        <v>2016.0</v>
      </c>
      <c r="D323" s="497">
        <v>42730.0</v>
      </c>
      <c r="E323" s="422" t="s">
        <v>1919</v>
      </c>
      <c r="F323" s="394" t="s">
        <v>1920</v>
      </c>
      <c r="G323" s="422" t="s">
        <v>650</v>
      </c>
      <c r="H323" s="394" t="s">
        <v>651</v>
      </c>
      <c r="I323" s="497">
        <v>44613.0</v>
      </c>
      <c r="J323" s="422">
        <v>2.0</v>
      </c>
      <c r="K323" s="502" t="s">
        <v>232</v>
      </c>
      <c r="L323" s="316" t="s">
        <v>256</v>
      </c>
      <c r="M323" s="316">
        <f t="shared" si="1"/>
        <v>1883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25">
        <v>4422.0</v>
      </c>
      <c r="B324" s="426" t="s">
        <v>1921</v>
      </c>
      <c r="C324" s="426">
        <v>2018.0</v>
      </c>
      <c r="D324" s="500">
        <v>43434.0</v>
      </c>
      <c r="E324" s="428" t="s">
        <v>1922</v>
      </c>
      <c r="F324" s="397" t="s">
        <v>1923</v>
      </c>
      <c r="G324" s="428" t="s">
        <v>552</v>
      </c>
      <c r="H324" s="397" t="s">
        <v>573</v>
      </c>
      <c r="I324" s="500">
        <v>44613.0</v>
      </c>
      <c r="J324" s="428">
        <v>2.0</v>
      </c>
      <c r="K324" s="433" t="s">
        <v>240</v>
      </c>
      <c r="L324" s="319" t="s">
        <v>256</v>
      </c>
      <c r="M324" s="319">
        <f t="shared" si="1"/>
        <v>1179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19">
        <v>4522.0</v>
      </c>
      <c r="B325" s="420" t="s">
        <v>1924</v>
      </c>
      <c r="C325" s="420">
        <v>2012.0</v>
      </c>
      <c r="D325" s="497">
        <v>43266.0</v>
      </c>
      <c r="E325" s="422" t="s">
        <v>1925</v>
      </c>
      <c r="F325" s="394" t="s">
        <v>1926</v>
      </c>
      <c r="G325" s="422" t="s">
        <v>552</v>
      </c>
      <c r="H325" s="394" t="s">
        <v>573</v>
      </c>
      <c r="I325" s="497">
        <v>44613.0</v>
      </c>
      <c r="J325" s="422">
        <v>2.0</v>
      </c>
      <c r="K325" s="433" t="s">
        <v>240</v>
      </c>
      <c r="L325" s="316" t="s">
        <v>256</v>
      </c>
      <c r="M325" s="316">
        <f t="shared" si="1"/>
        <v>1347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25">
        <v>4622.0</v>
      </c>
      <c r="B326" s="426" t="s">
        <v>1927</v>
      </c>
      <c r="C326" s="426">
        <v>2013.0</v>
      </c>
      <c r="D326" s="500">
        <v>43188.0</v>
      </c>
      <c r="E326" s="428" t="s">
        <v>1928</v>
      </c>
      <c r="F326" s="397" t="s">
        <v>148</v>
      </c>
      <c r="G326" s="428" t="s">
        <v>552</v>
      </c>
      <c r="H326" s="397" t="s">
        <v>573</v>
      </c>
      <c r="I326" s="500">
        <v>44613.0</v>
      </c>
      <c r="J326" s="428">
        <v>2.0</v>
      </c>
      <c r="K326" s="433" t="s">
        <v>242</v>
      </c>
      <c r="L326" s="319" t="s">
        <v>256</v>
      </c>
      <c r="M326" s="319">
        <f t="shared" si="1"/>
        <v>1425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19">
        <v>4722.0</v>
      </c>
      <c r="B327" s="420" t="s">
        <v>1929</v>
      </c>
      <c r="C327" s="420">
        <v>2015.0</v>
      </c>
      <c r="D327" s="497">
        <v>42241.0</v>
      </c>
      <c r="E327" s="422" t="s">
        <v>1930</v>
      </c>
      <c r="F327" s="394" t="s">
        <v>134</v>
      </c>
      <c r="G327" s="422" t="s">
        <v>552</v>
      </c>
      <c r="H327" s="394" t="s">
        <v>45</v>
      </c>
      <c r="I327" s="497">
        <v>44613.0</v>
      </c>
      <c r="J327" s="422">
        <v>2.0</v>
      </c>
      <c r="K327" s="433" t="s">
        <v>242</v>
      </c>
      <c r="L327" s="316" t="s">
        <v>256</v>
      </c>
      <c r="M327" s="316">
        <f t="shared" si="1"/>
        <v>2372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25">
        <v>4822.0</v>
      </c>
      <c r="B328" s="426" t="s">
        <v>1931</v>
      </c>
      <c r="C328" s="426">
        <v>2018.0</v>
      </c>
      <c r="D328" s="500">
        <v>43122.0</v>
      </c>
      <c r="E328" s="428" t="s">
        <v>1932</v>
      </c>
      <c r="F328" s="397" t="s">
        <v>1933</v>
      </c>
      <c r="G328" s="428" t="s">
        <v>552</v>
      </c>
      <c r="H328" s="397" t="s">
        <v>740</v>
      </c>
      <c r="I328" s="500">
        <v>44613.0</v>
      </c>
      <c r="J328" s="428">
        <v>2.0</v>
      </c>
      <c r="K328" s="433" t="s">
        <v>240</v>
      </c>
      <c r="L328" s="319" t="s">
        <v>256</v>
      </c>
      <c r="M328" s="319">
        <f t="shared" si="1"/>
        <v>1491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19">
        <v>4922.0</v>
      </c>
      <c r="B329" s="420" t="s">
        <v>1934</v>
      </c>
      <c r="C329" s="420">
        <v>2021.0</v>
      </c>
      <c r="D329" s="497">
        <v>44375.0</v>
      </c>
      <c r="E329" s="422" t="s">
        <v>1935</v>
      </c>
      <c r="F329" s="394" t="s">
        <v>1936</v>
      </c>
      <c r="G329" s="422" t="s">
        <v>569</v>
      </c>
      <c r="H329" s="394" t="s">
        <v>1937</v>
      </c>
      <c r="I329" s="497">
        <v>44613.0</v>
      </c>
      <c r="J329" s="422">
        <v>2.0</v>
      </c>
      <c r="K329" s="433" t="s">
        <v>242</v>
      </c>
      <c r="L329" s="316" t="s">
        <v>260</v>
      </c>
      <c r="M329" s="316">
        <f t="shared" si="1"/>
        <v>238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25">
        <v>5022.0</v>
      </c>
      <c r="B330" s="426" t="s">
        <v>1938</v>
      </c>
      <c r="C330" s="426">
        <v>2021.0</v>
      </c>
      <c r="D330" s="500">
        <v>44427.0</v>
      </c>
      <c r="E330" s="428" t="s">
        <v>1939</v>
      </c>
      <c r="F330" s="397" t="s">
        <v>1940</v>
      </c>
      <c r="G330" s="428" t="s">
        <v>569</v>
      </c>
      <c r="H330" s="397" t="s">
        <v>1941</v>
      </c>
      <c r="I330" s="500">
        <v>44613.0</v>
      </c>
      <c r="J330" s="428">
        <v>2.0</v>
      </c>
      <c r="K330" s="433" t="s">
        <v>242</v>
      </c>
      <c r="L330" s="319" t="s">
        <v>260</v>
      </c>
      <c r="M330" s="319">
        <f t="shared" si="1"/>
        <v>186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19">
        <v>5122.0</v>
      </c>
      <c r="B331" s="420" t="s">
        <v>1942</v>
      </c>
      <c r="C331" s="420">
        <v>2021.0</v>
      </c>
      <c r="D331" s="497">
        <v>44399.0</v>
      </c>
      <c r="E331" s="422" t="s">
        <v>1943</v>
      </c>
      <c r="F331" s="394" t="s">
        <v>1944</v>
      </c>
      <c r="G331" s="422" t="s">
        <v>569</v>
      </c>
      <c r="H331" s="394" t="s">
        <v>577</v>
      </c>
      <c r="I331" s="497">
        <v>44613.0</v>
      </c>
      <c r="J331" s="422">
        <v>2.0</v>
      </c>
      <c r="K331" s="433" t="s">
        <v>242</v>
      </c>
      <c r="L331" s="316" t="s">
        <v>260</v>
      </c>
      <c r="M331" s="316">
        <f t="shared" si="1"/>
        <v>214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25">
        <v>5222.0</v>
      </c>
      <c r="B332" s="426" t="s">
        <v>1945</v>
      </c>
      <c r="C332" s="426">
        <v>2020.0</v>
      </c>
      <c r="D332" s="500">
        <v>44004.0</v>
      </c>
      <c r="E332" s="428" t="s">
        <v>1946</v>
      </c>
      <c r="F332" s="397" t="s">
        <v>582</v>
      </c>
      <c r="G332" s="428" t="s">
        <v>650</v>
      </c>
      <c r="H332" s="397" t="s">
        <v>1947</v>
      </c>
      <c r="I332" s="500">
        <v>44631.0</v>
      </c>
      <c r="J332" s="428">
        <v>3.0</v>
      </c>
      <c r="K332" s="433" t="s">
        <v>242</v>
      </c>
      <c r="L332" s="319" t="s">
        <v>258</v>
      </c>
      <c r="M332" s="319">
        <f t="shared" si="1"/>
        <v>627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19">
        <v>5322.0</v>
      </c>
      <c r="B333" s="420" t="s">
        <v>1948</v>
      </c>
      <c r="C333" s="420">
        <v>2021.0</v>
      </c>
      <c r="D333" s="497">
        <v>44429.0</v>
      </c>
      <c r="E333" s="422" t="s">
        <v>1949</v>
      </c>
      <c r="F333" s="394" t="s">
        <v>1950</v>
      </c>
      <c r="G333" s="422" t="s">
        <v>565</v>
      </c>
      <c r="H333" s="394" t="s">
        <v>1951</v>
      </c>
      <c r="I333" s="497">
        <v>44631.0</v>
      </c>
      <c r="J333" s="422">
        <v>3.0</v>
      </c>
      <c r="K333" s="438" t="s">
        <v>602</v>
      </c>
      <c r="L333" s="316" t="s">
        <v>260</v>
      </c>
      <c r="M333" s="316">
        <f t="shared" si="1"/>
        <v>202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25">
        <v>5422.0</v>
      </c>
      <c r="B334" s="426" t="s">
        <v>1952</v>
      </c>
      <c r="C334" s="426">
        <v>2012.0</v>
      </c>
      <c r="D334" s="500">
        <v>41227.0</v>
      </c>
      <c r="E334" s="428" t="s">
        <v>1953</v>
      </c>
      <c r="F334" s="397" t="s">
        <v>1954</v>
      </c>
      <c r="G334" s="428" t="s">
        <v>552</v>
      </c>
      <c r="H334" s="397" t="s">
        <v>56</v>
      </c>
      <c r="I334" s="500">
        <v>44631.0</v>
      </c>
      <c r="J334" s="428">
        <v>3.0</v>
      </c>
      <c r="K334" s="433" t="s">
        <v>242</v>
      </c>
      <c r="L334" s="319" t="s">
        <v>258</v>
      </c>
      <c r="M334" s="319">
        <f t="shared" si="1"/>
        <v>3404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19">
        <v>5522.0</v>
      </c>
      <c r="B335" s="420" t="s">
        <v>1955</v>
      </c>
      <c r="C335" s="420">
        <v>2015.0</v>
      </c>
      <c r="D335" s="497">
        <v>42324.0</v>
      </c>
      <c r="E335" s="422" t="s">
        <v>1956</v>
      </c>
      <c r="F335" s="394" t="s">
        <v>1957</v>
      </c>
      <c r="G335" s="422" t="s">
        <v>552</v>
      </c>
      <c r="H335" s="394" t="s">
        <v>50</v>
      </c>
      <c r="I335" s="497">
        <v>44631.0</v>
      </c>
      <c r="J335" s="422">
        <v>3.0</v>
      </c>
      <c r="K335" s="433" t="s">
        <v>242</v>
      </c>
      <c r="L335" s="316" t="s">
        <v>258</v>
      </c>
      <c r="M335" s="316">
        <f t="shared" si="1"/>
        <v>2307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25">
        <v>5622.0</v>
      </c>
      <c r="B336" s="426" t="s">
        <v>1958</v>
      </c>
      <c r="C336" s="426">
        <v>2017.0</v>
      </c>
      <c r="D336" s="500">
        <v>42907.0</v>
      </c>
      <c r="E336" s="428" t="s">
        <v>1959</v>
      </c>
      <c r="F336" s="397" t="s">
        <v>1960</v>
      </c>
      <c r="G336" s="428" t="s">
        <v>552</v>
      </c>
      <c r="H336" s="397" t="s">
        <v>56</v>
      </c>
      <c r="I336" s="500">
        <v>44631.0</v>
      </c>
      <c r="J336" s="428">
        <v>3.0</v>
      </c>
      <c r="K336" s="438" t="s">
        <v>602</v>
      </c>
      <c r="L336" s="319" t="s">
        <v>258</v>
      </c>
      <c r="M336" s="319">
        <f t="shared" si="1"/>
        <v>1724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19">
        <v>5722.0</v>
      </c>
      <c r="B337" s="420" t="s">
        <v>1961</v>
      </c>
      <c r="C337" s="420">
        <v>2018.0</v>
      </c>
      <c r="D337" s="497">
        <v>43298.0</v>
      </c>
      <c r="E337" s="422" t="s">
        <v>1962</v>
      </c>
      <c r="F337" s="394" t="s">
        <v>1963</v>
      </c>
      <c r="G337" s="422" t="s">
        <v>552</v>
      </c>
      <c r="H337" s="394" t="s">
        <v>1091</v>
      </c>
      <c r="I337" s="497">
        <v>44631.0</v>
      </c>
      <c r="J337" s="422">
        <v>3.0</v>
      </c>
      <c r="K337" s="508" t="s">
        <v>228</v>
      </c>
      <c r="L337" s="316" t="s">
        <v>258</v>
      </c>
      <c r="M337" s="316">
        <f t="shared" si="1"/>
        <v>1333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25">
        <v>5822.0</v>
      </c>
      <c r="B338" s="426" t="s">
        <v>1964</v>
      </c>
      <c r="C338" s="426">
        <v>2012.0</v>
      </c>
      <c r="D338" s="500">
        <v>41053.0</v>
      </c>
      <c r="E338" s="428" t="s">
        <v>1965</v>
      </c>
      <c r="F338" s="397" t="s">
        <v>900</v>
      </c>
      <c r="G338" s="428" t="s">
        <v>552</v>
      </c>
      <c r="H338" s="397" t="s">
        <v>56</v>
      </c>
      <c r="I338" s="500">
        <v>44631.0</v>
      </c>
      <c r="J338" s="428">
        <v>3.0</v>
      </c>
      <c r="K338" s="433" t="s">
        <v>242</v>
      </c>
      <c r="L338" s="319" t="s">
        <v>258</v>
      </c>
      <c r="M338" s="319">
        <f t="shared" si="1"/>
        <v>3578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19">
        <v>5922.0</v>
      </c>
      <c r="B339" s="420" t="s">
        <v>1966</v>
      </c>
      <c r="C339" s="420">
        <v>2019.0</v>
      </c>
      <c r="D339" s="497">
        <v>43543.0</v>
      </c>
      <c r="E339" s="422" t="s">
        <v>1967</v>
      </c>
      <c r="F339" s="394" t="s">
        <v>1968</v>
      </c>
      <c r="G339" s="422" t="s">
        <v>552</v>
      </c>
      <c r="H339" s="394" t="s">
        <v>130</v>
      </c>
      <c r="I339" s="497">
        <v>44648.0</v>
      </c>
      <c r="J339" s="422">
        <v>3.0</v>
      </c>
      <c r="K339" s="433" t="s">
        <v>240</v>
      </c>
      <c r="L339" s="316" t="s">
        <v>256</v>
      </c>
      <c r="M339" s="316">
        <f t="shared" si="1"/>
        <v>1105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425">
        <v>6022.0</v>
      </c>
      <c r="B340" s="426" t="s">
        <v>1969</v>
      </c>
      <c r="C340" s="426">
        <v>2015.0</v>
      </c>
      <c r="D340" s="500">
        <v>42072.0</v>
      </c>
      <c r="E340" s="428" t="s">
        <v>1970</v>
      </c>
      <c r="F340" s="397" t="s">
        <v>186</v>
      </c>
      <c r="G340" s="428" t="s">
        <v>552</v>
      </c>
      <c r="H340" s="397" t="s">
        <v>130</v>
      </c>
      <c r="I340" s="500">
        <v>44648.0</v>
      </c>
      <c r="J340" s="428">
        <v>3.0</v>
      </c>
      <c r="K340" s="433" t="s">
        <v>242</v>
      </c>
      <c r="L340" s="319" t="s">
        <v>258</v>
      </c>
      <c r="M340" s="319">
        <f t="shared" si="1"/>
        <v>2576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19">
        <v>6122.0</v>
      </c>
      <c r="B341" s="420" t="s">
        <v>1971</v>
      </c>
      <c r="C341" s="420">
        <v>2014.0</v>
      </c>
      <c r="D341" s="497">
        <v>41718.0</v>
      </c>
      <c r="E341" s="422" t="s">
        <v>1972</v>
      </c>
      <c r="F341" s="394" t="s">
        <v>1973</v>
      </c>
      <c r="G341" s="422" t="s">
        <v>552</v>
      </c>
      <c r="H341" s="394" t="s">
        <v>740</v>
      </c>
      <c r="I341" s="497">
        <v>44648.0</v>
      </c>
      <c r="J341" s="422">
        <v>3.0</v>
      </c>
      <c r="K341" s="433" t="s">
        <v>240</v>
      </c>
      <c r="L341" s="316" t="s">
        <v>256</v>
      </c>
      <c r="M341" s="316">
        <f t="shared" si="1"/>
        <v>2930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25">
        <v>6222.0</v>
      </c>
      <c r="B342" s="426" t="s">
        <v>1974</v>
      </c>
      <c r="C342" s="426">
        <v>2017.0</v>
      </c>
      <c r="D342" s="500">
        <v>43059.0</v>
      </c>
      <c r="E342" s="428" t="s">
        <v>1975</v>
      </c>
      <c r="F342" s="397" t="s">
        <v>178</v>
      </c>
      <c r="G342" s="428" t="s">
        <v>552</v>
      </c>
      <c r="H342" s="397" t="s">
        <v>50</v>
      </c>
      <c r="I342" s="500">
        <v>44648.0</v>
      </c>
      <c r="J342" s="428">
        <v>3.0</v>
      </c>
      <c r="K342" s="433" t="s">
        <v>240</v>
      </c>
      <c r="L342" s="319" t="s">
        <v>258</v>
      </c>
      <c r="M342" s="319">
        <f t="shared" si="1"/>
        <v>1589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19">
        <v>6322.0</v>
      </c>
      <c r="B343" s="420" t="s">
        <v>1976</v>
      </c>
      <c r="C343" s="420">
        <v>2017.0</v>
      </c>
      <c r="D343" s="497">
        <v>43021.0</v>
      </c>
      <c r="E343" s="422" t="s">
        <v>1977</v>
      </c>
      <c r="F343" s="394" t="s">
        <v>1978</v>
      </c>
      <c r="G343" s="422" t="s">
        <v>552</v>
      </c>
      <c r="H343" s="394" t="s">
        <v>1979</v>
      </c>
      <c r="I343" s="497">
        <v>44648.0</v>
      </c>
      <c r="J343" s="422">
        <v>3.0</v>
      </c>
      <c r="K343" s="433" t="s">
        <v>242</v>
      </c>
      <c r="L343" s="316" t="s">
        <v>256</v>
      </c>
      <c r="M343" s="316">
        <f t="shared" si="1"/>
        <v>1627</v>
      </c>
      <c r="N343" s="25"/>
      <c r="O343" s="133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25">
        <v>6422.0</v>
      </c>
      <c r="B344" s="426" t="s">
        <v>1980</v>
      </c>
      <c r="C344" s="426">
        <v>2021.0</v>
      </c>
      <c r="D344" s="500">
        <v>44433.0</v>
      </c>
      <c r="E344" s="428" t="s">
        <v>1981</v>
      </c>
      <c r="F344" s="397" t="s">
        <v>1879</v>
      </c>
      <c r="G344" s="428" t="s">
        <v>569</v>
      </c>
      <c r="H344" s="397" t="s">
        <v>1982</v>
      </c>
      <c r="I344" s="500">
        <v>44648.0</v>
      </c>
      <c r="J344" s="428">
        <v>3.0</v>
      </c>
      <c r="K344" s="438" t="s">
        <v>602</v>
      </c>
      <c r="L344" s="319" t="s">
        <v>260</v>
      </c>
      <c r="M344" s="319">
        <f t="shared" si="1"/>
        <v>215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19">
        <v>6522.0</v>
      </c>
      <c r="B345" s="420" t="s">
        <v>1983</v>
      </c>
      <c r="C345" s="420">
        <v>2016.0</v>
      </c>
      <c r="D345" s="497">
        <v>42430.0</v>
      </c>
      <c r="E345" s="422" t="s">
        <v>1984</v>
      </c>
      <c r="F345" s="394" t="s">
        <v>1985</v>
      </c>
      <c r="G345" s="422" t="s">
        <v>650</v>
      </c>
      <c r="H345" s="394" t="s">
        <v>651</v>
      </c>
      <c r="I345" s="497">
        <v>44648.0</v>
      </c>
      <c r="J345" s="422">
        <v>3.0</v>
      </c>
      <c r="K345" s="438" t="s">
        <v>602</v>
      </c>
      <c r="L345" s="316" t="s">
        <v>258</v>
      </c>
      <c r="M345" s="316">
        <f t="shared" si="1"/>
        <v>2218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25">
        <v>6622.0</v>
      </c>
      <c r="B346" s="426" t="s">
        <v>1986</v>
      </c>
      <c r="C346" s="426">
        <v>2018.0</v>
      </c>
      <c r="D346" s="500">
        <v>43131.0</v>
      </c>
      <c r="E346" s="428" t="s">
        <v>1987</v>
      </c>
      <c r="F346" s="397" t="s">
        <v>1988</v>
      </c>
      <c r="G346" s="428" t="s">
        <v>547</v>
      </c>
      <c r="H346" s="397" t="s">
        <v>18</v>
      </c>
      <c r="I346" s="500">
        <v>44648.0</v>
      </c>
      <c r="J346" s="428">
        <v>3.0</v>
      </c>
      <c r="K346" s="433" t="s">
        <v>242</v>
      </c>
      <c r="L346" s="319" t="s">
        <v>256</v>
      </c>
      <c r="M346" s="319">
        <f t="shared" si="1"/>
        <v>1517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19">
        <v>6722.0</v>
      </c>
      <c r="B347" s="420" t="s">
        <v>1989</v>
      </c>
      <c r="C347" s="420">
        <v>2021.0</v>
      </c>
      <c r="D347" s="497">
        <v>44439.0</v>
      </c>
      <c r="E347" s="422" t="s">
        <v>1990</v>
      </c>
      <c r="F347" s="394" t="s">
        <v>1950</v>
      </c>
      <c r="G347" s="422" t="s">
        <v>565</v>
      </c>
      <c r="H347" s="394" t="s">
        <v>1951</v>
      </c>
      <c r="I347" s="497">
        <v>44648.0</v>
      </c>
      <c r="J347" s="422">
        <v>3.0</v>
      </c>
      <c r="K347" s="438" t="s">
        <v>602</v>
      </c>
      <c r="L347" s="316" t="s">
        <v>260</v>
      </c>
      <c r="M347" s="316">
        <f t="shared" si="1"/>
        <v>209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25">
        <v>6822.0</v>
      </c>
      <c r="B348" s="426" t="s">
        <v>1991</v>
      </c>
      <c r="C348" s="426">
        <v>2015.0</v>
      </c>
      <c r="D348" s="500">
        <v>42255.0</v>
      </c>
      <c r="E348" s="428" t="s">
        <v>1992</v>
      </c>
      <c r="F348" s="397" t="s">
        <v>65</v>
      </c>
      <c r="G348" s="428" t="s">
        <v>552</v>
      </c>
      <c r="H348" s="397" t="s">
        <v>125</v>
      </c>
      <c r="I348" s="500">
        <v>44648.0</v>
      </c>
      <c r="J348" s="428">
        <v>3.0</v>
      </c>
      <c r="K348" s="433" t="s">
        <v>240</v>
      </c>
      <c r="L348" s="319" t="s">
        <v>256</v>
      </c>
      <c r="M348" s="319">
        <f t="shared" si="1"/>
        <v>2393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419">
        <v>6922.0</v>
      </c>
      <c r="B349" s="420" t="s">
        <v>1993</v>
      </c>
      <c r="C349" s="420">
        <v>2019.0</v>
      </c>
      <c r="D349" s="497">
        <v>43584.0</v>
      </c>
      <c r="E349" s="422" t="s">
        <v>1994</v>
      </c>
      <c r="F349" s="394" t="s">
        <v>874</v>
      </c>
      <c r="G349" s="422" t="s">
        <v>552</v>
      </c>
      <c r="H349" s="394" t="s">
        <v>130</v>
      </c>
      <c r="I349" s="497">
        <v>44648.0</v>
      </c>
      <c r="J349" s="422">
        <v>3.0</v>
      </c>
      <c r="K349" s="509" t="s">
        <v>236</v>
      </c>
      <c r="L349" s="316" t="s">
        <v>256</v>
      </c>
      <c r="M349" s="316">
        <f t="shared" si="1"/>
        <v>1064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25">
        <v>7022.0</v>
      </c>
      <c r="B350" s="426" t="s">
        <v>1995</v>
      </c>
      <c r="C350" s="426">
        <v>2010.0</v>
      </c>
      <c r="D350" s="500">
        <v>40323.0</v>
      </c>
      <c r="E350" s="428" t="s">
        <v>1996</v>
      </c>
      <c r="F350" s="397" t="s">
        <v>1997</v>
      </c>
      <c r="G350" s="428" t="s">
        <v>547</v>
      </c>
      <c r="H350" s="397" t="s">
        <v>1802</v>
      </c>
      <c r="I350" s="500">
        <v>44649.0</v>
      </c>
      <c r="J350" s="428">
        <v>3.0</v>
      </c>
      <c r="K350" s="433" t="s">
        <v>242</v>
      </c>
      <c r="L350" s="319" t="s">
        <v>260</v>
      </c>
      <c r="M350" s="319">
        <f t="shared" si="1"/>
        <v>4326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19">
        <v>7122.0</v>
      </c>
      <c r="B351" s="420" t="s">
        <v>1998</v>
      </c>
      <c r="C351" s="420">
        <v>2016.0</v>
      </c>
      <c r="D351" s="497">
        <v>42649.0</v>
      </c>
      <c r="E351" s="422" t="s">
        <v>1999</v>
      </c>
      <c r="F351" s="394" t="s">
        <v>2000</v>
      </c>
      <c r="G351" s="422" t="s">
        <v>552</v>
      </c>
      <c r="H351" s="394" t="s">
        <v>583</v>
      </c>
      <c r="I351" s="497">
        <v>44652.0</v>
      </c>
      <c r="J351" s="422">
        <v>4.0</v>
      </c>
      <c r="K351" s="433" t="s">
        <v>242</v>
      </c>
      <c r="L351" s="316" t="s">
        <v>258</v>
      </c>
      <c r="M351" s="316">
        <f t="shared" si="1"/>
        <v>2003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25">
        <v>7222.0</v>
      </c>
      <c r="B352" s="426" t="s">
        <v>2001</v>
      </c>
      <c r="C352" s="426">
        <v>2015.0</v>
      </c>
      <c r="D352" s="500">
        <v>42153.0</v>
      </c>
      <c r="E352" s="428" t="s">
        <v>2002</v>
      </c>
      <c r="F352" s="397" t="s">
        <v>563</v>
      </c>
      <c r="G352" s="428" t="s">
        <v>552</v>
      </c>
      <c r="H352" s="397" t="s">
        <v>97</v>
      </c>
      <c r="I352" s="500">
        <v>44652.0</v>
      </c>
      <c r="J352" s="428">
        <v>4.0</v>
      </c>
      <c r="K352" s="433" t="s">
        <v>240</v>
      </c>
      <c r="L352" s="319" t="s">
        <v>256</v>
      </c>
      <c r="M352" s="319">
        <f t="shared" si="1"/>
        <v>2499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19">
        <v>7322.0</v>
      </c>
      <c r="B353" s="420" t="s">
        <v>2003</v>
      </c>
      <c r="C353" s="420">
        <v>2015.0</v>
      </c>
      <c r="D353" s="497">
        <v>42241.0</v>
      </c>
      <c r="E353" s="422" t="s">
        <v>2004</v>
      </c>
      <c r="F353" s="394" t="s">
        <v>711</v>
      </c>
      <c r="G353" s="422" t="s">
        <v>552</v>
      </c>
      <c r="H353" s="394" t="s">
        <v>125</v>
      </c>
      <c r="I353" s="497">
        <v>44652.0</v>
      </c>
      <c r="J353" s="422">
        <v>4.0</v>
      </c>
      <c r="K353" s="433" t="s">
        <v>240</v>
      </c>
      <c r="L353" s="316" t="s">
        <v>256</v>
      </c>
      <c r="M353" s="316">
        <f t="shared" si="1"/>
        <v>2411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25">
        <v>7422.0</v>
      </c>
      <c r="B354" s="426" t="s">
        <v>2005</v>
      </c>
      <c r="C354" s="426">
        <v>2009.0</v>
      </c>
      <c r="D354" s="500">
        <v>39860.0</v>
      </c>
      <c r="E354" s="428" t="s">
        <v>2006</v>
      </c>
      <c r="F354" s="397" t="s">
        <v>666</v>
      </c>
      <c r="G354" s="428" t="s">
        <v>552</v>
      </c>
      <c r="H354" s="397" t="s">
        <v>1979</v>
      </c>
      <c r="I354" s="500">
        <v>44652.0</v>
      </c>
      <c r="J354" s="428">
        <v>4.0</v>
      </c>
      <c r="K354" s="507" t="s">
        <v>238</v>
      </c>
      <c r="L354" s="319" t="s">
        <v>258</v>
      </c>
      <c r="M354" s="319">
        <f t="shared" si="1"/>
        <v>4792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19">
        <v>7522.0</v>
      </c>
      <c r="B355" s="420" t="s">
        <v>2007</v>
      </c>
      <c r="C355" s="420">
        <v>2021.0</v>
      </c>
      <c r="D355" s="497">
        <v>44427.0</v>
      </c>
      <c r="E355" s="422" t="s">
        <v>2008</v>
      </c>
      <c r="F355" s="394" t="s">
        <v>2009</v>
      </c>
      <c r="G355" s="422" t="s">
        <v>569</v>
      </c>
      <c r="H355" s="394" t="s">
        <v>1982</v>
      </c>
      <c r="I355" s="497">
        <v>44652.0</v>
      </c>
      <c r="J355" s="422">
        <v>4.0</v>
      </c>
      <c r="K355" s="438" t="s">
        <v>602</v>
      </c>
      <c r="L355" s="316" t="s">
        <v>260</v>
      </c>
      <c r="M355" s="316">
        <f t="shared" si="1"/>
        <v>225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25">
        <v>7622.0</v>
      </c>
      <c r="B356" s="426" t="s">
        <v>2010</v>
      </c>
      <c r="C356" s="426">
        <v>2021.0</v>
      </c>
      <c r="D356" s="500">
        <v>44396.0</v>
      </c>
      <c r="E356" s="428" t="s">
        <v>2011</v>
      </c>
      <c r="F356" s="397" t="s">
        <v>2012</v>
      </c>
      <c r="G356" s="428" t="s">
        <v>569</v>
      </c>
      <c r="H356" s="397" t="s">
        <v>673</v>
      </c>
      <c r="I356" s="500">
        <v>44652.0</v>
      </c>
      <c r="J356" s="428">
        <v>4.0</v>
      </c>
      <c r="K356" s="433" t="s">
        <v>242</v>
      </c>
      <c r="L356" s="319" t="s">
        <v>260</v>
      </c>
      <c r="M356" s="319">
        <f t="shared" si="1"/>
        <v>256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19">
        <v>7722.0</v>
      </c>
      <c r="B357" s="420" t="s">
        <v>2013</v>
      </c>
      <c r="C357" s="420">
        <v>2021.0</v>
      </c>
      <c r="D357" s="497">
        <v>44397.0</v>
      </c>
      <c r="E357" s="422" t="s">
        <v>2014</v>
      </c>
      <c r="F357" s="394" t="s">
        <v>2015</v>
      </c>
      <c r="G357" s="422" t="s">
        <v>569</v>
      </c>
      <c r="H357" s="394" t="s">
        <v>673</v>
      </c>
      <c r="I357" s="497">
        <v>44652.0</v>
      </c>
      <c r="J357" s="422">
        <v>4.0</v>
      </c>
      <c r="K357" s="433" t="s">
        <v>242</v>
      </c>
      <c r="L357" s="316" t="s">
        <v>260</v>
      </c>
      <c r="M357" s="316">
        <f t="shared" si="1"/>
        <v>255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0" customHeight="1">
      <c r="A358" s="425">
        <v>7822.0</v>
      </c>
      <c r="B358" s="426" t="s">
        <v>2016</v>
      </c>
      <c r="C358" s="426">
        <v>2015.0</v>
      </c>
      <c r="D358" s="500">
        <v>42058.0</v>
      </c>
      <c r="E358" s="428" t="s">
        <v>2017</v>
      </c>
      <c r="F358" s="397" t="s">
        <v>2018</v>
      </c>
      <c r="G358" s="428" t="s">
        <v>552</v>
      </c>
      <c r="H358" s="397" t="s">
        <v>153</v>
      </c>
      <c r="I358" s="500">
        <v>44652.0</v>
      </c>
      <c r="J358" s="428">
        <v>4.0</v>
      </c>
      <c r="K358" s="433" t="s">
        <v>242</v>
      </c>
      <c r="L358" s="319" t="s">
        <v>258</v>
      </c>
      <c r="M358" s="319">
        <f t="shared" si="1"/>
        <v>2594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19">
        <v>7922.0</v>
      </c>
      <c r="B359" s="420" t="s">
        <v>2019</v>
      </c>
      <c r="C359" s="420">
        <v>2014.0</v>
      </c>
      <c r="D359" s="497">
        <v>42002.0</v>
      </c>
      <c r="E359" s="422" t="s">
        <v>2020</v>
      </c>
      <c r="F359" s="394" t="s">
        <v>2018</v>
      </c>
      <c r="G359" s="422" t="s">
        <v>552</v>
      </c>
      <c r="H359" s="394" t="s">
        <v>153</v>
      </c>
      <c r="I359" s="497">
        <v>44652.0</v>
      </c>
      <c r="J359" s="422">
        <v>4.0</v>
      </c>
      <c r="K359" s="433" t="s">
        <v>242</v>
      </c>
      <c r="L359" s="316" t="s">
        <v>258</v>
      </c>
      <c r="M359" s="316">
        <f t="shared" si="1"/>
        <v>2650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25">
        <v>8022.0</v>
      </c>
      <c r="B360" s="426" t="s">
        <v>2021</v>
      </c>
      <c r="C360" s="426">
        <v>2021.0</v>
      </c>
      <c r="D360" s="500">
        <v>44454.0</v>
      </c>
      <c r="E360" s="428" t="s">
        <v>2022</v>
      </c>
      <c r="F360" s="397" t="s">
        <v>615</v>
      </c>
      <c r="G360" s="428" t="s">
        <v>569</v>
      </c>
      <c r="H360" s="397" t="s">
        <v>2023</v>
      </c>
      <c r="I360" s="500">
        <v>44676.0</v>
      </c>
      <c r="J360" s="428">
        <v>4.0</v>
      </c>
      <c r="K360" s="433" t="s">
        <v>242</v>
      </c>
      <c r="L360" s="319" t="s">
        <v>260</v>
      </c>
      <c r="M360" s="319">
        <f t="shared" si="1"/>
        <v>222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19">
        <v>8122.0</v>
      </c>
      <c r="B361" s="420" t="s">
        <v>2024</v>
      </c>
      <c r="C361" s="420">
        <v>2021.0</v>
      </c>
      <c r="D361" s="497">
        <v>44454.0</v>
      </c>
      <c r="E361" s="422" t="s">
        <v>2025</v>
      </c>
      <c r="F361" s="394" t="s">
        <v>2026</v>
      </c>
      <c r="G361" s="422" t="s">
        <v>569</v>
      </c>
      <c r="H361" s="394" t="s">
        <v>2023</v>
      </c>
      <c r="I361" s="497">
        <v>44676.0</v>
      </c>
      <c r="J361" s="422">
        <v>4.0</v>
      </c>
      <c r="K361" s="433" t="s">
        <v>242</v>
      </c>
      <c r="L361" s="316" t="s">
        <v>260</v>
      </c>
      <c r="M361" s="316">
        <f t="shared" si="1"/>
        <v>222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0" customHeight="1">
      <c r="A362" s="425">
        <v>8222.0</v>
      </c>
      <c r="B362" s="426" t="s">
        <v>2027</v>
      </c>
      <c r="C362" s="426">
        <v>2021.0</v>
      </c>
      <c r="D362" s="500">
        <v>44385.0</v>
      </c>
      <c r="E362" s="428" t="s">
        <v>2028</v>
      </c>
      <c r="F362" s="397" t="s">
        <v>2029</v>
      </c>
      <c r="G362" s="428" t="s">
        <v>569</v>
      </c>
      <c r="H362" s="397" t="s">
        <v>607</v>
      </c>
      <c r="I362" s="500">
        <v>44676.0</v>
      </c>
      <c r="J362" s="428">
        <v>4.0</v>
      </c>
      <c r="K362" s="433" t="s">
        <v>242</v>
      </c>
      <c r="L362" s="319" t="s">
        <v>260</v>
      </c>
      <c r="M362" s="319">
        <f t="shared" si="1"/>
        <v>291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19">
        <v>8322.0</v>
      </c>
      <c r="B363" s="420" t="s">
        <v>2030</v>
      </c>
      <c r="C363" s="420">
        <v>2021.0</v>
      </c>
      <c r="D363" s="497">
        <v>44385.0</v>
      </c>
      <c r="E363" s="422" t="s">
        <v>2031</v>
      </c>
      <c r="F363" s="394" t="s">
        <v>615</v>
      </c>
      <c r="G363" s="422" t="s">
        <v>569</v>
      </c>
      <c r="H363" s="394" t="s">
        <v>607</v>
      </c>
      <c r="I363" s="497">
        <v>44676.0</v>
      </c>
      <c r="J363" s="422">
        <v>4.0</v>
      </c>
      <c r="K363" s="433" t="s">
        <v>242</v>
      </c>
      <c r="L363" s="316" t="s">
        <v>260</v>
      </c>
      <c r="M363" s="316">
        <f t="shared" si="1"/>
        <v>291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25">
        <v>8422.0</v>
      </c>
      <c r="B364" s="426" t="s">
        <v>2032</v>
      </c>
      <c r="C364" s="426">
        <v>2010.0</v>
      </c>
      <c r="D364" s="500">
        <v>40207.0</v>
      </c>
      <c r="E364" s="428" t="s">
        <v>2033</v>
      </c>
      <c r="F364" s="397" t="s">
        <v>2034</v>
      </c>
      <c r="G364" s="428" t="s">
        <v>547</v>
      </c>
      <c r="H364" s="397" t="s">
        <v>1872</v>
      </c>
      <c r="I364" s="500">
        <v>44676.0</v>
      </c>
      <c r="J364" s="428">
        <v>4.0</v>
      </c>
      <c r="K364" s="433" t="s">
        <v>242</v>
      </c>
      <c r="L364" s="319" t="s">
        <v>256</v>
      </c>
      <c r="M364" s="319">
        <f t="shared" si="1"/>
        <v>4469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19">
        <v>8522.0</v>
      </c>
      <c r="B365" s="420" t="s">
        <v>2035</v>
      </c>
      <c r="C365" s="420">
        <v>2018.0</v>
      </c>
      <c r="D365" s="497">
        <v>43392.0</v>
      </c>
      <c r="E365" s="422" t="s">
        <v>2036</v>
      </c>
      <c r="F365" s="394" t="s">
        <v>2037</v>
      </c>
      <c r="G365" s="422" t="s">
        <v>552</v>
      </c>
      <c r="H365" s="394" t="s">
        <v>573</v>
      </c>
      <c r="I365" s="497">
        <v>44676.0</v>
      </c>
      <c r="J365" s="422">
        <v>4.0</v>
      </c>
      <c r="K365" s="433" t="s">
        <v>242</v>
      </c>
      <c r="L365" s="316" t="s">
        <v>256</v>
      </c>
      <c r="M365" s="316">
        <f t="shared" si="1"/>
        <v>1284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25">
        <v>8622.0</v>
      </c>
      <c r="B366" s="426" t="s">
        <v>2038</v>
      </c>
      <c r="C366" s="426">
        <v>2019.0</v>
      </c>
      <c r="D366" s="500">
        <v>43739.0</v>
      </c>
      <c r="E366" s="428" t="s">
        <v>2039</v>
      </c>
      <c r="F366" s="397" t="s">
        <v>2040</v>
      </c>
      <c r="G366" s="428" t="s">
        <v>552</v>
      </c>
      <c r="H366" s="397" t="s">
        <v>573</v>
      </c>
      <c r="I366" s="500">
        <v>44676.0</v>
      </c>
      <c r="J366" s="428">
        <v>4.0</v>
      </c>
      <c r="K366" s="433" t="s">
        <v>240</v>
      </c>
      <c r="L366" s="319" t="s">
        <v>256</v>
      </c>
      <c r="M366" s="319">
        <f t="shared" si="1"/>
        <v>937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19">
        <v>8722.0</v>
      </c>
      <c r="B367" s="420" t="s">
        <v>2041</v>
      </c>
      <c r="C367" s="420">
        <v>2014.0</v>
      </c>
      <c r="D367" s="497">
        <v>42003.0</v>
      </c>
      <c r="E367" s="422" t="s">
        <v>2042</v>
      </c>
      <c r="F367" s="394" t="s">
        <v>2043</v>
      </c>
      <c r="G367" s="422" t="s">
        <v>552</v>
      </c>
      <c r="H367" s="394" t="s">
        <v>573</v>
      </c>
      <c r="I367" s="497">
        <v>44676.0</v>
      </c>
      <c r="J367" s="422">
        <v>4.0</v>
      </c>
      <c r="K367" s="433" t="s">
        <v>242</v>
      </c>
      <c r="L367" s="316" t="s">
        <v>258</v>
      </c>
      <c r="M367" s="316">
        <f t="shared" si="1"/>
        <v>2673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25">
        <v>8822.0</v>
      </c>
      <c r="B368" s="426" t="s">
        <v>2044</v>
      </c>
      <c r="C368" s="426">
        <v>2021.0</v>
      </c>
      <c r="D368" s="500">
        <v>44250.0</v>
      </c>
      <c r="E368" s="428" t="s">
        <v>2045</v>
      </c>
      <c r="F368" s="397" t="s">
        <v>2046</v>
      </c>
      <c r="G368" s="428" t="s">
        <v>552</v>
      </c>
      <c r="H368" s="397" t="s">
        <v>1979</v>
      </c>
      <c r="I368" s="500">
        <v>44676.0</v>
      </c>
      <c r="J368" s="428">
        <v>4.0</v>
      </c>
      <c r="K368" s="433" t="s">
        <v>240</v>
      </c>
      <c r="L368" s="319" t="s">
        <v>256</v>
      </c>
      <c r="M368" s="319">
        <f t="shared" si="1"/>
        <v>426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19">
        <v>8922.0</v>
      </c>
      <c r="B369" s="420" t="s">
        <v>2047</v>
      </c>
      <c r="C369" s="420">
        <v>2021.0</v>
      </c>
      <c r="D369" s="497">
        <v>44498.0</v>
      </c>
      <c r="E369" s="422" t="s">
        <v>2048</v>
      </c>
      <c r="F369" s="394" t="s">
        <v>2026</v>
      </c>
      <c r="G369" s="422" t="s">
        <v>569</v>
      </c>
      <c r="H369" s="394" t="s">
        <v>2049</v>
      </c>
      <c r="I369" s="497">
        <v>44677.0</v>
      </c>
      <c r="J369" s="422">
        <v>4.0</v>
      </c>
      <c r="K369" s="433" t="s">
        <v>242</v>
      </c>
      <c r="L369" s="316" t="s">
        <v>260</v>
      </c>
      <c r="M369" s="316">
        <f t="shared" si="1"/>
        <v>179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25">
        <v>9022.0</v>
      </c>
      <c r="B370" s="426" t="s">
        <v>2050</v>
      </c>
      <c r="C370" s="426">
        <v>2013.0</v>
      </c>
      <c r="D370" s="500">
        <v>41549.0</v>
      </c>
      <c r="E370" s="428" t="s">
        <v>2051</v>
      </c>
      <c r="F370" s="397" t="s">
        <v>2018</v>
      </c>
      <c r="G370" s="428" t="s">
        <v>552</v>
      </c>
      <c r="H370" s="397" t="s">
        <v>596</v>
      </c>
      <c r="I370" s="500">
        <v>44677.0</v>
      </c>
      <c r="J370" s="428">
        <v>4.0</v>
      </c>
      <c r="K370" s="433" t="s">
        <v>242</v>
      </c>
      <c r="L370" s="319" t="s">
        <v>258</v>
      </c>
      <c r="M370" s="319">
        <f t="shared" si="1"/>
        <v>3128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19">
        <v>9122.0</v>
      </c>
      <c r="B371" s="420" t="s">
        <v>2052</v>
      </c>
      <c r="C371" s="420">
        <v>2014.0</v>
      </c>
      <c r="D371" s="497">
        <v>41704.0</v>
      </c>
      <c r="E371" s="422" t="s">
        <v>2053</v>
      </c>
      <c r="F371" s="394" t="s">
        <v>2054</v>
      </c>
      <c r="G371" s="422" t="s">
        <v>552</v>
      </c>
      <c r="H371" s="394" t="s">
        <v>2055</v>
      </c>
      <c r="I371" s="497">
        <v>44677.0</v>
      </c>
      <c r="J371" s="422">
        <v>4.0</v>
      </c>
      <c r="K371" s="433" t="s">
        <v>242</v>
      </c>
      <c r="L371" s="316" t="s">
        <v>256</v>
      </c>
      <c r="M371" s="316">
        <f t="shared" si="1"/>
        <v>2973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25">
        <v>9222.0</v>
      </c>
      <c r="B372" s="426" t="s">
        <v>2056</v>
      </c>
      <c r="C372" s="426">
        <v>2017.0</v>
      </c>
      <c r="D372" s="500">
        <v>42895.0</v>
      </c>
      <c r="E372" s="428" t="s">
        <v>2057</v>
      </c>
      <c r="F372" s="397" t="s">
        <v>1811</v>
      </c>
      <c r="G372" s="428" t="s">
        <v>650</v>
      </c>
      <c r="H372" s="397" t="s">
        <v>158</v>
      </c>
      <c r="I372" s="500">
        <v>44677.0</v>
      </c>
      <c r="J372" s="428">
        <v>4.0</v>
      </c>
      <c r="K372" s="433" t="s">
        <v>242</v>
      </c>
      <c r="L372" s="319" t="s">
        <v>258</v>
      </c>
      <c r="M372" s="319">
        <f t="shared" si="1"/>
        <v>1782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19">
        <v>9322.0</v>
      </c>
      <c r="B373" s="420" t="s">
        <v>2058</v>
      </c>
      <c r="C373" s="420">
        <v>2015.0</v>
      </c>
      <c r="D373" s="497">
        <v>42286.0</v>
      </c>
      <c r="E373" s="422" t="s">
        <v>2059</v>
      </c>
      <c r="F373" s="394" t="s">
        <v>2060</v>
      </c>
      <c r="G373" s="422" t="s">
        <v>552</v>
      </c>
      <c r="H373" s="394" t="s">
        <v>596</v>
      </c>
      <c r="I373" s="497">
        <v>44677.0</v>
      </c>
      <c r="J373" s="422">
        <v>4.0</v>
      </c>
      <c r="K373" s="433" t="s">
        <v>242</v>
      </c>
      <c r="L373" s="316" t="s">
        <v>256</v>
      </c>
      <c r="M373" s="316">
        <f t="shared" si="1"/>
        <v>2391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0" customHeight="1">
      <c r="A374" s="425">
        <v>9422.0</v>
      </c>
      <c r="B374" s="426" t="s">
        <v>2061</v>
      </c>
      <c r="C374" s="426">
        <v>2015.0</v>
      </c>
      <c r="D374" s="500">
        <v>42174.0</v>
      </c>
      <c r="E374" s="428" t="s">
        <v>2062</v>
      </c>
      <c r="F374" s="397" t="s">
        <v>2063</v>
      </c>
      <c r="G374" s="428" t="s">
        <v>552</v>
      </c>
      <c r="H374" s="397" t="s">
        <v>97</v>
      </c>
      <c r="I374" s="500">
        <v>44677.0</v>
      </c>
      <c r="J374" s="428">
        <v>4.0</v>
      </c>
      <c r="K374" s="433" t="s">
        <v>240</v>
      </c>
      <c r="L374" s="319" t="s">
        <v>256</v>
      </c>
      <c r="M374" s="319">
        <f t="shared" si="1"/>
        <v>2503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19">
        <v>9522.0</v>
      </c>
      <c r="B375" s="420" t="s">
        <v>2064</v>
      </c>
      <c r="C375" s="420">
        <v>2015.0</v>
      </c>
      <c r="D375" s="497">
        <v>42339.0</v>
      </c>
      <c r="E375" s="422" t="s">
        <v>2065</v>
      </c>
      <c r="F375" s="394" t="s">
        <v>563</v>
      </c>
      <c r="G375" s="422" t="s">
        <v>552</v>
      </c>
      <c r="H375" s="394" t="s">
        <v>596</v>
      </c>
      <c r="I375" s="497">
        <v>44678.0</v>
      </c>
      <c r="J375" s="422">
        <v>4.0</v>
      </c>
      <c r="K375" s="509" t="s">
        <v>236</v>
      </c>
      <c r="L375" s="316" t="s">
        <v>256</v>
      </c>
      <c r="M375" s="316">
        <f t="shared" si="1"/>
        <v>2339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25">
        <v>9622.0</v>
      </c>
      <c r="B376" s="426" t="s">
        <v>2066</v>
      </c>
      <c r="C376" s="426">
        <v>2020.0</v>
      </c>
      <c r="D376" s="500">
        <v>44160.0</v>
      </c>
      <c r="E376" s="428" t="s">
        <v>2067</v>
      </c>
      <c r="F376" s="397" t="s">
        <v>2068</v>
      </c>
      <c r="G376" s="428" t="s">
        <v>552</v>
      </c>
      <c r="H376" s="397" t="s">
        <v>727</v>
      </c>
      <c r="I376" s="500">
        <v>44678.0</v>
      </c>
      <c r="J376" s="428">
        <v>4.0</v>
      </c>
      <c r="K376" s="433" t="s">
        <v>242</v>
      </c>
      <c r="L376" s="319" t="s">
        <v>258</v>
      </c>
      <c r="M376" s="319">
        <f t="shared" si="1"/>
        <v>518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19">
        <v>9722.0</v>
      </c>
      <c r="B377" s="420" t="s">
        <v>2069</v>
      </c>
      <c r="C377" s="420">
        <v>2013.0</v>
      </c>
      <c r="D377" s="497">
        <v>41635.0</v>
      </c>
      <c r="E377" s="422" t="s">
        <v>2070</v>
      </c>
      <c r="F377" s="394" t="s">
        <v>2071</v>
      </c>
      <c r="G377" s="422" t="s">
        <v>552</v>
      </c>
      <c r="H377" s="394" t="s">
        <v>583</v>
      </c>
      <c r="I377" s="497">
        <v>44678.0</v>
      </c>
      <c r="J377" s="422">
        <v>4.0</v>
      </c>
      <c r="K377" s="433" t="s">
        <v>242</v>
      </c>
      <c r="L377" s="316" t="s">
        <v>258</v>
      </c>
      <c r="M377" s="316">
        <f t="shared" si="1"/>
        <v>3043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25">
        <v>9822.0</v>
      </c>
      <c r="B378" s="426" t="s">
        <v>2072</v>
      </c>
      <c r="C378" s="426">
        <v>2013.0</v>
      </c>
      <c r="D378" s="500">
        <v>41488.0</v>
      </c>
      <c r="E378" s="428" t="s">
        <v>2073</v>
      </c>
      <c r="F378" s="397" t="s">
        <v>2074</v>
      </c>
      <c r="G378" s="428" t="s">
        <v>650</v>
      </c>
      <c r="H378" s="397" t="s">
        <v>705</v>
      </c>
      <c r="I378" s="500">
        <v>44678.0</v>
      </c>
      <c r="J378" s="428">
        <v>4.0</v>
      </c>
      <c r="K378" s="438" t="s">
        <v>602</v>
      </c>
      <c r="L378" s="319" t="s">
        <v>258</v>
      </c>
      <c r="M378" s="319">
        <f t="shared" si="1"/>
        <v>3190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19">
        <v>9922.0</v>
      </c>
      <c r="B379" s="420" t="s">
        <v>2075</v>
      </c>
      <c r="C379" s="420">
        <v>2015.0</v>
      </c>
      <c r="D379" s="497">
        <v>42027.0</v>
      </c>
      <c r="E379" s="422" t="s">
        <v>2076</v>
      </c>
      <c r="F379" s="394" t="s">
        <v>2077</v>
      </c>
      <c r="G379" s="422" t="s">
        <v>552</v>
      </c>
      <c r="H379" s="394" t="s">
        <v>2078</v>
      </c>
      <c r="I379" s="497">
        <v>44678.0</v>
      </c>
      <c r="J379" s="422">
        <v>4.0</v>
      </c>
      <c r="K379" s="433" t="s">
        <v>240</v>
      </c>
      <c r="L379" s="316" t="s">
        <v>258</v>
      </c>
      <c r="M379" s="316">
        <f t="shared" si="1"/>
        <v>2651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25">
        <v>10022.0</v>
      </c>
      <c r="B380" s="426" t="s">
        <v>2079</v>
      </c>
      <c r="C380" s="426">
        <v>2018.0</v>
      </c>
      <c r="D380" s="500">
        <v>43256.0</v>
      </c>
      <c r="E380" s="428" t="s">
        <v>2080</v>
      </c>
      <c r="F380" s="397" t="s">
        <v>120</v>
      </c>
      <c r="G380" s="428" t="s">
        <v>650</v>
      </c>
      <c r="H380" s="397" t="s">
        <v>705</v>
      </c>
      <c r="I380" s="500">
        <v>44678.0</v>
      </c>
      <c r="J380" s="428">
        <v>4.0</v>
      </c>
      <c r="K380" s="433" t="s">
        <v>242</v>
      </c>
      <c r="L380" s="319" t="s">
        <v>256</v>
      </c>
      <c r="M380" s="319">
        <f t="shared" si="1"/>
        <v>1422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19">
        <v>10122.0</v>
      </c>
      <c r="B381" s="420" t="s">
        <v>2081</v>
      </c>
      <c r="C381" s="420">
        <v>2019.0</v>
      </c>
      <c r="D381" s="497">
        <v>43818.0</v>
      </c>
      <c r="E381" s="422" t="s">
        <v>2082</v>
      </c>
      <c r="F381" s="394" t="s">
        <v>1829</v>
      </c>
      <c r="G381" s="422" t="s">
        <v>552</v>
      </c>
      <c r="H381" s="394" t="s">
        <v>1802</v>
      </c>
      <c r="I381" s="497">
        <v>44678.0</v>
      </c>
      <c r="J381" s="422">
        <v>4.0</v>
      </c>
      <c r="K381" s="433" t="s">
        <v>240</v>
      </c>
      <c r="L381" s="316" t="s">
        <v>258</v>
      </c>
      <c r="M381" s="316">
        <f t="shared" si="1"/>
        <v>860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25">
        <v>10222.0</v>
      </c>
      <c r="B382" s="426" t="s">
        <v>2083</v>
      </c>
      <c r="C382" s="426">
        <v>2019.0</v>
      </c>
      <c r="D382" s="500">
        <v>43818.0</v>
      </c>
      <c r="E382" s="428" t="s">
        <v>2084</v>
      </c>
      <c r="F382" s="397" t="s">
        <v>2085</v>
      </c>
      <c r="G382" s="428" t="s">
        <v>650</v>
      </c>
      <c r="H382" s="397" t="s">
        <v>1802</v>
      </c>
      <c r="I382" s="500">
        <v>44678.0</v>
      </c>
      <c r="J382" s="428">
        <v>4.0</v>
      </c>
      <c r="K382" s="433" t="s">
        <v>242</v>
      </c>
      <c r="L382" s="319" t="s">
        <v>256</v>
      </c>
      <c r="M382" s="319">
        <f t="shared" si="1"/>
        <v>860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19">
        <v>10322.0</v>
      </c>
      <c r="B383" s="420" t="s">
        <v>2086</v>
      </c>
      <c r="C383" s="420">
        <v>2021.0</v>
      </c>
      <c r="D383" s="497">
        <v>44496.0</v>
      </c>
      <c r="E383" s="422" t="s">
        <v>2087</v>
      </c>
      <c r="F383" s="394" t="s">
        <v>2088</v>
      </c>
      <c r="G383" s="422" t="s">
        <v>569</v>
      </c>
      <c r="H383" s="394" t="s">
        <v>2089</v>
      </c>
      <c r="I383" s="497">
        <v>44686.0</v>
      </c>
      <c r="J383" s="422">
        <v>5.0</v>
      </c>
      <c r="K383" s="438" t="s">
        <v>602</v>
      </c>
      <c r="L383" s="316" t="s">
        <v>260</v>
      </c>
      <c r="M383" s="316">
        <f t="shared" si="1"/>
        <v>190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25">
        <v>10422.0</v>
      </c>
      <c r="B384" s="426" t="s">
        <v>2090</v>
      </c>
      <c r="C384" s="426">
        <v>2021.0</v>
      </c>
      <c r="D384" s="500">
        <v>44413.0</v>
      </c>
      <c r="E384" s="428" t="s">
        <v>2091</v>
      </c>
      <c r="F384" s="397" t="s">
        <v>2092</v>
      </c>
      <c r="G384" s="428" t="s">
        <v>565</v>
      </c>
      <c r="H384" s="397" t="s">
        <v>2093</v>
      </c>
      <c r="I384" s="500">
        <v>44686.0</v>
      </c>
      <c r="J384" s="428">
        <v>5.0</v>
      </c>
      <c r="K384" s="433" t="s">
        <v>242</v>
      </c>
      <c r="L384" s="319" t="s">
        <v>260</v>
      </c>
      <c r="M384" s="319">
        <f t="shared" si="1"/>
        <v>273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19">
        <v>10522.0</v>
      </c>
      <c r="B385" s="420" t="s">
        <v>2094</v>
      </c>
      <c r="C385" s="420">
        <v>2021.0</v>
      </c>
      <c r="D385" s="497">
        <v>44328.0</v>
      </c>
      <c r="E385" s="422" t="s">
        <v>2095</v>
      </c>
      <c r="F385" s="394" t="s">
        <v>2096</v>
      </c>
      <c r="G385" s="422" t="s">
        <v>569</v>
      </c>
      <c r="H385" s="394" t="s">
        <v>2093</v>
      </c>
      <c r="I385" s="497">
        <v>44686.0</v>
      </c>
      <c r="J385" s="422">
        <v>5.0</v>
      </c>
      <c r="K385" s="438" t="s">
        <v>602</v>
      </c>
      <c r="L385" s="316" t="s">
        <v>260</v>
      </c>
      <c r="M385" s="316">
        <f t="shared" si="1"/>
        <v>358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25">
        <v>10622.0</v>
      </c>
      <c r="B386" s="426" t="s">
        <v>2097</v>
      </c>
      <c r="C386" s="426">
        <v>2017.0</v>
      </c>
      <c r="D386" s="500">
        <v>43066.0</v>
      </c>
      <c r="E386" s="428" t="s">
        <v>2098</v>
      </c>
      <c r="F386" s="397" t="s">
        <v>1762</v>
      </c>
      <c r="G386" s="428" t="s">
        <v>552</v>
      </c>
      <c r="H386" s="397" t="s">
        <v>775</v>
      </c>
      <c r="I386" s="500">
        <v>44686.0</v>
      </c>
      <c r="J386" s="428">
        <v>5.0</v>
      </c>
      <c r="K386" s="433" t="s">
        <v>242</v>
      </c>
      <c r="L386" s="319" t="s">
        <v>256</v>
      </c>
      <c r="M386" s="319">
        <f t="shared" si="1"/>
        <v>1620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0" customHeight="1">
      <c r="A387" s="419">
        <v>10722.0</v>
      </c>
      <c r="B387" s="420" t="s">
        <v>2099</v>
      </c>
      <c r="C387" s="420">
        <v>2018.0</v>
      </c>
      <c r="D387" s="497">
        <v>43423.0</v>
      </c>
      <c r="E387" s="422" t="s">
        <v>2100</v>
      </c>
      <c r="F387" s="394" t="s">
        <v>2101</v>
      </c>
      <c r="G387" s="422" t="s">
        <v>552</v>
      </c>
      <c r="H387" s="394" t="s">
        <v>775</v>
      </c>
      <c r="I387" s="497">
        <v>44686.0</v>
      </c>
      <c r="J387" s="422">
        <v>5.0</v>
      </c>
      <c r="K387" s="433" t="s">
        <v>240</v>
      </c>
      <c r="L387" s="316" t="s">
        <v>256</v>
      </c>
      <c r="M387" s="316">
        <f t="shared" si="1"/>
        <v>1263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25">
        <v>10822.0</v>
      </c>
      <c r="B388" s="426" t="s">
        <v>2102</v>
      </c>
      <c r="C388" s="426">
        <v>2020.0</v>
      </c>
      <c r="D388" s="500">
        <v>44012.0</v>
      </c>
      <c r="E388" s="428" t="s">
        <v>2103</v>
      </c>
      <c r="F388" s="397" t="s">
        <v>2104</v>
      </c>
      <c r="G388" s="428" t="s">
        <v>565</v>
      </c>
      <c r="H388" s="397" t="s">
        <v>2105</v>
      </c>
      <c r="I388" s="500">
        <v>44686.0</v>
      </c>
      <c r="J388" s="428">
        <v>5.0</v>
      </c>
      <c r="K388" s="433" t="s">
        <v>242</v>
      </c>
      <c r="L388" s="319" t="s">
        <v>260</v>
      </c>
      <c r="M388" s="319">
        <f t="shared" si="1"/>
        <v>674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19">
        <v>10922.0</v>
      </c>
      <c r="B389" s="420" t="s">
        <v>2106</v>
      </c>
      <c r="C389" s="420">
        <v>2022.0</v>
      </c>
      <c r="D389" s="497">
        <v>44581.0</v>
      </c>
      <c r="E389" s="422" t="s">
        <v>2107</v>
      </c>
      <c r="F389" s="394" t="s">
        <v>2108</v>
      </c>
      <c r="G389" s="422" t="s">
        <v>569</v>
      </c>
      <c r="H389" s="394" t="s">
        <v>607</v>
      </c>
      <c r="I389" s="497">
        <v>44686.0</v>
      </c>
      <c r="J389" s="422">
        <v>5.0</v>
      </c>
      <c r="K389" s="433" t="s">
        <v>242</v>
      </c>
      <c r="L389" s="316" t="s">
        <v>260</v>
      </c>
      <c r="M389" s="316">
        <f t="shared" si="1"/>
        <v>105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25">
        <v>11022.0</v>
      </c>
      <c r="B390" s="426" t="s">
        <v>2109</v>
      </c>
      <c r="C390" s="426">
        <v>2016.0</v>
      </c>
      <c r="D390" s="500">
        <v>42433.0</v>
      </c>
      <c r="E390" s="428" t="s">
        <v>2110</v>
      </c>
      <c r="F390" s="397" t="s">
        <v>1514</v>
      </c>
      <c r="G390" s="428" t="s">
        <v>552</v>
      </c>
      <c r="H390" s="397" t="s">
        <v>50</v>
      </c>
      <c r="I390" s="500">
        <v>44686.0</v>
      </c>
      <c r="J390" s="428">
        <v>5.0</v>
      </c>
      <c r="K390" s="433" t="s">
        <v>240</v>
      </c>
      <c r="L390" s="319" t="s">
        <v>256</v>
      </c>
      <c r="M390" s="319">
        <f t="shared" si="1"/>
        <v>2253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19">
        <v>11122.0</v>
      </c>
      <c r="B391" s="420" t="s">
        <v>2111</v>
      </c>
      <c r="C391" s="420">
        <v>2021.0</v>
      </c>
      <c r="D391" s="497">
        <v>44239.0</v>
      </c>
      <c r="E391" s="422" t="s">
        <v>2112</v>
      </c>
      <c r="F391" s="394" t="s">
        <v>611</v>
      </c>
      <c r="G391" s="422" t="s">
        <v>569</v>
      </c>
      <c r="H391" s="394" t="s">
        <v>1876</v>
      </c>
      <c r="I391" s="497">
        <v>44686.0</v>
      </c>
      <c r="J391" s="422">
        <v>5.0</v>
      </c>
      <c r="K391" s="433" t="s">
        <v>242</v>
      </c>
      <c r="L391" s="316" t="s">
        <v>260</v>
      </c>
      <c r="M391" s="316">
        <f t="shared" si="1"/>
        <v>447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25">
        <v>11222.0</v>
      </c>
      <c r="B392" s="426" t="s">
        <v>2113</v>
      </c>
      <c r="C392" s="426">
        <v>2021.0</v>
      </c>
      <c r="D392" s="500">
        <v>44378.0</v>
      </c>
      <c r="E392" s="428" t="s">
        <v>2114</v>
      </c>
      <c r="F392" s="397" t="s">
        <v>2115</v>
      </c>
      <c r="G392" s="428" t="s">
        <v>565</v>
      </c>
      <c r="H392" s="397" t="s">
        <v>1880</v>
      </c>
      <c r="I392" s="500">
        <v>44686.0</v>
      </c>
      <c r="J392" s="428">
        <v>5.0</v>
      </c>
      <c r="K392" s="438" t="s">
        <v>602</v>
      </c>
      <c r="L392" s="319" t="s">
        <v>260</v>
      </c>
      <c r="M392" s="319">
        <f t="shared" si="1"/>
        <v>308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19">
        <v>11322.0</v>
      </c>
      <c r="B393" s="420" t="s">
        <v>2116</v>
      </c>
      <c r="C393" s="420">
        <v>2021.0</v>
      </c>
      <c r="D393" s="497">
        <v>44491.0</v>
      </c>
      <c r="E393" s="422" t="s">
        <v>2117</v>
      </c>
      <c r="F393" s="394" t="s">
        <v>2118</v>
      </c>
      <c r="G393" s="422" t="s">
        <v>565</v>
      </c>
      <c r="H393" s="394" t="s">
        <v>2119</v>
      </c>
      <c r="I393" s="497">
        <v>44690.0</v>
      </c>
      <c r="J393" s="422">
        <v>5.0</v>
      </c>
      <c r="K393" s="433" t="s">
        <v>242</v>
      </c>
      <c r="L393" s="316" t="s">
        <v>260</v>
      </c>
      <c r="M393" s="316">
        <f t="shared" si="1"/>
        <v>199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25">
        <v>11422.0</v>
      </c>
      <c r="B394" s="426" t="s">
        <v>2120</v>
      </c>
      <c r="C394" s="426">
        <v>2020.0</v>
      </c>
      <c r="D394" s="504">
        <v>44007.0</v>
      </c>
      <c r="E394" s="428" t="s">
        <v>2121</v>
      </c>
      <c r="F394" s="397" t="s">
        <v>2104</v>
      </c>
      <c r="G394" s="428" t="s">
        <v>565</v>
      </c>
      <c r="H394" s="397" t="s">
        <v>2122</v>
      </c>
      <c r="I394" s="500">
        <v>44690.0</v>
      </c>
      <c r="J394" s="428">
        <v>5.0</v>
      </c>
      <c r="K394" s="433" t="s">
        <v>242</v>
      </c>
      <c r="L394" s="319" t="s">
        <v>260</v>
      </c>
      <c r="M394" s="319">
        <f t="shared" si="1"/>
        <v>683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19">
        <v>11522.0</v>
      </c>
      <c r="B395" s="420" t="s">
        <v>2123</v>
      </c>
      <c r="C395" s="420">
        <v>2022.0</v>
      </c>
      <c r="D395" s="497">
        <v>44568.0</v>
      </c>
      <c r="E395" s="422" t="s">
        <v>2124</v>
      </c>
      <c r="F395" s="394" t="s">
        <v>2125</v>
      </c>
      <c r="G395" s="422" t="s">
        <v>569</v>
      </c>
      <c r="H395" s="394" t="s">
        <v>2126</v>
      </c>
      <c r="I395" s="497">
        <v>44691.0</v>
      </c>
      <c r="J395" s="422">
        <v>5.0</v>
      </c>
      <c r="K395" s="433" t="s">
        <v>242</v>
      </c>
      <c r="L395" s="316" t="s">
        <v>260</v>
      </c>
      <c r="M395" s="316">
        <f t="shared" si="1"/>
        <v>123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25">
        <v>11622.0</v>
      </c>
      <c r="B396" s="426" t="s">
        <v>2127</v>
      </c>
      <c r="C396" s="426">
        <v>2021.0</v>
      </c>
      <c r="D396" s="500">
        <v>44498.0</v>
      </c>
      <c r="E396" s="428" t="s">
        <v>2128</v>
      </c>
      <c r="F396" s="397" t="s">
        <v>1875</v>
      </c>
      <c r="G396" s="428" t="s">
        <v>569</v>
      </c>
      <c r="H396" s="397" t="s">
        <v>2049</v>
      </c>
      <c r="I396" s="500">
        <v>44691.0</v>
      </c>
      <c r="J396" s="428">
        <v>5.0</v>
      </c>
      <c r="K396" s="433" t="s">
        <v>242</v>
      </c>
      <c r="L396" s="319" t="s">
        <v>260</v>
      </c>
      <c r="M396" s="319">
        <f t="shared" si="1"/>
        <v>193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19">
        <v>11722.0</v>
      </c>
      <c r="B397" s="420" t="s">
        <v>2129</v>
      </c>
      <c r="C397" s="420">
        <v>2018.0</v>
      </c>
      <c r="D397" s="497">
        <v>43371.0</v>
      </c>
      <c r="E397" s="422" t="s">
        <v>2130</v>
      </c>
      <c r="F397" s="394" t="s">
        <v>2131</v>
      </c>
      <c r="G397" s="422" t="s">
        <v>552</v>
      </c>
      <c r="H397" s="394" t="s">
        <v>1802</v>
      </c>
      <c r="I397" s="497">
        <v>44691.0</v>
      </c>
      <c r="J397" s="422">
        <v>5.0</v>
      </c>
      <c r="K397" s="509" t="s">
        <v>236</v>
      </c>
      <c r="L397" s="316" t="s">
        <v>840</v>
      </c>
      <c r="M397" s="316">
        <f t="shared" si="1"/>
        <v>1320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25">
        <v>11822.0</v>
      </c>
      <c r="B398" s="426" t="s">
        <v>2132</v>
      </c>
      <c r="C398" s="426">
        <v>2011.0</v>
      </c>
      <c r="D398" s="500">
        <v>40674.0</v>
      </c>
      <c r="E398" s="428" t="s">
        <v>2133</v>
      </c>
      <c r="F398" s="397" t="s">
        <v>2134</v>
      </c>
      <c r="G398" s="428" t="s">
        <v>650</v>
      </c>
      <c r="H398" s="397" t="s">
        <v>158</v>
      </c>
      <c r="I398" s="500">
        <v>44691.0</v>
      </c>
      <c r="J398" s="428">
        <v>5.0</v>
      </c>
      <c r="K398" s="433" t="s">
        <v>240</v>
      </c>
      <c r="L398" s="319" t="s">
        <v>256</v>
      </c>
      <c r="M398" s="319">
        <f t="shared" si="1"/>
        <v>4017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19">
        <v>11922.0</v>
      </c>
      <c r="B399" s="420" t="s">
        <v>2135</v>
      </c>
      <c r="C399" s="420">
        <v>2020.0</v>
      </c>
      <c r="D399" s="497">
        <v>44147.0</v>
      </c>
      <c r="E399" s="422" t="s">
        <v>2136</v>
      </c>
      <c r="F399" s="394" t="s">
        <v>2046</v>
      </c>
      <c r="G399" s="422" t="s">
        <v>552</v>
      </c>
      <c r="H399" s="394" t="s">
        <v>727</v>
      </c>
      <c r="I399" s="497">
        <v>44692.0</v>
      </c>
      <c r="J399" s="422">
        <v>5.0</v>
      </c>
      <c r="K399" s="433" t="s">
        <v>240</v>
      </c>
      <c r="L399" s="316" t="s">
        <v>256</v>
      </c>
      <c r="M399" s="316">
        <f t="shared" si="1"/>
        <v>545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25">
        <v>12022.0</v>
      </c>
      <c r="B400" s="426" t="s">
        <v>2137</v>
      </c>
      <c r="C400" s="426">
        <v>2014.0</v>
      </c>
      <c r="D400" s="500">
        <v>41711.0</v>
      </c>
      <c r="E400" s="428" t="s">
        <v>2138</v>
      </c>
      <c r="F400" s="397" t="s">
        <v>1811</v>
      </c>
      <c r="G400" s="428" t="s">
        <v>552</v>
      </c>
      <c r="H400" s="397" t="s">
        <v>2139</v>
      </c>
      <c r="I400" s="500">
        <v>44692.0</v>
      </c>
      <c r="J400" s="428">
        <v>5.0</v>
      </c>
      <c r="K400" s="433" t="s">
        <v>242</v>
      </c>
      <c r="L400" s="319" t="s">
        <v>258</v>
      </c>
      <c r="M400" s="319">
        <f t="shared" si="1"/>
        <v>2981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19">
        <v>12122.0</v>
      </c>
      <c r="B401" s="420" t="s">
        <v>2140</v>
      </c>
      <c r="C401" s="420">
        <v>2021.0</v>
      </c>
      <c r="D401" s="497">
        <v>44461.0</v>
      </c>
      <c r="E401" s="422" t="s">
        <v>2141</v>
      </c>
      <c r="F401" s="394" t="s">
        <v>2142</v>
      </c>
      <c r="G401" s="422" t="s">
        <v>565</v>
      </c>
      <c r="H401" s="394" t="s">
        <v>639</v>
      </c>
      <c r="I401" s="497">
        <v>44692.0</v>
      </c>
      <c r="J401" s="422">
        <v>5.0</v>
      </c>
      <c r="K401" s="433" t="s">
        <v>242</v>
      </c>
      <c r="L401" s="316" t="s">
        <v>260</v>
      </c>
      <c r="M401" s="316">
        <f t="shared" si="1"/>
        <v>231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25">
        <v>12222.0</v>
      </c>
      <c r="B402" s="426" t="s">
        <v>2143</v>
      </c>
      <c r="C402" s="426">
        <v>2019.0</v>
      </c>
      <c r="D402" s="500">
        <v>43573.0</v>
      </c>
      <c r="E402" s="428" t="s">
        <v>2144</v>
      </c>
      <c r="F402" s="397" t="s">
        <v>71</v>
      </c>
      <c r="G402" s="428" t="s">
        <v>552</v>
      </c>
      <c r="H402" s="397" t="s">
        <v>130</v>
      </c>
      <c r="I402" s="500">
        <v>44692.0</v>
      </c>
      <c r="J402" s="428">
        <v>5.0</v>
      </c>
      <c r="K402" s="433" t="s">
        <v>242</v>
      </c>
      <c r="L402" s="319" t="s">
        <v>258</v>
      </c>
      <c r="M402" s="319">
        <f t="shared" si="1"/>
        <v>1119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19">
        <v>12322.0</v>
      </c>
      <c r="B403" s="420" t="s">
        <v>2145</v>
      </c>
      <c r="C403" s="420">
        <v>2021.0</v>
      </c>
      <c r="D403" s="497">
        <v>44503.0</v>
      </c>
      <c r="E403" s="422" t="s">
        <v>2146</v>
      </c>
      <c r="F403" s="394" t="s">
        <v>2147</v>
      </c>
      <c r="G403" s="422" t="s">
        <v>569</v>
      </c>
      <c r="H403" s="394" t="s">
        <v>639</v>
      </c>
      <c r="I403" s="497">
        <v>44692.0</v>
      </c>
      <c r="J403" s="422">
        <v>5.0</v>
      </c>
      <c r="K403" s="433" t="s">
        <v>242</v>
      </c>
      <c r="L403" s="316" t="s">
        <v>260</v>
      </c>
      <c r="M403" s="316">
        <f t="shared" si="1"/>
        <v>189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25">
        <v>12422.0</v>
      </c>
      <c r="B404" s="426" t="s">
        <v>2148</v>
      </c>
      <c r="C404" s="426">
        <v>2021.0</v>
      </c>
      <c r="D404" s="500">
        <v>44517.0</v>
      </c>
      <c r="E404" s="428" t="s">
        <v>2149</v>
      </c>
      <c r="F404" s="397" t="s">
        <v>2147</v>
      </c>
      <c r="G404" s="428" t="s">
        <v>569</v>
      </c>
      <c r="H404" s="397" t="s">
        <v>2150</v>
      </c>
      <c r="I404" s="500">
        <v>44692.0</v>
      </c>
      <c r="J404" s="428">
        <v>5.0</v>
      </c>
      <c r="K404" s="433" t="s">
        <v>242</v>
      </c>
      <c r="L404" s="319" t="s">
        <v>260</v>
      </c>
      <c r="M404" s="319">
        <f t="shared" si="1"/>
        <v>175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19">
        <v>12522.0</v>
      </c>
      <c r="B405" s="420" t="s">
        <v>2151</v>
      </c>
      <c r="C405" s="420">
        <v>2015.0</v>
      </c>
      <c r="D405" s="497">
        <v>42291.0</v>
      </c>
      <c r="E405" s="422" t="s">
        <v>2152</v>
      </c>
      <c r="F405" s="394" t="s">
        <v>1255</v>
      </c>
      <c r="G405" s="422" t="s">
        <v>552</v>
      </c>
      <c r="H405" s="394" t="s">
        <v>2153</v>
      </c>
      <c r="I405" s="497">
        <v>44692.0</v>
      </c>
      <c r="J405" s="422">
        <v>5.0</v>
      </c>
      <c r="K405" s="433" t="s">
        <v>242</v>
      </c>
      <c r="L405" s="316" t="s">
        <v>256</v>
      </c>
      <c r="M405" s="316">
        <f t="shared" si="1"/>
        <v>2401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25">
        <v>12622.0</v>
      </c>
      <c r="B406" s="426" t="s">
        <v>2154</v>
      </c>
      <c r="C406" s="426">
        <v>2014.0</v>
      </c>
      <c r="D406" s="500">
        <v>41969.0</v>
      </c>
      <c r="E406" s="428" t="s">
        <v>2155</v>
      </c>
      <c r="F406" s="397" t="s">
        <v>2156</v>
      </c>
      <c r="G406" s="428" t="s">
        <v>552</v>
      </c>
      <c r="H406" s="397" t="s">
        <v>158</v>
      </c>
      <c r="I406" s="500">
        <v>44692.0</v>
      </c>
      <c r="J406" s="428">
        <v>5.0</v>
      </c>
      <c r="K406" s="433" t="s">
        <v>242</v>
      </c>
      <c r="L406" s="319" t="s">
        <v>256</v>
      </c>
      <c r="M406" s="319">
        <f t="shared" si="1"/>
        <v>2723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19">
        <v>12722.0</v>
      </c>
      <c r="B407" s="420" t="s">
        <v>2157</v>
      </c>
      <c r="C407" s="420">
        <v>2020.0</v>
      </c>
      <c r="D407" s="497">
        <v>43957.0</v>
      </c>
      <c r="E407" s="422" t="s">
        <v>2158</v>
      </c>
      <c r="F407" s="394" t="s">
        <v>1840</v>
      </c>
      <c r="G407" s="422" t="s">
        <v>552</v>
      </c>
      <c r="H407" s="394" t="s">
        <v>573</v>
      </c>
      <c r="I407" s="497">
        <v>44692.0</v>
      </c>
      <c r="J407" s="422">
        <v>5.0</v>
      </c>
      <c r="K407" s="433" t="s">
        <v>242</v>
      </c>
      <c r="L407" s="316" t="s">
        <v>256</v>
      </c>
      <c r="M407" s="316">
        <f t="shared" si="1"/>
        <v>735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25">
        <v>12822.0</v>
      </c>
      <c r="B408" s="426" t="s">
        <v>2159</v>
      </c>
      <c r="C408" s="426">
        <v>2020.0</v>
      </c>
      <c r="D408" s="500">
        <v>44162.0</v>
      </c>
      <c r="E408" s="428" t="s">
        <v>2160</v>
      </c>
      <c r="F408" s="397" t="s">
        <v>2161</v>
      </c>
      <c r="G408" s="428" t="s">
        <v>650</v>
      </c>
      <c r="H408" s="397" t="s">
        <v>1802</v>
      </c>
      <c r="I408" s="500">
        <v>44692.0</v>
      </c>
      <c r="J408" s="428">
        <v>5.0</v>
      </c>
      <c r="K408" s="433" t="s">
        <v>242</v>
      </c>
      <c r="L408" s="319" t="s">
        <v>258</v>
      </c>
      <c r="M408" s="319">
        <f t="shared" si="1"/>
        <v>530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19">
        <v>12922.0</v>
      </c>
      <c r="B409" s="420" t="s">
        <v>2162</v>
      </c>
      <c r="C409" s="420">
        <v>2018.0</v>
      </c>
      <c r="D409" s="497">
        <v>43185.0</v>
      </c>
      <c r="E409" s="422" t="s">
        <v>2163</v>
      </c>
      <c r="F409" s="394" t="s">
        <v>71</v>
      </c>
      <c r="G409" s="422" t="s">
        <v>552</v>
      </c>
      <c r="H409" s="394" t="s">
        <v>2164</v>
      </c>
      <c r="I409" s="497">
        <v>44692.0</v>
      </c>
      <c r="J409" s="422">
        <v>5.0</v>
      </c>
      <c r="K409" s="433" t="s">
        <v>242</v>
      </c>
      <c r="L409" s="316" t="s">
        <v>260</v>
      </c>
      <c r="M409" s="316">
        <f t="shared" si="1"/>
        <v>1507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0" customHeight="1">
      <c r="A410" s="425">
        <v>13022.0</v>
      </c>
      <c r="B410" s="426" t="s">
        <v>2165</v>
      </c>
      <c r="C410" s="426">
        <v>2021.0</v>
      </c>
      <c r="D410" s="500">
        <v>44508.0</v>
      </c>
      <c r="E410" s="428" t="s">
        <v>2166</v>
      </c>
      <c r="F410" s="397" t="s">
        <v>2167</v>
      </c>
      <c r="G410" s="428" t="s">
        <v>565</v>
      </c>
      <c r="H410" s="397" t="s">
        <v>2122</v>
      </c>
      <c r="I410" s="500">
        <v>44692.0</v>
      </c>
      <c r="J410" s="428">
        <v>5.0</v>
      </c>
      <c r="K410" s="433" t="s">
        <v>242</v>
      </c>
      <c r="L410" s="319" t="s">
        <v>260</v>
      </c>
      <c r="M410" s="319">
        <f t="shared" si="1"/>
        <v>184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19">
        <v>13122.0</v>
      </c>
      <c r="B411" s="420" t="s">
        <v>2168</v>
      </c>
      <c r="C411" s="420">
        <v>2013.0</v>
      </c>
      <c r="D411" s="497">
        <v>41376.0</v>
      </c>
      <c r="E411" s="422" t="s">
        <v>2169</v>
      </c>
      <c r="F411" s="394" t="s">
        <v>1968</v>
      </c>
      <c r="G411" s="422" t="s">
        <v>552</v>
      </c>
      <c r="H411" s="394" t="s">
        <v>1329</v>
      </c>
      <c r="I411" s="497">
        <v>44693.0</v>
      </c>
      <c r="J411" s="422">
        <v>5.0</v>
      </c>
      <c r="K411" s="433" t="s">
        <v>242</v>
      </c>
      <c r="L411" s="316" t="s">
        <v>256</v>
      </c>
      <c r="M411" s="316">
        <f t="shared" si="1"/>
        <v>3317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25">
        <v>13222.0</v>
      </c>
      <c r="B412" s="426" t="s">
        <v>2170</v>
      </c>
      <c r="C412" s="426">
        <v>2019.0</v>
      </c>
      <c r="D412" s="500">
        <v>43560.0</v>
      </c>
      <c r="E412" s="428" t="s">
        <v>2171</v>
      </c>
      <c r="F412" s="397" t="s">
        <v>2172</v>
      </c>
      <c r="G412" s="428" t="s">
        <v>552</v>
      </c>
      <c r="H412" s="397" t="s">
        <v>583</v>
      </c>
      <c r="I412" s="500">
        <v>44705.0</v>
      </c>
      <c r="J412" s="428">
        <v>5.0</v>
      </c>
      <c r="K412" s="433" t="s">
        <v>242</v>
      </c>
      <c r="L412" s="319" t="s">
        <v>258</v>
      </c>
      <c r="M412" s="319">
        <f t="shared" si="1"/>
        <v>1145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19">
        <v>13322.0</v>
      </c>
      <c r="B413" s="420" t="s">
        <v>2173</v>
      </c>
      <c r="C413" s="420">
        <v>2018.0</v>
      </c>
      <c r="D413" s="497">
        <v>43277.0</v>
      </c>
      <c r="E413" s="422" t="s">
        <v>2174</v>
      </c>
      <c r="F413" s="394" t="s">
        <v>2175</v>
      </c>
      <c r="G413" s="422" t="s">
        <v>552</v>
      </c>
      <c r="H413" s="394" t="s">
        <v>18</v>
      </c>
      <c r="I413" s="497">
        <v>44705.0</v>
      </c>
      <c r="J413" s="422">
        <v>5.0</v>
      </c>
      <c r="K413" s="433" t="s">
        <v>240</v>
      </c>
      <c r="L413" s="316" t="s">
        <v>256</v>
      </c>
      <c r="M413" s="316">
        <f t="shared" si="1"/>
        <v>1428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25">
        <v>13422.0</v>
      </c>
      <c r="B414" s="426" t="s">
        <v>2176</v>
      </c>
      <c r="C414" s="426">
        <v>2015.0</v>
      </c>
      <c r="D414" s="500">
        <v>42255.0</v>
      </c>
      <c r="E414" s="428" t="s">
        <v>2177</v>
      </c>
      <c r="F414" s="397" t="s">
        <v>134</v>
      </c>
      <c r="G414" s="428" t="s">
        <v>552</v>
      </c>
      <c r="H414" s="397" t="s">
        <v>45</v>
      </c>
      <c r="I414" s="500">
        <v>44705.0</v>
      </c>
      <c r="J414" s="428">
        <v>5.0</v>
      </c>
      <c r="K414" s="433" t="s">
        <v>242</v>
      </c>
      <c r="L414" s="319" t="s">
        <v>256</v>
      </c>
      <c r="M414" s="319">
        <f t="shared" si="1"/>
        <v>2450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19">
        <v>13522.0</v>
      </c>
      <c r="B415" s="420" t="s">
        <v>2178</v>
      </c>
      <c r="C415" s="420">
        <v>2015.0</v>
      </c>
      <c r="D415" s="497">
        <v>42348.0</v>
      </c>
      <c r="E415" s="422" t="s">
        <v>2179</v>
      </c>
      <c r="F415" s="394" t="s">
        <v>2180</v>
      </c>
      <c r="G415" s="422" t="s">
        <v>547</v>
      </c>
      <c r="H415" s="394" t="s">
        <v>695</v>
      </c>
      <c r="I415" s="497">
        <v>44705.0</v>
      </c>
      <c r="J415" s="422">
        <v>5.0</v>
      </c>
      <c r="K415" s="438" t="s">
        <v>602</v>
      </c>
      <c r="L415" s="316" t="s">
        <v>256</v>
      </c>
      <c r="M415" s="316">
        <f t="shared" si="1"/>
        <v>2357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25">
        <v>13622.0</v>
      </c>
      <c r="B416" s="426" t="s">
        <v>2181</v>
      </c>
      <c r="C416" s="426">
        <v>2016.0</v>
      </c>
      <c r="D416" s="500">
        <v>42720.0</v>
      </c>
      <c r="E416" s="428" t="s">
        <v>2182</v>
      </c>
      <c r="F416" s="397" t="s">
        <v>2183</v>
      </c>
      <c r="G416" s="428" t="s">
        <v>552</v>
      </c>
      <c r="H416" s="397" t="s">
        <v>1091</v>
      </c>
      <c r="I416" s="500">
        <v>44705.0</v>
      </c>
      <c r="J416" s="428">
        <v>5.0</v>
      </c>
      <c r="K416" s="433" t="s">
        <v>240</v>
      </c>
      <c r="L416" s="319" t="s">
        <v>258</v>
      </c>
      <c r="M416" s="319">
        <f t="shared" si="1"/>
        <v>1985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19">
        <v>13722.0</v>
      </c>
      <c r="B417" s="420" t="s">
        <v>2184</v>
      </c>
      <c r="C417" s="420">
        <v>2014.0</v>
      </c>
      <c r="D417" s="497">
        <v>41656.0</v>
      </c>
      <c r="E417" s="422" t="s">
        <v>2185</v>
      </c>
      <c r="F417" s="394" t="s">
        <v>2186</v>
      </c>
      <c r="G417" s="422" t="s">
        <v>547</v>
      </c>
      <c r="H417" s="394" t="s">
        <v>2187</v>
      </c>
      <c r="I417" s="497">
        <v>44705.0</v>
      </c>
      <c r="J417" s="422">
        <v>5.0</v>
      </c>
      <c r="K417" s="433" t="s">
        <v>242</v>
      </c>
      <c r="L417" s="316" t="s">
        <v>256</v>
      </c>
      <c r="M417" s="316">
        <f t="shared" si="1"/>
        <v>3049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25">
        <v>13822.0</v>
      </c>
      <c r="B418" s="426" t="s">
        <v>2188</v>
      </c>
      <c r="C418" s="426">
        <v>2014.0</v>
      </c>
      <c r="D418" s="500">
        <v>41669.0</v>
      </c>
      <c r="E418" s="428" t="s">
        <v>2189</v>
      </c>
      <c r="F418" s="397" t="s">
        <v>2186</v>
      </c>
      <c r="G418" s="428" t="s">
        <v>547</v>
      </c>
      <c r="H418" s="397" t="s">
        <v>2187</v>
      </c>
      <c r="I418" s="500">
        <v>44705.0</v>
      </c>
      <c r="J418" s="428">
        <v>5.0</v>
      </c>
      <c r="K418" s="433" t="s">
        <v>242</v>
      </c>
      <c r="L418" s="319" t="s">
        <v>256</v>
      </c>
      <c r="M418" s="319">
        <f t="shared" si="1"/>
        <v>3036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19">
        <v>13922.0</v>
      </c>
      <c r="B419" s="420" t="s">
        <v>2190</v>
      </c>
      <c r="C419" s="420">
        <v>2014.0</v>
      </c>
      <c r="D419" s="497">
        <v>41997.0</v>
      </c>
      <c r="E419" s="422" t="s">
        <v>2191</v>
      </c>
      <c r="F419" s="394" t="s">
        <v>2192</v>
      </c>
      <c r="G419" s="422" t="s">
        <v>650</v>
      </c>
      <c r="H419" s="394" t="s">
        <v>2193</v>
      </c>
      <c r="I419" s="497">
        <v>44705.0</v>
      </c>
      <c r="J419" s="422">
        <v>5.0</v>
      </c>
      <c r="K419" s="433" t="s">
        <v>242</v>
      </c>
      <c r="L419" s="316" t="s">
        <v>258</v>
      </c>
      <c r="M419" s="316">
        <f t="shared" si="1"/>
        <v>2708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25">
        <v>14022.0</v>
      </c>
      <c r="B420" s="426" t="s">
        <v>2194</v>
      </c>
      <c r="C420" s="426">
        <v>2018.0</v>
      </c>
      <c r="D420" s="500">
        <v>43208.0</v>
      </c>
      <c r="E420" s="428" t="s">
        <v>2195</v>
      </c>
      <c r="F420" s="397" t="s">
        <v>2196</v>
      </c>
      <c r="G420" s="428" t="s">
        <v>552</v>
      </c>
      <c r="H420" s="397" t="s">
        <v>158</v>
      </c>
      <c r="I420" s="500">
        <v>44705.0</v>
      </c>
      <c r="J420" s="428">
        <v>5.0</v>
      </c>
      <c r="K420" s="433" t="s">
        <v>242</v>
      </c>
      <c r="L420" s="319" t="s">
        <v>256</v>
      </c>
      <c r="M420" s="319">
        <f t="shared" si="1"/>
        <v>1497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19">
        <v>14122.0</v>
      </c>
      <c r="B421" s="420" t="s">
        <v>2197</v>
      </c>
      <c r="C421" s="420">
        <v>2015.0</v>
      </c>
      <c r="D421" s="497">
        <v>42080.0</v>
      </c>
      <c r="E421" s="422" t="s">
        <v>2198</v>
      </c>
      <c r="F421" s="394" t="s">
        <v>1846</v>
      </c>
      <c r="G421" s="422" t="s">
        <v>552</v>
      </c>
      <c r="H421" s="394" t="s">
        <v>2199</v>
      </c>
      <c r="I421" s="497">
        <v>44705.0</v>
      </c>
      <c r="J421" s="422">
        <v>5.0</v>
      </c>
      <c r="K421" s="433" t="s">
        <v>242</v>
      </c>
      <c r="L421" s="316" t="s">
        <v>258</v>
      </c>
      <c r="M421" s="316">
        <f t="shared" si="1"/>
        <v>2625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25">
        <v>14222.0</v>
      </c>
      <c r="B422" s="426" t="s">
        <v>2200</v>
      </c>
      <c r="C422" s="426">
        <v>2016.0</v>
      </c>
      <c r="D422" s="500">
        <v>42723.0</v>
      </c>
      <c r="E422" s="428" t="s">
        <v>2201</v>
      </c>
      <c r="F422" s="397" t="s">
        <v>2202</v>
      </c>
      <c r="G422" s="428" t="s">
        <v>547</v>
      </c>
      <c r="H422" s="397" t="s">
        <v>158</v>
      </c>
      <c r="I422" s="500">
        <v>44711.0</v>
      </c>
      <c r="J422" s="428">
        <v>5.0</v>
      </c>
      <c r="K422" s="433" t="s">
        <v>240</v>
      </c>
      <c r="L422" s="319" t="s">
        <v>256</v>
      </c>
      <c r="M422" s="319">
        <f t="shared" si="1"/>
        <v>1988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19">
        <v>14322.0</v>
      </c>
      <c r="B423" s="420" t="s">
        <v>2203</v>
      </c>
      <c r="C423" s="420">
        <v>2021.0</v>
      </c>
      <c r="D423" s="497">
        <v>44533.0</v>
      </c>
      <c r="E423" s="422" t="s">
        <v>2204</v>
      </c>
      <c r="F423" s="394" t="s">
        <v>2205</v>
      </c>
      <c r="G423" s="422" t="s">
        <v>569</v>
      </c>
      <c r="H423" s="394" t="s">
        <v>2206</v>
      </c>
      <c r="I423" s="497">
        <v>44711.0</v>
      </c>
      <c r="J423" s="422">
        <v>5.0</v>
      </c>
      <c r="K423" s="433" t="s">
        <v>242</v>
      </c>
      <c r="L423" s="316" t="s">
        <v>260</v>
      </c>
      <c r="M423" s="316">
        <f t="shared" si="1"/>
        <v>178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25">
        <v>14422.0</v>
      </c>
      <c r="B424" s="426" t="s">
        <v>2207</v>
      </c>
      <c r="C424" s="426">
        <v>2021.0</v>
      </c>
      <c r="D424" s="500">
        <v>44508.0</v>
      </c>
      <c r="E424" s="428" t="s">
        <v>2208</v>
      </c>
      <c r="F424" s="397" t="s">
        <v>611</v>
      </c>
      <c r="G424" s="428" t="s">
        <v>569</v>
      </c>
      <c r="H424" s="397" t="s">
        <v>2209</v>
      </c>
      <c r="I424" s="500">
        <v>44711.0</v>
      </c>
      <c r="J424" s="428">
        <v>5.0</v>
      </c>
      <c r="K424" s="433" t="s">
        <v>242</v>
      </c>
      <c r="L424" s="319" t="s">
        <v>260</v>
      </c>
      <c r="M424" s="319">
        <f t="shared" si="1"/>
        <v>203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19">
        <v>14522.0</v>
      </c>
      <c r="B425" s="420" t="s">
        <v>2210</v>
      </c>
      <c r="C425" s="420">
        <v>2021.0</v>
      </c>
      <c r="D425" s="497">
        <v>44512.0</v>
      </c>
      <c r="E425" s="422" t="s">
        <v>2211</v>
      </c>
      <c r="F425" s="394" t="s">
        <v>611</v>
      </c>
      <c r="G425" s="422" t="s">
        <v>569</v>
      </c>
      <c r="H425" s="394" t="s">
        <v>2209</v>
      </c>
      <c r="I425" s="497">
        <v>44711.0</v>
      </c>
      <c r="J425" s="422">
        <v>5.0</v>
      </c>
      <c r="K425" s="433" t="s">
        <v>242</v>
      </c>
      <c r="L425" s="316" t="s">
        <v>260</v>
      </c>
      <c r="M425" s="316">
        <f t="shared" si="1"/>
        <v>199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2.75" customHeight="1">
      <c r="A426" s="425">
        <v>14622.0</v>
      </c>
      <c r="B426" s="426" t="s">
        <v>2212</v>
      </c>
      <c r="C426" s="426">
        <v>2021.0</v>
      </c>
      <c r="D426" s="500">
        <v>44469.0</v>
      </c>
      <c r="E426" s="428" t="s">
        <v>2213</v>
      </c>
      <c r="F426" s="397" t="s">
        <v>606</v>
      </c>
      <c r="G426" s="428" t="s">
        <v>569</v>
      </c>
      <c r="H426" s="397" t="s">
        <v>2209</v>
      </c>
      <c r="I426" s="500">
        <v>44711.0</v>
      </c>
      <c r="J426" s="428">
        <v>5.0</v>
      </c>
      <c r="K426" s="433" t="s">
        <v>242</v>
      </c>
      <c r="L426" s="319" t="s">
        <v>260</v>
      </c>
      <c r="M426" s="319">
        <f t="shared" si="1"/>
        <v>242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customHeight="1">
      <c r="A427" s="419">
        <v>14722.0</v>
      </c>
      <c r="B427" s="420" t="s">
        <v>2214</v>
      </c>
      <c r="C427" s="420">
        <v>2015.0</v>
      </c>
      <c r="D427" s="510">
        <v>42339.0</v>
      </c>
      <c r="E427" s="422" t="s">
        <v>2215</v>
      </c>
      <c r="F427" s="394" t="s">
        <v>2202</v>
      </c>
      <c r="G427" s="422" t="s">
        <v>547</v>
      </c>
      <c r="H427" s="394" t="s">
        <v>158</v>
      </c>
      <c r="I427" s="497">
        <v>44711.0</v>
      </c>
      <c r="J427" s="422">
        <v>5.0</v>
      </c>
      <c r="K427" s="433" t="s">
        <v>240</v>
      </c>
      <c r="L427" s="316" t="s">
        <v>256</v>
      </c>
      <c r="M427" s="316">
        <f t="shared" si="1"/>
        <v>2372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customHeight="1">
      <c r="A428" s="425">
        <v>14822.0</v>
      </c>
      <c r="B428" s="426" t="s">
        <v>2216</v>
      </c>
      <c r="C428" s="426">
        <v>2017.0</v>
      </c>
      <c r="D428" s="500">
        <v>42895.0</v>
      </c>
      <c r="E428" s="428" t="s">
        <v>2217</v>
      </c>
      <c r="F428" s="397" t="s">
        <v>2202</v>
      </c>
      <c r="G428" s="428" t="s">
        <v>547</v>
      </c>
      <c r="H428" s="397" t="s">
        <v>158</v>
      </c>
      <c r="I428" s="500">
        <v>44711.0</v>
      </c>
      <c r="J428" s="428">
        <v>5.0</v>
      </c>
      <c r="K428" s="433" t="s">
        <v>240</v>
      </c>
      <c r="L428" s="319" t="s">
        <v>256</v>
      </c>
      <c r="M428" s="319">
        <f t="shared" si="1"/>
        <v>1816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customHeight="1">
      <c r="A429" s="419">
        <v>14922.0</v>
      </c>
      <c r="B429" s="420" t="s">
        <v>2218</v>
      </c>
      <c r="C429" s="420">
        <v>2016.0</v>
      </c>
      <c r="D429" s="497">
        <v>42727.0</v>
      </c>
      <c r="E429" s="422" t="s">
        <v>2219</v>
      </c>
      <c r="F429" s="394" t="s">
        <v>2202</v>
      </c>
      <c r="G429" s="422" t="s">
        <v>547</v>
      </c>
      <c r="H429" s="394" t="s">
        <v>158</v>
      </c>
      <c r="I429" s="497">
        <v>44711.0</v>
      </c>
      <c r="J429" s="422">
        <v>5.0</v>
      </c>
      <c r="K429" s="433" t="s">
        <v>240</v>
      </c>
      <c r="L429" s="316" t="s">
        <v>256</v>
      </c>
      <c r="M429" s="316">
        <f t="shared" si="1"/>
        <v>1984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customHeight="1">
      <c r="A430" s="425">
        <v>15022.0</v>
      </c>
      <c r="B430" s="426" t="s">
        <v>2220</v>
      </c>
      <c r="C430" s="426">
        <v>2014.0</v>
      </c>
      <c r="D430" s="500">
        <v>41971.0</v>
      </c>
      <c r="E430" s="428" t="s">
        <v>2221</v>
      </c>
      <c r="F430" s="397" t="s">
        <v>2222</v>
      </c>
      <c r="G430" s="428" t="s">
        <v>552</v>
      </c>
      <c r="H430" s="397" t="s">
        <v>775</v>
      </c>
      <c r="I430" s="500">
        <v>44711.0</v>
      </c>
      <c r="J430" s="428">
        <v>5.0</v>
      </c>
      <c r="K430" s="433" t="s">
        <v>240</v>
      </c>
      <c r="L430" s="319" t="s">
        <v>258</v>
      </c>
      <c r="M430" s="319">
        <f t="shared" si="1"/>
        <v>2740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customHeight="1">
      <c r="A431" s="419">
        <v>15122.0</v>
      </c>
      <c r="B431" s="420" t="s">
        <v>2223</v>
      </c>
      <c r="C431" s="420">
        <v>2015.0</v>
      </c>
      <c r="D431" s="497">
        <v>42361.0</v>
      </c>
      <c r="E431" s="422" t="s">
        <v>2224</v>
      </c>
      <c r="F431" s="394" t="s">
        <v>2225</v>
      </c>
      <c r="G431" s="422" t="s">
        <v>552</v>
      </c>
      <c r="H431" s="394" t="s">
        <v>775</v>
      </c>
      <c r="I431" s="497">
        <v>44711.0</v>
      </c>
      <c r="J431" s="422">
        <v>5.0</v>
      </c>
      <c r="K431" s="433" t="s">
        <v>240</v>
      </c>
      <c r="L431" s="316" t="s">
        <v>256</v>
      </c>
      <c r="M431" s="316">
        <f t="shared" si="1"/>
        <v>2350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customHeight="1">
      <c r="A432" s="425">
        <v>15222.0</v>
      </c>
      <c r="B432" s="426" t="s">
        <v>2226</v>
      </c>
      <c r="C432" s="426">
        <v>2013.0</v>
      </c>
      <c r="D432" s="500">
        <v>41588.0</v>
      </c>
      <c r="E432" s="428" t="s">
        <v>2227</v>
      </c>
      <c r="F432" s="397" t="s">
        <v>591</v>
      </c>
      <c r="G432" s="428" t="s">
        <v>552</v>
      </c>
      <c r="H432" s="397" t="s">
        <v>775</v>
      </c>
      <c r="I432" s="500">
        <v>44711.0</v>
      </c>
      <c r="J432" s="428">
        <v>5.0</v>
      </c>
      <c r="K432" s="433" t="s">
        <v>242</v>
      </c>
      <c r="L432" s="319" t="s">
        <v>256</v>
      </c>
      <c r="M432" s="319">
        <f t="shared" si="1"/>
        <v>3123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customHeight="1">
      <c r="A433" s="419">
        <v>15322.0</v>
      </c>
      <c r="B433" s="420" t="s">
        <v>2228</v>
      </c>
      <c r="C433" s="420">
        <v>2021.0</v>
      </c>
      <c r="D433" s="497">
        <v>44491.0</v>
      </c>
      <c r="E433" s="422" t="s">
        <v>2229</v>
      </c>
      <c r="F433" s="394" t="s">
        <v>2230</v>
      </c>
      <c r="G433" s="422" t="s">
        <v>565</v>
      </c>
      <c r="H433" s="394" t="s">
        <v>1951</v>
      </c>
      <c r="I433" s="497">
        <v>44711.0</v>
      </c>
      <c r="J433" s="422">
        <v>5.0</v>
      </c>
      <c r="K433" s="438" t="s">
        <v>602</v>
      </c>
      <c r="L433" s="316" t="s">
        <v>260</v>
      </c>
      <c r="M433" s="316">
        <f t="shared" si="1"/>
        <v>220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customHeight="1">
      <c r="A434" s="425">
        <v>15422.0</v>
      </c>
      <c r="B434" s="426" t="s">
        <v>2231</v>
      </c>
      <c r="C434" s="426">
        <v>2015.0</v>
      </c>
      <c r="D434" s="500">
        <v>42129.0</v>
      </c>
      <c r="E434" s="428" t="s">
        <v>2232</v>
      </c>
      <c r="F434" s="397" t="s">
        <v>2233</v>
      </c>
      <c r="G434" s="428" t="s">
        <v>552</v>
      </c>
      <c r="H434" s="397" t="s">
        <v>153</v>
      </c>
      <c r="I434" s="500">
        <v>44711.0</v>
      </c>
      <c r="J434" s="428">
        <v>5.0</v>
      </c>
      <c r="K434" s="433" t="s">
        <v>240</v>
      </c>
      <c r="L434" s="319" t="s">
        <v>258</v>
      </c>
      <c r="M434" s="319">
        <f t="shared" si="1"/>
        <v>2582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customHeight="1">
      <c r="A435" s="419">
        <v>15522.0</v>
      </c>
      <c r="B435" s="420" t="s">
        <v>2234</v>
      </c>
      <c r="C435" s="420">
        <v>2021.0</v>
      </c>
      <c r="D435" s="497">
        <v>44541.0</v>
      </c>
      <c r="E435" s="422" t="s">
        <v>2235</v>
      </c>
      <c r="F435" s="394" t="s">
        <v>2167</v>
      </c>
      <c r="G435" s="422" t="s">
        <v>565</v>
      </c>
      <c r="H435" s="394" t="s">
        <v>2236</v>
      </c>
      <c r="I435" s="497">
        <v>44718.0</v>
      </c>
      <c r="J435" s="422">
        <v>6.0</v>
      </c>
      <c r="K435" s="433" t="s">
        <v>242</v>
      </c>
      <c r="L435" s="316" t="s">
        <v>260</v>
      </c>
      <c r="M435" s="316">
        <f t="shared" si="1"/>
        <v>177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customHeight="1">
      <c r="A436" s="425">
        <v>15622.0</v>
      </c>
      <c r="B436" s="426" t="s">
        <v>2237</v>
      </c>
      <c r="C436" s="426">
        <v>2016.0</v>
      </c>
      <c r="D436" s="500">
        <v>42723.0</v>
      </c>
      <c r="E436" s="428" t="s">
        <v>2238</v>
      </c>
      <c r="F436" s="397" t="s">
        <v>922</v>
      </c>
      <c r="G436" s="428" t="s">
        <v>650</v>
      </c>
      <c r="H436" s="397" t="s">
        <v>158</v>
      </c>
      <c r="I436" s="500">
        <v>44718.0</v>
      </c>
      <c r="J436" s="428">
        <v>6.0</v>
      </c>
      <c r="K436" s="433" t="s">
        <v>242</v>
      </c>
      <c r="L436" s="319" t="s">
        <v>256</v>
      </c>
      <c r="M436" s="319">
        <f t="shared" si="1"/>
        <v>1995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customHeight="1">
      <c r="A437" s="419">
        <v>15722.0</v>
      </c>
      <c r="B437" s="420" t="s">
        <v>2239</v>
      </c>
      <c r="C437" s="420">
        <v>2021.0</v>
      </c>
      <c r="D437" s="497">
        <v>44410.0</v>
      </c>
      <c r="E437" s="422" t="s">
        <v>2240</v>
      </c>
      <c r="F437" s="394" t="s">
        <v>2241</v>
      </c>
      <c r="G437" s="422" t="s">
        <v>565</v>
      </c>
      <c r="H437" s="394" t="s">
        <v>2093</v>
      </c>
      <c r="I437" s="497">
        <v>44718.0</v>
      </c>
      <c r="J437" s="422">
        <v>6.0</v>
      </c>
      <c r="K437" s="433" t="s">
        <v>242</v>
      </c>
      <c r="L437" s="316" t="s">
        <v>260</v>
      </c>
      <c r="M437" s="316">
        <f t="shared" si="1"/>
        <v>308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customHeight="1">
      <c r="A438" s="425">
        <v>15822.0</v>
      </c>
      <c r="B438" s="426" t="s">
        <v>2242</v>
      </c>
      <c r="C438" s="426">
        <v>2021.0</v>
      </c>
      <c r="D438" s="500">
        <v>44453.0</v>
      </c>
      <c r="E438" s="428" t="s">
        <v>2243</v>
      </c>
      <c r="F438" s="397" t="s">
        <v>2244</v>
      </c>
      <c r="G438" s="428" t="s">
        <v>569</v>
      </c>
      <c r="H438" s="397" t="s">
        <v>2245</v>
      </c>
      <c r="I438" s="500">
        <v>44718.0</v>
      </c>
      <c r="J438" s="428">
        <v>6.0</v>
      </c>
      <c r="K438" s="438" t="s">
        <v>602</v>
      </c>
      <c r="L438" s="319" t="s">
        <v>260</v>
      </c>
      <c r="M438" s="319">
        <f t="shared" si="1"/>
        <v>265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customHeight="1">
      <c r="A439" s="419">
        <v>15922.0</v>
      </c>
      <c r="B439" s="420" t="s">
        <v>2246</v>
      </c>
      <c r="C439" s="420">
        <v>2021.0</v>
      </c>
      <c r="D439" s="497">
        <v>44532.0</v>
      </c>
      <c r="E439" s="422" t="s">
        <v>2247</v>
      </c>
      <c r="F439" s="394" t="s">
        <v>2248</v>
      </c>
      <c r="G439" s="422" t="s">
        <v>569</v>
      </c>
      <c r="H439" s="394" t="s">
        <v>1876</v>
      </c>
      <c r="I439" s="497">
        <v>44718.0</v>
      </c>
      <c r="J439" s="422">
        <v>6.0</v>
      </c>
      <c r="K439" s="438" t="s">
        <v>602</v>
      </c>
      <c r="L439" s="316" t="s">
        <v>260</v>
      </c>
      <c r="M439" s="316">
        <f t="shared" si="1"/>
        <v>186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customHeight="1">
      <c r="A440" s="425">
        <v>16022.0</v>
      </c>
      <c r="B440" s="426" t="s">
        <v>2249</v>
      </c>
      <c r="C440" s="426">
        <v>2017.0</v>
      </c>
      <c r="D440" s="500">
        <v>43091.0</v>
      </c>
      <c r="E440" s="428" t="s">
        <v>2250</v>
      </c>
      <c r="F440" s="397" t="s">
        <v>2251</v>
      </c>
      <c r="G440" s="428" t="s">
        <v>650</v>
      </c>
      <c r="H440" s="397" t="s">
        <v>1802</v>
      </c>
      <c r="I440" s="500">
        <v>44718.0</v>
      </c>
      <c r="J440" s="428">
        <v>6.0</v>
      </c>
      <c r="K440" s="433" t="s">
        <v>240</v>
      </c>
      <c r="L440" s="319" t="s">
        <v>256</v>
      </c>
      <c r="M440" s="319">
        <f t="shared" si="1"/>
        <v>1627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customHeight="1">
      <c r="A441" s="419">
        <v>16122.0</v>
      </c>
      <c r="B441" s="420" t="s">
        <v>2252</v>
      </c>
      <c r="C441" s="420">
        <v>2021.0</v>
      </c>
      <c r="D441" s="497">
        <v>44512.0</v>
      </c>
      <c r="E441" s="422" t="s">
        <v>2253</v>
      </c>
      <c r="F441" s="394" t="s">
        <v>2167</v>
      </c>
      <c r="G441" s="422" t="s">
        <v>565</v>
      </c>
      <c r="H441" s="394" t="s">
        <v>2236</v>
      </c>
      <c r="I441" s="497">
        <v>44718.0</v>
      </c>
      <c r="J441" s="422">
        <v>6.0</v>
      </c>
      <c r="K441" s="433" t="s">
        <v>242</v>
      </c>
      <c r="L441" s="316" t="s">
        <v>260</v>
      </c>
      <c r="M441" s="316">
        <f t="shared" si="1"/>
        <v>206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customHeight="1">
      <c r="A442" s="425">
        <v>16222.0</v>
      </c>
      <c r="B442" s="426" t="s">
        <v>2254</v>
      </c>
      <c r="C442" s="426">
        <v>2018.0</v>
      </c>
      <c r="D442" s="500">
        <v>43208.0</v>
      </c>
      <c r="E442" s="428" t="s">
        <v>2255</v>
      </c>
      <c r="F442" s="397" t="s">
        <v>1255</v>
      </c>
      <c r="G442" s="428" t="s">
        <v>552</v>
      </c>
      <c r="H442" s="397" t="s">
        <v>596</v>
      </c>
      <c r="I442" s="500">
        <v>44719.0</v>
      </c>
      <c r="J442" s="428">
        <v>6.0</v>
      </c>
      <c r="K442" s="433" t="s">
        <v>242</v>
      </c>
      <c r="L442" s="319" t="s">
        <v>256</v>
      </c>
      <c r="M442" s="319">
        <f t="shared" si="1"/>
        <v>1511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customHeight="1">
      <c r="A443" s="419">
        <v>16322.0</v>
      </c>
      <c r="B443" s="420" t="s">
        <v>2256</v>
      </c>
      <c r="C443" s="420">
        <v>2017.0</v>
      </c>
      <c r="D443" s="497">
        <v>42919.0</v>
      </c>
      <c r="E443" s="422" t="s">
        <v>2257</v>
      </c>
      <c r="F443" s="394" t="s">
        <v>1814</v>
      </c>
      <c r="G443" s="422" t="s">
        <v>552</v>
      </c>
      <c r="H443" s="394" t="s">
        <v>50</v>
      </c>
      <c r="I443" s="497">
        <v>44722.0</v>
      </c>
      <c r="J443" s="422">
        <v>6.0</v>
      </c>
      <c r="K443" s="433" t="s">
        <v>240</v>
      </c>
      <c r="L443" s="316" t="s">
        <v>840</v>
      </c>
      <c r="M443" s="316">
        <f t="shared" si="1"/>
        <v>1803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customHeight="1">
      <c r="A444" s="425">
        <v>16422.0</v>
      </c>
      <c r="B444" s="426" t="s">
        <v>2258</v>
      </c>
      <c r="C444" s="426">
        <v>2015.0</v>
      </c>
      <c r="D444" s="504">
        <v>42353.0</v>
      </c>
      <c r="E444" s="428" t="s">
        <v>2259</v>
      </c>
      <c r="F444" s="397" t="s">
        <v>2260</v>
      </c>
      <c r="G444" s="428" t="s">
        <v>552</v>
      </c>
      <c r="H444" s="397" t="s">
        <v>130</v>
      </c>
      <c r="I444" s="500">
        <v>44722.0</v>
      </c>
      <c r="J444" s="428">
        <v>6.0</v>
      </c>
      <c r="K444" s="433" t="s">
        <v>242</v>
      </c>
      <c r="L444" s="319" t="s">
        <v>256</v>
      </c>
      <c r="M444" s="319">
        <f t="shared" si="1"/>
        <v>2369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0" customHeight="1">
      <c r="A445" s="419">
        <v>16522.0</v>
      </c>
      <c r="B445" s="420" t="s">
        <v>2261</v>
      </c>
      <c r="C445" s="420">
        <v>2016.0</v>
      </c>
      <c r="D445" s="497">
        <v>42429.0</v>
      </c>
      <c r="E445" s="422" t="s">
        <v>2262</v>
      </c>
      <c r="F445" s="394" t="s">
        <v>711</v>
      </c>
      <c r="G445" s="422" t="s">
        <v>552</v>
      </c>
      <c r="H445" s="394" t="s">
        <v>712</v>
      </c>
      <c r="I445" s="497">
        <v>44727.0</v>
      </c>
      <c r="J445" s="422">
        <v>6.0</v>
      </c>
      <c r="K445" s="433" t="s">
        <v>242</v>
      </c>
      <c r="L445" s="316" t="s">
        <v>258</v>
      </c>
      <c r="M445" s="316">
        <f t="shared" si="1"/>
        <v>2298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customHeight="1">
      <c r="A446" s="425">
        <v>16622.0</v>
      </c>
      <c r="B446" s="426" t="s">
        <v>2263</v>
      </c>
      <c r="C446" s="426">
        <v>2016.0</v>
      </c>
      <c r="D446" s="500">
        <v>42726.0</v>
      </c>
      <c r="E446" s="428" t="s">
        <v>2264</v>
      </c>
      <c r="F446" s="397" t="s">
        <v>2265</v>
      </c>
      <c r="G446" s="428" t="s">
        <v>650</v>
      </c>
      <c r="H446" s="397" t="s">
        <v>651</v>
      </c>
      <c r="I446" s="500">
        <v>44727.0</v>
      </c>
      <c r="J446" s="428">
        <v>6.0</v>
      </c>
      <c r="K446" s="438" t="s">
        <v>602</v>
      </c>
      <c r="L446" s="319" t="s">
        <v>256</v>
      </c>
      <c r="M446" s="319">
        <f t="shared" si="1"/>
        <v>2001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customHeight="1">
      <c r="A447" s="419">
        <v>16722.0</v>
      </c>
      <c r="B447" s="420" t="s">
        <v>2266</v>
      </c>
      <c r="C447" s="420">
        <v>2015.0</v>
      </c>
      <c r="D447" s="510">
        <v>42345.0</v>
      </c>
      <c r="E447" s="422" t="s">
        <v>2267</v>
      </c>
      <c r="F447" s="394" t="s">
        <v>2268</v>
      </c>
      <c r="G447" s="422" t="s">
        <v>552</v>
      </c>
      <c r="H447" s="394" t="s">
        <v>712</v>
      </c>
      <c r="I447" s="497">
        <v>44727.0</v>
      </c>
      <c r="J447" s="422">
        <v>6.0</v>
      </c>
      <c r="K447" s="433" t="s">
        <v>242</v>
      </c>
      <c r="L447" s="316" t="s">
        <v>258</v>
      </c>
      <c r="M447" s="316">
        <f t="shared" si="1"/>
        <v>2382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customHeight="1">
      <c r="A448" s="425">
        <v>16822.0</v>
      </c>
      <c r="B448" s="426" t="s">
        <v>2269</v>
      </c>
      <c r="C448" s="426">
        <v>2017.0</v>
      </c>
      <c r="D448" s="500">
        <v>42936.0</v>
      </c>
      <c r="E448" s="428" t="s">
        <v>2270</v>
      </c>
      <c r="F448" s="397" t="s">
        <v>2271</v>
      </c>
      <c r="G448" s="428" t="s">
        <v>650</v>
      </c>
      <c r="H448" s="397" t="s">
        <v>2272</v>
      </c>
      <c r="I448" s="500">
        <v>44727.0</v>
      </c>
      <c r="J448" s="428">
        <v>6.0</v>
      </c>
      <c r="K448" s="509" t="s">
        <v>236</v>
      </c>
      <c r="L448" s="319" t="s">
        <v>840</v>
      </c>
      <c r="M448" s="319">
        <f t="shared" si="1"/>
        <v>1791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0" customHeight="1">
      <c r="A449" s="419">
        <v>16922.0</v>
      </c>
      <c r="B449" s="420" t="s">
        <v>2273</v>
      </c>
      <c r="C449" s="420">
        <v>2015.0</v>
      </c>
      <c r="D449" s="497">
        <v>42300.0</v>
      </c>
      <c r="E449" s="422" t="s">
        <v>2274</v>
      </c>
      <c r="F449" s="394" t="s">
        <v>2268</v>
      </c>
      <c r="G449" s="422" t="s">
        <v>552</v>
      </c>
      <c r="H449" s="394" t="s">
        <v>153</v>
      </c>
      <c r="I449" s="497">
        <v>44727.0</v>
      </c>
      <c r="J449" s="422">
        <v>6.0</v>
      </c>
      <c r="K449" s="433" t="s">
        <v>240</v>
      </c>
      <c r="L449" s="316" t="s">
        <v>258</v>
      </c>
      <c r="M449" s="316">
        <f t="shared" si="1"/>
        <v>2427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customHeight="1">
      <c r="A450" s="425">
        <v>17022.0</v>
      </c>
      <c r="B450" s="426" t="s">
        <v>2275</v>
      </c>
      <c r="C450" s="426">
        <v>2013.0</v>
      </c>
      <c r="D450" s="500">
        <v>41354.0</v>
      </c>
      <c r="E450" s="428" t="s">
        <v>2276</v>
      </c>
      <c r="F450" s="397" t="s">
        <v>563</v>
      </c>
      <c r="G450" s="428" t="s">
        <v>552</v>
      </c>
      <c r="H450" s="397" t="s">
        <v>153</v>
      </c>
      <c r="I450" s="500">
        <v>44735.0</v>
      </c>
      <c r="J450" s="428">
        <v>6.0</v>
      </c>
      <c r="K450" s="509" t="s">
        <v>236</v>
      </c>
      <c r="L450" s="319" t="s">
        <v>256</v>
      </c>
      <c r="M450" s="319">
        <f t="shared" si="1"/>
        <v>3381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customHeight="1">
      <c r="A451" s="419">
        <v>17122.0</v>
      </c>
      <c r="B451" s="420" t="s">
        <v>2277</v>
      </c>
      <c r="C451" s="420">
        <v>2017.0</v>
      </c>
      <c r="D451" s="497">
        <v>42863.0</v>
      </c>
      <c r="E451" s="422" t="s">
        <v>2278</v>
      </c>
      <c r="F451" s="394" t="s">
        <v>2279</v>
      </c>
      <c r="G451" s="422" t="s">
        <v>650</v>
      </c>
      <c r="H451" s="394" t="s">
        <v>18</v>
      </c>
      <c r="I451" s="497">
        <v>44735.0</v>
      </c>
      <c r="J451" s="422">
        <v>6.0</v>
      </c>
      <c r="K451" s="433" t="s">
        <v>242</v>
      </c>
      <c r="L451" s="316" t="s">
        <v>258</v>
      </c>
      <c r="M451" s="316">
        <f t="shared" si="1"/>
        <v>1872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customHeight="1">
      <c r="A452" s="425">
        <v>17222.0</v>
      </c>
      <c r="B452" s="426" t="s">
        <v>2280</v>
      </c>
      <c r="C452" s="426">
        <v>2008.0</v>
      </c>
      <c r="D452" s="500">
        <v>39668.0</v>
      </c>
      <c r="E452" s="428" t="s">
        <v>2281</v>
      </c>
      <c r="F452" s="397" t="s">
        <v>2282</v>
      </c>
      <c r="G452" s="428" t="s">
        <v>552</v>
      </c>
      <c r="H452" s="397" t="s">
        <v>2272</v>
      </c>
      <c r="I452" s="500">
        <v>44735.0</v>
      </c>
      <c r="J452" s="428">
        <v>6.0</v>
      </c>
      <c r="K452" s="433" t="s">
        <v>242</v>
      </c>
      <c r="L452" s="319" t="s">
        <v>256</v>
      </c>
      <c r="M452" s="319">
        <f t="shared" si="1"/>
        <v>5067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customHeight="1">
      <c r="A453" s="419">
        <v>17322.0</v>
      </c>
      <c r="B453" s="420" t="s">
        <v>2283</v>
      </c>
      <c r="C453" s="420">
        <v>2010.0</v>
      </c>
      <c r="D453" s="497">
        <v>40470.0</v>
      </c>
      <c r="E453" s="422" t="s">
        <v>2284</v>
      </c>
      <c r="F453" s="394" t="s">
        <v>1347</v>
      </c>
      <c r="G453" s="422" t="s">
        <v>552</v>
      </c>
      <c r="H453" s="394" t="s">
        <v>1907</v>
      </c>
      <c r="I453" s="497">
        <v>44735.0</v>
      </c>
      <c r="J453" s="422">
        <v>6.0</v>
      </c>
      <c r="K453" s="509" t="s">
        <v>236</v>
      </c>
      <c r="L453" s="316" t="s">
        <v>256</v>
      </c>
      <c r="M453" s="316">
        <f t="shared" si="1"/>
        <v>4265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customHeight="1">
      <c r="A454" s="425">
        <v>17422.0</v>
      </c>
      <c r="B454" s="426" t="s">
        <v>2285</v>
      </c>
      <c r="C454" s="426">
        <v>2016.0</v>
      </c>
      <c r="D454" s="500">
        <v>42584.0</v>
      </c>
      <c r="E454" s="428" t="s">
        <v>2286</v>
      </c>
      <c r="F454" s="397" t="s">
        <v>2287</v>
      </c>
      <c r="G454" s="428" t="s">
        <v>552</v>
      </c>
      <c r="H454" s="397" t="s">
        <v>740</v>
      </c>
      <c r="I454" s="500">
        <v>44735.0</v>
      </c>
      <c r="J454" s="428">
        <v>6.0</v>
      </c>
      <c r="K454" s="433" t="s">
        <v>242</v>
      </c>
      <c r="L454" s="319" t="s">
        <v>258</v>
      </c>
      <c r="M454" s="319">
        <f t="shared" si="1"/>
        <v>2151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customHeight="1">
      <c r="A455" s="419">
        <v>17522.0</v>
      </c>
      <c r="B455" s="420" t="s">
        <v>2288</v>
      </c>
      <c r="C455" s="420">
        <v>2015.0</v>
      </c>
      <c r="D455" s="497">
        <v>42195.0</v>
      </c>
      <c r="E455" s="422" t="s">
        <v>2289</v>
      </c>
      <c r="F455" s="394" t="s">
        <v>1108</v>
      </c>
      <c r="G455" s="422" t="s">
        <v>552</v>
      </c>
      <c r="H455" s="394" t="s">
        <v>1588</v>
      </c>
      <c r="I455" s="497">
        <v>44735.0</v>
      </c>
      <c r="J455" s="422">
        <v>6.0</v>
      </c>
      <c r="K455" s="433" t="s">
        <v>242</v>
      </c>
      <c r="L455" s="316" t="s">
        <v>256</v>
      </c>
      <c r="M455" s="316">
        <f t="shared" si="1"/>
        <v>2540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customHeight="1">
      <c r="A456" s="425">
        <v>17622.0</v>
      </c>
      <c r="B456" s="426" t="s">
        <v>2290</v>
      </c>
      <c r="C456" s="426">
        <v>2021.0</v>
      </c>
      <c r="D456" s="500">
        <v>44503.0</v>
      </c>
      <c r="E456" s="428" t="s">
        <v>2291</v>
      </c>
      <c r="F456" s="397" t="s">
        <v>2292</v>
      </c>
      <c r="G456" s="428" t="s">
        <v>565</v>
      </c>
      <c r="H456" s="397" t="s">
        <v>2293</v>
      </c>
      <c r="I456" s="500">
        <v>44735.0</v>
      </c>
      <c r="J456" s="428">
        <v>6.0</v>
      </c>
      <c r="K456" s="433" t="s">
        <v>240</v>
      </c>
      <c r="L456" s="319" t="s">
        <v>260</v>
      </c>
      <c r="M456" s="319">
        <f t="shared" si="1"/>
        <v>232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customHeight="1">
      <c r="A457" s="419">
        <v>17722.0</v>
      </c>
      <c r="B457" s="420" t="s">
        <v>2294</v>
      </c>
      <c r="C457" s="420">
        <v>2017.0</v>
      </c>
      <c r="D457" s="497">
        <v>42915.0</v>
      </c>
      <c r="E457" s="422" t="s">
        <v>2295</v>
      </c>
      <c r="F457" s="394" t="s">
        <v>2296</v>
      </c>
      <c r="G457" s="422" t="s">
        <v>547</v>
      </c>
      <c r="H457" s="394" t="s">
        <v>1872</v>
      </c>
      <c r="I457" s="497">
        <v>44736.0</v>
      </c>
      <c r="J457" s="422">
        <v>6.0</v>
      </c>
      <c r="K457" s="433" t="s">
        <v>242</v>
      </c>
      <c r="L457" s="316" t="s">
        <v>258</v>
      </c>
      <c r="M457" s="316">
        <f t="shared" si="1"/>
        <v>1821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customHeight="1">
      <c r="A458" s="425">
        <v>17822.0</v>
      </c>
      <c r="B458" s="426" t="s">
        <v>2297</v>
      </c>
      <c r="C458" s="426">
        <v>2020.0</v>
      </c>
      <c r="D458" s="500">
        <v>44102.0</v>
      </c>
      <c r="E458" s="428" t="s">
        <v>2298</v>
      </c>
      <c r="F458" s="397" t="s">
        <v>2299</v>
      </c>
      <c r="G458" s="428" t="s">
        <v>650</v>
      </c>
      <c r="H458" s="397" t="s">
        <v>1802</v>
      </c>
      <c r="I458" s="500">
        <v>44749.0</v>
      </c>
      <c r="J458" s="428">
        <v>7.0</v>
      </c>
      <c r="K458" s="509" t="s">
        <v>236</v>
      </c>
      <c r="L458" s="319" t="s">
        <v>256</v>
      </c>
      <c r="M458" s="319">
        <f t="shared" si="1"/>
        <v>647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customHeight="1">
      <c r="A459" s="419">
        <v>17922.0</v>
      </c>
      <c r="B459" s="420" t="s">
        <v>2300</v>
      </c>
      <c r="C459" s="420">
        <v>2015.0</v>
      </c>
      <c r="D459" s="497">
        <v>42359.0</v>
      </c>
      <c r="E459" s="422" t="s">
        <v>2301</v>
      </c>
      <c r="F459" s="394" t="s">
        <v>1514</v>
      </c>
      <c r="G459" s="422" t="s">
        <v>552</v>
      </c>
      <c r="H459" s="394" t="s">
        <v>50</v>
      </c>
      <c r="I459" s="497">
        <v>44754.0</v>
      </c>
      <c r="J459" s="422">
        <v>7.0</v>
      </c>
      <c r="K459" s="433" t="s">
        <v>240</v>
      </c>
      <c r="L459" s="316" t="s">
        <v>256</v>
      </c>
      <c r="M459" s="316">
        <f t="shared" si="1"/>
        <v>2395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customHeight="1">
      <c r="A460" s="425">
        <v>18022.0</v>
      </c>
      <c r="B460" s="426" t="s">
        <v>2302</v>
      </c>
      <c r="C460" s="426">
        <v>2020.0</v>
      </c>
      <c r="D460" s="500">
        <v>44042.0</v>
      </c>
      <c r="E460" s="428" t="s">
        <v>2303</v>
      </c>
      <c r="F460" s="397" t="s">
        <v>2304</v>
      </c>
      <c r="G460" s="428" t="s">
        <v>552</v>
      </c>
      <c r="H460" s="397" t="s">
        <v>587</v>
      </c>
      <c r="I460" s="500">
        <v>44749.0</v>
      </c>
      <c r="J460" s="428">
        <v>7.0</v>
      </c>
      <c r="K460" s="433" t="s">
        <v>240</v>
      </c>
      <c r="L460" s="319" t="s">
        <v>258</v>
      </c>
      <c r="M460" s="319">
        <f t="shared" si="1"/>
        <v>707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customHeight="1">
      <c r="A461" s="419">
        <v>18122.0</v>
      </c>
      <c r="B461" s="420" t="s">
        <v>2305</v>
      </c>
      <c r="C461" s="420">
        <v>2017.0</v>
      </c>
      <c r="D461" s="497">
        <v>42768.0</v>
      </c>
      <c r="E461" s="422" t="s">
        <v>2306</v>
      </c>
      <c r="F461" s="394" t="s">
        <v>2307</v>
      </c>
      <c r="G461" s="422" t="s">
        <v>552</v>
      </c>
      <c r="H461" s="394" t="s">
        <v>2308</v>
      </c>
      <c r="I461" s="497">
        <v>44749.0</v>
      </c>
      <c r="J461" s="422">
        <v>7.0</v>
      </c>
      <c r="K461" s="433" t="s">
        <v>240</v>
      </c>
      <c r="L461" s="316" t="s">
        <v>256</v>
      </c>
      <c r="M461" s="316">
        <f t="shared" si="1"/>
        <v>1981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customHeight="1">
      <c r="A462" s="425">
        <v>18222.0</v>
      </c>
      <c r="B462" s="426" t="s">
        <v>2309</v>
      </c>
      <c r="C462" s="426">
        <v>2015.0</v>
      </c>
      <c r="D462" s="500">
        <v>42324.0</v>
      </c>
      <c r="E462" s="428" t="s">
        <v>2310</v>
      </c>
      <c r="F462" s="397" t="s">
        <v>2311</v>
      </c>
      <c r="G462" s="428" t="s">
        <v>552</v>
      </c>
      <c r="H462" s="397" t="s">
        <v>18</v>
      </c>
      <c r="I462" s="500">
        <v>44749.0</v>
      </c>
      <c r="J462" s="428">
        <v>7.0</v>
      </c>
      <c r="K462" s="433" t="s">
        <v>240</v>
      </c>
      <c r="L462" s="319" t="s">
        <v>256</v>
      </c>
      <c r="M462" s="319">
        <f t="shared" si="1"/>
        <v>2425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customHeight="1">
      <c r="A463" s="419">
        <v>18322.0</v>
      </c>
      <c r="B463" s="420" t="s">
        <v>2312</v>
      </c>
      <c r="C463" s="420">
        <v>2015.0</v>
      </c>
      <c r="D463" s="497">
        <v>42227.0</v>
      </c>
      <c r="E463" s="422" t="s">
        <v>2313</v>
      </c>
      <c r="F463" s="394" t="s">
        <v>2314</v>
      </c>
      <c r="G463" s="422" t="s">
        <v>552</v>
      </c>
      <c r="H463" s="394" t="s">
        <v>153</v>
      </c>
      <c r="I463" s="497">
        <v>44749.0</v>
      </c>
      <c r="J463" s="422">
        <v>7.0</v>
      </c>
      <c r="K463" s="433" t="s">
        <v>242</v>
      </c>
      <c r="L463" s="316" t="s">
        <v>258</v>
      </c>
      <c r="M463" s="316">
        <f t="shared" si="1"/>
        <v>2522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customHeight="1">
      <c r="A464" s="425">
        <v>18422.0</v>
      </c>
      <c r="B464" s="426" t="s">
        <v>2315</v>
      </c>
      <c r="C464" s="426">
        <v>2011.0</v>
      </c>
      <c r="D464" s="500">
        <v>40777.0</v>
      </c>
      <c r="E464" s="428" t="s">
        <v>2316</v>
      </c>
      <c r="F464" s="397" t="s">
        <v>2317</v>
      </c>
      <c r="G464" s="428" t="s">
        <v>650</v>
      </c>
      <c r="H464" s="397" t="s">
        <v>2318</v>
      </c>
      <c r="I464" s="500">
        <v>44749.0</v>
      </c>
      <c r="J464" s="428">
        <v>7.0</v>
      </c>
      <c r="K464" s="433" t="s">
        <v>242</v>
      </c>
      <c r="L464" s="319" t="s">
        <v>256</v>
      </c>
      <c r="M464" s="319">
        <f t="shared" si="1"/>
        <v>3972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customHeight="1">
      <c r="A465" s="419">
        <v>18522.0</v>
      </c>
      <c r="B465" s="420" t="s">
        <v>2319</v>
      </c>
      <c r="C465" s="420">
        <v>2017.0</v>
      </c>
      <c r="D465" s="497">
        <v>42899.0</v>
      </c>
      <c r="E465" s="422" t="s">
        <v>2320</v>
      </c>
      <c r="F465" s="394" t="s">
        <v>2321</v>
      </c>
      <c r="G465" s="422" t="s">
        <v>547</v>
      </c>
      <c r="H465" s="394" t="s">
        <v>158</v>
      </c>
      <c r="I465" s="497">
        <v>44749.0</v>
      </c>
      <c r="J465" s="422">
        <v>7.0</v>
      </c>
      <c r="K465" s="511" t="s">
        <v>602</v>
      </c>
      <c r="L465" s="316" t="s">
        <v>256</v>
      </c>
      <c r="M465" s="316">
        <f t="shared" si="1"/>
        <v>1850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customHeight="1">
      <c r="A466" s="425">
        <v>18622.0</v>
      </c>
      <c r="B466" s="426" t="s">
        <v>2322</v>
      </c>
      <c r="C466" s="426">
        <v>2015.0</v>
      </c>
      <c r="D466" s="500">
        <v>42216.0</v>
      </c>
      <c r="E466" s="428" t="s">
        <v>2323</v>
      </c>
      <c r="F466" s="397" t="s">
        <v>2324</v>
      </c>
      <c r="G466" s="428" t="s">
        <v>650</v>
      </c>
      <c r="H466" s="397" t="s">
        <v>2325</v>
      </c>
      <c r="I466" s="500">
        <v>44754.0</v>
      </c>
      <c r="J466" s="428">
        <v>7.0</v>
      </c>
      <c r="K466" s="433" t="s">
        <v>242</v>
      </c>
      <c r="L466" s="319" t="s">
        <v>256</v>
      </c>
      <c r="M466" s="319">
        <f t="shared" si="1"/>
        <v>2538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customHeight="1">
      <c r="A467" s="419">
        <v>18722.0</v>
      </c>
      <c r="B467" s="420" t="s">
        <v>2326</v>
      </c>
      <c r="C467" s="420">
        <v>2015.0</v>
      </c>
      <c r="D467" s="497">
        <v>42335.0</v>
      </c>
      <c r="E467" s="422" t="s">
        <v>2327</v>
      </c>
      <c r="F467" s="394" t="s">
        <v>922</v>
      </c>
      <c r="G467" s="422" t="s">
        <v>547</v>
      </c>
      <c r="H467" s="394" t="s">
        <v>158</v>
      </c>
      <c r="I467" s="497">
        <v>44754.0</v>
      </c>
      <c r="J467" s="422">
        <v>7.0</v>
      </c>
      <c r="K467" s="433" t="s">
        <v>242</v>
      </c>
      <c r="L467" s="316" t="s">
        <v>256</v>
      </c>
      <c r="M467" s="316">
        <f t="shared" si="1"/>
        <v>2419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customHeight="1">
      <c r="A468" s="425">
        <v>18822.0</v>
      </c>
      <c r="B468" s="426" t="s">
        <v>2328</v>
      </c>
      <c r="C468" s="426">
        <v>2021.0</v>
      </c>
      <c r="D468" s="500">
        <v>44531.0</v>
      </c>
      <c r="E468" s="428" t="s">
        <v>2329</v>
      </c>
      <c r="F468" s="397" t="s">
        <v>2330</v>
      </c>
      <c r="G468" s="428" t="s">
        <v>565</v>
      </c>
      <c r="H468" s="397" t="s">
        <v>2331</v>
      </c>
      <c r="I468" s="500">
        <v>44757.0</v>
      </c>
      <c r="J468" s="428">
        <v>7.0</v>
      </c>
      <c r="K468" s="511" t="s">
        <v>602</v>
      </c>
      <c r="L468" s="319" t="s">
        <v>260</v>
      </c>
      <c r="M468" s="319">
        <f t="shared" si="1"/>
        <v>226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customHeight="1">
      <c r="A469" s="419">
        <v>18922.0</v>
      </c>
      <c r="B469" s="420" t="s">
        <v>2332</v>
      </c>
      <c r="C469" s="420">
        <v>2021.0</v>
      </c>
      <c r="D469" s="497">
        <v>44531.0</v>
      </c>
      <c r="E469" s="422" t="s">
        <v>2333</v>
      </c>
      <c r="F469" s="394" t="s">
        <v>2334</v>
      </c>
      <c r="G469" s="422" t="s">
        <v>565</v>
      </c>
      <c r="H469" s="394" t="s">
        <v>2331</v>
      </c>
      <c r="I469" s="497">
        <v>44757.0</v>
      </c>
      <c r="J469" s="422">
        <v>7.0</v>
      </c>
      <c r="K469" s="511" t="s">
        <v>602</v>
      </c>
      <c r="L469" s="316" t="s">
        <v>260</v>
      </c>
      <c r="M469" s="316">
        <f t="shared" si="1"/>
        <v>226</v>
      </c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2.75" customHeight="1">
      <c r="A470" s="425">
        <v>19022.0</v>
      </c>
      <c r="B470" s="426" t="s">
        <v>2335</v>
      </c>
      <c r="C470" s="426">
        <v>2020.0</v>
      </c>
      <c r="D470" s="500">
        <v>44046.0</v>
      </c>
      <c r="E470" s="428" t="s">
        <v>2336</v>
      </c>
      <c r="F470" s="397" t="s">
        <v>2337</v>
      </c>
      <c r="G470" s="428" t="s">
        <v>552</v>
      </c>
      <c r="H470" s="397" t="s">
        <v>149</v>
      </c>
      <c r="I470" s="500">
        <v>44757.0</v>
      </c>
      <c r="J470" s="428">
        <v>7.0</v>
      </c>
      <c r="K470" s="433" t="s">
        <v>240</v>
      </c>
      <c r="L470" s="319" t="s">
        <v>256</v>
      </c>
      <c r="M470" s="319">
        <f t="shared" si="1"/>
        <v>711</v>
      </c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customHeight="1">
      <c r="A471" s="419">
        <v>19122.0</v>
      </c>
      <c r="B471" s="420" t="s">
        <v>2338</v>
      </c>
      <c r="C471" s="420">
        <v>2020.0</v>
      </c>
      <c r="D471" s="497">
        <v>43899.0</v>
      </c>
      <c r="E471" s="422" t="s">
        <v>2339</v>
      </c>
      <c r="F471" s="394" t="s">
        <v>1823</v>
      </c>
      <c r="G471" s="422" t="s">
        <v>552</v>
      </c>
      <c r="H471" s="394" t="s">
        <v>2340</v>
      </c>
      <c r="I471" s="497">
        <v>44757.0</v>
      </c>
      <c r="J471" s="422">
        <v>7.0</v>
      </c>
      <c r="K471" s="433" t="s">
        <v>242</v>
      </c>
      <c r="L471" s="316" t="s">
        <v>258</v>
      </c>
      <c r="M471" s="316">
        <f t="shared" si="1"/>
        <v>858</v>
      </c>
      <c r="N471" s="512"/>
      <c r="O471" s="512"/>
      <c r="P471" s="512"/>
      <c r="Q471" s="512"/>
      <c r="R471" s="512"/>
      <c r="S471" s="512"/>
      <c r="T471" s="512"/>
      <c r="U471" s="512"/>
      <c r="V471" s="512"/>
      <c r="W471" s="512"/>
      <c r="X471" s="512"/>
      <c r="Y471" s="512"/>
      <c r="Z471" s="512"/>
    </row>
    <row r="472" ht="12.75" customHeight="1">
      <c r="A472" s="425">
        <v>19222.0</v>
      </c>
      <c r="B472" s="426" t="s">
        <v>2341</v>
      </c>
      <c r="C472" s="426">
        <v>2021.0</v>
      </c>
      <c r="D472" s="500">
        <v>44537.0</v>
      </c>
      <c r="E472" s="428" t="s">
        <v>2342</v>
      </c>
      <c r="F472" s="397" t="s">
        <v>2343</v>
      </c>
      <c r="G472" s="428" t="s">
        <v>569</v>
      </c>
      <c r="H472" s="397" t="s">
        <v>639</v>
      </c>
      <c r="I472" s="500">
        <v>44757.0</v>
      </c>
      <c r="J472" s="428">
        <v>7.0</v>
      </c>
      <c r="K472" s="433" t="s">
        <v>242</v>
      </c>
      <c r="L472" s="319" t="s">
        <v>260</v>
      </c>
      <c r="M472" s="319">
        <f t="shared" si="1"/>
        <v>220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customHeight="1">
      <c r="A473" s="419">
        <v>19322.0</v>
      </c>
      <c r="B473" s="420" t="s">
        <v>2344</v>
      </c>
      <c r="C473" s="420">
        <v>2018.0</v>
      </c>
      <c r="D473" s="497">
        <v>43130.0</v>
      </c>
      <c r="E473" s="422" t="s">
        <v>2345</v>
      </c>
      <c r="F473" s="394" t="s">
        <v>2346</v>
      </c>
      <c r="G473" s="422" t="s">
        <v>547</v>
      </c>
      <c r="H473" s="394" t="s">
        <v>705</v>
      </c>
      <c r="I473" s="497">
        <v>44760.0</v>
      </c>
      <c r="J473" s="422">
        <v>7.0</v>
      </c>
      <c r="K473" s="433" t="s">
        <v>240</v>
      </c>
      <c r="L473" s="316" t="s">
        <v>256</v>
      </c>
      <c r="M473" s="316">
        <f t="shared" si="1"/>
        <v>1630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customHeight="1">
      <c r="A474" s="425">
        <v>19422.0</v>
      </c>
      <c r="B474" s="426" t="s">
        <v>2347</v>
      </c>
      <c r="C474" s="426">
        <v>2021.0</v>
      </c>
      <c r="D474" s="500">
        <v>44518.0</v>
      </c>
      <c r="E474" s="428" t="s">
        <v>637</v>
      </c>
      <c r="F474" s="397" t="s">
        <v>2348</v>
      </c>
      <c r="G474" s="428" t="s">
        <v>569</v>
      </c>
      <c r="H474" s="397" t="s">
        <v>2349</v>
      </c>
      <c r="I474" s="500">
        <v>44760.0</v>
      </c>
      <c r="J474" s="428">
        <v>7.0</v>
      </c>
      <c r="K474" s="511" t="s">
        <v>602</v>
      </c>
      <c r="L474" s="319" t="s">
        <v>260</v>
      </c>
      <c r="M474" s="319">
        <f t="shared" si="1"/>
        <v>242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customHeight="1">
      <c r="A475" s="419">
        <v>19522.0</v>
      </c>
      <c r="B475" s="420" t="s">
        <v>2350</v>
      </c>
      <c r="C475" s="420">
        <v>2021.0</v>
      </c>
      <c r="D475" s="497">
        <v>44551.0</v>
      </c>
      <c r="E475" s="422" t="s">
        <v>2351</v>
      </c>
      <c r="F475" s="394" t="s">
        <v>2352</v>
      </c>
      <c r="G475" s="422" t="s">
        <v>565</v>
      </c>
      <c r="H475" s="394" t="s">
        <v>2353</v>
      </c>
      <c r="I475" s="497">
        <v>44760.0</v>
      </c>
      <c r="J475" s="422">
        <v>7.0</v>
      </c>
      <c r="K475" s="433" t="s">
        <v>242</v>
      </c>
      <c r="L475" s="316" t="s">
        <v>260</v>
      </c>
      <c r="M475" s="316">
        <f t="shared" si="1"/>
        <v>209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customHeight="1">
      <c r="A476" s="425">
        <v>19622.0</v>
      </c>
      <c r="B476" s="426" t="s">
        <v>2354</v>
      </c>
      <c r="C476" s="426">
        <v>2018.0</v>
      </c>
      <c r="D476" s="500">
        <v>43453.0</v>
      </c>
      <c r="E476" s="428" t="s">
        <v>2355</v>
      </c>
      <c r="F476" s="397" t="s">
        <v>2337</v>
      </c>
      <c r="G476" s="428" t="s">
        <v>552</v>
      </c>
      <c r="H476" s="397" t="s">
        <v>596</v>
      </c>
      <c r="I476" s="500">
        <v>44760.0</v>
      </c>
      <c r="J476" s="428">
        <v>7.0</v>
      </c>
      <c r="K476" s="433" t="s">
        <v>240</v>
      </c>
      <c r="L476" s="319" t="s">
        <v>256</v>
      </c>
      <c r="M476" s="319">
        <f t="shared" si="1"/>
        <v>1307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customHeight="1">
      <c r="A477" s="419">
        <v>19722.0</v>
      </c>
      <c r="B477" s="420" t="s">
        <v>2356</v>
      </c>
      <c r="C477" s="420">
        <v>2022.0</v>
      </c>
      <c r="D477" s="497">
        <v>44607.0</v>
      </c>
      <c r="E477" s="422" t="s">
        <v>2357</v>
      </c>
      <c r="F477" s="394" t="s">
        <v>2358</v>
      </c>
      <c r="G477" s="422" t="s">
        <v>569</v>
      </c>
      <c r="H477" s="394" t="s">
        <v>1941</v>
      </c>
      <c r="I477" s="497">
        <v>44760.0</v>
      </c>
      <c r="J477" s="422">
        <v>7.0</v>
      </c>
      <c r="K477" s="433" t="s">
        <v>242</v>
      </c>
      <c r="L477" s="316" t="s">
        <v>260</v>
      </c>
      <c r="M477" s="316">
        <f t="shared" si="1"/>
        <v>153</v>
      </c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customHeight="1">
      <c r="A478" s="425">
        <v>19822.0</v>
      </c>
      <c r="B478" s="426" t="s">
        <v>2359</v>
      </c>
      <c r="C478" s="426">
        <v>2021.0</v>
      </c>
      <c r="D478" s="500">
        <v>44523.0</v>
      </c>
      <c r="E478" s="428" t="s">
        <v>2360</v>
      </c>
      <c r="F478" s="397" t="s">
        <v>2361</v>
      </c>
      <c r="G478" s="428" t="s">
        <v>565</v>
      </c>
      <c r="H478" s="397" t="s">
        <v>2236</v>
      </c>
      <c r="I478" s="500">
        <v>44760.0</v>
      </c>
      <c r="J478" s="428">
        <v>7.0</v>
      </c>
      <c r="K478" s="433" t="s">
        <v>242</v>
      </c>
      <c r="L478" s="319" t="s">
        <v>260</v>
      </c>
      <c r="M478" s="319">
        <f t="shared" si="1"/>
        <v>237</v>
      </c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customHeight="1">
      <c r="A479" s="419">
        <v>19922.0</v>
      </c>
      <c r="B479" s="420" t="s">
        <v>2362</v>
      </c>
      <c r="C479" s="420">
        <v>2021.0</v>
      </c>
      <c r="D479" s="497">
        <v>44530.0</v>
      </c>
      <c r="E479" s="422" t="s">
        <v>2363</v>
      </c>
      <c r="F479" s="394" t="s">
        <v>2364</v>
      </c>
      <c r="G479" s="422" t="s">
        <v>565</v>
      </c>
      <c r="H479" s="394" t="s">
        <v>2365</v>
      </c>
      <c r="I479" s="497">
        <v>44760.0</v>
      </c>
      <c r="J479" s="422">
        <v>7.0</v>
      </c>
      <c r="K479" s="433" t="s">
        <v>242</v>
      </c>
      <c r="L479" s="316" t="s">
        <v>260</v>
      </c>
      <c r="M479" s="316">
        <f t="shared" si="1"/>
        <v>230</v>
      </c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customHeight="1">
      <c r="A480" s="425">
        <v>20022.0</v>
      </c>
      <c r="B480" s="426" t="s">
        <v>2366</v>
      </c>
      <c r="C480" s="426">
        <v>2015.0</v>
      </c>
      <c r="D480" s="500">
        <v>42216.0</v>
      </c>
      <c r="E480" s="428" t="s">
        <v>2367</v>
      </c>
      <c r="F480" s="397" t="s">
        <v>2324</v>
      </c>
      <c r="G480" s="428" t="s">
        <v>650</v>
      </c>
      <c r="H480" s="397" t="s">
        <v>2325</v>
      </c>
      <c r="I480" s="500">
        <v>44760.0</v>
      </c>
      <c r="J480" s="428">
        <v>7.0</v>
      </c>
      <c r="K480" s="433" t="s">
        <v>242</v>
      </c>
      <c r="L480" s="319" t="s">
        <v>256</v>
      </c>
      <c r="M480" s="319">
        <f t="shared" si="1"/>
        <v>2544</v>
      </c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customHeight="1">
      <c r="A481" s="419">
        <v>20122.0</v>
      </c>
      <c r="B481" s="420" t="s">
        <v>2368</v>
      </c>
      <c r="C481" s="420">
        <v>2021.0</v>
      </c>
      <c r="D481" s="497">
        <v>44550.0</v>
      </c>
      <c r="E481" s="422" t="s">
        <v>2369</v>
      </c>
      <c r="F481" s="394" t="s">
        <v>2370</v>
      </c>
      <c r="G481" s="422" t="s">
        <v>565</v>
      </c>
      <c r="H481" s="394" t="s">
        <v>2371</v>
      </c>
      <c r="I481" s="497">
        <v>44761.0</v>
      </c>
      <c r="J481" s="422">
        <v>7.0</v>
      </c>
      <c r="K481" s="433" t="s">
        <v>242</v>
      </c>
      <c r="L481" s="316" t="s">
        <v>260</v>
      </c>
      <c r="M481" s="316">
        <f t="shared" si="1"/>
        <v>211</v>
      </c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customHeight="1">
      <c r="A482" s="425">
        <v>20222.0</v>
      </c>
      <c r="B482" s="426" t="s">
        <v>2372</v>
      </c>
      <c r="C482" s="426">
        <v>2021.0</v>
      </c>
      <c r="D482" s="500">
        <v>44550.0</v>
      </c>
      <c r="E482" s="428" t="s">
        <v>2373</v>
      </c>
      <c r="F482" s="397" t="s">
        <v>2374</v>
      </c>
      <c r="G482" s="428" t="s">
        <v>565</v>
      </c>
      <c r="H482" s="397" t="s">
        <v>2371</v>
      </c>
      <c r="I482" s="500">
        <v>44761.0</v>
      </c>
      <c r="J482" s="428">
        <v>7.0</v>
      </c>
      <c r="K482" s="433" t="s">
        <v>242</v>
      </c>
      <c r="L482" s="319" t="s">
        <v>260</v>
      </c>
      <c r="M482" s="319">
        <f t="shared" si="1"/>
        <v>211</v>
      </c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customHeight="1">
      <c r="A483" s="419">
        <v>20322.0</v>
      </c>
      <c r="B483" s="420" t="s">
        <v>2375</v>
      </c>
      <c r="C483" s="420">
        <v>2021.0</v>
      </c>
      <c r="D483" s="497">
        <v>44546.0</v>
      </c>
      <c r="E483" s="422" t="s">
        <v>2376</v>
      </c>
      <c r="F483" s="394" t="s">
        <v>2370</v>
      </c>
      <c r="G483" s="422" t="s">
        <v>565</v>
      </c>
      <c r="H483" s="394" t="s">
        <v>2353</v>
      </c>
      <c r="I483" s="497">
        <v>44761.0</v>
      </c>
      <c r="J483" s="422">
        <v>7.0</v>
      </c>
      <c r="K483" s="433" t="s">
        <v>242</v>
      </c>
      <c r="L483" s="316" t="s">
        <v>260</v>
      </c>
      <c r="M483" s="316">
        <f t="shared" si="1"/>
        <v>215</v>
      </c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customHeight="1">
      <c r="A484" s="425">
        <v>20422.0</v>
      </c>
      <c r="B484" s="426" t="s">
        <v>2377</v>
      </c>
      <c r="C484" s="426">
        <v>2021.0</v>
      </c>
      <c r="D484" s="500">
        <v>44550.0</v>
      </c>
      <c r="E484" s="428" t="s">
        <v>2378</v>
      </c>
      <c r="F484" s="397" t="s">
        <v>2379</v>
      </c>
      <c r="G484" s="428" t="s">
        <v>565</v>
      </c>
      <c r="H484" s="397" t="s">
        <v>2380</v>
      </c>
      <c r="I484" s="500">
        <v>44761.0</v>
      </c>
      <c r="J484" s="428">
        <v>7.0</v>
      </c>
      <c r="K484" s="433" t="s">
        <v>242</v>
      </c>
      <c r="L484" s="319" t="s">
        <v>260</v>
      </c>
      <c r="M484" s="319">
        <f t="shared" si="1"/>
        <v>211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customHeight="1">
      <c r="A485" s="419">
        <v>20522.0</v>
      </c>
      <c r="B485" s="420" t="s">
        <v>2381</v>
      </c>
      <c r="C485" s="420">
        <v>2022.0</v>
      </c>
      <c r="D485" s="497">
        <v>44648.0</v>
      </c>
      <c r="E485" s="422" t="s">
        <v>2382</v>
      </c>
      <c r="F485" s="394" t="s">
        <v>2383</v>
      </c>
      <c r="G485" s="422" t="s">
        <v>569</v>
      </c>
      <c r="H485" s="394" t="s">
        <v>2384</v>
      </c>
      <c r="I485" s="497">
        <v>44761.0</v>
      </c>
      <c r="J485" s="422">
        <v>7.0</v>
      </c>
      <c r="K485" s="511" t="s">
        <v>602</v>
      </c>
      <c r="L485" s="316" t="s">
        <v>260</v>
      </c>
      <c r="M485" s="316">
        <f t="shared" si="1"/>
        <v>113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customHeight="1">
      <c r="A486" s="425">
        <v>20622.0</v>
      </c>
      <c r="B486" s="426" t="s">
        <v>2385</v>
      </c>
      <c r="C486" s="426">
        <v>2017.0</v>
      </c>
      <c r="D486" s="500">
        <v>43042.0</v>
      </c>
      <c r="E486" s="428" t="s">
        <v>2386</v>
      </c>
      <c r="F486" s="397" t="s">
        <v>1968</v>
      </c>
      <c r="G486" s="428" t="s">
        <v>552</v>
      </c>
      <c r="H486" s="397" t="s">
        <v>2387</v>
      </c>
      <c r="I486" s="500">
        <v>44762.0</v>
      </c>
      <c r="J486" s="428">
        <v>7.0</v>
      </c>
      <c r="K486" s="433" t="s">
        <v>242</v>
      </c>
      <c r="L486" s="319" t="s">
        <v>256</v>
      </c>
      <c r="M486" s="319">
        <f t="shared" si="1"/>
        <v>1720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customHeight="1">
      <c r="A487" s="419">
        <v>20722.0</v>
      </c>
      <c r="B487" s="420" t="s">
        <v>2388</v>
      </c>
      <c r="C487" s="420">
        <v>2022.0</v>
      </c>
      <c r="D487" s="497">
        <v>44637.0</v>
      </c>
      <c r="E487" s="422" t="s">
        <v>2389</v>
      </c>
      <c r="F487" s="394" t="s">
        <v>2390</v>
      </c>
      <c r="G487" s="422" t="s">
        <v>569</v>
      </c>
      <c r="H487" s="394" t="s">
        <v>2384</v>
      </c>
      <c r="I487" s="497">
        <v>44762.0</v>
      </c>
      <c r="J487" s="422">
        <v>7.0</v>
      </c>
      <c r="K487" s="511" t="s">
        <v>602</v>
      </c>
      <c r="L487" s="316" t="s">
        <v>260</v>
      </c>
      <c r="M487" s="316">
        <f t="shared" si="1"/>
        <v>125</v>
      </c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customHeight="1">
      <c r="A488" s="425">
        <v>20822.0</v>
      </c>
      <c r="B488" s="426" t="s">
        <v>2391</v>
      </c>
      <c r="C488" s="426">
        <v>2021.0</v>
      </c>
      <c r="D488" s="500">
        <v>44551.0</v>
      </c>
      <c r="E488" s="428" t="s">
        <v>2392</v>
      </c>
      <c r="F488" s="397" t="s">
        <v>2352</v>
      </c>
      <c r="G488" s="428" t="s">
        <v>565</v>
      </c>
      <c r="H488" s="397" t="s">
        <v>2353</v>
      </c>
      <c r="I488" s="500">
        <v>44762.0</v>
      </c>
      <c r="J488" s="428">
        <v>7.0</v>
      </c>
      <c r="K488" s="433" t="s">
        <v>242</v>
      </c>
      <c r="L488" s="319" t="s">
        <v>260</v>
      </c>
      <c r="M488" s="319">
        <f t="shared" si="1"/>
        <v>211</v>
      </c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customHeight="1">
      <c r="A489" s="419">
        <v>20922.0</v>
      </c>
      <c r="B489" s="420" t="s">
        <v>2393</v>
      </c>
      <c r="C489" s="420">
        <v>2021.0</v>
      </c>
      <c r="D489" s="497">
        <v>44264.0</v>
      </c>
      <c r="E489" s="422" t="s">
        <v>2394</v>
      </c>
      <c r="F489" s="394" t="s">
        <v>739</v>
      </c>
      <c r="G489" s="422" t="s">
        <v>552</v>
      </c>
      <c r="H489" s="394" t="s">
        <v>727</v>
      </c>
      <c r="I489" s="497">
        <v>44771.0</v>
      </c>
      <c r="J489" s="422">
        <v>7.0</v>
      </c>
      <c r="K489" s="433" t="s">
        <v>242</v>
      </c>
      <c r="L489" s="316" t="s">
        <v>258</v>
      </c>
      <c r="M489" s="316">
        <f t="shared" si="1"/>
        <v>507</v>
      </c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customHeight="1">
      <c r="A490" s="425">
        <v>21022.0</v>
      </c>
      <c r="B490" s="426" t="s">
        <v>2395</v>
      </c>
      <c r="C490" s="426">
        <v>2021.0</v>
      </c>
      <c r="D490" s="500">
        <v>44417.0</v>
      </c>
      <c r="E490" s="428" t="s">
        <v>2396</v>
      </c>
      <c r="F490" s="397" t="s">
        <v>615</v>
      </c>
      <c r="G490" s="428" t="s">
        <v>569</v>
      </c>
      <c r="H490" s="397" t="s">
        <v>2397</v>
      </c>
      <c r="I490" s="500">
        <v>44771.0</v>
      </c>
      <c r="J490" s="428">
        <v>7.0</v>
      </c>
      <c r="K490" s="433" t="s">
        <v>242</v>
      </c>
      <c r="L490" s="319" t="s">
        <v>260</v>
      </c>
      <c r="M490" s="319">
        <f t="shared" si="1"/>
        <v>354</v>
      </c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customHeight="1">
      <c r="A491" s="419">
        <v>21122.0</v>
      </c>
      <c r="B491" s="420" t="s">
        <v>2398</v>
      </c>
      <c r="C491" s="441">
        <v>2015.0</v>
      </c>
      <c r="D491" s="510">
        <v>42338.0</v>
      </c>
      <c r="E491" s="422" t="s">
        <v>2399</v>
      </c>
      <c r="F491" s="394" t="s">
        <v>1762</v>
      </c>
      <c r="G491" s="422" t="s">
        <v>552</v>
      </c>
      <c r="H491" s="394" t="s">
        <v>2400</v>
      </c>
      <c r="I491" s="497">
        <v>44771.0</v>
      </c>
      <c r="J491" s="422">
        <v>7.0</v>
      </c>
      <c r="K491" s="433" t="s">
        <v>242</v>
      </c>
      <c r="L491" s="316" t="s">
        <v>256</v>
      </c>
      <c r="M491" s="316">
        <f t="shared" si="1"/>
        <v>2433</v>
      </c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customHeight="1">
      <c r="A492" s="425">
        <v>21222.0</v>
      </c>
      <c r="B492" s="426" t="s">
        <v>2401</v>
      </c>
      <c r="C492" s="426">
        <v>2021.0</v>
      </c>
      <c r="D492" s="500">
        <v>44517.0</v>
      </c>
      <c r="E492" s="428" t="s">
        <v>2402</v>
      </c>
      <c r="F492" s="397" t="s">
        <v>615</v>
      </c>
      <c r="G492" s="428" t="s">
        <v>569</v>
      </c>
      <c r="H492" s="397" t="s">
        <v>2150</v>
      </c>
      <c r="I492" s="500">
        <v>44771.0</v>
      </c>
      <c r="J492" s="428">
        <v>7.0</v>
      </c>
      <c r="K492" s="433" t="s">
        <v>242</v>
      </c>
      <c r="L492" s="319" t="s">
        <v>260</v>
      </c>
      <c r="M492" s="319">
        <f t="shared" si="1"/>
        <v>254</v>
      </c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customHeight="1">
      <c r="A493" s="419">
        <v>21322.0</v>
      </c>
      <c r="B493" s="420" t="s">
        <v>2403</v>
      </c>
      <c r="C493" s="420">
        <v>2011.0</v>
      </c>
      <c r="D493" s="497">
        <v>40752.0</v>
      </c>
      <c r="E493" s="422" t="s">
        <v>2404</v>
      </c>
      <c r="F493" s="394" t="s">
        <v>666</v>
      </c>
      <c r="G493" s="422" t="s">
        <v>552</v>
      </c>
      <c r="H493" s="394" t="s">
        <v>1907</v>
      </c>
      <c r="I493" s="497">
        <v>44771.0</v>
      </c>
      <c r="J493" s="422">
        <v>7.0</v>
      </c>
      <c r="K493" s="507" t="s">
        <v>238</v>
      </c>
      <c r="L493" s="316" t="s">
        <v>256</v>
      </c>
      <c r="M493" s="316">
        <f t="shared" si="1"/>
        <v>4019</v>
      </c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customHeight="1">
      <c r="A494" s="425">
        <v>21422.0</v>
      </c>
      <c r="B494" s="426" t="s">
        <v>2405</v>
      </c>
      <c r="C494" s="426">
        <v>2021.0</v>
      </c>
      <c r="D494" s="500">
        <v>44223.0</v>
      </c>
      <c r="E494" s="428" t="s">
        <v>2406</v>
      </c>
      <c r="F494" s="397" t="s">
        <v>2407</v>
      </c>
      <c r="G494" s="428" t="s">
        <v>569</v>
      </c>
      <c r="H494" s="397" t="s">
        <v>2408</v>
      </c>
      <c r="I494" s="500">
        <v>44771.0</v>
      </c>
      <c r="J494" s="428">
        <v>7.0</v>
      </c>
      <c r="K494" s="511" t="s">
        <v>602</v>
      </c>
      <c r="L494" s="319" t="s">
        <v>260</v>
      </c>
      <c r="M494" s="319">
        <f t="shared" si="1"/>
        <v>548</v>
      </c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customHeight="1">
      <c r="A495" s="419">
        <v>21522.0</v>
      </c>
      <c r="B495" s="420" t="s">
        <v>2409</v>
      </c>
      <c r="C495" s="420">
        <v>2017.0</v>
      </c>
      <c r="D495" s="497">
        <v>42898.0</v>
      </c>
      <c r="E495" s="422" t="s">
        <v>2410</v>
      </c>
      <c r="F495" s="394" t="s">
        <v>186</v>
      </c>
      <c r="G495" s="422" t="s">
        <v>552</v>
      </c>
      <c r="H495" s="394" t="s">
        <v>2318</v>
      </c>
      <c r="I495" s="497">
        <v>44771.0</v>
      </c>
      <c r="J495" s="422">
        <v>7.0</v>
      </c>
      <c r="K495" s="513" t="s">
        <v>236</v>
      </c>
      <c r="L495" s="316" t="s">
        <v>258</v>
      </c>
      <c r="M495" s="316">
        <f t="shared" si="1"/>
        <v>1873</v>
      </c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customHeight="1">
      <c r="A496" s="425">
        <v>21622.0</v>
      </c>
      <c r="B496" s="426" t="s">
        <v>2411</v>
      </c>
      <c r="C496" s="426">
        <v>2021.0</v>
      </c>
      <c r="D496" s="500">
        <v>44545.0</v>
      </c>
      <c r="E496" s="428" t="s">
        <v>2412</v>
      </c>
      <c r="F496" s="397" t="s">
        <v>2413</v>
      </c>
      <c r="G496" s="428" t="s">
        <v>569</v>
      </c>
      <c r="H496" s="397" t="s">
        <v>2089</v>
      </c>
      <c r="I496" s="500">
        <v>44771.0</v>
      </c>
      <c r="J496" s="428">
        <v>7.0</v>
      </c>
      <c r="K496" s="433" t="s">
        <v>242</v>
      </c>
      <c r="L496" s="319" t="s">
        <v>260</v>
      </c>
      <c r="M496" s="319">
        <f t="shared" si="1"/>
        <v>226</v>
      </c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customHeight="1">
      <c r="A497" s="419">
        <v>21722.0</v>
      </c>
      <c r="B497" s="420" t="s">
        <v>2414</v>
      </c>
      <c r="C497" s="420">
        <v>2020.0</v>
      </c>
      <c r="D497" s="497">
        <v>44102.0</v>
      </c>
      <c r="E497" s="422" t="s">
        <v>2415</v>
      </c>
      <c r="F497" s="394" t="s">
        <v>2416</v>
      </c>
      <c r="G497" s="422" t="s">
        <v>552</v>
      </c>
      <c r="H497" s="394" t="s">
        <v>163</v>
      </c>
      <c r="I497" s="497">
        <v>44771.0</v>
      </c>
      <c r="J497" s="422">
        <v>7.0</v>
      </c>
      <c r="K497" s="433" t="s">
        <v>242</v>
      </c>
      <c r="L497" s="316" t="s">
        <v>256</v>
      </c>
      <c r="M497" s="316">
        <f t="shared" si="1"/>
        <v>669</v>
      </c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customHeight="1">
      <c r="A498" s="425">
        <v>21822.0</v>
      </c>
      <c r="B498" s="426" t="s">
        <v>2417</v>
      </c>
      <c r="C498" s="426">
        <v>2015.0</v>
      </c>
      <c r="D498" s="500">
        <v>42256.0</v>
      </c>
      <c r="E498" s="428" t="s">
        <v>2418</v>
      </c>
      <c r="F498" s="397" t="s">
        <v>563</v>
      </c>
      <c r="G498" s="428" t="s">
        <v>552</v>
      </c>
      <c r="H498" s="397" t="s">
        <v>2419</v>
      </c>
      <c r="I498" s="500">
        <v>44771.0</v>
      </c>
      <c r="J498" s="428">
        <v>7.0</v>
      </c>
      <c r="K498" s="433" t="s">
        <v>240</v>
      </c>
      <c r="L498" s="319" t="s">
        <v>256</v>
      </c>
      <c r="M498" s="319">
        <f t="shared" si="1"/>
        <v>2515</v>
      </c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customHeight="1">
      <c r="A499" s="419">
        <v>21922.0</v>
      </c>
      <c r="B499" s="420" t="s">
        <v>2420</v>
      </c>
      <c r="C499" s="420">
        <v>2021.0</v>
      </c>
      <c r="D499" s="497">
        <v>44523.0</v>
      </c>
      <c r="E499" s="422" t="s">
        <v>2421</v>
      </c>
      <c r="F499" s="394" t="s">
        <v>2422</v>
      </c>
      <c r="G499" s="422" t="s">
        <v>565</v>
      </c>
      <c r="H499" s="394" t="s">
        <v>2331</v>
      </c>
      <c r="I499" s="497">
        <v>44771.0</v>
      </c>
      <c r="J499" s="422">
        <v>7.0</v>
      </c>
      <c r="K499" s="433" t="s">
        <v>242</v>
      </c>
      <c r="L499" s="316" t="s">
        <v>260</v>
      </c>
      <c r="M499" s="316">
        <f t="shared" si="1"/>
        <v>248</v>
      </c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customHeight="1">
      <c r="A500" s="425">
        <v>22022.0</v>
      </c>
      <c r="B500" s="426" t="s">
        <v>2423</v>
      </c>
      <c r="C500" s="426">
        <v>2015.0</v>
      </c>
      <c r="D500" s="500">
        <v>42151.0</v>
      </c>
      <c r="E500" s="428" t="s">
        <v>2424</v>
      </c>
      <c r="F500" s="397" t="s">
        <v>2337</v>
      </c>
      <c r="G500" s="428" t="s">
        <v>552</v>
      </c>
      <c r="H500" s="397" t="s">
        <v>2400</v>
      </c>
      <c r="I500" s="500">
        <v>44774.0</v>
      </c>
      <c r="J500" s="428">
        <v>8.0</v>
      </c>
      <c r="K500" s="433" t="s">
        <v>240</v>
      </c>
      <c r="L500" s="319" t="s">
        <v>256</v>
      </c>
      <c r="M500" s="319">
        <f t="shared" si="1"/>
        <v>2623</v>
      </c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customHeight="1">
      <c r="A501" s="419">
        <v>22122.0</v>
      </c>
      <c r="B501" s="420" t="s">
        <v>2425</v>
      </c>
      <c r="C501" s="420">
        <v>2021.0</v>
      </c>
      <c r="D501" s="497">
        <v>44551.0</v>
      </c>
      <c r="E501" s="422" t="s">
        <v>2426</v>
      </c>
      <c r="F501" s="394" t="s">
        <v>2427</v>
      </c>
      <c r="G501" s="422" t="s">
        <v>565</v>
      </c>
      <c r="H501" s="394" t="s">
        <v>2371</v>
      </c>
      <c r="I501" s="497">
        <v>44774.0</v>
      </c>
      <c r="J501" s="422">
        <v>8.0</v>
      </c>
      <c r="K501" s="433" t="s">
        <v>242</v>
      </c>
      <c r="L501" s="316" t="s">
        <v>260</v>
      </c>
      <c r="M501" s="316">
        <f t="shared" si="1"/>
        <v>223</v>
      </c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0" customHeight="1">
      <c r="A502" s="425">
        <v>22222.0</v>
      </c>
      <c r="B502" s="426" t="s">
        <v>2428</v>
      </c>
      <c r="C502" s="426">
        <v>2018.0</v>
      </c>
      <c r="D502" s="500">
        <v>43320.0</v>
      </c>
      <c r="E502" s="428" t="s">
        <v>2429</v>
      </c>
      <c r="F502" s="397" t="s">
        <v>1307</v>
      </c>
      <c r="G502" s="428" t="s">
        <v>547</v>
      </c>
      <c r="H502" s="397" t="s">
        <v>158</v>
      </c>
      <c r="I502" s="500">
        <v>44774.0</v>
      </c>
      <c r="J502" s="428">
        <v>8.0</v>
      </c>
      <c r="K502" s="433" t="s">
        <v>240</v>
      </c>
      <c r="L502" s="319" t="s">
        <v>258</v>
      </c>
      <c r="M502" s="319">
        <f t="shared" si="1"/>
        <v>1454</v>
      </c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customHeight="1">
      <c r="A503" s="419">
        <v>22322.0</v>
      </c>
      <c r="B503" s="420" t="s">
        <v>2430</v>
      </c>
      <c r="C503" s="420">
        <v>2021.0</v>
      </c>
      <c r="D503" s="497">
        <v>44551.0</v>
      </c>
      <c r="E503" s="422" t="s">
        <v>2431</v>
      </c>
      <c r="F503" s="394" t="s">
        <v>2432</v>
      </c>
      <c r="G503" s="422" t="s">
        <v>565</v>
      </c>
      <c r="H503" s="394" t="s">
        <v>2380</v>
      </c>
      <c r="I503" s="497">
        <v>44774.0</v>
      </c>
      <c r="J503" s="422">
        <v>8.0</v>
      </c>
      <c r="K503" s="433" t="s">
        <v>242</v>
      </c>
      <c r="L503" s="316" t="s">
        <v>260</v>
      </c>
      <c r="M503" s="316">
        <f t="shared" si="1"/>
        <v>223</v>
      </c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customHeight="1">
      <c r="A504" s="425">
        <v>22422.0</v>
      </c>
      <c r="B504" s="426" t="s">
        <v>2433</v>
      </c>
      <c r="C504" s="426">
        <v>2011.0</v>
      </c>
      <c r="D504" s="500">
        <v>40778.0</v>
      </c>
      <c r="E504" s="428" t="s">
        <v>2434</v>
      </c>
      <c r="F504" s="397" t="s">
        <v>666</v>
      </c>
      <c r="G504" s="428" t="s">
        <v>552</v>
      </c>
      <c r="H504" s="397" t="s">
        <v>1907</v>
      </c>
      <c r="I504" s="500">
        <v>44775.0</v>
      </c>
      <c r="J504" s="428">
        <v>8.0</v>
      </c>
      <c r="K504" s="507" t="s">
        <v>238</v>
      </c>
      <c r="L504" s="319" t="s">
        <v>256</v>
      </c>
      <c r="M504" s="319">
        <f t="shared" si="1"/>
        <v>3997</v>
      </c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customHeight="1">
      <c r="A505" s="419">
        <v>22522.0</v>
      </c>
      <c r="B505" s="420" t="s">
        <v>2435</v>
      </c>
      <c r="C505" s="420">
        <v>2020.0</v>
      </c>
      <c r="D505" s="497">
        <v>43847.0</v>
      </c>
      <c r="E505" s="422" t="s">
        <v>2436</v>
      </c>
      <c r="F505" s="394" t="s">
        <v>2437</v>
      </c>
      <c r="G505" s="422" t="s">
        <v>547</v>
      </c>
      <c r="H505" s="394" t="s">
        <v>18</v>
      </c>
      <c r="I505" s="497">
        <v>44775.0</v>
      </c>
      <c r="J505" s="422">
        <v>8.0</v>
      </c>
      <c r="K505" s="433" t="s">
        <v>242</v>
      </c>
      <c r="L505" s="316" t="s">
        <v>256</v>
      </c>
      <c r="M505" s="316">
        <f t="shared" si="1"/>
        <v>928</v>
      </c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customHeight="1">
      <c r="A506" s="425">
        <v>22622.0</v>
      </c>
      <c r="B506" s="426" t="s">
        <v>2438</v>
      </c>
      <c r="C506" s="426">
        <v>2021.0</v>
      </c>
      <c r="D506" s="500">
        <v>44281.0</v>
      </c>
      <c r="E506" s="428" t="s">
        <v>2439</v>
      </c>
      <c r="F506" s="397" t="s">
        <v>2440</v>
      </c>
      <c r="G506" s="428" t="s">
        <v>552</v>
      </c>
      <c r="H506" s="397" t="s">
        <v>2441</v>
      </c>
      <c r="I506" s="500">
        <v>44776.0</v>
      </c>
      <c r="J506" s="428">
        <v>8.0</v>
      </c>
      <c r="K506" s="433" t="s">
        <v>242</v>
      </c>
      <c r="L506" s="319" t="s">
        <v>256</v>
      </c>
      <c r="M506" s="319">
        <f t="shared" si="1"/>
        <v>495</v>
      </c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customHeight="1">
      <c r="A507" s="419">
        <v>22722.0</v>
      </c>
      <c r="B507" s="420" t="s">
        <v>2442</v>
      </c>
      <c r="C507" s="420">
        <v>2012.0</v>
      </c>
      <c r="D507" s="497">
        <v>41002.0</v>
      </c>
      <c r="E507" s="422" t="s">
        <v>2443</v>
      </c>
      <c r="F507" s="394" t="s">
        <v>1108</v>
      </c>
      <c r="G507" s="422" t="s">
        <v>552</v>
      </c>
      <c r="H507" s="394" t="s">
        <v>2444</v>
      </c>
      <c r="I507" s="497">
        <v>44776.0</v>
      </c>
      <c r="J507" s="422">
        <v>8.0</v>
      </c>
      <c r="K507" s="507" t="s">
        <v>238</v>
      </c>
      <c r="L507" s="316" t="s">
        <v>256</v>
      </c>
      <c r="M507" s="316">
        <f t="shared" si="1"/>
        <v>3774</v>
      </c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customHeight="1">
      <c r="A508" s="425">
        <v>22822.0</v>
      </c>
      <c r="B508" s="426" t="s">
        <v>2445</v>
      </c>
      <c r="C508" s="426">
        <v>2021.0</v>
      </c>
      <c r="D508" s="500">
        <v>44539.0</v>
      </c>
      <c r="E508" s="428" t="s">
        <v>2446</v>
      </c>
      <c r="F508" s="397" t="s">
        <v>2447</v>
      </c>
      <c r="G508" s="428" t="s">
        <v>565</v>
      </c>
      <c r="H508" s="397" t="s">
        <v>629</v>
      </c>
      <c r="I508" s="500">
        <v>44788.0</v>
      </c>
      <c r="J508" s="428">
        <v>8.0</v>
      </c>
      <c r="K508" s="511" t="s">
        <v>602</v>
      </c>
      <c r="L508" s="319" t="s">
        <v>260</v>
      </c>
      <c r="M508" s="319">
        <f t="shared" si="1"/>
        <v>249</v>
      </c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customHeight="1">
      <c r="A509" s="419">
        <v>22922.0</v>
      </c>
      <c r="B509" s="420" t="s">
        <v>2448</v>
      </c>
      <c r="C509" s="420">
        <v>2015.0</v>
      </c>
      <c r="D509" s="497">
        <v>42366.0</v>
      </c>
      <c r="E509" s="422" t="s">
        <v>2449</v>
      </c>
      <c r="F509" s="394" t="s">
        <v>2450</v>
      </c>
      <c r="G509" s="422" t="s">
        <v>552</v>
      </c>
      <c r="H509" s="394" t="s">
        <v>583</v>
      </c>
      <c r="I509" s="497">
        <v>44789.0</v>
      </c>
      <c r="J509" s="422">
        <v>8.0</v>
      </c>
      <c r="K509" s="433" t="s">
        <v>242</v>
      </c>
      <c r="L509" s="316" t="s">
        <v>256</v>
      </c>
      <c r="M509" s="316">
        <f t="shared" si="1"/>
        <v>2423</v>
      </c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customHeight="1">
      <c r="A510" s="425">
        <v>23022.0</v>
      </c>
      <c r="B510" s="426" t="s">
        <v>2451</v>
      </c>
      <c r="C510" s="426">
        <v>2015.0</v>
      </c>
      <c r="D510" s="500">
        <v>42060.0</v>
      </c>
      <c r="E510" s="428" t="s">
        <v>2452</v>
      </c>
      <c r="F510" s="397" t="s">
        <v>2453</v>
      </c>
      <c r="G510" s="428" t="s">
        <v>552</v>
      </c>
      <c r="H510" s="397" t="s">
        <v>97</v>
      </c>
      <c r="I510" s="500">
        <v>44789.0</v>
      </c>
      <c r="J510" s="428">
        <v>8.0</v>
      </c>
      <c r="K510" s="433" t="s">
        <v>240</v>
      </c>
      <c r="L510" s="319" t="s">
        <v>258</v>
      </c>
      <c r="M510" s="319">
        <f t="shared" si="1"/>
        <v>2729</v>
      </c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customHeight="1">
      <c r="A511" s="419">
        <v>23122.0</v>
      </c>
      <c r="B511" s="420" t="s">
        <v>2454</v>
      </c>
      <c r="C511" s="420">
        <v>2021.0</v>
      </c>
      <c r="D511" s="497">
        <v>44421.0</v>
      </c>
      <c r="E511" s="422" t="s">
        <v>2455</v>
      </c>
      <c r="F511" s="394" t="s">
        <v>2456</v>
      </c>
      <c r="G511" s="422" t="s">
        <v>565</v>
      </c>
      <c r="H511" s="394" t="s">
        <v>2457</v>
      </c>
      <c r="I511" s="497">
        <v>44791.0</v>
      </c>
      <c r="J511" s="422">
        <v>8.0</v>
      </c>
      <c r="K511" s="511" t="s">
        <v>602</v>
      </c>
      <c r="L511" s="316" t="s">
        <v>260</v>
      </c>
      <c r="M511" s="316">
        <f t="shared" si="1"/>
        <v>370</v>
      </c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customHeight="1">
      <c r="A512" s="425">
        <v>23222.0</v>
      </c>
      <c r="B512" s="426" t="s">
        <v>2458</v>
      </c>
      <c r="C512" s="440">
        <v>2017.0</v>
      </c>
      <c r="D512" s="500">
        <v>42979.0</v>
      </c>
      <c r="E512" s="428" t="s">
        <v>2459</v>
      </c>
      <c r="F512" s="397" t="s">
        <v>660</v>
      </c>
      <c r="G512" s="428" t="s">
        <v>552</v>
      </c>
      <c r="H512" s="397" t="s">
        <v>929</v>
      </c>
      <c r="I512" s="500">
        <v>44792.0</v>
      </c>
      <c r="J512" s="428">
        <v>8.0</v>
      </c>
      <c r="K512" s="433" t="s">
        <v>240</v>
      </c>
      <c r="L512" s="319" t="s">
        <v>258</v>
      </c>
      <c r="M512" s="319">
        <f t="shared" si="1"/>
        <v>1813</v>
      </c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customHeight="1">
      <c r="A513" s="419">
        <v>23322.0</v>
      </c>
      <c r="B513" s="420" t="s">
        <v>2460</v>
      </c>
      <c r="C513" s="420">
        <v>2015.0</v>
      </c>
      <c r="D513" s="497">
        <v>42146.0</v>
      </c>
      <c r="E513" s="422" t="s">
        <v>2461</v>
      </c>
      <c r="F513" s="394" t="s">
        <v>2462</v>
      </c>
      <c r="G513" s="422" t="s">
        <v>552</v>
      </c>
      <c r="H513" s="394" t="s">
        <v>2400</v>
      </c>
      <c r="I513" s="497">
        <v>44792.0</v>
      </c>
      <c r="J513" s="422">
        <v>8.0</v>
      </c>
      <c r="K513" s="433" t="s">
        <v>242</v>
      </c>
      <c r="L513" s="316" t="s">
        <v>256</v>
      </c>
      <c r="M513" s="316">
        <f t="shared" si="1"/>
        <v>2646</v>
      </c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customHeight="1">
      <c r="A514" s="425">
        <v>23422.0</v>
      </c>
      <c r="B514" s="426" t="s">
        <v>2463</v>
      </c>
      <c r="C514" s="426">
        <v>2021.0</v>
      </c>
      <c r="D514" s="500">
        <v>44264.0</v>
      </c>
      <c r="E514" s="428" t="s">
        <v>2464</v>
      </c>
      <c r="F514" s="397" t="s">
        <v>1968</v>
      </c>
      <c r="G514" s="428" t="s">
        <v>552</v>
      </c>
      <c r="H514" s="397" t="s">
        <v>130</v>
      </c>
      <c r="I514" s="500">
        <v>44792.0</v>
      </c>
      <c r="J514" s="428">
        <v>8.0</v>
      </c>
      <c r="K514" s="433" t="s">
        <v>240</v>
      </c>
      <c r="L514" s="319" t="s">
        <v>256</v>
      </c>
      <c r="M514" s="319">
        <f t="shared" si="1"/>
        <v>528</v>
      </c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customHeight="1">
      <c r="A515" s="419">
        <v>23522.0</v>
      </c>
      <c r="B515" s="420" t="s">
        <v>2465</v>
      </c>
      <c r="C515" s="420">
        <v>2021.0</v>
      </c>
      <c r="D515" s="497">
        <v>44286.0</v>
      </c>
      <c r="E515" s="422" t="s">
        <v>2466</v>
      </c>
      <c r="F515" s="394" t="s">
        <v>2467</v>
      </c>
      <c r="G515" s="422" t="s">
        <v>552</v>
      </c>
      <c r="H515" s="394" t="s">
        <v>1091</v>
      </c>
      <c r="I515" s="497">
        <v>44795.0</v>
      </c>
      <c r="J515" s="422">
        <v>8.0</v>
      </c>
      <c r="K515" s="433" t="s">
        <v>240</v>
      </c>
      <c r="L515" s="316" t="s">
        <v>256</v>
      </c>
      <c r="M515" s="316">
        <f t="shared" si="1"/>
        <v>509</v>
      </c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customHeight="1">
      <c r="A516" s="425">
        <v>23622.0</v>
      </c>
      <c r="B516" s="426" t="s">
        <v>2468</v>
      </c>
      <c r="C516" s="426">
        <v>2021.0</v>
      </c>
      <c r="D516" s="500">
        <v>44558.0</v>
      </c>
      <c r="E516" s="428" t="s">
        <v>2469</v>
      </c>
      <c r="F516" s="397" t="s">
        <v>2470</v>
      </c>
      <c r="G516" s="428" t="s">
        <v>565</v>
      </c>
      <c r="H516" s="397" t="s">
        <v>2471</v>
      </c>
      <c r="I516" s="500">
        <v>44795.0</v>
      </c>
      <c r="J516" s="428">
        <v>8.0</v>
      </c>
      <c r="K516" s="511" t="s">
        <v>602</v>
      </c>
      <c r="L516" s="319" t="s">
        <v>260</v>
      </c>
      <c r="M516" s="319">
        <f t="shared" si="1"/>
        <v>237</v>
      </c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customHeight="1">
      <c r="A517" s="419">
        <v>23722.0</v>
      </c>
      <c r="B517" s="420" t="s">
        <v>2472</v>
      </c>
      <c r="C517" s="420">
        <v>2021.0</v>
      </c>
      <c r="D517" s="497">
        <v>44284.0</v>
      </c>
      <c r="E517" s="422" t="s">
        <v>2473</v>
      </c>
      <c r="F517" s="394" t="s">
        <v>663</v>
      </c>
      <c r="G517" s="422" t="s">
        <v>552</v>
      </c>
      <c r="H517" s="394" t="s">
        <v>1091</v>
      </c>
      <c r="I517" s="497">
        <v>44795.0</v>
      </c>
      <c r="J517" s="422">
        <v>8.0</v>
      </c>
      <c r="K517" s="433" t="s">
        <v>242</v>
      </c>
      <c r="L517" s="316" t="s">
        <v>258</v>
      </c>
      <c r="M517" s="316">
        <f t="shared" si="1"/>
        <v>511</v>
      </c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customHeight="1">
      <c r="A518" s="425">
        <v>23822.0</v>
      </c>
      <c r="B518" s="426" t="s">
        <v>2474</v>
      </c>
      <c r="C518" s="426">
        <v>2022.0</v>
      </c>
      <c r="D518" s="500">
        <v>44651.0</v>
      </c>
      <c r="E518" s="428" t="s">
        <v>2475</v>
      </c>
      <c r="F518" s="397" t="s">
        <v>2476</v>
      </c>
      <c r="G518" s="428" t="s">
        <v>569</v>
      </c>
      <c r="H518" s="397" t="s">
        <v>2477</v>
      </c>
      <c r="I518" s="500">
        <v>44797.0</v>
      </c>
      <c r="J518" s="428">
        <v>8.0</v>
      </c>
      <c r="K518" s="511" t="s">
        <v>602</v>
      </c>
      <c r="L518" s="319" t="s">
        <v>260</v>
      </c>
      <c r="M518" s="319">
        <f t="shared" si="1"/>
        <v>146</v>
      </c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customHeight="1">
      <c r="A519" s="419">
        <v>23922.0</v>
      </c>
      <c r="B519" s="420" t="s">
        <v>2478</v>
      </c>
      <c r="C519" s="420">
        <v>2020.0</v>
      </c>
      <c r="D519" s="497">
        <v>43873.0</v>
      </c>
      <c r="E519" s="422" t="s">
        <v>2479</v>
      </c>
      <c r="F519" s="394" t="s">
        <v>739</v>
      </c>
      <c r="G519" s="422" t="s">
        <v>552</v>
      </c>
      <c r="H519" s="394" t="s">
        <v>2308</v>
      </c>
      <c r="I519" s="497">
        <v>44797.0</v>
      </c>
      <c r="J519" s="422">
        <v>8.0</v>
      </c>
      <c r="K519" s="433" t="s">
        <v>242</v>
      </c>
      <c r="L519" s="316" t="s">
        <v>260</v>
      </c>
      <c r="M519" s="316">
        <f t="shared" si="1"/>
        <v>924</v>
      </c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customHeight="1">
      <c r="A520" s="425">
        <v>24022.0</v>
      </c>
      <c r="B520" s="426" t="s">
        <v>2480</v>
      </c>
      <c r="C520" s="426">
        <v>2022.0</v>
      </c>
      <c r="D520" s="500">
        <v>44706.0</v>
      </c>
      <c r="E520" s="428" t="s">
        <v>2481</v>
      </c>
      <c r="F520" s="397" t="s">
        <v>2147</v>
      </c>
      <c r="G520" s="428" t="s">
        <v>569</v>
      </c>
      <c r="H520" s="397" t="s">
        <v>2482</v>
      </c>
      <c r="I520" s="500">
        <v>44797.0</v>
      </c>
      <c r="J520" s="428">
        <v>8.0</v>
      </c>
      <c r="K520" s="433" t="s">
        <v>242</v>
      </c>
      <c r="L520" s="319" t="s">
        <v>260</v>
      </c>
      <c r="M520" s="319">
        <f t="shared" si="1"/>
        <v>91</v>
      </c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customHeight="1">
      <c r="A521" s="419">
        <v>24122.0</v>
      </c>
      <c r="B521" s="420" t="s">
        <v>2483</v>
      </c>
      <c r="C521" s="420">
        <v>2017.0</v>
      </c>
      <c r="D521" s="497">
        <v>42895.0</v>
      </c>
      <c r="E521" s="422" t="s">
        <v>2484</v>
      </c>
      <c r="F521" s="394" t="s">
        <v>2485</v>
      </c>
      <c r="G521" s="422" t="s">
        <v>650</v>
      </c>
      <c r="H521" s="394" t="s">
        <v>158</v>
      </c>
      <c r="I521" s="497">
        <v>44797.0</v>
      </c>
      <c r="J521" s="422">
        <v>8.0</v>
      </c>
      <c r="K521" s="433" t="s">
        <v>240</v>
      </c>
      <c r="L521" s="316" t="s">
        <v>256</v>
      </c>
      <c r="M521" s="316">
        <f t="shared" si="1"/>
        <v>1902</v>
      </c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customHeight="1">
      <c r="A522" s="425">
        <v>24222.0</v>
      </c>
      <c r="B522" s="426" t="s">
        <v>2486</v>
      </c>
      <c r="C522" s="426">
        <v>2021.0</v>
      </c>
      <c r="D522" s="500">
        <v>44544.0</v>
      </c>
      <c r="E522" s="428" t="s">
        <v>2487</v>
      </c>
      <c r="F522" s="397" t="s">
        <v>2488</v>
      </c>
      <c r="G522" s="428" t="s">
        <v>569</v>
      </c>
      <c r="H522" s="397" t="s">
        <v>2471</v>
      </c>
      <c r="I522" s="500">
        <v>44803.0</v>
      </c>
      <c r="J522" s="428">
        <v>8.0</v>
      </c>
      <c r="K522" s="511" t="s">
        <v>602</v>
      </c>
      <c r="L522" s="319" t="s">
        <v>260</v>
      </c>
      <c r="M522" s="319">
        <f t="shared" si="1"/>
        <v>259</v>
      </c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customHeight="1">
      <c r="A523" s="419">
        <v>24322.0</v>
      </c>
      <c r="B523" s="420" t="s">
        <v>2489</v>
      </c>
      <c r="C523" s="420">
        <v>2019.0</v>
      </c>
      <c r="D523" s="497">
        <v>43615.0</v>
      </c>
      <c r="E523" s="422" t="s">
        <v>2490</v>
      </c>
      <c r="F523" s="394" t="s">
        <v>71</v>
      </c>
      <c r="G523" s="422" t="s">
        <v>552</v>
      </c>
      <c r="H523" s="394" t="s">
        <v>1178</v>
      </c>
      <c r="I523" s="497">
        <v>44803.0</v>
      </c>
      <c r="J523" s="422">
        <v>8.0</v>
      </c>
      <c r="K523" s="433" t="s">
        <v>242</v>
      </c>
      <c r="L523" s="316" t="s">
        <v>258</v>
      </c>
      <c r="M523" s="316">
        <f t="shared" si="1"/>
        <v>1188</v>
      </c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customHeight="1">
      <c r="A524" s="425">
        <v>24422.0</v>
      </c>
      <c r="B524" s="426" t="s">
        <v>2491</v>
      </c>
      <c r="C524" s="426">
        <v>2020.0</v>
      </c>
      <c r="D524" s="500">
        <v>43899.0</v>
      </c>
      <c r="E524" s="428" t="s">
        <v>2492</v>
      </c>
      <c r="F524" s="397" t="s">
        <v>2268</v>
      </c>
      <c r="G524" s="428" t="s">
        <v>552</v>
      </c>
      <c r="H524" s="397" t="s">
        <v>587</v>
      </c>
      <c r="I524" s="500">
        <v>44803.0</v>
      </c>
      <c r="J524" s="428">
        <v>8.0</v>
      </c>
      <c r="K524" s="433" t="s">
        <v>240</v>
      </c>
      <c r="L524" s="319" t="s">
        <v>258</v>
      </c>
      <c r="M524" s="319">
        <f t="shared" si="1"/>
        <v>904</v>
      </c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customHeight="1">
      <c r="A525" s="419">
        <v>24522.0</v>
      </c>
      <c r="B525" s="420" t="s">
        <v>2493</v>
      </c>
      <c r="C525" s="420">
        <v>2019.0</v>
      </c>
      <c r="D525" s="497">
        <v>43577.0</v>
      </c>
      <c r="E525" s="422" t="s">
        <v>2494</v>
      </c>
      <c r="F525" s="394" t="s">
        <v>2495</v>
      </c>
      <c r="G525" s="422" t="s">
        <v>552</v>
      </c>
      <c r="H525" s="394" t="s">
        <v>587</v>
      </c>
      <c r="I525" s="497">
        <v>44804.0</v>
      </c>
      <c r="J525" s="422">
        <v>8.0</v>
      </c>
      <c r="K525" s="513" t="s">
        <v>236</v>
      </c>
      <c r="L525" s="316" t="s">
        <v>840</v>
      </c>
      <c r="M525" s="316">
        <f t="shared" si="1"/>
        <v>1227</v>
      </c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customHeight="1">
      <c r="A526" s="425">
        <v>24622.0</v>
      </c>
      <c r="B526" s="426" t="s">
        <v>2496</v>
      </c>
      <c r="C526" s="426">
        <v>2021.0</v>
      </c>
      <c r="D526" s="500">
        <v>44551.0</v>
      </c>
      <c r="E526" s="428" t="s">
        <v>2497</v>
      </c>
      <c r="F526" s="397" t="s">
        <v>2498</v>
      </c>
      <c r="G526" s="428" t="s">
        <v>569</v>
      </c>
      <c r="H526" s="397" t="s">
        <v>2499</v>
      </c>
      <c r="I526" s="500">
        <v>44804.0</v>
      </c>
      <c r="J526" s="428">
        <v>8.0</v>
      </c>
      <c r="K526" s="433" t="s">
        <v>242</v>
      </c>
      <c r="L526" s="319" t="s">
        <v>260</v>
      </c>
      <c r="M526" s="319">
        <f t="shared" si="1"/>
        <v>253</v>
      </c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customHeight="1">
      <c r="A527" s="419">
        <v>24722.0</v>
      </c>
      <c r="B527" s="420" t="s">
        <v>2500</v>
      </c>
      <c r="C527" s="420">
        <v>2022.0</v>
      </c>
      <c r="D527" s="497">
        <v>44669.0</v>
      </c>
      <c r="E527" s="422" t="s">
        <v>2501</v>
      </c>
      <c r="F527" s="394" t="s">
        <v>2096</v>
      </c>
      <c r="G527" s="422" t="s">
        <v>569</v>
      </c>
      <c r="H527" s="394" t="s">
        <v>2502</v>
      </c>
      <c r="I527" s="497">
        <v>44805.0</v>
      </c>
      <c r="J527" s="422">
        <v>9.0</v>
      </c>
      <c r="K527" s="511" t="s">
        <v>602</v>
      </c>
      <c r="L527" s="316" t="s">
        <v>260</v>
      </c>
      <c r="M527" s="316">
        <f t="shared" si="1"/>
        <v>136</v>
      </c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customHeight="1">
      <c r="A528" s="425">
        <v>24822.0</v>
      </c>
      <c r="B528" s="426" t="s">
        <v>2503</v>
      </c>
      <c r="C528" s="426">
        <v>2017.0</v>
      </c>
      <c r="D528" s="500">
        <v>43063.0</v>
      </c>
      <c r="E528" s="428" t="s">
        <v>2504</v>
      </c>
      <c r="F528" s="397" t="s">
        <v>1823</v>
      </c>
      <c r="G528" s="428" t="s">
        <v>552</v>
      </c>
      <c r="H528" s="397" t="s">
        <v>2505</v>
      </c>
      <c r="I528" s="500">
        <v>44805.0</v>
      </c>
      <c r="J528" s="428">
        <v>9.0</v>
      </c>
      <c r="K528" s="433" t="s">
        <v>240</v>
      </c>
      <c r="L528" s="319" t="s">
        <v>256</v>
      </c>
      <c r="M528" s="319">
        <f t="shared" si="1"/>
        <v>1742</v>
      </c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customHeight="1">
      <c r="A529" s="419">
        <v>24922.0</v>
      </c>
      <c r="B529" s="420" t="s">
        <v>2506</v>
      </c>
      <c r="C529" s="420">
        <v>2016.0</v>
      </c>
      <c r="D529" s="497">
        <v>42628.0</v>
      </c>
      <c r="E529" s="422" t="s">
        <v>2507</v>
      </c>
      <c r="F529" s="394" t="s">
        <v>2508</v>
      </c>
      <c r="G529" s="422" t="s">
        <v>552</v>
      </c>
      <c r="H529" s="394" t="s">
        <v>2509</v>
      </c>
      <c r="I529" s="497">
        <v>44817.0</v>
      </c>
      <c r="J529" s="422">
        <v>9.0</v>
      </c>
      <c r="K529" s="433" t="s">
        <v>240</v>
      </c>
      <c r="L529" s="316" t="s">
        <v>256</v>
      </c>
      <c r="M529" s="316">
        <f t="shared" si="1"/>
        <v>2189</v>
      </c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customHeight="1">
      <c r="A530" s="425">
        <v>25022.0</v>
      </c>
      <c r="B530" s="426" t="s">
        <v>2510</v>
      </c>
      <c r="C530" s="426">
        <v>2021.0</v>
      </c>
      <c r="D530" s="500">
        <v>44518.0</v>
      </c>
      <c r="E530" s="428" t="s">
        <v>2511</v>
      </c>
      <c r="F530" s="397" t="s">
        <v>2512</v>
      </c>
      <c r="G530" s="428" t="s">
        <v>565</v>
      </c>
      <c r="H530" s="397" t="s">
        <v>2331</v>
      </c>
      <c r="I530" s="500">
        <v>44817.0</v>
      </c>
      <c r="J530" s="428">
        <v>9.0</v>
      </c>
      <c r="K530" s="433" t="s">
        <v>242</v>
      </c>
      <c r="L530" s="319" t="s">
        <v>260</v>
      </c>
      <c r="M530" s="319">
        <f t="shared" si="1"/>
        <v>299</v>
      </c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customHeight="1">
      <c r="A531" s="419">
        <v>25122.0</v>
      </c>
      <c r="B531" s="420" t="s">
        <v>2513</v>
      </c>
      <c r="C531" s="420">
        <v>2016.0</v>
      </c>
      <c r="D531" s="497">
        <v>42492.0</v>
      </c>
      <c r="E531" s="422" t="s">
        <v>2514</v>
      </c>
      <c r="F531" s="394" t="s">
        <v>900</v>
      </c>
      <c r="G531" s="422" t="s">
        <v>552</v>
      </c>
      <c r="H531" s="394" t="s">
        <v>596</v>
      </c>
      <c r="I531" s="497">
        <v>44817.0</v>
      </c>
      <c r="J531" s="422">
        <v>9.0</v>
      </c>
      <c r="K531" s="433" t="s">
        <v>240</v>
      </c>
      <c r="L531" s="316" t="s">
        <v>258</v>
      </c>
      <c r="M531" s="316">
        <f t="shared" si="1"/>
        <v>2325</v>
      </c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customHeight="1">
      <c r="A532" s="425">
        <v>25222.0</v>
      </c>
      <c r="B532" s="426" t="s">
        <v>2515</v>
      </c>
      <c r="C532" s="426">
        <v>2021.0</v>
      </c>
      <c r="D532" s="500">
        <v>44426.0</v>
      </c>
      <c r="E532" s="428" t="s">
        <v>2516</v>
      </c>
      <c r="F532" s="397" t="s">
        <v>1849</v>
      </c>
      <c r="G532" s="428" t="s">
        <v>569</v>
      </c>
      <c r="H532" s="397" t="s">
        <v>2397</v>
      </c>
      <c r="I532" s="500">
        <v>44817.0</v>
      </c>
      <c r="J532" s="428">
        <v>9.0</v>
      </c>
      <c r="K532" s="511" t="s">
        <v>602</v>
      </c>
      <c r="L532" s="319" t="s">
        <v>260</v>
      </c>
      <c r="M532" s="319">
        <f t="shared" si="1"/>
        <v>391</v>
      </c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customHeight="1">
      <c r="A533" s="419">
        <v>25322.0</v>
      </c>
      <c r="B533" s="420" t="s">
        <v>2517</v>
      </c>
      <c r="C533" s="420">
        <v>2016.0</v>
      </c>
      <c r="D533" s="497">
        <v>42394.0</v>
      </c>
      <c r="E533" s="422" t="s">
        <v>2518</v>
      </c>
      <c r="F533" s="394" t="s">
        <v>2519</v>
      </c>
      <c r="G533" s="422" t="s">
        <v>552</v>
      </c>
      <c r="H533" s="394" t="s">
        <v>740</v>
      </c>
      <c r="I533" s="497">
        <v>44817.0</v>
      </c>
      <c r="J533" s="422">
        <v>9.0</v>
      </c>
      <c r="K533" s="433" t="s">
        <v>242</v>
      </c>
      <c r="L533" s="316" t="s">
        <v>258</v>
      </c>
      <c r="M533" s="316">
        <f t="shared" si="1"/>
        <v>2423</v>
      </c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customHeight="1">
      <c r="A534" s="425">
        <v>25422.0</v>
      </c>
      <c r="B534" s="426" t="s">
        <v>2520</v>
      </c>
      <c r="C534" s="426">
        <v>2021.0</v>
      </c>
      <c r="D534" s="500">
        <v>44497.0</v>
      </c>
      <c r="E534" s="428" t="s">
        <v>2521</v>
      </c>
      <c r="F534" s="397" t="s">
        <v>2522</v>
      </c>
      <c r="G534" s="428" t="s">
        <v>565</v>
      </c>
      <c r="H534" s="397" t="s">
        <v>2150</v>
      </c>
      <c r="I534" s="500">
        <v>44817.0</v>
      </c>
      <c r="J534" s="428">
        <v>9.0</v>
      </c>
      <c r="K534" s="433" t="s">
        <v>242</v>
      </c>
      <c r="L534" s="319" t="s">
        <v>260</v>
      </c>
      <c r="M534" s="319">
        <f t="shared" si="1"/>
        <v>320</v>
      </c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customHeight="1">
      <c r="A535" s="419">
        <v>25522.0</v>
      </c>
      <c r="B535" s="420" t="s">
        <v>2523</v>
      </c>
      <c r="C535" s="420">
        <v>2021.0</v>
      </c>
      <c r="D535" s="497">
        <v>44519.0</v>
      </c>
      <c r="E535" s="422" t="s">
        <v>2524</v>
      </c>
      <c r="F535" s="394" t="s">
        <v>2522</v>
      </c>
      <c r="G535" s="422" t="s">
        <v>565</v>
      </c>
      <c r="H535" s="394" t="s">
        <v>2150</v>
      </c>
      <c r="I535" s="497">
        <v>44817.0</v>
      </c>
      <c r="J535" s="422">
        <v>9.0</v>
      </c>
      <c r="K535" s="433" t="s">
        <v>242</v>
      </c>
      <c r="L535" s="316" t="s">
        <v>260</v>
      </c>
      <c r="M535" s="316">
        <f t="shared" si="1"/>
        <v>298</v>
      </c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customHeight="1">
      <c r="A536" s="425">
        <v>25622.0</v>
      </c>
      <c r="B536" s="426" t="s">
        <v>2525</v>
      </c>
      <c r="C536" s="426">
        <v>2013.0</v>
      </c>
      <c r="D536" s="500">
        <v>41409.0</v>
      </c>
      <c r="E536" s="428" t="s">
        <v>2526</v>
      </c>
      <c r="F536" s="397" t="s">
        <v>928</v>
      </c>
      <c r="G536" s="428" t="s">
        <v>552</v>
      </c>
      <c r="H536" s="397" t="s">
        <v>775</v>
      </c>
      <c r="I536" s="500">
        <v>44823.0</v>
      </c>
      <c r="J536" s="428">
        <v>9.0</v>
      </c>
      <c r="K536" s="433" t="s">
        <v>242</v>
      </c>
      <c r="L536" s="319" t="s">
        <v>256</v>
      </c>
      <c r="M536" s="319">
        <f t="shared" si="1"/>
        <v>3414</v>
      </c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customHeight="1">
      <c r="A537" s="419">
        <v>25722.0</v>
      </c>
      <c r="B537" s="420" t="s">
        <v>2527</v>
      </c>
      <c r="C537" s="420">
        <v>2021.0</v>
      </c>
      <c r="D537" s="497">
        <v>44529.0</v>
      </c>
      <c r="E537" s="422" t="s">
        <v>2528</v>
      </c>
      <c r="F537" s="394" t="s">
        <v>2529</v>
      </c>
      <c r="G537" s="422" t="s">
        <v>565</v>
      </c>
      <c r="H537" s="394" t="s">
        <v>2150</v>
      </c>
      <c r="I537" s="497">
        <v>44823.0</v>
      </c>
      <c r="J537" s="422">
        <v>9.0</v>
      </c>
      <c r="K537" s="433" t="s">
        <v>242</v>
      </c>
      <c r="L537" s="316" t="s">
        <v>260</v>
      </c>
      <c r="M537" s="316">
        <f t="shared" si="1"/>
        <v>294</v>
      </c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customHeight="1">
      <c r="A538" s="425">
        <v>25822.0</v>
      </c>
      <c r="B538" s="426" t="s">
        <v>2530</v>
      </c>
      <c r="C538" s="426">
        <v>2016.0</v>
      </c>
      <c r="D538" s="500">
        <v>42437.0</v>
      </c>
      <c r="E538" s="428" t="s">
        <v>2531</v>
      </c>
      <c r="F538" s="397" t="s">
        <v>2532</v>
      </c>
      <c r="G538" s="428" t="s">
        <v>552</v>
      </c>
      <c r="H538" s="397" t="s">
        <v>929</v>
      </c>
      <c r="I538" s="500">
        <v>44823.0</v>
      </c>
      <c r="J538" s="428">
        <v>9.0</v>
      </c>
      <c r="K538" s="433" t="s">
        <v>242</v>
      </c>
      <c r="L538" s="319" t="s">
        <v>258</v>
      </c>
      <c r="M538" s="319">
        <f t="shared" si="1"/>
        <v>2386</v>
      </c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customHeight="1">
      <c r="A539" s="419">
        <v>25922.0</v>
      </c>
      <c r="B539" s="420" t="s">
        <v>2533</v>
      </c>
      <c r="C539" s="420">
        <v>2020.0</v>
      </c>
      <c r="D539" s="497">
        <v>44152.0</v>
      </c>
      <c r="E539" s="422" t="s">
        <v>2534</v>
      </c>
      <c r="F539" s="394" t="s">
        <v>2535</v>
      </c>
      <c r="G539" s="422" t="s">
        <v>552</v>
      </c>
      <c r="H539" s="394" t="s">
        <v>149</v>
      </c>
      <c r="I539" s="497">
        <v>44824.0</v>
      </c>
      <c r="J539" s="422">
        <v>9.0</v>
      </c>
      <c r="K539" s="433" t="s">
        <v>240</v>
      </c>
      <c r="L539" s="316" t="s">
        <v>258</v>
      </c>
      <c r="M539" s="316">
        <f t="shared" si="1"/>
        <v>672</v>
      </c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customHeight="1">
      <c r="A540" s="425">
        <v>26022.0</v>
      </c>
      <c r="B540" s="426" t="s">
        <v>2536</v>
      </c>
      <c r="C540" s="426">
        <v>2021.0</v>
      </c>
      <c r="D540" s="500">
        <v>44438.0</v>
      </c>
      <c r="E540" s="428" t="s">
        <v>2537</v>
      </c>
      <c r="F540" s="397" t="s">
        <v>2538</v>
      </c>
      <c r="G540" s="428" t="s">
        <v>569</v>
      </c>
      <c r="H540" s="397" t="s">
        <v>2539</v>
      </c>
      <c r="I540" s="500">
        <v>44830.0</v>
      </c>
      <c r="J540" s="428">
        <v>9.0</v>
      </c>
      <c r="K540" s="433" t="s">
        <v>242</v>
      </c>
      <c r="L540" s="319" t="s">
        <v>260</v>
      </c>
      <c r="M540" s="319">
        <f t="shared" si="1"/>
        <v>392</v>
      </c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customHeight="1">
      <c r="A541" s="419">
        <v>26122.0</v>
      </c>
      <c r="B541" s="420" t="s">
        <v>2540</v>
      </c>
      <c r="C541" s="420">
        <v>2018.0</v>
      </c>
      <c r="D541" s="497">
        <v>43279.0</v>
      </c>
      <c r="E541" s="422" t="s">
        <v>2541</v>
      </c>
      <c r="F541" s="394" t="s">
        <v>2233</v>
      </c>
      <c r="G541" s="422" t="s">
        <v>552</v>
      </c>
      <c r="H541" s="394" t="s">
        <v>50</v>
      </c>
      <c r="I541" s="497">
        <v>44830.0</v>
      </c>
      <c r="J541" s="422">
        <v>9.0</v>
      </c>
      <c r="K541" s="502" t="s">
        <v>232</v>
      </c>
      <c r="L541" s="316" t="s">
        <v>258</v>
      </c>
      <c r="M541" s="316">
        <f t="shared" si="1"/>
        <v>1551</v>
      </c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customHeight="1">
      <c r="A542" s="425">
        <v>26222.0</v>
      </c>
      <c r="B542" s="426" t="s">
        <v>2542</v>
      </c>
      <c r="C542" s="426">
        <v>2021.0</v>
      </c>
      <c r="D542" s="500">
        <v>44284.0</v>
      </c>
      <c r="E542" s="428" t="s">
        <v>2543</v>
      </c>
      <c r="F542" s="397" t="s">
        <v>2233</v>
      </c>
      <c r="G542" s="428" t="s">
        <v>552</v>
      </c>
      <c r="H542" s="397" t="s">
        <v>587</v>
      </c>
      <c r="I542" s="500">
        <v>44830.0</v>
      </c>
      <c r="J542" s="428">
        <v>9.0</v>
      </c>
      <c r="K542" s="502" t="s">
        <v>232</v>
      </c>
      <c r="L542" s="319" t="s">
        <v>258</v>
      </c>
      <c r="M542" s="319">
        <f t="shared" si="1"/>
        <v>546</v>
      </c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customHeight="1">
      <c r="A543" s="419">
        <v>26322.0</v>
      </c>
      <c r="B543" s="420" t="s">
        <v>2544</v>
      </c>
      <c r="C543" s="420">
        <v>2016.0</v>
      </c>
      <c r="D543" s="497">
        <v>42580.0</v>
      </c>
      <c r="E543" s="422" t="s">
        <v>2545</v>
      </c>
      <c r="F543" s="394" t="s">
        <v>563</v>
      </c>
      <c r="G543" s="422" t="s">
        <v>552</v>
      </c>
      <c r="H543" s="394" t="s">
        <v>2546</v>
      </c>
      <c r="I543" s="497">
        <v>44831.0</v>
      </c>
      <c r="J543" s="422">
        <v>9.0</v>
      </c>
      <c r="K543" s="513" t="s">
        <v>236</v>
      </c>
      <c r="L543" s="316" t="s">
        <v>256</v>
      </c>
      <c r="M543" s="316">
        <f t="shared" si="1"/>
        <v>2251</v>
      </c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customHeight="1">
      <c r="A544" s="425">
        <v>26422.0</v>
      </c>
      <c r="B544" s="426" t="s">
        <v>2547</v>
      </c>
      <c r="C544" s="426">
        <v>2021.0</v>
      </c>
      <c r="D544" s="500">
        <v>44215.0</v>
      </c>
      <c r="E544" s="428" t="s">
        <v>2548</v>
      </c>
      <c r="F544" s="397" t="s">
        <v>2549</v>
      </c>
      <c r="G544" s="428" t="s">
        <v>565</v>
      </c>
      <c r="H544" s="397" t="s">
        <v>2550</v>
      </c>
      <c r="I544" s="500">
        <v>44831.0</v>
      </c>
      <c r="J544" s="428">
        <v>9.0</v>
      </c>
      <c r="K544" s="433" t="s">
        <v>242</v>
      </c>
      <c r="L544" s="319" t="s">
        <v>260</v>
      </c>
      <c r="M544" s="319">
        <f t="shared" si="1"/>
        <v>616</v>
      </c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customHeight="1">
      <c r="A545" s="419">
        <v>26522.0</v>
      </c>
      <c r="B545" s="420" t="s">
        <v>2551</v>
      </c>
      <c r="C545" s="420">
        <v>2020.0</v>
      </c>
      <c r="D545" s="497">
        <v>44188.0</v>
      </c>
      <c r="E545" s="422" t="s">
        <v>2552</v>
      </c>
      <c r="F545" s="394" t="s">
        <v>2549</v>
      </c>
      <c r="G545" s="422" t="s">
        <v>565</v>
      </c>
      <c r="H545" s="394" t="s">
        <v>2550</v>
      </c>
      <c r="I545" s="497">
        <v>44831.0</v>
      </c>
      <c r="J545" s="422">
        <v>9.0</v>
      </c>
      <c r="K545" s="433" t="s">
        <v>242</v>
      </c>
      <c r="L545" s="316" t="s">
        <v>260</v>
      </c>
      <c r="M545" s="316">
        <f t="shared" si="1"/>
        <v>643</v>
      </c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customHeight="1">
      <c r="A546" s="425">
        <v>26622.0</v>
      </c>
      <c r="B546" s="426" t="s">
        <v>2553</v>
      </c>
      <c r="C546" s="426">
        <v>2015.0</v>
      </c>
      <c r="D546" s="500">
        <v>42349.0</v>
      </c>
      <c r="E546" s="428" t="s">
        <v>2554</v>
      </c>
      <c r="F546" s="397" t="s">
        <v>2508</v>
      </c>
      <c r="G546" s="428" t="s">
        <v>552</v>
      </c>
      <c r="H546" s="397" t="s">
        <v>153</v>
      </c>
      <c r="I546" s="500">
        <v>44837.0</v>
      </c>
      <c r="J546" s="428">
        <v>10.0</v>
      </c>
      <c r="K546" s="433" t="s">
        <v>240</v>
      </c>
      <c r="L546" s="319" t="s">
        <v>256</v>
      </c>
      <c r="M546" s="319">
        <f t="shared" si="1"/>
        <v>2488</v>
      </c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customHeight="1">
      <c r="A547" s="419">
        <v>26722.0</v>
      </c>
      <c r="B547" s="420" t="s">
        <v>2555</v>
      </c>
      <c r="C547" s="420">
        <v>2013.0</v>
      </c>
      <c r="D547" s="497">
        <v>41530.0</v>
      </c>
      <c r="E547" s="422" t="s">
        <v>2556</v>
      </c>
      <c r="F547" s="394" t="s">
        <v>2557</v>
      </c>
      <c r="G547" s="422" t="s">
        <v>552</v>
      </c>
      <c r="H547" s="394" t="s">
        <v>1091</v>
      </c>
      <c r="I547" s="497">
        <v>44837.0</v>
      </c>
      <c r="J547" s="422">
        <v>10.0</v>
      </c>
      <c r="K547" s="433" t="s">
        <v>242</v>
      </c>
      <c r="L547" s="316" t="s">
        <v>258</v>
      </c>
      <c r="M547" s="316">
        <f t="shared" si="1"/>
        <v>3307</v>
      </c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customHeight="1">
      <c r="A548" s="425">
        <v>26822.0</v>
      </c>
      <c r="B548" s="426" t="s">
        <v>2558</v>
      </c>
      <c r="C548" s="426">
        <v>2017.0</v>
      </c>
      <c r="D548" s="500">
        <v>43005.0</v>
      </c>
      <c r="E548" s="428" t="s">
        <v>2559</v>
      </c>
      <c r="F548" s="397" t="s">
        <v>1968</v>
      </c>
      <c r="G548" s="428" t="s">
        <v>650</v>
      </c>
      <c r="H548" s="397" t="s">
        <v>2560</v>
      </c>
      <c r="I548" s="500">
        <v>44840.0</v>
      </c>
      <c r="J548" s="428">
        <v>10.0</v>
      </c>
      <c r="K548" s="433" t="s">
        <v>242</v>
      </c>
      <c r="L548" s="319" t="s">
        <v>256</v>
      </c>
      <c r="M548" s="319">
        <f t="shared" si="1"/>
        <v>1835</v>
      </c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customHeight="1">
      <c r="A549" s="419">
        <v>26922.0</v>
      </c>
      <c r="B549" s="420" t="s">
        <v>2561</v>
      </c>
      <c r="C549" s="420">
        <v>2021.0</v>
      </c>
      <c r="D549" s="497">
        <v>44526.0</v>
      </c>
      <c r="E549" s="422" t="s">
        <v>2562</v>
      </c>
      <c r="F549" s="394" t="s">
        <v>2563</v>
      </c>
      <c r="G549" s="422" t="s">
        <v>569</v>
      </c>
      <c r="H549" s="394" t="s">
        <v>2564</v>
      </c>
      <c r="I549" s="497">
        <v>44840.0</v>
      </c>
      <c r="J549" s="422">
        <v>10.0</v>
      </c>
      <c r="K549" s="433" t="s">
        <v>242</v>
      </c>
      <c r="L549" s="316" t="s">
        <v>260</v>
      </c>
      <c r="M549" s="316">
        <f t="shared" si="1"/>
        <v>314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customHeight="1">
      <c r="A550" s="425">
        <v>27022.0</v>
      </c>
      <c r="B550" s="426" t="s">
        <v>2565</v>
      </c>
      <c r="C550" s="426">
        <v>2014.0</v>
      </c>
      <c r="D550" s="500">
        <v>41815.0</v>
      </c>
      <c r="E550" s="428" t="s">
        <v>2566</v>
      </c>
      <c r="F550" s="397" t="s">
        <v>1968</v>
      </c>
      <c r="G550" s="428" t="s">
        <v>552</v>
      </c>
      <c r="H550" s="397" t="s">
        <v>97</v>
      </c>
      <c r="I550" s="500">
        <v>44840.0</v>
      </c>
      <c r="J550" s="428">
        <v>10.0</v>
      </c>
      <c r="K550" s="433" t="s">
        <v>242</v>
      </c>
      <c r="L550" s="319" t="s">
        <v>256</v>
      </c>
      <c r="M550" s="319">
        <f t="shared" si="1"/>
        <v>3025</v>
      </c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customHeight="1">
      <c r="A551" s="419">
        <v>27122.0</v>
      </c>
      <c r="B551" s="420" t="s">
        <v>2567</v>
      </c>
      <c r="C551" s="420">
        <v>2021.0</v>
      </c>
      <c r="D551" s="497">
        <v>44434.0</v>
      </c>
      <c r="E551" s="422" t="s">
        <v>2568</v>
      </c>
      <c r="F551" s="394" t="s">
        <v>2569</v>
      </c>
      <c r="G551" s="422" t="s">
        <v>565</v>
      </c>
      <c r="H551" s="394" t="s">
        <v>2457</v>
      </c>
      <c r="I551" s="497">
        <v>44855.0</v>
      </c>
      <c r="J551" s="422">
        <v>10.0</v>
      </c>
      <c r="K551" s="511" t="s">
        <v>602</v>
      </c>
      <c r="L551" s="316" t="s">
        <v>260</v>
      </c>
      <c r="M551" s="316">
        <f t="shared" si="1"/>
        <v>421</v>
      </c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customHeight="1">
      <c r="A552" s="425">
        <v>27222.0</v>
      </c>
      <c r="B552" s="426" t="s">
        <v>2570</v>
      </c>
      <c r="C552" s="426">
        <v>2017.0</v>
      </c>
      <c r="D552" s="500">
        <v>42915.0</v>
      </c>
      <c r="E552" s="428" t="s">
        <v>2571</v>
      </c>
      <c r="F552" s="397" t="s">
        <v>2572</v>
      </c>
      <c r="G552" s="428" t="s">
        <v>547</v>
      </c>
      <c r="H552" s="439" t="s">
        <v>651</v>
      </c>
      <c r="I552" s="500">
        <v>44855.0</v>
      </c>
      <c r="J552" s="428">
        <v>10.0</v>
      </c>
      <c r="K552" s="433" t="s">
        <v>240</v>
      </c>
      <c r="L552" s="319" t="s">
        <v>256</v>
      </c>
      <c r="M552" s="319">
        <f t="shared" si="1"/>
        <v>1940</v>
      </c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customHeight="1">
      <c r="A553" s="419">
        <v>27322.0</v>
      </c>
      <c r="B553" s="420" t="s">
        <v>2573</v>
      </c>
      <c r="C553" s="420">
        <v>2014.0</v>
      </c>
      <c r="D553" s="497">
        <v>41964.0</v>
      </c>
      <c r="E553" s="422" t="s">
        <v>2574</v>
      </c>
      <c r="F553" s="394" t="s">
        <v>2575</v>
      </c>
      <c r="G553" s="422" t="s">
        <v>552</v>
      </c>
      <c r="H553" s="394" t="s">
        <v>2576</v>
      </c>
      <c r="I553" s="497">
        <v>44855.0</v>
      </c>
      <c r="J553" s="422">
        <v>10.0</v>
      </c>
      <c r="K553" s="433" t="s">
        <v>242</v>
      </c>
      <c r="L553" s="316" t="s">
        <v>258</v>
      </c>
      <c r="M553" s="316">
        <f t="shared" si="1"/>
        <v>2891</v>
      </c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customHeight="1">
      <c r="A554" s="425">
        <v>27422.0</v>
      </c>
      <c r="B554" s="426" t="s">
        <v>2577</v>
      </c>
      <c r="C554" s="426">
        <v>2021.0</v>
      </c>
      <c r="D554" s="500">
        <v>44348.0</v>
      </c>
      <c r="E554" s="428" t="s">
        <v>2578</v>
      </c>
      <c r="F554" s="397" t="s">
        <v>2579</v>
      </c>
      <c r="G554" s="428" t="s">
        <v>552</v>
      </c>
      <c r="H554" s="397" t="s">
        <v>1568</v>
      </c>
      <c r="I554" s="500">
        <v>44860.0</v>
      </c>
      <c r="J554" s="428">
        <v>10.0</v>
      </c>
      <c r="K554" s="433" t="s">
        <v>240</v>
      </c>
      <c r="L554" s="319" t="s">
        <v>256</v>
      </c>
      <c r="M554" s="319">
        <f t="shared" si="1"/>
        <v>512</v>
      </c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customHeight="1">
      <c r="A555" s="419">
        <v>27522.0</v>
      </c>
      <c r="B555" s="420" t="s">
        <v>2580</v>
      </c>
      <c r="C555" s="420">
        <v>2014.0</v>
      </c>
      <c r="D555" s="497">
        <v>41821.0</v>
      </c>
      <c r="E555" s="422" t="s">
        <v>2581</v>
      </c>
      <c r="F555" s="394" t="s">
        <v>2582</v>
      </c>
      <c r="G555" s="422" t="s">
        <v>552</v>
      </c>
      <c r="H555" s="394" t="s">
        <v>163</v>
      </c>
      <c r="I555" s="497">
        <v>44860.0</v>
      </c>
      <c r="J555" s="422">
        <v>10.0</v>
      </c>
      <c r="K555" s="433" t="s">
        <v>242</v>
      </c>
      <c r="L555" s="316" t="s">
        <v>258</v>
      </c>
      <c r="M555" s="316">
        <f t="shared" si="1"/>
        <v>3039</v>
      </c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customHeight="1">
      <c r="A556" s="425">
        <v>27622.0</v>
      </c>
      <c r="B556" s="426" t="s">
        <v>2583</v>
      </c>
      <c r="C556" s="426">
        <v>2019.0</v>
      </c>
      <c r="D556" s="500">
        <v>43725.0</v>
      </c>
      <c r="E556" s="428" t="s">
        <v>2584</v>
      </c>
      <c r="F556" s="397" t="s">
        <v>2585</v>
      </c>
      <c r="G556" s="428" t="s">
        <v>552</v>
      </c>
      <c r="H556" s="397" t="s">
        <v>2586</v>
      </c>
      <c r="I556" s="500">
        <v>44866.0</v>
      </c>
      <c r="J556" s="428">
        <v>11.0</v>
      </c>
      <c r="K556" s="433" t="s">
        <v>242</v>
      </c>
      <c r="L556" s="319" t="s">
        <v>256</v>
      </c>
      <c r="M556" s="319">
        <f t="shared" si="1"/>
        <v>1141</v>
      </c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customHeight="1">
      <c r="A557" s="419">
        <v>27722.0</v>
      </c>
      <c r="B557" s="420" t="s">
        <v>2587</v>
      </c>
      <c r="C557" s="420">
        <v>2010.0</v>
      </c>
      <c r="D557" s="497">
        <v>40361.0</v>
      </c>
      <c r="E557" s="422" t="s">
        <v>2588</v>
      </c>
      <c r="F557" s="394" t="s">
        <v>2222</v>
      </c>
      <c r="G557" s="422" t="s">
        <v>552</v>
      </c>
      <c r="H557" s="394" t="s">
        <v>2589</v>
      </c>
      <c r="I557" s="497">
        <v>44866.0</v>
      </c>
      <c r="J557" s="422">
        <v>11.0</v>
      </c>
      <c r="K557" s="433" t="s">
        <v>240</v>
      </c>
      <c r="L557" s="316" t="s">
        <v>258</v>
      </c>
      <c r="M557" s="316">
        <f t="shared" si="1"/>
        <v>4505</v>
      </c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customHeight="1">
      <c r="A558" s="425">
        <v>27822.0</v>
      </c>
      <c r="B558" s="426" t="s">
        <v>2590</v>
      </c>
      <c r="C558" s="426">
        <v>2021.0</v>
      </c>
      <c r="D558" s="500">
        <v>44517.0</v>
      </c>
      <c r="E558" s="428" t="s">
        <v>2591</v>
      </c>
      <c r="F558" s="397" t="s">
        <v>2592</v>
      </c>
      <c r="G558" s="428" t="s">
        <v>569</v>
      </c>
      <c r="H558" s="397" t="s">
        <v>2397</v>
      </c>
      <c r="I558" s="500">
        <v>44866.0</v>
      </c>
      <c r="J558" s="428">
        <v>11.0</v>
      </c>
      <c r="K558" s="511" t="s">
        <v>602</v>
      </c>
      <c r="L558" s="319" t="s">
        <v>260</v>
      </c>
      <c r="M558" s="319">
        <f t="shared" si="1"/>
        <v>349</v>
      </c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customHeight="1">
      <c r="A559" s="419">
        <v>27922.0</v>
      </c>
      <c r="B559" s="420" t="s">
        <v>2593</v>
      </c>
      <c r="C559" s="420">
        <v>2015.0</v>
      </c>
      <c r="D559" s="497">
        <v>42356.0</v>
      </c>
      <c r="E559" s="422" t="s">
        <v>2594</v>
      </c>
      <c r="F559" s="394" t="s">
        <v>785</v>
      </c>
      <c r="G559" s="422" t="s">
        <v>552</v>
      </c>
      <c r="H559" s="394" t="s">
        <v>97</v>
      </c>
      <c r="I559" s="497">
        <v>44866.0</v>
      </c>
      <c r="J559" s="422">
        <v>11.0</v>
      </c>
      <c r="K559" s="433" t="s">
        <v>242</v>
      </c>
      <c r="L559" s="316" t="s">
        <v>256</v>
      </c>
      <c r="M559" s="316">
        <f t="shared" si="1"/>
        <v>2510</v>
      </c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customHeight="1">
      <c r="A560" s="425">
        <v>28022.0</v>
      </c>
      <c r="B560" s="426" t="s">
        <v>2595</v>
      </c>
      <c r="C560" s="426">
        <v>2022.0</v>
      </c>
      <c r="D560" s="500">
        <v>44732.0</v>
      </c>
      <c r="E560" s="428" t="s">
        <v>2596</v>
      </c>
      <c r="F560" s="397" t="s">
        <v>2597</v>
      </c>
      <c r="G560" s="428" t="s">
        <v>569</v>
      </c>
      <c r="H560" s="397" t="s">
        <v>607</v>
      </c>
      <c r="I560" s="500">
        <v>44866.0</v>
      </c>
      <c r="J560" s="428">
        <v>11.0</v>
      </c>
      <c r="K560" s="433" t="s">
        <v>242</v>
      </c>
      <c r="L560" s="319" t="s">
        <v>260</v>
      </c>
      <c r="M560" s="319">
        <f t="shared" si="1"/>
        <v>134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customHeight="1">
      <c r="A561" s="419">
        <v>28122.0</v>
      </c>
      <c r="B561" s="420" t="s">
        <v>2598</v>
      </c>
      <c r="C561" s="420">
        <v>2022.0</v>
      </c>
      <c r="D561" s="497">
        <v>44749.0</v>
      </c>
      <c r="E561" s="422" t="s">
        <v>2599</v>
      </c>
      <c r="F561" s="394" t="s">
        <v>615</v>
      </c>
      <c r="G561" s="422" t="s">
        <v>569</v>
      </c>
      <c r="H561" s="394" t="s">
        <v>2600</v>
      </c>
      <c r="I561" s="497">
        <v>44866.0</v>
      </c>
      <c r="J561" s="422">
        <v>11.0</v>
      </c>
      <c r="K561" s="433" t="s">
        <v>242</v>
      </c>
      <c r="L561" s="316" t="s">
        <v>260</v>
      </c>
      <c r="M561" s="316">
        <f t="shared" si="1"/>
        <v>117</v>
      </c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customHeight="1">
      <c r="A562" s="425">
        <v>28222.0</v>
      </c>
      <c r="B562" s="426" t="s">
        <v>2601</v>
      </c>
      <c r="C562" s="426">
        <v>2022.0</v>
      </c>
      <c r="D562" s="500">
        <v>44749.0</v>
      </c>
      <c r="E562" s="428" t="s">
        <v>2602</v>
      </c>
      <c r="F562" s="397" t="s">
        <v>2343</v>
      </c>
      <c r="G562" s="428" t="s">
        <v>569</v>
      </c>
      <c r="H562" s="397" t="s">
        <v>2603</v>
      </c>
      <c r="I562" s="500">
        <v>44866.0</v>
      </c>
      <c r="J562" s="428">
        <v>11.0</v>
      </c>
      <c r="K562" s="433" t="s">
        <v>242</v>
      </c>
      <c r="L562" s="319" t="s">
        <v>260</v>
      </c>
      <c r="M562" s="319">
        <f t="shared" si="1"/>
        <v>117</v>
      </c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customHeight="1">
      <c r="A563" s="419">
        <v>28322.0</v>
      </c>
      <c r="B563" s="420" t="s">
        <v>2604</v>
      </c>
      <c r="C563" s="420">
        <v>2022.0</v>
      </c>
      <c r="D563" s="497">
        <v>44720.0</v>
      </c>
      <c r="E563" s="422" t="s">
        <v>2605</v>
      </c>
      <c r="F563" s="394" t="s">
        <v>2606</v>
      </c>
      <c r="G563" s="422" t="s">
        <v>569</v>
      </c>
      <c r="H563" s="394" t="s">
        <v>607</v>
      </c>
      <c r="I563" s="497">
        <v>44866.0</v>
      </c>
      <c r="J563" s="422">
        <v>11.0</v>
      </c>
      <c r="K563" s="433" t="s">
        <v>242</v>
      </c>
      <c r="L563" s="316" t="s">
        <v>260</v>
      </c>
      <c r="M563" s="316">
        <f t="shared" si="1"/>
        <v>146</v>
      </c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customHeight="1">
      <c r="A564" s="425">
        <v>28422.0</v>
      </c>
      <c r="B564" s="426" t="s">
        <v>2607</v>
      </c>
      <c r="C564" s="426">
        <v>2022.0</v>
      </c>
      <c r="D564" s="500">
        <v>44721.0</v>
      </c>
      <c r="E564" s="428" t="s">
        <v>2608</v>
      </c>
      <c r="F564" s="397" t="s">
        <v>2606</v>
      </c>
      <c r="G564" s="428" t="s">
        <v>569</v>
      </c>
      <c r="H564" s="397" t="s">
        <v>607</v>
      </c>
      <c r="I564" s="500">
        <v>44866.0</v>
      </c>
      <c r="J564" s="428">
        <v>11.0</v>
      </c>
      <c r="K564" s="433" t="s">
        <v>242</v>
      </c>
      <c r="L564" s="319" t="s">
        <v>260</v>
      </c>
      <c r="M564" s="319">
        <f t="shared" si="1"/>
        <v>145</v>
      </c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customHeight="1">
      <c r="A565" s="419">
        <v>28522.0</v>
      </c>
      <c r="B565" s="420" t="s">
        <v>2609</v>
      </c>
      <c r="C565" s="420">
        <v>2022.0</v>
      </c>
      <c r="D565" s="497">
        <v>44623.0</v>
      </c>
      <c r="E565" s="422" t="s">
        <v>2610</v>
      </c>
      <c r="F565" s="394" t="s">
        <v>2611</v>
      </c>
      <c r="G565" s="422" t="s">
        <v>569</v>
      </c>
      <c r="H565" s="394" t="s">
        <v>2539</v>
      </c>
      <c r="I565" s="497">
        <v>44866.0</v>
      </c>
      <c r="J565" s="422">
        <v>11.0</v>
      </c>
      <c r="K565" s="433" t="s">
        <v>242</v>
      </c>
      <c r="L565" s="316" t="s">
        <v>260</v>
      </c>
      <c r="M565" s="316">
        <f t="shared" si="1"/>
        <v>243</v>
      </c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customHeight="1">
      <c r="A566" s="425">
        <v>28622.0</v>
      </c>
      <c r="B566" s="426" t="s">
        <v>2612</v>
      </c>
      <c r="C566" s="426">
        <v>2022.0</v>
      </c>
      <c r="D566" s="500">
        <v>44701.0</v>
      </c>
      <c r="E566" s="428" t="s">
        <v>2613</v>
      </c>
      <c r="F566" s="397" t="s">
        <v>2614</v>
      </c>
      <c r="G566" s="428" t="s">
        <v>569</v>
      </c>
      <c r="H566" s="397" t="s">
        <v>2539</v>
      </c>
      <c r="I566" s="500">
        <v>44866.0</v>
      </c>
      <c r="J566" s="428">
        <v>11.0</v>
      </c>
      <c r="K566" s="433" t="s">
        <v>242</v>
      </c>
      <c r="L566" s="319" t="s">
        <v>260</v>
      </c>
      <c r="M566" s="319">
        <f t="shared" si="1"/>
        <v>165</v>
      </c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customHeight="1">
      <c r="A567" s="419">
        <v>28722.0</v>
      </c>
      <c r="B567" s="420" t="s">
        <v>2615</v>
      </c>
      <c r="C567" s="420">
        <v>2020.0</v>
      </c>
      <c r="D567" s="497">
        <v>44176.0</v>
      </c>
      <c r="E567" s="422" t="s">
        <v>2616</v>
      </c>
      <c r="F567" s="394" t="s">
        <v>2268</v>
      </c>
      <c r="G567" s="422" t="s">
        <v>552</v>
      </c>
      <c r="H567" s="394" t="s">
        <v>727</v>
      </c>
      <c r="I567" s="497">
        <v>44868.0</v>
      </c>
      <c r="J567" s="422">
        <v>11.0</v>
      </c>
      <c r="K567" s="433" t="s">
        <v>242</v>
      </c>
      <c r="L567" s="316" t="s">
        <v>258</v>
      </c>
      <c r="M567" s="316">
        <f t="shared" si="1"/>
        <v>692</v>
      </c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customHeight="1">
      <c r="A568" s="425">
        <v>28822.0</v>
      </c>
      <c r="B568" s="426" t="s">
        <v>2617</v>
      </c>
      <c r="C568" s="426">
        <v>2021.0</v>
      </c>
      <c r="D568" s="500">
        <v>44488.0</v>
      </c>
      <c r="E568" s="428" t="s">
        <v>2618</v>
      </c>
      <c r="F568" s="397" t="s">
        <v>2619</v>
      </c>
      <c r="G568" s="428" t="s">
        <v>565</v>
      </c>
      <c r="H568" s="397" t="s">
        <v>2589</v>
      </c>
      <c r="I568" s="500">
        <v>44868.0</v>
      </c>
      <c r="J568" s="428">
        <v>11.0</v>
      </c>
      <c r="K568" s="511" t="s">
        <v>602</v>
      </c>
      <c r="L568" s="319" t="s">
        <v>260</v>
      </c>
      <c r="M568" s="319">
        <f t="shared" si="1"/>
        <v>380</v>
      </c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customHeight="1">
      <c r="A569" s="419">
        <v>28922.0</v>
      </c>
      <c r="B569" s="420" t="s">
        <v>2620</v>
      </c>
      <c r="C569" s="420">
        <v>2022.0</v>
      </c>
      <c r="D569" s="497">
        <v>44701.0</v>
      </c>
      <c r="E569" s="422" t="s">
        <v>2621</v>
      </c>
      <c r="F569" s="394" t="s">
        <v>2622</v>
      </c>
      <c r="G569" s="422" t="s">
        <v>569</v>
      </c>
      <c r="H569" s="394" t="s">
        <v>2539</v>
      </c>
      <c r="I569" s="497">
        <v>44868.0</v>
      </c>
      <c r="J569" s="422">
        <v>11.0</v>
      </c>
      <c r="K569" s="433" t="s">
        <v>242</v>
      </c>
      <c r="L569" s="316" t="s">
        <v>260</v>
      </c>
      <c r="M569" s="316">
        <f t="shared" si="1"/>
        <v>167</v>
      </c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customHeight="1">
      <c r="A570" s="425">
        <v>29022.0</v>
      </c>
      <c r="B570" s="426" t="s">
        <v>2623</v>
      </c>
      <c r="C570" s="426">
        <v>2022.0</v>
      </c>
      <c r="D570" s="500">
        <v>44705.0</v>
      </c>
      <c r="E570" s="428" t="s">
        <v>2624</v>
      </c>
      <c r="F570" s="397" t="s">
        <v>2625</v>
      </c>
      <c r="G570" s="428" t="s">
        <v>569</v>
      </c>
      <c r="H570" s="397" t="s">
        <v>2626</v>
      </c>
      <c r="I570" s="500">
        <v>44868.0</v>
      </c>
      <c r="J570" s="428">
        <v>11.0</v>
      </c>
      <c r="K570" s="433" t="s">
        <v>242</v>
      </c>
      <c r="L570" s="319" t="s">
        <v>260</v>
      </c>
      <c r="M570" s="319">
        <f t="shared" si="1"/>
        <v>163</v>
      </c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customHeight="1">
      <c r="A571" s="419">
        <v>29122.0</v>
      </c>
      <c r="B571" s="420" t="s">
        <v>2627</v>
      </c>
      <c r="C571" s="420">
        <v>2022.0</v>
      </c>
      <c r="D571" s="497">
        <v>44721.0</v>
      </c>
      <c r="E571" s="422" t="s">
        <v>2628</v>
      </c>
      <c r="F571" s="394" t="s">
        <v>2629</v>
      </c>
      <c r="G571" s="422" t="s">
        <v>569</v>
      </c>
      <c r="H571" s="394" t="s">
        <v>1941</v>
      </c>
      <c r="I571" s="497">
        <v>44868.0</v>
      </c>
      <c r="J571" s="422">
        <v>11.0</v>
      </c>
      <c r="K571" s="433" t="s">
        <v>242</v>
      </c>
      <c r="L571" s="316" t="s">
        <v>260</v>
      </c>
      <c r="M571" s="316">
        <f t="shared" si="1"/>
        <v>147</v>
      </c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customHeight="1">
      <c r="A572" s="425">
        <v>29222.0</v>
      </c>
      <c r="B572" s="426" t="s">
        <v>2630</v>
      </c>
      <c r="C572" s="426">
        <v>2021.0</v>
      </c>
      <c r="D572" s="500">
        <v>44398.0</v>
      </c>
      <c r="E572" s="428" t="s">
        <v>2631</v>
      </c>
      <c r="F572" s="397" t="s">
        <v>2632</v>
      </c>
      <c r="G572" s="428" t="s">
        <v>565</v>
      </c>
      <c r="H572" s="397" t="s">
        <v>2633</v>
      </c>
      <c r="I572" s="500">
        <v>44868.0</v>
      </c>
      <c r="J572" s="428">
        <v>11.0</v>
      </c>
      <c r="K572" s="433" t="s">
        <v>242</v>
      </c>
      <c r="L572" s="319" t="s">
        <v>260</v>
      </c>
      <c r="M572" s="319">
        <f t="shared" si="1"/>
        <v>470</v>
      </c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customHeight="1">
      <c r="A573" s="419">
        <v>29322.0</v>
      </c>
      <c r="B573" s="420" t="s">
        <v>2634</v>
      </c>
      <c r="C573" s="420">
        <v>2022.0</v>
      </c>
      <c r="D573" s="497">
        <v>44713.0</v>
      </c>
      <c r="E573" s="422" t="s">
        <v>2635</v>
      </c>
      <c r="F573" s="394" t="s">
        <v>2636</v>
      </c>
      <c r="G573" s="422" t="s">
        <v>569</v>
      </c>
      <c r="H573" s="394" t="s">
        <v>1941</v>
      </c>
      <c r="I573" s="497">
        <v>44868.0</v>
      </c>
      <c r="J573" s="422">
        <v>11.0</v>
      </c>
      <c r="K573" s="433" t="s">
        <v>242</v>
      </c>
      <c r="L573" s="316" t="s">
        <v>260</v>
      </c>
      <c r="M573" s="316">
        <f t="shared" si="1"/>
        <v>155</v>
      </c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customHeight="1">
      <c r="A574" s="425">
        <v>29422.0</v>
      </c>
      <c r="B574" s="426" t="s">
        <v>2637</v>
      </c>
      <c r="C574" s="426">
        <v>2017.0</v>
      </c>
      <c r="D574" s="500">
        <v>43069.0</v>
      </c>
      <c r="E574" s="428" t="s">
        <v>2638</v>
      </c>
      <c r="F574" s="397" t="s">
        <v>2639</v>
      </c>
      <c r="G574" s="428" t="s">
        <v>547</v>
      </c>
      <c r="H574" s="397" t="s">
        <v>18</v>
      </c>
      <c r="I574" s="500">
        <v>44868.0</v>
      </c>
      <c r="J574" s="428">
        <v>11.0</v>
      </c>
      <c r="K574" s="513" t="s">
        <v>236</v>
      </c>
      <c r="L574" s="319" t="s">
        <v>256</v>
      </c>
      <c r="M574" s="319">
        <f t="shared" si="1"/>
        <v>1799</v>
      </c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customHeight="1">
      <c r="A575" s="419">
        <v>29522.0</v>
      </c>
      <c r="B575" s="420" t="s">
        <v>2640</v>
      </c>
      <c r="C575" s="420">
        <v>2020.0</v>
      </c>
      <c r="D575" s="497">
        <v>43950.0</v>
      </c>
      <c r="E575" s="422" t="s">
        <v>2641</v>
      </c>
      <c r="F575" s="394" t="s">
        <v>1336</v>
      </c>
      <c r="G575" s="422" t="s">
        <v>547</v>
      </c>
      <c r="H575" s="394" t="s">
        <v>1802</v>
      </c>
      <c r="I575" s="497">
        <v>44868.0</v>
      </c>
      <c r="J575" s="422">
        <v>11.0</v>
      </c>
      <c r="K575" s="433" t="s">
        <v>242</v>
      </c>
      <c r="L575" s="316" t="s">
        <v>258</v>
      </c>
      <c r="M575" s="316">
        <f t="shared" si="1"/>
        <v>918</v>
      </c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customHeight="1">
      <c r="A576" s="425">
        <v>29622.0</v>
      </c>
      <c r="B576" s="426" t="s">
        <v>2642</v>
      </c>
      <c r="C576" s="426">
        <v>2022.0</v>
      </c>
      <c r="D576" s="500">
        <v>44788.0</v>
      </c>
      <c r="E576" s="428" t="s">
        <v>2643</v>
      </c>
      <c r="F576" s="397" t="s">
        <v>2644</v>
      </c>
      <c r="G576" s="428" t="s">
        <v>569</v>
      </c>
      <c r="H576" s="397" t="s">
        <v>2645</v>
      </c>
      <c r="I576" s="500">
        <v>44868.0</v>
      </c>
      <c r="J576" s="428">
        <v>11.0</v>
      </c>
      <c r="K576" s="511" t="s">
        <v>602</v>
      </c>
      <c r="L576" s="319" t="s">
        <v>260</v>
      </c>
      <c r="M576" s="319">
        <f t="shared" si="1"/>
        <v>80</v>
      </c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customHeight="1">
      <c r="A577" s="419">
        <v>29722.0</v>
      </c>
      <c r="B577" s="420" t="s">
        <v>2646</v>
      </c>
      <c r="C577" s="420">
        <v>2021.0</v>
      </c>
      <c r="D577" s="497">
        <v>44256.0</v>
      </c>
      <c r="E577" s="422" t="s">
        <v>2647</v>
      </c>
      <c r="F577" s="394" t="s">
        <v>2648</v>
      </c>
      <c r="G577" s="422" t="s">
        <v>552</v>
      </c>
      <c r="H577" s="394" t="s">
        <v>149</v>
      </c>
      <c r="I577" s="497">
        <v>44868.0</v>
      </c>
      <c r="J577" s="422">
        <v>11.0</v>
      </c>
      <c r="K577" s="433" t="s">
        <v>240</v>
      </c>
      <c r="L577" s="316" t="s">
        <v>256</v>
      </c>
      <c r="M577" s="316">
        <f t="shared" si="1"/>
        <v>612</v>
      </c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customHeight="1">
      <c r="A578" s="425">
        <v>29822.0</v>
      </c>
      <c r="B578" s="426" t="s">
        <v>2649</v>
      </c>
      <c r="C578" s="426">
        <v>2016.0</v>
      </c>
      <c r="D578" s="500">
        <v>42521.0</v>
      </c>
      <c r="E578" s="428" t="s">
        <v>2650</v>
      </c>
      <c r="F578" s="397" t="s">
        <v>2651</v>
      </c>
      <c r="G578" s="428" t="s">
        <v>552</v>
      </c>
      <c r="H578" s="397" t="s">
        <v>56</v>
      </c>
      <c r="I578" s="500">
        <v>44869.0</v>
      </c>
      <c r="J578" s="428">
        <v>11.0</v>
      </c>
      <c r="K578" s="433" t="s">
        <v>240</v>
      </c>
      <c r="L578" s="319" t="s">
        <v>256</v>
      </c>
      <c r="M578" s="319">
        <f t="shared" si="1"/>
        <v>2348</v>
      </c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customHeight="1">
      <c r="A579" s="419">
        <v>29922.0</v>
      </c>
      <c r="B579" s="420" t="s">
        <v>2652</v>
      </c>
      <c r="C579" s="420">
        <v>2016.0</v>
      </c>
      <c r="D579" s="497">
        <v>42557.0</v>
      </c>
      <c r="E579" s="422" t="s">
        <v>2653</v>
      </c>
      <c r="F579" s="394" t="s">
        <v>1823</v>
      </c>
      <c r="G579" s="422" t="s">
        <v>552</v>
      </c>
      <c r="H579" s="394" t="s">
        <v>740</v>
      </c>
      <c r="I579" s="497">
        <v>44869.0</v>
      </c>
      <c r="J579" s="422">
        <v>11.0</v>
      </c>
      <c r="K579" s="513" t="s">
        <v>236</v>
      </c>
      <c r="L579" s="316" t="s">
        <v>258</v>
      </c>
      <c r="M579" s="316">
        <f t="shared" si="1"/>
        <v>2312</v>
      </c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customHeight="1">
      <c r="A580" s="425">
        <v>30022.0</v>
      </c>
      <c r="B580" s="426" t="s">
        <v>2654</v>
      </c>
      <c r="C580" s="426">
        <v>2021.0</v>
      </c>
      <c r="D580" s="500">
        <v>44546.0</v>
      </c>
      <c r="E580" s="428" t="s">
        <v>2655</v>
      </c>
      <c r="F580" s="397" t="s">
        <v>576</v>
      </c>
      <c r="G580" s="428" t="s">
        <v>565</v>
      </c>
      <c r="H580" s="397" t="s">
        <v>2236</v>
      </c>
      <c r="I580" s="500">
        <v>44872.0</v>
      </c>
      <c r="J580" s="428">
        <v>11.0</v>
      </c>
      <c r="K580" s="433" t="s">
        <v>242</v>
      </c>
      <c r="L580" s="319" t="s">
        <v>260</v>
      </c>
      <c r="M580" s="319">
        <f t="shared" si="1"/>
        <v>326</v>
      </c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customHeight="1">
      <c r="A581" s="419">
        <v>30122.0</v>
      </c>
      <c r="B581" s="420" t="s">
        <v>2656</v>
      </c>
      <c r="C581" s="420">
        <v>2017.0</v>
      </c>
      <c r="D581" s="497">
        <v>42895.0</v>
      </c>
      <c r="E581" s="422" t="s">
        <v>2657</v>
      </c>
      <c r="F581" s="394" t="s">
        <v>1108</v>
      </c>
      <c r="G581" s="422" t="s">
        <v>552</v>
      </c>
      <c r="H581" s="394" t="s">
        <v>1588</v>
      </c>
      <c r="I581" s="497">
        <v>44872.0</v>
      </c>
      <c r="J581" s="422">
        <v>11.0</v>
      </c>
      <c r="K581" s="433" t="s">
        <v>242</v>
      </c>
      <c r="L581" s="316" t="s">
        <v>256</v>
      </c>
      <c r="M581" s="316">
        <f t="shared" si="1"/>
        <v>1977</v>
      </c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customHeight="1">
      <c r="A582" s="425">
        <v>30222.0</v>
      </c>
      <c r="B582" s="426" t="s">
        <v>2658</v>
      </c>
      <c r="C582" s="426">
        <v>2021.0</v>
      </c>
      <c r="D582" s="500">
        <v>44469.0</v>
      </c>
      <c r="E582" s="428" t="s">
        <v>2659</v>
      </c>
      <c r="F582" s="397" t="s">
        <v>2660</v>
      </c>
      <c r="G582" s="428" t="s">
        <v>565</v>
      </c>
      <c r="H582" s="397" t="s">
        <v>639</v>
      </c>
      <c r="I582" s="500">
        <v>44872.0</v>
      </c>
      <c r="J582" s="428">
        <v>11.0</v>
      </c>
      <c r="K582" s="511" t="s">
        <v>602</v>
      </c>
      <c r="L582" s="319" t="s">
        <v>260</v>
      </c>
      <c r="M582" s="319">
        <f t="shared" si="1"/>
        <v>403</v>
      </c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customHeight="1">
      <c r="A583" s="419">
        <v>30322.0</v>
      </c>
      <c r="B583" s="420" t="s">
        <v>2661</v>
      </c>
      <c r="C583" s="420">
        <v>2010.0</v>
      </c>
      <c r="D583" s="497">
        <v>40449.0</v>
      </c>
      <c r="E583" s="422" t="s">
        <v>2662</v>
      </c>
      <c r="F583" s="394" t="s">
        <v>2663</v>
      </c>
      <c r="G583" s="422" t="s">
        <v>552</v>
      </c>
      <c r="H583" s="394" t="s">
        <v>2664</v>
      </c>
      <c r="I583" s="497">
        <v>44872.0</v>
      </c>
      <c r="J583" s="422">
        <v>11.0</v>
      </c>
      <c r="K583" s="502" t="s">
        <v>232</v>
      </c>
      <c r="L583" s="316" t="s">
        <v>256</v>
      </c>
      <c r="M583" s="316">
        <f t="shared" si="1"/>
        <v>4423</v>
      </c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customHeight="1">
      <c r="A584" s="425">
        <v>30422.0</v>
      </c>
      <c r="B584" s="426" t="s">
        <v>2665</v>
      </c>
      <c r="C584" s="426">
        <v>2018.0</v>
      </c>
      <c r="D584" s="500">
        <v>43437.0</v>
      </c>
      <c r="E584" s="428" t="s">
        <v>2666</v>
      </c>
      <c r="F584" s="397" t="s">
        <v>2667</v>
      </c>
      <c r="G584" s="428" t="s">
        <v>552</v>
      </c>
      <c r="H584" s="397" t="s">
        <v>583</v>
      </c>
      <c r="I584" s="500">
        <v>44882.0</v>
      </c>
      <c r="J584" s="428">
        <v>11.0</v>
      </c>
      <c r="K584" s="433" t="s">
        <v>242</v>
      </c>
      <c r="L584" s="319" t="s">
        <v>260</v>
      </c>
      <c r="M584" s="319">
        <f t="shared" si="1"/>
        <v>1445</v>
      </c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customHeight="1">
      <c r="A585" s="419">
        <v>30522.0</v>
      </c>
      <c r="B585" s="420" t="s">
        <v>2668</v>
      </c>
      <c r="C585" s="420">
        <v>2022.0</v>
      </c>
      <c r="D585" s="497">
        <v>44782.0</v>
      </c>
      <c r="E585" s="422" t="s">
        <v>2669</v>
      </c>
      <c r="F585" s="394" t="s">
        <v>615</v>
      </c>
      <c r="G585" s="422" t="s">
        <v>569</v>
      </c>
      <c r="H585" s="394" t="s">
        <v>2670</v>
      </c>
      <c r="I585" s="497">
        <v>44883.0</v>
      </c>
      <c r="J585" s="422">
        <v>11.0</v>
      </c>
      <c r="K585" s="433" t="s">
        <v>242</v>
      </c>
      <c r="L585" s="316" t="s">
        <v>260</v>
      </c>
      <c r="M585" s="316">
        <f t="shared" si="1"/>
        <v>101</v>
      </c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customHeight="1">
      <c r="A586" s="425">
        <v>30622.0</v>
      </c>
      <c r="B586" s="426" t="s">
        <v>2671</v>
      </c>
      <c r="C586" s="426">
        <v>2022.0</v>
      </c>
      <c r="D586" s="500">
        <v>44782.0</v>
      </c>
      <c r="E586" s="428" t="s">
        <v>2672</v>
      </c>
      <c r="F586" s="397" t="s">
        <v>611</v>
      </c>
      <c r="G586" s="428" t="s">
        <v>569</v>
      </c>
      <c r="H586" s="397" t="s">
        <v>2670</v>
      </c>
      <c r="I586" s="500">
        <v>44883.0</v>
      </c>
      <c r="J586" s="428">
        <v>11.0</v>
      </c>
      <c r="K586" s="433" t="s">
        <v>242</v>
      </c>
      <c r="L586" s="319" t="s">
        <v>260</v>
      </c>
      <c r="M586" s="319">
        <f t="shared" si="1"/>
        <v>101</v>
      </c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customHeight="1">
      <c r="A587" s="419">
        <v>30722.0</v>
      </c>
      <c r="B587" s="420" t="s">
        <v>2673</v>
      </c>
      <c r="C587" s="420">
        <v>2021.0</v>
      </c>
      <c r="D587" s="497">
        <v>44560.0</v>
      </c>
      <c r="E587" s="422" t="s">
        <v>2674</v>
      </c>
      <c r="F587" s="394" t="s">
        <v>2675</v>
      </c>
      <c r="G587" s="422" t="s">
        <v>565</v>
      </c>
      <c r="H587" s="394" t="s">
        <v>2676</v>
      </c>
      <c r="I587" s="497">
        <v>44883.0</v>
      </c>
      <c r="J587" s="422">
        <v>11.0</v>
      </c>
      <c r="K587" s="433" t="s">
        <v>242</v>
      </c>
      <c r="L587" s="316" t="s">
        <v>260</v>
      </c>
      <c r="M587" s="316">
        <f t="shared" si="1"/>
        <v>323</v>
      </c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customHeight="1">
      <c r="A588" s="425">
        <v>30822.0</v>
      </c>
      <c r="B588" s="426" t="s">
        <v>2677</v>
      </c>
      <c r="C588" s="426">
        <v>2017.0</v>
      </c>
      <c r="D588" s="500">
        <v>43059.0</v>
      </c>
      <c r="E588" s="428" t="s">
        <v>2678</v>
      </c>
      <c r="F588" s="397" t="s">
        <v>753</v>
      </c>
      <c r="G588" s="428" t="s">
        <v>552</v>
      </c>
      <c r="H588" s="397" t="s">
        <v>50</v>
      </c>
      <c r="I588" s="500">
        <v>44883.0</v>
      </c>
      <c r="J588" s="428">
        <v>11.0</v>
      </c>
      <c r="K588" s="433" t="s">
        <v>242</v>
      </c>
      <c r="L588" s="319" t="s">
        <v>258</v>
      </c>
      <c r="M588" s="319">
        <f t="shared" si="1"/>
        <v>1824</v>
      </c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customHeight="1">
      <c r="A589" s="419">
        <v>30922.0</v>
      </c>
      <c r="B589" s="420" t="s">
        <v>2679</v>
      </c>
      <c r="C589" s="420">
        <v>2020.0</v>
      </c>
      <c r="D589" s="497">
        <v>44174.0</v>
      </c>
      <c r="E589" s="422" t="s">
        <v>2680</v>
      </c>
      <c r="F589" s="394" t="s">
        <v>2681</v>
      </c>
      <c r="G589" s="422" t="s">
        <v>565</v>
      </c>
      <c r="H589" s="394" t="s">
        <v>2682</v>
      </c>
      <c r="I589" s="497">
        <v>44883.0</v>
      </c>
      <c r="J589" s="422">
        <v>11.0</v>
      </c>
      <c r="K589" s="433" t="s">
        <v>240</v>
      </c>
      <c r="L589" s="316" t="s">
        <v>260</v>
      </c>
      <c r="M589" s="316">
        <f t="shared" si="1"/>
        <v>709</v>
      </c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customHeight="1">
      <c r="A590" s="425">
        <v>31022.0</v>
      </c>
      <c r="B590" s="426" t="s">
        <v>2683</v>
      </c>
      <c r="C590" s="426">
        <v>2022.0</v>
      </c>
      <c r="D590" s="500">
        <v>44600.0</v>
      </c>
      <c r="E590" s="428" t="s">
        <v>2684</v>
      </c>
      <c r="F590" s="397" t="s">
        <v>2685</v>
      </c>
      <c r="G590" s="428" t="s">
        <v>565</v>
      </c>
      <c r="H590" s="397" t="s">
        <v>2236</v>
      </c>
      <c r="I590" s="500">
        <v>44883.0</v>
      </c>
      <c r="J590" s="428">
        <v>11.0</v>
      </c>
      <c r="K590" s="433" t="s">
        <v>242</v>
      </c>
      <c r="L590" s="319" t="s">
        <v>260</v>
      </c>
      <c r="M590" s="319">
        <f t="shared" si="1"/>
        <v>283</v>
      </c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customHeight="1">
      <c r="A591" s="419">
        <v>31122.0</v>
      </c>
      <c r="B591" s="420" t="s">
        <v>2686</v>
      </c>
      <c r="C591" s="420">
        <v>2018.0</v>
      </c>
      <c r="D591" s="497">
        <v>43188.0</v>
      </c>
      <c r="E591" s="422" t="s">
        <v>2687</v>
      </c>
      <c r="F591" s="394" t="s">
        <v>2268</v>
      </c>
      <c r="G591" s="422" t="s">
        <v>552</v>
      </c>
      <c r="H591" s="394" t="s">
        <v>153</v>
      </c>
      <c r="I591" s="497">
        <v>44888.0</v>
      </c>
      <c r="J591" s="422">
        <v>11.0</v>
      </c>
      <c r="K591" s="433" t="s">
        <v>242</v>
      </c>
      <c r="L591" s="316" t="s">
        <v>258</v>
      </c>
      <c r="M591" s="316">
        <f t="shared" si="1"/>
        <v>1700</v>
      </c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customHeight="1">
      <c r="A592" s="425">
        <v>31222.0</v>
      </c>
      <c r="B592" s="426" t="s">
        <v>2688</v>
      </c>
      <c r="C592" s="426">
        <v>2020.0</v>
      </c>
      <c r="D592" s="500">
        <v>44013.0</v>
      </c>
      <c r="E592" s="428" t="s">
        <v>2689</v>
      </c>
      <c r="F592" s="397" t="s">
        <v>1834</v>
      </c>
      <c r="G592" s="428" t="s">
        <v>552</v>
      </c>
      <c r="H592" s="397" t="s">
        <v>130</v>
      </c>
      <c r="I592" s="500">
        <v>44888.0</v>
      </c>
      <c r="J592" s="428">
        <v>11.0</v>
      </c>
      <c r="K592" s="433" t="s">
        <v>240</v>
      </c>
      <c r="L592" s="319" t="s">
        <v>258</v>
      </c>
      <c r="M592" s="319">
        <f t="shared" si="1"/>
        <v>875</v>
      </c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customHeight="1">
      <c r="A593" s="419">
        <v>31322.0</v>
      </c>
      <c r="B593" s="420" t="s">
        <v>2690</v>
      </c>
      <c r="C593" s="420">
        <v>2022.0</v>
      </c>
      <c r="D593" s="497">
        <v>39905.0</v>
      </c>
      <c r="E593" s="422" t="s">
        <v>2691</v>
      </c>
      <c r="F593" s="394" t="s">
        <v>595</v>
      </c>
      <c r="G593" s="422" t="s">
        <v>650</v>
      </c>
      <c r="H593" s="394" t="s">
        <v>158</v>
      </c>
      <c r="I593" s="497">
        <v>44888.0</v>
      </c>
      <c r="J593" s="422">
        <v>11.0</v>
      </c>
      <c r="K593" s="513" t="s">
        <v>236</v>
      </c>
      <c r="L593" s="316" t="s">
        <v>840</v>
      </c>
      <c r="M593" s="316">
        <f t="shared" si="1"/>
        <v>4983</v>
      </c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customHeight="1">
      <c r="A594" s="425">
        <v>31422.0</v>
      </c>
      <c r="B594" s="426" t="s">
        <v>2692</v>
      </c>
      <c r="C594" s="426">
        <v>2017.0</v>
      </c>
      <c r="D594" s="500">
        <v>43091.0</v>
      </c>
      <c r="E594" s="428" t="s">
        <v>2693</v>
      </c>
      <c r="F594" s="397" t="s">
        <v>2694</v>
      </c>
      <c r="G594" s="428" t="s">
        <v>552</v>
      </c>
      <c r="H594" s="397" t="s">
        <v>2695</v>
      </c>
      <c r="I594" s="500">
        <v>44888.0</v>
      </c>
      <c r="J594" s="428">
        <v>11.0</v>
      </c>
      <c r="K594" s="433" t="s">
        <v>240</v>
      </c>
      <c r="L594" s="319" t="s">
        <v>256</v>
      </c>
      <c r="M594" s="319">
        <f t="shared" si="1"/>
        <v>1797</v>
      </c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customHeight="1">
      <c r="A595" s="419">
        <v>31522.0</v>
      </c>
      <c r="B595" s="420" t="s">
        <v>2696</v>
      </c>
      <c r="C595" s="420">
        <v>2021.0</v>
      </c>
      <c r="D595" s="497">
        <v>44305.0</v>
      </c>
      <c r="E595" s="422" t="s">
        <v>2697</v>
      </c>
      <c r="F595" s="394" t="s">
        <v>1150</v>
      </c>
      <c r="G595" s="422" t="s">
        <v>552</v>
      </c>
      <c r="H595" s="394" t="s">
        <v>130</v>
      </c>
      <c r="I595" s="497">
        <v>44888.0</v>
      </c>
      <c r="J595" s="422">
        <v>11.0</v>
      </c>
      <c r="K595" s="502" t="s">
        <v>232</v>
      </c>
      <c r="L595" s="316" t="s">
        <v>256</v>
      </c>
      <c r="M595" s="316">
        <f t="shared" si="1"/>
        <v>583</v>
      </c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customHeight="1">
      <c r="A596" s="425">
        <v>31622.0</v>
      </c>
      <c r="B596" s="426" t="s">
        <v>2698</v>
      </c>
      <c r="C596" s="426">
        <v>2017.0</v>
      </c>
      <c r="D596" s="500">
        <v>42937.0</v>
      </c>
      <c r="E596" s="428" t="s">
        <v>2699</v>
      </c>
      <c r="F596" s="397" t="s">
        <v>2700</v>
      </c>
      <c r="G596" s="428" t="s">
        <v>547</v>
      </c>
      <c r="H596" s="397" t="s">
        <v>158</v>
      </c>
      <c r="I596" s="500">
        <v>44888.0</v>
      </c>
      <c r="J596" s="428">
        <v>11.0</v>
      </c>
      <c r="K596" s="433" t="s">
        <v>242</v>
      </c>
      <c r="L596" s="319" t="s">
        <v>256</v>
      </c>
      <c r="M596" s="319">
        <f t="shared" si="1"/>
        <v>1951</v>
      </c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customHeight="1">
      <c r="A597" s="419">
        <v>31722.0</v>
      </c>
      <c r="B597" s="420" t="s">
        <v>2701</v>
      </c>
      <c r="C597" s="420">
        <v>2016.0</v>
      </c>
      <c r="D597" s="497">
        <v>42599.0</v>
      </c>
      <c r="E597" s="422" t="s">
        <v>2702</v>
      </c>
      <c r="F597" s="394" t="s">
        <v>2703</v>
      </c>
      <c r="G597" s="422" t="s">
        <v>547</v>
      </c>
      <c r="H597" s="394" t="s">
        <v>651</v>
      </c>
      <c r="I597" s="497">
        <v>44897.0</v>
      </c>
      <c r="J597" s="422">
        <v>12.0</v>
      </c>
      <c r="K597" s="513" t="s">
        <v>236</v>
      </c>
      <c r="L597" s="316" t="s">
        <v>258</v>
      </c>
      <c r="M597" s="316">
        <f t="shared" si="1"/>
        <v>2298</v>
      </c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customHeight="1">
      <c r="A598" s="425">
        <v>31822.0</v>
      </c>
      <c r="B598" s="426" t="s">
        <v>2704</v>
      </c>
      <c r="C598" s="426">
        <v>2016.0</v>
      </c>
      <c r="D598" s="500">
        <v>42487.0</v>
      </c>
      <c r="E598" s="428" t="s">
        <v>2705</v>
      </c>
      <c r="F598" s="397" t="s">
        <v>563</v>
      </c>
      <c r="G598" s="428" t="s">
        <v>552</v>
      </c>
      <c r="H598" s="397" t="s">
        <v>153</v>
      </c>
      <c r="I598" s="500">
        <v>44897.0</v>
      </c>
      <c r="J598" s="428">
        <v>12.0</v>
      </c>
      <c r="K598" s="513" t="s">
        <v>236</v>
      </c>
      <c r="L598" s="319" t="s">
        <v>256</v>
      </c>
      <c r="M598" s="319">
        <f t="shared" si="1"/>
        <v>2410</v>
      </c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customHeight="1">
      <c r="A599" s="419">
        <v>31922.0</v>
      </c>
      <c r="B599" s="420" t="s">
        <v>2706</v>
      </c>
      <c r="C599" s="420">
        <v>2022.0</v>
      </c>
      <c r="D599" s="497">
        <v>44749.0</v>
      </c>
      <c r="E599" s="422" t="s">
        <v>2707</v>
      </c>
      <c r="F599" s="394" t="s">
        <v>2708</v>
      </c>
      <c r="G599" s="422" t="s">
        <v>569</v>
      </c>
      <c r="H599" s="394" t="s">
        <v>2023</v>
      </c>
      <c r="I599" s="497">
        <v>44900.0</v>
      </c>
      <c r="J599" s="422">
        <v>12.0</v>
      </c>
      <c r="K599" s="433" t="s">
        <v>242</v>
      </c>
      <c r="L599" s="316" t="s">
        <v>260</v>
      </c>
      <c r="M599" s="316">
        <f t="shared" si="1"/>
        <v>151</v>
      </c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customHeight="1">
      <c r="A600" s="425">
        <v>32022.0</v>
      </c>
      <c r="B600" s="426" t="s">
        <v>2709</v>
      </c>
      <c r="C600" s="426">
        <v>2022.0</v>
      </c>
      <c r="D600" s="500">
        <v>44805.0</v>
      </c>
      <c r="E600" s="428" t="s">
        <v>2710</v>
      </c>
      <c r="F600" s="397" t="s">
        <v>2538</v>
      </c>
      <c r="G600" s="428" t="s">
        <v>569</v>
      </c>
      <c r="H600" s="397" t="s">
        <v>2711</v>
      </c>
      <c r="I600" s="500">
        <v>44900.0</v>
      </c>
      <c r="J600" s="428">
        <v>12.0</v>
      </c>
      <c r="K600" s="433" t="s">
        <v>242</v>
      </c>
      <c r="L600" s="319" t="s">
        <v>260</v>
      </c>
      <c r="M600" s="319">
        <f t="shared" si="1"/>
        <v>95</v>
      </c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customHeight="1">
      <c r="A601" s="419">
        <v>32122.0</v>
      </c>
      <c r="B601" s="420" t="s">
        <v>2712</v>
      </c>
      <c r="C601" s="420">
        <v>2020.0</v>
      </c>
      <c r="D601" s="497">
        <v>43949.0</v>
      </c>
      <c r="E601" s="422" t="s">
        <v>2713</v>
      </c>
      <c r="F601" s="394" t="s">
        <v>2714</v>
      </c>
      <c r="G601" s="422" t="s">
        <v>552</v>
      </c>
      <c r="H601" s="394" t="s">
        <v>2715</v>
      </c>
      <c r="I601" s="497">
        <v>44900.0</v>
      </c>
      <c r="J601" s="422">
        <v>12.0</v>
      </c>
      <c r="K601" s="513" t="s">
        <v>236</v>
      </c>
      <c r="L601" s="316" t="s">
        <v>256</v>
      </c>
      <c r="M601" s="316">
        <f t="shared" si="1"/>
        <v>951</v>
      </c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customHeight="1">
      <c r="A602" s="425">
        <v>32222.0</v>
      </c>
      <c r="B602" s="426" t="s">
        <v>2716</v>
      </c>
      <c r="C602" s="440">
        <v>2015.0</v>
      </c>
      <c r="D602" s="504">
        <v>42360.0</v>
      </c>
      <c r="E602" s="428" t="s">
        <v>2717</v>
      </c>
      <c r="F602" s="397" t="s">
        <v>1203</v>
      </c>
      <c r="G602" s="428" t="s">
        <v>552</v>
      </c>
      <c r="H602" s="397" t="s">
        <v>153</v>
      </c>
      <c r="I602" s="500">
        <v>44900.0</v>
      </c>
      <c r="J602" s="428">
        <v>12.0</v>
      </c>
      <c r="K602" s="433" t="s">
        <v>242</v>
      </c>
      <c r="L602" s="319" t="s">
        <v>256</v>
      </c>
      <c r="M602" s="319">
        <f t="shared" si="1"/>
        <v>2540</v>
      </c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customHeight="1">
      <c r="A603" s="419">
        <v>32322.0</v>
      </c>
      <c r="B603" s="420" t="s">
        <v>2718</v>
      </c>
      <c r="C603" s="420">
        <v>2018.0</v>
      </c>
      <c r="D603" s="497">
        <v>43392.0</v>
      </c>
      <c r="E603" s="422" t="s">
        <v>2719</v>
      </c>
      <c r="F603" s="394" t="s">
        <v>71</v>
      </c>
      <c r="G603" s="422" t="s">
        <v>552</v>
      </c>
      <c r="H603" s="394" t="s">
        <v>163</v>
      </c>
      <c r="I603" s="497">
        <v>44900.0</v>
      </c>
      <c r="J603" s="422">
        <v>12.0</v>
      </c>
      <c r="K603" s="433" t="s">
        <v>242</v>
      </c>
      <c r="L603" s="316" t="s">
        <v>260</v>
      </c>
      <c r="M603" s="316">
        <f t="shared" si="1"/>
        <v>1508</v>
      </c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customHeight="1">
      <c r="A604" s="425">
        <v>32422.0</v>
      </c>
      <c r="B604" s="426" t="s">
        <v>2720</v>
      </c>
      <c r="C604" s="426">
        <v>2021.0</v>
      </c>
      <c r="D604" s="500">
        <v>44378.0</v>
      </c>
      <c r="E604" s="428" t="s">
        <v>2721</v>
      </c>
      <c r="F604" s="397" t="s">
        <v>2722</v>
      </c>
      <c r="G604" s="428" t="s">
        <v>565</v>
      </c>
      <c r="H604" s="397" t="s">
        <v>2633</v>
      </c>
      <c r="I604" s="500">
        <v>44901.0</v>
      </c>
      <c r="J604" s="428">
        <v>12.0</v>
      </c>
      <c r="K604" s="511" t="s">
        <v>602</v>
      </c>
      <c r="L604" s="319" t="s">
        <v>260</v>
      </c>
      <c r="M604" s="319">
        <f t="shared" si="1"/>
        <v>523</v>
      </c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customHeight="1">
      <c r="A605" s="419">
        <v>32522.0</v>
      </c>
      <c r="B605" s="420" t="s">
        <v>2723</v>
      </c>
      <c r="C605" s="420">
        <v>2021.0</v>
      </c>
      <c r="D605" s="497">
        <v>44474.0</v>
      </c>
      <c r="E605" s="422" t="s">
        <v>2724</v>
      </c>
      <c r="F605" s="394" t="s">
        <v>2538</v>
      </c>
      <c r="G605" s="422" t="s">
        <v>569</v>
      </c>
      <c r="H605" s="394" t="s">
        <v>2477</v>
      </c>
      <c r="I605" s="497">
        <v>44907.0</v>
      </c>
      <c r="J605" s="422">
        <v>12.0</v>
      </c>
      <c r="K605" s="433" t="s">
        <v>242</v>
      </c>
      <c r="L605" s="316" t="s">
        <v>260</v>
      </c>
      <c r="M605" s="316">
        <f t="shared" si="1"/>
        <v>433</v>
      </c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customHeight="1">
      <c r="A606" s="425">
        <v>32622.0</v>
      </c>
      <c r="B606" s="426" t="s">
        <v>2725</v>
      </c>
      <c r="C606" s="426">
        <v>2010.0</v>
      </c>
      <c r="D606" s="500">
        <v>40535.0</v>
      </c>
      <c r="E606" s="428" t="s">
        <v>2726</v>
      </c>
      <c r="F606" s="397" t="s">
        <v>666</v>
      </c>
      <c r="G606" s="428" t="s">
        <v>552</v>
      </c>
      <c r="H606" s="397" t="s">
        <v>18</v>
      </c>
      <c r="I606" s="500">
        <v>44907.0</v>
      </c>
      <c r="J606" s="428">
        <v>12.0</v>
      </c>
      <c r="K606" s="433" t="s">
        <v>240</v>
      </c>
      <c r="L606" s="319" t="s">
        <v>256</v>
      </c>
      <c r="M606" s="319">
        <f t="shared" si="1"/>
        <v>4372</v>
      </c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customHeight="1">
      <c r="A607" s="419">
        <v>32722.0</v>
      </c>
      <c r="B607" s="420" t="s">
        <v>2727</v>
      </c>
      <c r="C607" s="420">
        <v>2022.0</v>
      </c>
      <c r="D607" s="497">
        <v>44636.0</v>
      </c>
      <c r="E607" s="422" t="s">
        <v>2728</v>
      </c>
      <c r="F607" s="394" t="s">
        <v>2729</v>
      </c>
      <c r="G607" s="422" t="s">
        <v>565</v>
      </c>
      <c r="H607" s="394" t="s">
        <v>629</v>
      </c>
      <c r="I607" s="497">
        <v>44907.0</v>
      </c>
      <c r="J607" s="422">
        <v>12.0</v>
      </c>
      <c r="K607" s="511" t="s">
        <v>602</v>
      </c>
      <c r="L607" s="316" t="s">
        <v>260</v>
      </c>
      <c r="M607" s="316">
        <f t="shared" si="1"/>
        <v>271</v>
      </c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customHeight="1">
      <c r="A608" s="425">
        <v>32822.0</v>
      </c>
      <c r="B608" s="426" t="s">
        <v>2730</v>
      </c>
      <c r="C608" s="426">
        <v>2015.0</v>
      </c>
      <c r="D608" s="500">
        <v>42180.0</v>
      </c>
      <c r="E608" s="428" t="s">
        <v>2731</v>
      </c>
      <c r="F608" s="397" t="s">
        <v>2732</v>
      </c>
      <c r="G608" s="428" t="s">
        <v>552</v>
      </c>
      <c r="H608" s="397" t="s">
        <v>775</v>
      </c>
      <c r="I608" s="500">
        <v>44908.0</v>
      </c>
      <c r="J608" s="428">
        <v>12.0</v>
      </c>
      <c r="K608" s="433" t="s">
        <v>242</v>
      </c>
      <c r="L608" s="319" t="s">
        <v>256</v>
      </c>
      <c r="M608" s="319">
        <f t="shared" si="1"/>
        <v>2728</v>
      </c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customHeight="1">
      <c r="A609" s="419">
        <v>32922.0</v>
      </c>
      <c r="B609" s="420" t="s">
        <v>2733</v>
      </c>
      <c r="C609" s="420">
        <v>2019.0</v>
      </c>
      <c r="D609" s="497">
        <v>43577.0</v>
      </c>
      <c r="E609" s="422" t="s">
        <v>2734</v>
      </c>
      <c r="F609" s="394" t="s">
        <v>632</v>
      </c>
      <c r="G609" s="422" t="s">
        <v>547</v>
      </c>
      <c r="H609" s="394" t="s">
        <v>633</v>
      </c>
      <c r="I609" s="497">
        <v>44908.0</v>
      </c>
      <c r="J609" s="422">
        <v>12.0</v>
      </c>
      <c r="K609" s="433" t="s">
        <v>242</v>
      </c>
      <c r="L609" s="316" t="s">
        <v>258</v>
      </c>
      <c r="M609" s="316">
        <f t="shared" si="1"/>
        <v>1331</v>
      </c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customHeight="1">
      <c r="A610" s="425">
        <v>33022.0</v>
      </c>
      <c r="B610" s="426" t="s">
        <v>2735</v>
      </c>
      <c r="C610" s="426">
        <v>2017.0</v>
      </c>
      <c r="D610" s="500">
        <v>42943.0</v>
      </c>
      <c r="E610" s="428" t="s">
        <v>2736</v>
      </c>
      <c r="F610" s="397" t="s">
        <v>2703</v>
      </c>
      <c r="G610" s="428" t="s">
        <v>547</v>
      </c>
      <c r="H610" s="397" t="s">
        <v>651</v>
      </c>
      <c r="I610" s="500">
        <v>44908.0</v>
      </c>
      <c r="J610" s="428">
        <v>12.0</v>
      </c>
      <c r="K610" s="513" t="s">
        <v>236</v>
      </c>
      <c r="L610" s="319" t="s">
        <v>258</v>
      </c>
      <c r="M610" s="319">
        <f t="shared" si="1"/>
        <v>1965</v>
      </c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customHeight="1">
      <c r="A611" s="419">
        <v>33122.0</v>
      </c>
      <c r="B611" s="420" t="s">
        <v>2737</v>
      </c>
      <c r="C611" s="420">
        <v>2022.0</v>
      </c>
      <c r="D611" s="497">
        <v>44813.0</v>
      </c>
      <c r="E611" s="422" t="s">
        <v>2738</v>
      </c>
      <c r="F611" s="394" t="s">
        <v>2739</v>
      </c>
      <c r="G611" s="422" t="s">
        <v>569</v>
      </c>
      <c r="H611" s="394" t="s">
        <v>1941</v>
      </c>
      <c r="I611" s="497">
        <v>44908.0</v>
      </c>
      <c r="J611" s="422">
        <v>12.0</v>
      </c>
      <c r="K611" s="433" t="s">
        <v>242</v>
      </c>
      <c r="L611" s="316" t="s">
        <v>260</v>
      </c>
      <c r="M611" s="316">
        <f t="shared" si="1"/>
        <v>95</v>
      </c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customHeight="1">
      <c r="A612" s="425">
        <v>33222.0</v>
      </c>
      <c r="B612" s="426" t="s">
        <v>2740</v>
      </c>
      <c r="C612" s="426">
        <v>2019.0</v>
      </c>
      <c r="D612" s="500">
        <v>43544.0</v>
      </c>
      <c r="E612" s="428" t="s">
        <v>2741</v>
      </c>
      <c r="F612" s="397" t="s">
        <v>632</v>
      </c>
      <c r="G612" s="428" t="s">
        <v>547</v>
      </c>
      <c r="H612" s="397" t="s">
        <v>633</v>
      </c>
      <c r="I612" s="500">
        <v>44908.0</v>
      </c>
      <c r="J612" s="428">
        <v>12.0</v>
      </c>
      <c r="K612" s="433" t="s">
        <v>242</v>
      </c>
      <c r="L612" s="319" t="s">
        <v>258</v>
      </c>
      <c r="M612" s="319">
        <f t="shared" si="1"/>
        <v>1364</v>
      </c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customHeight="1">
      <c r="A613" s="419">
        <v>33322.0</v>
      </c>
      <c r="B613" s="420" t="s">
        <v>2742</v>
      </c>
      <c r="C613" s="420">
        <v>2017.0</v>
      </c>
      <c r="D613" s="497">
        <v>42894.0</v>
      </c>
      <c r="E613" s="422" t="s">
        <v>2743</v>
      </c>
      <c r="F613" s="394" t="s">
        <v>186</v>
      </c>
      <c r="G613" s="422" t="s">
        <v>650</v>
      </c>
      <c r="H613" s="394" t="s">
        <v>2325</v>
      </c>
      <c r="I613" s="497">
        <v>44911.0</v>
      </c>
      <c r="J613" s="422">
        <v>12.0</v>
      </c>
      <c r="K613" s="513" t="s">
        <v>236</v>
      </c>
      <c r="L613" s="316" t="s">
        <v>258</v>
      </c>
      <c r="M613" s="316">
        <f t="shared" si="1"/>
        <v>2017</v>
      </c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customHeight="1">
      <c r="A614" s="425">
        <v>33422.0</v>
      </c>
      <c r="B614" s="426" t="s">
        <v>2744</v>
      </c>
      <c r="C614" s="426">
        <v>2017.0</v>
      </c>
      <c r="D614" s="500">
        <v>43091.0</v>
      </c>
      <c r="E614" s="428" t="s">
        <v>2745</v>
      </c>
      <c r="F614" s="397" t="s">
        <v>1968</v>
      </c>
      <c r="G614" s="428" t="s">
        <v>552</v>
      </c>
      <c r="H614" s="397" t="s">
        <v>153</v>
      </c>
      <c r="I614" s="500">
        <v>44911.0</v>
      </c>
      <c r="J614" s="428">
        <v>12.0</v>
      </c>
      <c r="K614" s="433" t="s">
        <v>242</v>
      </c>
      <c r="L614" s="319" t="s">
        <v>256</v>
      </c>
      <c r="M614" s="319">
        <f t="shared" si="1"/>
        <v>1820</v>
      </c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customHeight="1">
      <c r="A615" s="419">
        <v>33522.0</v>
      </c>
      <c r="B615" s="420" t="s">
        <v>2746</v>
      </c>
      <c r="C615" s="420">
        <v>2021.0</v>
      </c>
      <c r="D615" s="497">
        <v>44267.0</v>
      </c>
      <c r="E615" s="422" t="s">
        <v>2747</v>
      </c>
      <c r="F615" s="394" t="s">
        <v>2748</v>
      </c>
      <c r="G615" s="422" t="s">
        <v>552</v>
      </c>
      <c r="H615" s="394" t="s">
        <v>153</v>
      </c>
      <c r="I615" s="497">
        <v>44911.0</v>
      </c>
      <c r="J615" s="422">
        <v>12.0</v>
      </c>
      <c r="K615" s="433" t="s">
        <v>242</v>
      </c>
      <c r="L615" s="316" t="s">
        <v>258</v>
      </c>
      <c r="M615" s="316">
        <f t="shared" si="1"/>
        <v>644</v>
      </c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customHeight="1">
      <c r="A616" s="425">
        <v>33622.0</v>
      </c>
      <c r="B616" s="426" t="s">
        <v>2749</v>
      </c>
      <c r="C616" s="426">
        <v>2022.0</v>
      </c>
      <c r="D616" s="500">
        <v>44775.0</v>
      </c>
      <c r="E616" s="428" t="s">
        <v>2750</v>
      </c>
      <c r="F616" s="397" t="s">
        <v>611</v>
      </c>
      <c r="G616" s="428" t="s">
        <v>569</v>
      </c>
      <c r="H616" s="397" t="s">
        <v>2751</v>
      </c>
      <c r="I616" s="500">
        <v>44911.0</v>
      </c>
      <c r="J616" s="428">
        <v>12.0</v>
      </c>
      <c r="K616" s="433" t="s">
        <v>242</v>
      </c>
      <c r="L616" s="319" t="s">
        <v>260</v>
      </c>
      <c r="M616" s="319">
        <f t="shared" si="1"/>
        <v>136</v>
      </c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customHeight="1">
      <c r="A617" s="419">
        <v>33722.0</v>
      </c>
      <c r="B617" s="420" t="s">
        <v>2752</v>
      </c>
      <c r="C617" s="420">
        <v>2022.0</v>
      </c>
      <c r="D617" s="497">
        <v>44775.0</v>
      </c>
      <c r="E617" s="422" t="s">
        <v>2753</v>
      </c>
      <c r="F617" s="394" t="s">
        <v>645</v>
      </c>
      <c r="G617" s="422" t="s">
        <v>569</v>
      </c>
      <c r="H617" s="394" t="s">
        <v>2751</v>
      </c>
      <c r="I617" s="497">
        <v>44911.0</v>
      </c>
      <c r="J617" s="422">
        <v>12.0</v>
      </c>
      <c r="K617" s="433" t="s">
        <v>242</v>
      </c>
      <c r="L617" s="316" t="s">
        <v>260</v>
      </c>
      <c r="M617" s="316">
        <f t="shared" si="1"/>
        <v>136</v>
      </c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customHeight="1">
      <c r="A618" s="425">
        <v>33822.0</v>
      </c>
      <c r="B618" s="426" t="s">
        <v>2754</v>
      </c>
      <c r="C618" s="426">
        <v>2022.0</v>
      </c>
      <c r="D618" s="500">
        <v>44775.0</v>
      </c>
      <c r="E618" s="428" t="s">
        <v>2755</v>
      </c>
      <c r="F618" s="397" t="s">
        <v>615</v>
      </c>
      <c r="G618" s="428" t="s">
        <v>569</v>
      </c>
      <c r="H618" s="397" t="s">
        <v>2751</v>
      </c>
      <c r="I618" s="500">
        <v>44911.0</v>
      </c>
      <c r="J618" s="428">
        <v>12.0</v>
      </c>
      <c r="K618" s="433" t="s">
        <v>242</v>
      </c>
      <c r="L618" s="319" t="s">
        <v>260</v>
      </c>
      <c r="M618" s="319">
        <f t="shared" si="1"/>
        <v>136</v>
      </c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customHeight="1">
      <c r="A619" s="419">
        <v>33922.0</v>
      </c>
      <c r="B619" s="420" t="s">
        <v>2756</v>
      </c>
      <c r="C619" s="420">
        <v>2021.0</v>
      </c>
      <c r="D619" s="497">
        <v>44354.0</v>
      </c>
      <c r="E619" s="422" t="s">
        <v>2757</v>
      </c>
      <c r="F619" s="394" t="s">
        <v>2758</v>
      </c>
      <c r="G619" s="422" t="s">
        <v>565</v>
      </c>
      <c r="H619" s="394" t="s">
        <v>2550</v>
      </c>
      <c r="I619" s="497">
        <v>44911.0</v>
      </c>
      <c r="J619" s="422">
        <v>12.0</v>
      </c>
      <c r="K619" s="433" t="s">
        <v>242</v>
      </c>
      <c r="L619" s="316" t="s">
        <v>260</v>
      </c>
      <c r="M619" s="316">
        <f t="shared" si="1"/>
        <v>557</v>
      </c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customHeight="1">
      <c r="A620" s="425">
        <v>34022.0</v>
      </c>
      <c r="B620" s="426" t="s">
        <v>2759</v>
      </c>
      <c r="C620" s="426">
        <v>2021.0</v>
      </c>
      <c r="D620" s="500">
        <v>44344.0</v>
      </c>
      <c r="E620" s="428" t="s">
        <v>2760</v>
      </c>
      <c r="F620" s="397" t="s">
        <v>2761</v>
      </c>
      <c r="G620" s="428" t="s">
        <v>565</v>
      </c>
      <c r="H620" s="397" t="s">
        <v>2539</v>
      </c>
      <c r="I620" s="500">
        <v>44911.0</v>
      </c>
      <c r="J620" s="428">
        <v>12.0</v>
      </c>
      <c r="K620" s="511" t="s">
        <v>602</v>
      </c>
      <c r="L620" s="319" t="s">
        <v>260</v>
      </c>
      <c r="M620" s="319">
        <f t="shared" si="1"/>
        <v>567</v>
      </c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customHeight="1">
      <c r="A621" s="419">
        <v>34122.0</v>
      </c>
      <c r="B621" s="420" t="s">
        <v>2762</v>
      </c>
      <c r="C621" s="420">
        <v>2016.0</v>
      </c>
      <c r="D621" s="497">
        <v>42468.0</v>
      </c>
      <c r="E621" s="422" t="s">
        <v>2763</v>
      </c>
      <c r="F621" s="394" t="s">
        <v>2764</v>
      </c>
      <c r="G621" s="422" t="s">
        <v>552</v>
      </c>
      <c r="H621" s="394" t="s">
        <v>130</v>
      </c>
      <c r="I621" s="497">
        <v>44911.0</v>
      </c>
      <c r="J621" s="422">
        <v>12.0</v>
      </c>
      <c r="K621" s="433" t="s">
        <v>240</v>
      </c>
      <c r="L621" s="316" t="s">
        <v>256</v>
      </c>
      <c r="M621" s="316">
        <f t="shared" si="1"/>
        <v>2443</v>
      </c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customHeight="1">
      <c r="A622" s="425">
        <v>34222.0</v>
      </c>
      <c r="B622" s="426" t="s">
        <v>2765</v>
      </c>
      <c r="C622" s="426">
        <v>2022.0</v>
      </c>
      <c r="D622" s="500">
        <v>44797.0</v>
      </c>
      <c r="E622" s="428" t="s">
        <v>2766</v>
      </c>
      <c r="F622" s="397" t="s">
        <v>606</v>
      </c>
      <c r="G622" s="428" t="s">
        <v>569</v>
      </c>
      <c r="H622" s="397" t="s">
        <v>2482</v>
      </c>
      <c r="I622" s="500">
        <v>44911.0</v>
      </c>
      <c r="J622" s="428">
        <v>12.0</v>
      </c>
      <c r="K622" s="433" t="s">
        <v>242</v>
      </c>
      <c r="L622" s="319" t="s">
        <v>260</v>
      </c>
      <c r="M622" s="319">
        <f t="shared" si="1"/>
        <v>114</v>
      </c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customHeight="1">
      <c r="A623" s="419">
        <v>34322.0</v>
      </c>
      <c r="B623" s="420" t="s">
        <v>2767</v>
      </c>
      <c r="C623" s="420">
        <v>2022.0</v>
      </c>
      <c r="D623" s="497">
        <v>44812.0</v>
      </c>
      <c r="E623" s="422" t="s">
        <v>2768</v>
      </c>
      <c r="F623" s="394" t="s">
        <v>615</v>
      </c>
      <c r="G623" s="422" t="s">
        <v>569</v>
      </c>
      <c r="H623" s="394" t="s">
        <v>2769</v>
      </c>
      <c r="I623" s="497">
        <v>44911.0</v>
      </c>
      <c r="J623" s="422">
        <v>12.0</v>
      </c>
      <c r="K623" s="433" t="s">
        <v>242</v>
      </c>
      <c r="L623" s="316" t="s">
        <v>260</v>
      </c>
      <c r="M623" s="316">
        <f t="shared" si="1"/>
        <v>99</v>
      </c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customHeight="1">
      <c r="A624" s="425">
        <v>34422.0</v>
      </c>
      <c r="B624" s="426" t="s">
        <v>2770</v>
      </c>
      <c r="C624" s="426">
        <v>2021.0</v>
      </c>
      <c r="D624" s="500">
        <v>44503.0</v>
      </c>
      <c r="E624" s="428" t="s">
        <v>2771</v>
      </c>
      <c r="F624" s="397" t="s">
        <v>2772</v>
      </c>
      <c r="G624" s="428" t="s">
        <v>565</v>
      </c>
      <c r="H624" s="397" t="s">
        <v>2589</v>
      </c>
      <c r="I624" s="500">
        <v>44911.0</v>
      </c>
      <c r="J624" s="428">
        <v>12.0</v>
      </c>
      <c r="K624" s="511" t="s">
        <v>602</v>
      </c>
      <c r="L624" s="319" t="s">
        <v>260</v>
      </c>
      <c r="M624" s="319">
        <f t="shared" si="1"/>
        <v>408</v>
      </c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customHeight="1">
      <c r="A625" s="419">
        <v>34522.0</v>
      </c>
      <c r="B625" s="420" t="s">
        <v>2773</v>
      </c>
      <c r="C625" s="420">
        <v>2022.0</v>
      </c>
      <c r="D625" s="497">
        <v>44818.0</v>
      </c>
      <c r="E625" s="422" t="s">
        <v>2774</v>
      </c>
      <c r="F625" s="394" t="s">
        <v>2739</v>
      </c>
      <c r="G625" s="422" t="s">
        <v>569</v>
      </c>
      <c r="H625" s="394" t="s">
        <v>2775</v>
      </c>
      <c r="I625" s="497">
        <v>44914.0</v>
      </c>
      <c r="J625" s="422">
        <v>12.0</v>
      </c>
      <c r="K625" s="433" t="s">
        <v>242</v>
      </c>
      <c r="L625" s="316" t="s">
        <v>260</v>
      </c>
      <c r="M625" s="316">
        <f t="shared" si="1"/>
        <v>96</v>
      </c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customHeight="1">
      <c r="A626" s="425">
        <v>34622.0</v>
      </c>
      <c r="B626" s="426" t="s">
        <v>2776</v>
      </c>
      <c r="C626" s="426">
        <v>2015.0</v>
      </c>
      <c r="D626" s="500">
        <v>42348.0</v>
      </c>
      <c r="E626" s="428" t="s">
        <v>2777</v>
      </c>
      <c r="F626" s="397" t="s">
        <v>719</v>
      </c>
      <c r="G626" s="428" t="s">
        <v>552</v>
      </c>
      <c r="H626" s="397" t="s">
        <v>153</v>
      </c>
      <c r="I626" s="500">
        <v>44914.0</v>
      </c>
      <c r="J626" s="428">
        <v>12.0</v>
      </c>
      <c r="K626" s="433" t="s">
        <v>240</v>
      </c>
      <c r="L626" s="319" t="s">
        <v>256</v>
      </c>
      <c r="M626" s="319">
        <f t="shared" si="1"/>
        <v>2566</v>
      </c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customHeight="1">
      <c r="A627" s="419">
        <v>34722.0</v>
      </c>
      <c r="B627" s="420" t="s">
        <v>2778</v>
      </c>
      <c r="C627" s="420">
        <v>2015.0</v>
      </c>
      <c r="D627" s="497">
        <v>42353.0</v>
      </c>
      <c r="E627" s="422" t="s">
        <v>2779</v>
      </c>
      <c r="F627" s="394" t="s">
        <v>2780</v>
      </c>
      <c r="G627" s="422" t="s">
        <v>552</v>
      </c>
      <c r="H627" s="394" t="s">
        <v>153</v>
      </c>
      <c r="I627" s="497">
        <v>44914.0</v>
      </c>
      <c r="J627" s="422">
        <v>12.0</v>
      </c>
      <c r="K627" s="433" t="s">
        <v>240</v>
      </c>
      <c r="L627" s="316" t="s">
        <v>256</v>
      </c>
      <c r="M627" s="316">
        <f t="shared" si="1"/>
        <v>2561</v>
      </c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customHeight="1">
      <c r="A628" s="425">
        <v>34822.0</v>
      </c>
      <c r="B628" s="426" t="s">
        <v>2781</v>
      </c>
      <c r="C628" s="426">
        <v>2022.0</v>
      </c>
      <c r="D628" s="500">
        <v>44568.0</v>
      </c>
      <c r="E628" s="428" t="s">
        <v>2782</v>
      </c>
      <c r="F628" s="397" t="s">
        <v>2783</v>
      </c>
      <c r="G628" s="428" t="s">
        <v>565</v>
      </c>
      <c r="H628" s="397" t="s">
        <v>2784</v>
      </c>
      <c r="I628" s="500">
        <v>44914.0</v>
      </c>
      <c r="J628" s="428">
        <v>12.0</v>
      </c>
      <c r="K628" s="433" t="s">
        <v>242</v>
      </c>
      <c r="L628" s="319" t="s">
        <v>260</v>
      </c>
      <c r="M628" s="319">
        <f t="shared" si="1"/>
        <v>346</v>
      </c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customHeight="1">
      <c r="A629" s="419">
        <v>34922.0</v>
      </c>
      <c r="B629" s="420" t="s">
        <v>2785</v>
      </c>
      <c r="C629" s="420">
        <v>2022.0</v>
      </c>
      <c r="D629" s="497">
        <v>44833.0</v>
      </c>
      <c r="E629" s="422" t="s">
        <v>2786</v>
      </c>
      <c r="F629" s="394" t="s">
        <v>2538</v>
      </c>
      <c r="G629" s="422" t="s">
        <v>569</v>
      </c>
      <c r="H629" s="394" t="s">
        <v>2787</v>
      </c>
      <c r="I629" s="497">
        <v>44914.0</v>
      </c>
      <c r="J629" s="422">
        <v>12.0</v>
      </c>
      <c r="K629" s="433" t="s">
        <v>242</v>
      </c>
      <c r="L629" s="316" t="s">
        <v>260</v>
      </c>
      <c r="M629" s="316">
        <f t="shared" si="1"/>
        <v>81</v>
      </c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customHeight="1">
      <c r="A630" s="425">
        <v>35022.0</v>
      </c>
      <c r="B630" s="426" t="s">
        <v>2788</v>
      </c>
      <c r="C630" s="426">
        <v>2022.0</v>
      </c>
      <c r="D630" s="500">
        <v>44818.0</v>
      </c>
      <c r="E630" s="428" t="s">
        <v>2789</v>
      </c>
      <c r="F630" s="397" t="s">
        <v>611</v>
      </c>
      <c r="G630" s="428" t="s">
        <v>569</v>
      </c>
      <c r="H630" s="397" t="s">
        <v>2775</v>
      </c>
      <c r="I630" s="500">
        <v>44914.0</v>
      </c>
      <c r="J630" s="428">
        <v>12.0</v>
      </c>
      <c r="K630" s="433" t="s">
        <v>242</v>
      </c>
      <c r="L630" s="319" t="s">
        <v>260</v>
      </c>
      <c r="M630" s="319">
        <f t="shared" si="1"/>
        <v>96</v>
      </c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customHeight="1">
      <c r="A631" s="419">
        <v>35122.0</v>
      </c>
      <c r="B631" s="420" t="s">
        <v>2790</v>
      </c>
      <c r="C631" s="420">
        <v>2022.0</v>
      </c>
      <c r="D631" s="497">
        <v>44818.0</v>
      </c>
      <c r="E631" s="422" t="s">
        <v>2791</v>
      </c>
      <c r="F631" s="394" t="s">
        <v>615</v>
      </c>
      <c r="G631" s="422" t="s">
        <v>569</v>
      </c>
      <c r="H631" s="394" t="s">
        <v>2775</v>
      </c>
      <c r="I631" s="497">
        <v>44915.0</v>
      </c>
      <c r="J631" s="422">
        <v>12.0</v>
      </c>
      <c r="K631" s="433" t="s">
        <v>242</v>
      </c>
      <c r="L631" s="316" t="s">
        <v>260</v>
      </c>
      <c r="M631" s="316">
        <f t="shared" si="1"/>
        <v>97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customHeight="1">
      <c r="A632" s="425">
        <v>35222.0</v>
      </c>
      <c r="B632" s="426" t="s">
        <v>2792</v>
      </c>
      <c r="C632" s="426">
        <v>2022.0</v>
      </c>
      <c r="D632" s="500">
        <v>44774.0</v>
      </c>
      <c r="E632" s="428" t="s">
        <v>2793</v>
      </c>
      <c r="F632" s="397" t="s">
        <v>611</v>
      </c>
      <c r="G632" s="428" t="s">
        <v>569</v>
      </c>
      <c r="H632" s="397" t="s">
        <v>2794</v>
      </c>
      <c r="I632" s="500">
        <v>44915.0</v>
      </c>
      <c r="J632" s="428">
        <v>12.0</v>
      </c>
      <c r="K632" s="433" t="s">
        <v>242</v>
      </c>
      <c r="L632" s="319" t="s">
        <v>260</v>
      </c>
      <c r="M632" s="319">
        <f t="shared" si="1"/>
        <v>141</v>
      </c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customHeight="1">
      <c r="A633" s="419">
        <v>35322.0</v>
      </c>
      <c r="B633" s="420" t="s">
        <v>2795</v>
      </c>
      <c r="C633" s="420">
        <v>2022.0</v>
      </c>
      <c r="D633" s="497">
        <v>44774.0</v>
      </c>
      <c r="E633" s="422" t="s">
        <v>2796</v>
      </c>
      <c r="F633" s="394" t="s">
        <v>615</v>
      </c>
      <c r="G633" s="422" t="s">
        <v>569</v>
      </c>
      <c r="H633" s="394" t="s">
        <v>2797</v>
      </c>
      <c r="I633" s="497">
        <v>44915.0</v>
      </c>
      <c r="J633" s="422">
        <v>12.0</v>
      </c>
      <c r="K633" s="433" t="s">
        <v>242</v>
      </c>
      <c r="L633" s="316" t="s">
        <v>260</v>
      </c>
      <c r="M633" s="316">
        <f t="shared" si="1"/>
        <v>141</v>
      </c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customHeight="1">
      <c r="A634" s="425">
        <v>35422.0</v>
      </c>
      <c r="B634" s="426" t="s">
        <v>2798</v>
      </c>
      <c r="C634" s="426">
        <v>2014.0</v>
      </c>
      <c r="D634" s="500">
        <v>41746.0</v>
      </c>
      <c r="E634" s="428" t="s">
        <v>2799</v>
      </c>
      <c r="F634" s="397" t="s">
        <v>2800</v>
      </c>
      <c r="G634" s="428" t="s">
        <v>650</v>
      </c>
      <c r="H634" s="397" t="s">
        <v>2272</v>
      </c>
      <c r="I634" s="500">
        <v>44915.0</v>
      </c>
      <c r="J634" s="428">
        <v>12.0</v>
      </c>
      <c r="K634" s="433" t="s">
        <v>242</v>
      </c>
      <c r="L634" s="319" t="s">
        <v>260</v>
      </c>
      <c r="M634" s="319">
        <f t="shared" si="1"/>
        <v>3169</v>
      </c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customHeight="1">
      <c r="A635" s="419">
        <v>35522.0</v>
      </c>
      <c r="B635" s="420" t="s">
        <v>2801</v>
      </c>
      <c r="C635" s="420">
        <v>2021.0</v>
      </c>
      <c r="D635" s="497">
        <v>44517.0</v>
      </c>
      <c r="E635" s="422" t="s">
        <v>2802</v>
      </c>
      <c r="F635" s="394" t="s">
        <v>2803</v>
      </c>
      <c r="G635" s="422" t="s">
        <v>565</v>
      </c>
      <c r="H635" s="394" t="s">
        <v>2804</v>
      </c>
      <c r="I635" s="497">
        <v>44915.0</v>
      </c>
      <c r="J635" s="422">
        <v>12.0</v>
      </c>
      <c r="K635" s="433" t="s">
        <v>240</v>
      </c>
      <c r="L635" s="316" t="s">
        <v>260</v>
      </c>
      <c r="M635" s="316">
        <f t="shared" si="1"/>
        <v>398</v>
      </c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customHeight="1">
      <c r="A636" s="425">
        <v>35622.0</v>
      </c>
      <c r="B636" s="426" t="s">
        <v>2805</v>
      </c>
      <c r="C636" s="426">
        <v>2022.0</v>
      </c>
      <c r="D636" s="500">
        <v>44643.0</v>
      </c>
      <c r="E636" s="428" t="s">
        <v>2806</v>
      </c>
      <c r="F636" s="397" t="s">
        <v>2807</v>
      </c>
      <c r="G636" s="428" t="s">
        <v>565</v>
      </c>
      <c r="H636" s="397" t="s">
        <v>629</v>
      </c>
      <c r="I636" s="500">
        <v>44917.0</v>
      </c>
      <c r="J636" s="428">
        <v>12.0</v>
      </c>
      <c r="K636" s="433" t="s">
        <v>242</v>
      </c>
      <c r="L636" s="319" t="s">
        <v>260</v>
      </c>
      <c r="M636" s="319">
        <f t="shared" si="1"/>
        <v>274</v>
      </c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customHeight="1">
      <c r="A637" s="419">
        <v>35722.0</v>
      </c>
      <c r="B637" s="420" t="s">
        <v>2808</v>
      </c>
      <c r="C637" s="420">
        <v>2021.0</v>
      </c>
      <c r="D637" s="497">
        <v>44557.0</v>
      </c>
      <c r="E637" s="422" t="s">
        <v>2809</v>
      </c>
      <c r="F637" s="394" t="s">
        <v>611</v>
      </c>
      <c r="G637" s="422" t="s">
        <v>569</v>
      </c>
      <c r="H637" s="394" t="s">
        <v>2810</v>
      </c>
      <c r="I637" s="497">
        <v>44917.0</v>
      </c>
      <c r="J637" s="422">
        <v>12.0</v>
      </c>
      <c r="K637" s="433" t="s">
        <v>242</v>
      </c>
      <c r="L637" s="316" t="s">
        <v>260</v>
      </c>
      <c r="M637" s="316">
        <f t="shared" si="1"/>
        <v>360</v>
      </c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customHeight="1">
      <c r="A638" s="425">
        <v>35822.0</v>
      </c>
      <c r="B638" s="426" t="s">
        <v>2811</v>
      </c>
      <c r="C638" s="426">
        <v>2016.0</v>
      </c>
      <c r="D638" s="500">
        <v>42398.0</v>
      </c>
      <c r="E638" s="428" t="s">
        <v>2812</v>
      </c>
      <c r="F638" s="397" t="s">
        <v>2813</v>
      </c>
      <c r="G638" s="428" t="s">
        <v>552</v>
      </c>
      <c r="H638" s="397" t="s">
        <v>740</v>
      </c>
      <c r="I638" s="500">
        <v>44917.0</v>
      </c>
      <c r="J638" s="428">
        <v>12.0</v>
      </c>
      <c r="K638" s="433" t="s">
        <v>242</v>
      </c>
      <c r="L638" s="319" t="s">
        <v>258</v>
      </c>
      <c r="M638" s="319">
        <f t="shared" si="1"/>
        <v>2519</v>
      </c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customHeight="1">
      <c r="A639" s="419">
        <v>35922.0</v>
      </c>
      <c r="B639" s="420" t="s">
        <v>2814</v>
      </c>
      <c r="C639" s="420">
        <v>2017.0</v>
      </c>
      <c r="D639" s="497">
        <v>43062.0</v>
      </c>
      <c r="E639" s="422" t="s">
        <v>2815</v>
      </c>
      <c r="F639" s="394" t="s">
        <v>124</v>
      </c>
      <c r="G639" s="422" t="s">
        <v>552</v>
      </c>
      <c r="H639" s="394" t="s">
        <v>50</v>
      </c>
      <c r="I639" s="497">
        <v>44917.0</v>
      </c>
      <c r="J639" s="422">
        <v>12.0</v>
      </c>
      <c r="K639" s="433" t="s">
        <v>242</v>
      </c>
      <c r="L639" s="316" t="s">
        <v>258</v>
      </c>
      <c r="M639" s="316">
        <f t="shared" si="1"/>
        <v>1855</v>
      </c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customHeight="1">
      <c r="A640" s="425">
        <v>36022.0</v>
      </c>
      <c r="B640" s="426" t="s">
        <v>2816</v>
      </c>
      <c r="C640" s="426">
        <v>2012.0</v>
      </c>
      <c r="D640" s="500">
        <v>43640.0</v>
      </c>
      <c r="E640" s="428" t="s">
        <v>2817</v>
      </c>
      <c r="F640" s="397" t="s">
        <v>1572</v>
      </c>
      <c r="G640" s="428" t="s">
        <v>547</v>
      </c>
      <c r="H640" s="397" t="s">
        <v>158</v>
      </c>
      <c r="I640" s="500">
        <v>44917.0</v>
      </c>
      <c r="J640" s="428">
        <v>12.0</v>
      </c>
      <c r="K640" s="433" t="s">
        <v>240</v>
      </c>
      <c r="L640" s="319" t="s">
        <v>258</v>
      </c>
      <c r="M640" s="319">
        <f t="shared" si="1"/>
        <v>1277</v>
      </c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customHeight="1">
      <c r="A641" s="419">
        <v>36122.0</v>
      </c>
      <c r="B641" s="420" t="s">
        <v>2818</v>
      </c>
      <c r="C641" s="420">
        <v>2012.0</v>
      </c>
      <c r="D641" s="497">
        <v>41183.0</v>
      </c>
      <c r="E641" s="422" t="s">
        <v>2819</v>
      </c>
      <c r="F641" s="394" t="s">
        <v>1572</v>
      </c>
      <c r="G641" s="422" t="s">
        <v>547</v>
      </c>
      <c r="H641" s="394" t="s">
        <v>158</v>
      </c>
      <c r="I641" s="497">
        <v>44917.0</v>
      </c>
      <c r="J641" s="422">
        <v>12.0</v>
      </c>
      <c r="K641" s="433" t="s">
        <v>240</v>
      </c>
      <c r="L641" s="316" t="s">
        <v>258</v>
      </c>
      <c r="M641" s="316">
        <f t="shared" si="1"/>
        <v>3734</v>
      </c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customHeight="1">
      <c r="A642" s="425">
        <v>36222.0</v>
      </c>
      <c r="B642" s="426" t="s">
        <v>2820</v>
      </c>
      <c r="C642" s="426">
        <v>2012.0</v>
      </c>
      <c r="D642" s="500">
        <v>41204.0</v>
      </c>
      <c r="E642" s="428" t="s">
        <v>2821</v>
      </c>
      <c r="F642" s="397" t="s">
        <v>1572</v>
      </c>
      <c r="G642" s="428" t="s">
        <v>547</v>
      </c>
      <c r="H642" s="397" t="s">
        <v>158</v>
      </c>
      <c r="I642" s="500">
        <v>44917.0</v>
      </c>
      <c r="J642" s="428">
        <v>12.0</v>
      </c>
      <c r="K642" s="433" t="s">
        <v>240</v>
      </c>
      <c r="L642" s="319" t="s">
        <v>258</v>
      </c>
      <c r="M642" s="319">
        <f t="shared" si="1"/>
        <v>3713</v>
      </c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customHeight="1">
      <c r="A643" s="419">
        <v>36322.0</v>
      </c>
      <c r="B643" s="420" t="s">
        <v>2822</v>
      </c>
      <c r="C643" s="420">
        <v>2016.0</v>
      </c>
      <c r="D643" s="497">
        <v>42727.0</v>
      </c>
      <c r="E643" s="422" t="s">
        <v>2823</v>
      </c>
      <c r="F643" s="394" t="s">
        <v>732</v>
      </c>
      <c r="G643" s="422" t="s">
        <v>552</v>
      </c>
      <c r="H643" s="394" t="s">
        <v>163</v>
      </c>
      <c r="I643" s="497">
        <v>44917.0</v>
      </c>
      <c r="J643" s="422">
        <v>12.0</v>
      </c>
      <c r="K643" s="433" t="s">
        <v>242</v>
      </c>
      <c r="L643" s="316" t="s">
        <v>258</v>
      </c>
      <c r="M643" s="316">
        <f t="shared" si="1"/>
        <v>2190</v>
      </c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customHeight="1">
      <c r="A644" s="425">
        <v>36422.0</v>
      </c>
      <c r="B644" s="426" t="s">
        <v>2824</v>
      </c>
      <c r="C644" s="426">
        <v>2016.0</v>
      </c>
      <c r="D644" s="500">
        <v>42389.0</v>
      </c>
      <c r="E644" s="428" t="s">
        <v>2825</v>
      </c>
      <c r="F644" s="397" t="s">
        <v>785</v>
      </c>
      <c r="G644" s="428" t="s">
        <v>552</v>
      </c>
      <c r="H644" s="397" t="s">
        <v>97</v>
      </c>
      <c r="I644" s="500">
        <v>44917.0</v>
      </c>
      <c r="J644" s="428">
        <v>12.0</v>
      </c>
      <c r="K644" s="433" t="s">
        <v>242</v>
      </c>
      <c r="L644" s="319" t="s">
        <v>256</v>
      </c>
      <c r="M644" s="319">
        <f t="shared" si="1"/>
        <v>2528</v>
      </c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customHeight="1">
      <c r="A645" s="419">
        <v>36522.0</v>
      </c>
      <c r="B645" s="420" t="s">
        <v>2826</v>
      </c>
      <c r="C645" s="420">
        <v>2012.0</v>
      </c>
      <c r="D645" s="497">
        <v>41225.0</v>
      </c>
      <c r="E645" s="422" t="s">
        <v>2827</v>
      </c>
      <c r="F645" s="394" t="s">
        <v>2828</v>
      </c>
      <c r="G645" s="422" t="s">
        <v>650</v>
      </c>
      <c r="H645" s="394" t="s">
        <v>158</v>
      </c>
      <c r="I645" s="497">
        <v>44917.0</v>
      </c>
      <c r="J645" s="422">
        <v>12.0</v>
      </c>
      <c r="K645" s="433" t="s">
        <v>242</v>
      </c>
      <c r="L645" s="316" t="s">
        <v>256</v>
      </c>
      <c r="M645" s="316">
        <f t="shared" si="1"/>
        <v>3692</v>
      </c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customHeight="1">
      <c r="A646" s="425">
        <v>36622.0</v>
      </c>
      <c r="B646" s="426" t="s">
        <v>2829</v>
      </c>
      <c r="C646" s="426">
        <v>2022.0</v>
      </c>
      <c r="D646" s="500">
        <v>44568.0</v>
      </c>
      <c r="E646" s="428" t="s">
        <v>2830</v>
      </c>
      <c r="F646" s="397" t="s">
        <v>2831</v>
      </c>
      <c r="G646" s="428" t="s">
        <v>565</v>
      </c>
      <c r="H646" s="397" t="s">
        <v>2832</v>
      </c>
      <c r="I646" s="500">
        <v>44917.0</v>
      </c>
      <c r="J646" s="428">
        <v>12.0</v>
      </c>
      <c r="K646" s="511" t="s">
        <v>602</v>
      </c>
      <c r="L646" s="319" t="s">
        <v>260</v>
      </c>
      <c r="M646" s="319">
        <f t="shared" si="1"/>
        <v>349</v>
      </c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customHeight="1">
      <c r="A647" s="419">
        <v>36722.0</v>
      </c>
      <c r="B647" s="420" t="s">
        <v>2833</v>
      </c>
      <c r="C647" s="420">
        <v>2012.0</v>
      </c>
      <c r="D647" s="497">
        <v>41205.0</v>
      </c>
      <c r="E647" s="422" t="s">
        <v>2834</v>
      </c>
      <c r="F647" s="394" t="s">
        <v>2828</v>
      </c>
      <c r="G647" s="422" t="s">
        <v>650</v>
      </c>
      <c r="H647" s="394" t="s">
        <v>158</v>
      </c>
      <c r="I647" s="497">
        <v>44917.0</v>
      </c>
      <c r="J647" s="422">
        <v>12.0</v>
      </c>
      <c r="K647" s="433" t="s">
        <v>242</v>
      </c>
      <c r="L647" s="316" t="s">
        <v>256</v>
      </c>
      <c r="M647" s="316">
        <f t="shared" si="1"/>
        <v>3712</v>
      </c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customHeight="1">
      <c r="A648" s="425">
        <v>36822.0</v>
      </c>
      <c r="B648" s="426" t="s">
        <v>2835</v>
      </c>
      <c r="C648" s="426">
        <v>2015.0</v>
      </c>
      <c r="D648" s="500">
        <v>42026.0</v>
      </c>
      <c r="E648" s="428" t="s">
        <v>2836</v>
      </c>
      <c r="F648" s="397" t="s">
        <v>1464</v>
      </c>
      <c r="G648" s="428" t="s">
        <v>552</v>
      </c>
      <c r="H648" s="397" t="s">
        <v>2837</v>
      </c>
      <c r="I648" s="500">
        <v>44917.0</v>
      </c>
      <c r="J648" s="428">
        <v>12.0</v>
      </c>
      <c r="K648" s="502" t="s">
        <v>232</v>
      </c>
      <c r="L648" s="319" t="s">
        <v>256</v>
      </c>
      <c r="M648" s="319">
        <f t="shared" si="1"/>
        <v>2891</v>
      </c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customHeight="1">
      <c r="A649" s="419">
        <v>36922.0</v>
      </c>
      <c r="B649" s="420" t="s">
        <v>2838</v>
      </c>
      <c r="C649" s="420">
        <v>2016.0</v>
      </c>
      <c r="D649" s="497">
        <v>42375.0</v>
      </c>
      <c r="E649" s="422" t="s">
        <v>2839</v>
      </c>
      <c r="F649" s="394" t="s">
        <v>563</v>
      </c>
      <c r="G649" s="422" t="s">
        <v>552</v>
      </c>
      <c r="H649" s="394" t="s">
        <v>740</v>
      </c>
      <c r="I649" s="497">
        <v>44918.0</v>
      </c>
      <c r="J649" s="422">
        <v>12.0</v>
      </c>
      <c r="K649" s="513" t="s">
        <v>236</v>
      </c>
      <c r="L649" s="316" t="s">
        <v>256</v>
      </c>
      <c r="M649" s="316">
        <f t="shared" si="1"/>
        <v>2543</v>
      </c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customHeight="1">
      <c r="A650" s="425">
        <v>37022.0</v>
      </c>
      <c r="B650" s="426" t="s">
        <v>2840</v>
      </c>
      <c r="C650" s="426">
        <v>2013.0</v>
      </c>
      <c r="D650" s="500">
        <v>41613.0</v>
      </c>
      <c r="E650" s="428" t="s">
        <v>2841</v>
      </c>
      <c r="F650" s="397" t="s">
        <v>2842</v>
      </c>
      <c r="G650" s="428" t="s">
        <v>552</v>
      </c>
      <c r="H650" s="397" t="s">
        <v>125</v>
      </c>
      <c r="I650" s="500">
        <v>44922.0</v>
      </c>
      <c r="J650" s="428">
        <v>12.0</v>
      </c>
      <c r="K650" s="513" t="s">
        <v>236</v>
      </c>
      <c r="L650" s="319" t="s">
        <v>256</v>
      </c>
      <c r="M650" s="319">
        <f t="shared" si="1"/>
        <v>3309</v>
      </c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customHeight="1">
      <c r="A651" s="419">
        <v>37122.0</v>
      </c>
      <c r="B651" s="420" t="s">
        <v>2843</v>
      </c>
      <c r="C651" s="420">
        <v>2021.0</v>
      </c>
      <c r="D651" s="510">
        <v>44434.0</v>
      </c>
      <c r="E651" s="422" t="s">
        <v>2844</v>
      </c>
      <c r="F651" s="394" t="s">
        <v>2845</v>
      </c>
      <c r="G651" s="422" t="s">
        <v>565</v>
      </c>
      <c r="H651" s="394" t="s">
        <v>2846</v>
      </c>
      <c r="I651" s="497">
        <v>44922.0</v>
      </c>
      <c r="J651" s="422">
        <v>12.0</v>
      </c>
      <c r="K651" s="433" t="s">
        <v>242</v>
      </c>
      <c r="L651" s="316" t="s">
        <v>260</v>
      </c>
      <c r="M651" s="316">
        <f t="shared" si="1"/>
        <v>488</v>
      </c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customHeight="1">
      <c r="A652" s="425">
        <v>37222.0</v>
      </c>
      <c r="B652" s="426" t="s">
        <v>2847</v>
      </c>
      <c r="C652" s="426">
        <v>2021.0</v>
      </c>
      <c r="D652" s="504">
        <v>44439.0</v>
      </c>
      <c r="E652" s="428" t="s">
        <v>2848</v>
      </c>
      <c r="F652" s="397" t="s">
        <v>2845</v>
      </c>
      <c r="G652" s="428" t="s">
        <v>565</v>
      </c>
      <c r="H652" s="397" t="s">
        <v>2846</v>
      </c>
      <c r="I652" s="500">
        <v>44922.0</v>
      </c>
      <c r="J652" s="428">
        <v>12.0</v>
      </c>
      <c r="K652" s="433" t="s">
        <v>242</v>
      </c>
      <c r="L652" s="319" t="s">
        <v>260</v>
      </c>
      <c r="M652" s="319">
        <f t="shared" si="1"/>
        <v>483</v>
      </c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customHeight="1">
      <c r="A653" s="514">
        <v>37322.0</v>
      </c>
      <c r="B653" s="441" t="s">
        <v>2849</v>
      </c>
      <c r="C653" s="441">
        <v>2015.0</v>
      </c>
      <c r="D653" s="510">
        <v>42242.0</v>
      </c>
      <c r="E653" s="442" t="s">
        <v>2850</v>
      </c>
      <c r="F653" s="436" t="s">
        <v>2557</v>
      </c>
      <c r="G653" s="442" t="s">
        <v>552</v>
      </c>
      <c r="H653" s="436" t="s">
        <v>45</v>
      </c>
      <c r="I653" s="510">
        <v>44922.0</v>
      </c>
      <c r="J653" s="442">
        <v>12.0</v>
      </c>
      <c r="K653" s="515" t="s">
        <v>242</v>
      </c>
      <c r="L653" s="316" t="s">
        <v>258</v>
      </c>
      <c r="M653" s="316">
        <f t="shared" si="1"/>
        <v>2680</v>
      </c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customHeight="1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4"/>
      <c r="B661" s="135"/>
      <c r="C661" s="135"/>
      <c r="D661" s="516"/>
      <c r="E661" s="135"/>
      <c r="F661" s="135"/>
      <c r="G661" s="135"/>
      <c r="H661" s="135"/>
      <c r="I661" s="516"/>
      <c r="J661" s="135"/>
      <c r="K661" s="135"/>
      <c r="L661" s="135"/>
      <c r="M661" s="137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4"/>
      <c r="B662" s="135"/>
      <c r="C662" s="135"/>
      <c r="D662" s="516"/>
      <c r="E662" s="135"/>
      <c r="F662" s="135"/>
      <c r="G662" s="135"/>
      <c r="H662" s="135"/>
      <c r="I662" s="516"/>
      <c r="J662" s="135"/>
      <c r="K662" s="135"/>
      <c r="L662" s="135"/>
      <c r="M662" s="137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4"/>
      <c r="B663" s="135"/>
      <c r="C663" s="135"/>
      <c r="D663" s="516"/>
      <c r="E663" s="135"/>
      <c r="F663" s="135"/>
      <c r="G663" s="135"/>
      <c r="H663" s="135"/>
      <c r="I663" s="516"/>
      <c r="J663" s="135"/>
      <c r="K663" s="135"/>
      <c r="L663" s="135"/>
      <c r="M663" s="137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4"/>
      <c r="B664" s="135"/>
      <c r="C664" s="135"/>
      <c r="D664" s="516"/>
      <c r="E664" s="135"/>
      <c r="F664" s="135"/>
      <c r="G664" s="135"/>
      <c r="H664" s="135"/>
      <c r="I664" s="516"/>
      <c r="J664" s="135"/>
      <c r="K664" s="135"/>
      <c r="L664" s="135"/>
      <c r="M664" s="137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4"/>
      <c r="B665" s="135"/>
      <c r="C665" s="135"/>
      <c r="D665" s="516"/>
      <c r="E665" s="135"/>
      <c r="F665" s="135"/>
      <c r="G665" s="135"/>
      <c r="H665" s="135"/>
      <c r="I665" s="516"/>
      <c r="J665" s="135"/>
      <c r="K665" s="135"/>
      <c r="L665" s="135"/>
      <c r="M665" s="137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4"/>
      <c r="B666" s="135"/>
      <c r="C666" s="135"/>
      <c r="D666" s="516"/>
      <c r="E666" s="135"/>
      <c r="F666" s="135"/>
      <c r="G666" s="135"/>
      <c r="H666" s="135"/>
      <c r="I666" s="516"/>
      <c r="J666" s="135"/>
      <c r="K666" s="135"/>
      <c r="L666" s="135"/>
      <c r="M666" s="137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4"/>
      <c r="B667" s="135"/>
      <c r="C667" s="135"/>
      <c r="D667" s="516"/>
      <c r="E667" s="135"/>
      <c r="F667" s="135"/>
      <c r="G667" s="135"/>
      <c r="H667" s="135"/>
      <c r="I667" s="516"/>
      <c r="J667" s="135"/>
      <c r="K667" s="135"/>
      <c r="L667" s="135"/>
      <c r="M667" s="137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4"/>
      <c r="B668" s="135"/>
      <c r="C668" s="135"/>
      <c r="D668" s="516"/>
      <c r="E668" s="135"/>
      <c r="F668" s="135"/>
      <c r="G668" s="135"/>
      <c r="H668" s="135"/>
      <c r="I668" s="516"/>
      <c r="J668" s="135"/>
      <c r="K668" s="135"/>
      <c r="L668" s="135"/>
      <c r="M668" s="137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4"/>
      <c r="B669" s="135"/>
      <c r="C669" s="135"/>
      <c r="D669" s="516"/>
      <c r="E669" s="135"/>
      <c r="F669" s="135"/>
      <c r="G669" s="135"/>
      <c r="H669" s="135"/>
      <c r="I669" s="516"/>
      <c r="J669" s="135"/>
      <c r="K669" s="135"/>
      <c r="L669" s="135"/>
      <c r="M669" s="137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4"/>
      <c r="B670" s="135"/>
      <c r="C670" s="135"/>
      <c r="D670" s="516"/>
      <c r="E670" s="135"/>
      <c r="F670" s="135"/>
      <c r="G670" s="135"/>
      <c r="H670" s="135"/>
      <c r="I670" s="516"/>
      <c r="J670" s="135"/>
      <c r="K670" s="135"/>
      <c r="L670" s="135"/>
      <c r="M670" s="137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4"/>
      <c r="B671" s="135"/>
      <c r="C671" s="135"/>
      <c r="D671" s="516"/>
      <c r="E671" s="135"/>
      <c r="F671" s="135"/>
      <c r="G671" s="135"/>
      <c r="H671" s="135"/>
      <c r="I671" s="516"/>
      <c r="J671" s="135"/>
      <c r="K671" s="135"/>
      <c r="L671" s="135"/>
      <c r="M671" s="137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4"/>
      <c r="B672" s="135"/>
      <c r="C672" s="135"/>
      <c r="D672" s="516"/>
      <c r="E672" s="135"/>
      <c r="F672" s="135"/>
      <c r="G672" s="135"/>
      <c r="H672" s="135"/>
      <c r="I672" s="516"/>
      <c r="J672" s="135"/>
      <c r="K672" s="135"/>
      <c r="L672" s="135"/>
      <c r="M672" s="137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4"/>
      <c r="B673" s="135"/>
      <c r="C673" s="135"/>
      <c r="D673" s="516"/>
      <c r="E673" s="135"/>
      <c r="F673" s="135"/>
      <c r="G673" s="135"/>
      <c r="H673" s="135"/>
      <c r="I673" s="516"/>
      <c r="J673" s="135"/>
      <c r="K673" s="135"/>
      <c r="L673" s="135"/>
      <c r="M673" s="137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4"/>
      <c r="B674" s="135"/>
      <c r="C674" s="135"/>
      <c r="D674" s="516"/>
      <c r="E674" s="135"/>
      <c r="F674" s="135"/>
      <c r="G674" s="135"/>
      <c r="H674" s="135"/>
      <c r="I674" s="516"/>
      <c r="J674" s="135"/>
      <c r="K674" s="135"/>
      <c r="L674" s="135"/>
      <c r="M674" s="137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4"/>
      <c r="B675" s="135"/>
      <c r="C675" s="135"/>
      <c r="D675" s="516"/>
      <c r="E675" s="135"/>
      <c r="F675" s="135"/>
      <c r="G675" s="135"/>
      <c r="H675" s="135"/>
      <c r="I675" s="516"/>
      <c r="J675" s="135"/>
      <c r="K675" s="135"/>
      <c r="L675" s="135"/>
      <c r="M675" s="137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4"/>
      <c r="B676" s="135"/>
      <c r="C676" s="135"/>
      <c r="D676" s="516"/>
      <c r="E676" s="135"/>
      <c r="F676" s="135"/>
      <c r="G676" s="135"/>
      <c r="H676" s="135"/>
      <c r="I676" s="516"/>
      <c r="J676" s="135"/>
      <c r="K676" s="135"/>
      <c r="L676" s="135"/>
      <c r="M676" s="137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34"/>
      <c r="B677" s="135"/>
      <c r="C677" s="135"/>
      <c r="D677" s="516"/>
      <c r="E677" s="135"/>
      <c r="F677" s="135"/>
      <c r="G677" s="135"/>
      <c r="H677" s="135"/>
      <c r="I677" s="516"/>
      <c r="J677" s="135"/>
      <c r="K677" s="135"/>
      <c r="L677" s="135"/>
      <c r="M677" s="137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34"/>
      <c r="B678" s="135"/>
      <c r="C678" s="135"/>
      <c r="D678" s="516"/>
      <c r="E678" s="135"/>
      <c r="F678" s="135"/>
      <c r="G678" s="135"/>
      <c r="H678" s="135"/>
      <c r="I678" s="516"/>
      <c r="J678" s="135"/>
      <c r="K678" s="135"/>
      <c r="L678" s="135"/>
      <c r="M678" s="137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34"/>
      <c r="B679" s="135"/>
      <c r="C679" s="135"/>
      <c r="D679" s="516"/>
      <c r="E679" s="135"/>
      <c r="F679" s="135"/>
      <c r="G679" s="135"/>
      <c r="H679" s="135"/>
      <c r="I679" s="516"/>
      <c r="J679" s="135"/>
      <c r="K679" s="135"/>
      <c r="L679" s="135"/>
      <c r="M679" s="137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34"/>
      <c r="B680" s="135"/>
      <c r="C680" s="135"/>
      <c r="D680" s="516"/>
      <c r="E680" s="135"/>
      <c r="F680" s="135"/>
      <c r="G680" s="135"/>
      <c r="H680" s="135"/>
      <c r="I680" s="516"/>
      <c r="J680" s="135"/>
      <c r="K680" s="135"/>
      <c r="L680" s="135"/>
      <c r="M680" s="137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34"/>
      <c r="B681" s="135"/>
      <c r="C681" s="135"/>
      <c r="D681" s="516"/>
      <c r="E681" s="135"/>
      <c r="F681" s="135"/>
      <c r="G681" s="135"/>
      <c r="H681" s="135"/>
      <c r="I681" s="516"/>
      <c r="J681" s="135"/>
      <c r="K681" s="135"/>
      <c r="L681" s="135"/>
      <c r="M681" s="137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34"/>
      <c r="B682" s="135"/>
      <c r="C682" s="135"/>
      <c r="D682" s="516"/>
      <c r="E682" s="135"/>
      <c r="F682" s="135"/>
      <c r="G682" s="135"/>
      <c r="H682" s="135"/>
      <c r="I682" s="516"/>
      <c r="J682" s="135"/>
      <c r="K682" s="135"/>
      <c r="L682" s="135"/>
      <c r="M682" s="137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34"/>
      <c r="B683" s="135"/>
      <c r="C683" s="135"/>
      <c r="D683" s="516"/>
      <c r="E683" s="135"/>
      <c r="F683" s="135"/>
      <c r="G683" s="135"/>
      <c r="H683" s="135"/>
      <c r="I683" s="516"/>
      <c r="J683" s="135"/>
      <c r="K683" s="135"/>
      <c r="L683" s="135"/>
      <c r="M683" s="137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34"/>
      <c r="B684" s="135"/>
      <c r="C684" s="135"/>
      <c r="D684" s="516"/>
      <c r="E684" s="135"/>
      <c r="F684" s="135"/>
      <c r="G684" s="135"/>
      <c r="H684" s="135"/>
      <c r="I684" s="516"/>
      <c r="J684" s="135"/>
      <c r="K684" s="135"/>
      <c r="L684" s="135"/>
      <c r="M684" s="137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34"/>
      <c r="B685" s="135"/>
      <c r="C685" s="135"/>
      <c r="D685" s="516"/>
      <c r="E685" s="135"/>
      <c r="F685" s="135"/>
      <c r="G685" s="135"/>
      <c r="H685" s="135"/>
      <c r="I685" s="516"/>
      <c r="J685" s="135"/>
      <c r="K685" s="135"/>
      <c r="L685" s="135"/>
      <c r="M685" s="137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34"/>
      <c r="B686" s="135"/>
      <c r="C686" s="135"/>
      <c r="D686" s="516"/>
      <c r="E686" s="135"/>
      <c r="F686" s="135"/>
      <c r="G686" s="135"/>
      <c r="H686" s="135"/>
      <c r="I686" s="516"/>
      <c r="J686" s="135"/>
      <c r="K686" s="135"/>
      <c r="L686" s="135"/>
      <c r="M686" s="137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34"/>
      <c r="B687" s="135"/>
      <c r="C687" s="135"/>
      <c r="D687" s="516"/>
      <c r="E687" s="135"/>
      <c r="F687" s="135"/>
      <c r="G687" s="135"/>
      <c r="H687" s="135"/>
      <c r="I687" s="516"/>
      <c r="J687" s="135"/>
      <c r="K687" s="135"/>
      <c r="L687" s="135"/>
      <c r="M687" s="137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34"/>
      <c r="B688" s="135"/>
      <c r="C688" s="135"/>
      <c r="D688" s="516"/>
      <c r="E688" s="135"/>
      <c r="F688" s="135"/>
      <c r="G688" s="135"/>
      <c r="H688" s="135"/>
      <c r="I688" s="516"/>
      <c r="J688" s="135"/>
      <c r="K688" s="135"/>
      <c r="L688" s="135"/>
      <c r="M688" s="137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34"/>
      <c r="B689" s="135"/>
      <c r="C689" s="135"/>
      <c r="D689" s="516"/>
      <c r="E689" s="135"/>
      <c r="F689" s="135"/>
      <c r="G689" s="135"/>
      <c r="H689" s="135"/>
      <c r="I689" s="516"/>
      <c r="J689" s="135"/>
      <c r="K689" s="135"/>
      <c r="L689" s="135"/>
      <c r="M689" s="137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34"/>
      <c r="B690" s="135"/>
      <c r="C690" s="135"/>
      <c r="D690" s="516"/>
      <c r="E690" s="135"/>
      <c r="F690" s="135"/>
      <c r="G690" s="135"/>
      <c r="H690" s="135"/>
      <c r="I690" s="516"/>
      <c r="J690" s="135"/>
      <c r="K690" s="135"/>
      <c r="L690" s="135"/>
      <c r="M690" s="137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34"/>
      <c r="B691" s="135"/>
      <c r="C691" s="135"/>
      <c r="D691" s="516"/>
      <c r="E691" s="135"/>
      <c r="F691" s="135"/>
      <c r="G691" s="135"/>
      <c r="H691" s="135"/>
      <c r="I691" s="516"/>
      <c r="J691" s="135"/>
      <c r="K691" s="135"/>
      <c r="L691" s="135"/>
      <c r="M691" s="137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34"/>
      <c r="B692" s="135"/>
      <c r="C692" s="135"/>
      <c r="D692" s="516"/>
      <c r="E692" s="135"/>
      <c r="F692" s="135"/>
      <c r="G692" s="135"/>
      <c r="H692" s="135"/>
      <c r="I692" s="516"/>
      <c r="J692" s="135"/>
      <c r="K692" s="135"/>
      <c r="L692" s="135"/>
      <c r="M692" s="137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34"/>
      <c r="B693" s="135"/>
      <c r="C693" s="135"/>
      <c r="D693" s="516"/>
      <c r="E693" s="135"/>
      <c r="F693" s="135"/>
      <c r="G693" s="135"/>
      <c r="H693" s="135"/>
      <c r="I693" s="516"/>
      <c r="J693" s="135"/>
      <c r="K693" s="135"/>
      <c r="L693" s="135"/>
      <c r="M693" s="137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34"/>
      <c r="B694" s="135"/>
      <c r="C694" s="135"/>
      <c r="D694" s="516"/>
      <c r="E694" s="135"/>
      <c r="F694" s="135"/>
      <c r="G694" s="135"/>
      <c r="H694" s="135"/>
      <c r="I694" s="516"/>
      <c r="J694" s="135"/>
      <c r="K694" s="135"/>
      <c r="L694" s="135"/>
      <c r="M694" s="137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34"/>
      <c r="B695" s="135"/>
      <c r="C695" s="135"/>
      <c r="D695" s="516"/>
      <c r="E695" s="135"/>
      <c r="F695" s="135"/>
      <c r="G695" s="135"/>
      <c r="H695" s="135"/>
      <c r="I695" s="516"/>
      <c r="J695" s="135"/>
      <c r="K695" s="135"/>
      <c r="L695" s="135"/>
      <c r="M695" s="137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hidden="1" customHeight="1">
      <c r="A696" s="134"/>
      <c r="B696" s="135"/>
      <c r="C696" s="135"/>
      <c r="D696" s="516"/>
      <c r="E696" s="135"/>
      <c r="F696" s="135"/>
      <c r="G696" s="135"/>
      <c r="H696" s="135"/>
      <c r="I696" s="516"/>
      <c r="J696" s="135"/>
      <c r="K696" s="135"/>
      <c r="L696" s="135"/>
      <c r="M696" s="137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hidden="1" customHeight="1">
      <c r="A697" s="134"/>
      <c r="B697" s="135"/>
      <c r="C697" s="135"/>
      <c r="D697" s="516"/>
      <c r="E697" s="135"/>
      <c r="F697" s="135"/>
      <c r="G697" s="135"/>
      <c r="H697" s="135"/>
      <c r="I697" s="516"/>
      <c r="J697" s="135"/>
      <c r="K697" s="135"/>
      <c r="L697" s="135"/>
      <c r="M697" s="137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hidden="1" customHeight="1">
      <c r="A698" s="134"/>
      <c r="B698" s="135"/>
      <c r="C698" s="135"/>
      <c r="D698" s="516"/>
      <c r="E698" s="135"/>
      <c r="F698" s="135"/>
      <c r="G698" s="135"/>
      <c r="H698" s="135"/>
      <c r="I698" s="516"/>
      <c r="J698" s="135"/>
      <c r="K698" s="135"/>
      <c r="L698" s="135"/>
      <c r="M698" s="137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hidden="1" customHeight="1">
      <c r="A699" s="134"/>
      <c r="B699" s="135"/>
      <c r="C699" s="135"/>
      <c r="D699" s="516"/>
      <c r="E699" s="135"/>
      <c r="F699" s="135"/>
      <c r="G699" s="135"/>
      <c r="H699" s="135"/>
      <c r="I699" s="516"/>
      <c r="J699" s="135"/>
      <c r="K699" s="135"/>
      <c r="L699" s="135"/>
      <c r="M699" s="137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hidden="1" customHeight="1">
      <c r="A700" s="134"/>
      <c r="B700" s="135"/>
      <c r="C700" s="135"/>
      <c r="D700" s="516"/>
      <c r="E700" s="135"/>
      <c r="F700" s="135"/>
      <c r="G700" s="135"/>
      <c r="H700" s="135"/>
      <c r="I700" s="516"/>
      <c r="J700" s="135"/>
      <c r="K700" s="135"/>
      <c r="L700" s="135"/>
      <c r="M700" s="137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hidden="1" customHeight="1">
      <c r="A701" s="134"/>
      <c r="B701" s="135"/>
      <c r="C701" s="135"/>
      <c r="D701" s="516"/>
      <c r="E701" s="135"/>
      <c r="F701" s="135"/>
      <c r="G701" s="135"/>
      <c r="H701" s="135"/>
      <c r="I701" s="516"/>
      <c r="J701" s="135"/>
      <c r="K701" s="135"/>
      <c r="L701" s="135"/>
      <c r="M701" s="137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hidden="1" customHeight="1">
      <c r="A702" s="134"/>
      <c r="B702" s="135"/>
      <c r="C702" s="135"/>
      <c r="D702" s="516"/>
      <c r="E702" s="135"/>
      <c r="F702" s="135"/>
      <c r="G702" s="135"/>
      <c r="H702" s="135"/>
      <c r="I702" s="516"/>
      <c r="J702" s="135"/>
      <c r="K702" s="135"/>
      <c r="L702" s="135"/>
      <c r="M702" s="137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hidden="1" customHeight="1">
      <c r="A703" s="134"/>
      <c r="B703" s="135"/>
      <c r="C703" s="135"/>
      <c r="D703" s="516"/>
      <c r="E703" s="135"/>
      <c r="F703" s="135"/>
      <c r="G703" s="135"/>
      <c r="H703" s="135"/>
      <c r="I703" s="516"/>
      <c r="J703" s="135"/>
      <c r="K703" s="135"/>
      <c r="L703" s="135"/>
      <c r="M703" s="137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hidden="1" customHeight="1">
      <c r="A704" s="134"/>
      <c r="B704" s="135"/>
      <c r="C704" s="135"/>
      <c r="D704" s="516"/>
      <c r="E704" s="135"/>
      <c r="F704" s="135"/>
      <c r="G704" s="135"/>
      <c r="H704" s="135"/>
      <c r="I704" s="516"/>
      <c r="J704" s="135"/>
      <c r="K704" s="135"/>
      <c r="L704" s="135"/>
      <c r="M704" s="137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hidden="1" customHeight="1">
      <c r="A705" s="134"/>
      <c r="B705" s="135"/>
      <c r="C705" s="135"/>
      <c r="D705" s="516"/>
      <c r="E705" s="135"/>
      <c r="F705" s="135"/>
      <c r="G705" s="135"/>
      <c r="H705" s="135"/>
      <c r="I705" s="516"/>
      <c r="J705" s="135"/>
      <c r="K705" s="135"/>
      <c r="L705" s="135"/>
      <c r="M705" s="137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hidden="1" customHeight="1">
      <c r="A706" s="134"/>
      <c r="B706" s="135"/>
      <c r="C706" s="135"/>
      <c r="D706" s="516"/>
      <c r="E706" s="135"/>
      <c r="F706" s="135"/>
      <c r="G706" s="135"/>
      <c r="H706" s="135"/>
      <c r="I706" s="516"/>
      <c r="J706" s="135"/>
      <c r="K706" s="135"/>
      <c r="L706" s="135"/>
      <c r="M706" s="137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hidden="1" customHeight="1">
      <c r="A707" s="134"/>
      <c r="B707" s="135"/>
      <c r="C707" s="135"/>
      <c r="D707" s="516"/>
      <c r="E707" s="135"/>
      <c r="F707" s="135"/>
      <c r="G707" s="135"/>
      <c r="H707" s="135"/>
      <c r="I707" s="516"/>
      <c r="J707" s="135"/>
      <c r="K707" s="135"/>
      <c r="L707" s="135"/>
      <c r="M707" s="137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hidden="1" customHeight="1">
      <c r="A708" s="134"/>
      <c r="B708" s="135"/>
      <c r="C708" s="135"/>
      <c r="D708" s="516"/>
      <c r="E708" s="135"/>
      <c r="F708" s="135"/>
      <c r="G708" s="135"/>
      <c r="H708" s="135"/>
      <c r="I708" s="516"/>
      <c r="J708" s="135"/>
      <c r="K708" s="135"/>
      <c r="L708" s="135"/>
      <c r="M708" s="137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hidden="1" customHeight="1">
      <c r="A709" s="134"/>
      <c r="B709" s="135"/>
      <c r="C709" s="135"/>
      <c r="D709" s="516"/>
      <c r="E709" s="135"/>
      <c r="F709" s="135"/>
      <c r="G709" s="135"/>
      <c r="H709" s="135"/>
      <c r="I709" s="516"/>
      <c r="J709" s="135"/>
      <c r="K709" s="135"/>
      <c r="L709" s="135"/>
      <c r="M709" s="137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hidden="1" customHeight="1">
      <c r="A710" s="134"/>
      <c r="B710" s="135"/>
      <c r="C710" s="135"/>
      <c r="D710" s="516"/>
      <c r="E710" s="135"/>
      <c r="F710" s="135"/>
      <c r="G710" s="135"/>
      <c r="H710" s="135"/>
      <c r="I710" s="516"/>
      <c r="J710" s="135"/>
      <c r="K710" s="135"/>
      <c r="L710" s="135"/>
      <c r="M710" s="137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hidden="1" customHeight="1">
      <c r="A711" s="134"/>
      <c r="B711" s="135"/>
      <c r="C711" s="135"/>
      <c r="D711" s="516"/>
      <c r="E711" s="135"/>
      <c r="F711" s="135"/>
      <c r="G711" s="135"/>
      <c r="H711" s="135"/>
      <c r="I711" s="516"/>
      <c r="J711" s="135"/>
      <c r="K711" s="135"/>
      <c r="L711" s="135"/>
      <c r="M711" s="137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hidden="1" customHeight="1">
      <c r="A712" s="134"/>
      <c r="B712" s="135"/>
      <c r="C712" s="135"/>
      <c r="D712" s="516"/>
      <c r="E712" s="135"/>
      <c r="F712" s="135"/>
      <c r="G712" s="135"/>
      <c r="H712" s="135"/>
      <c r="I712" s="516"/>
      <c r="J712" s="135"/>
      <c r="K712" s="135"/>
      <c r="L712" s="135"/>
      <c r="M712" s="137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hidden="1" customHeight="1">
      <c r="A713" s="134"/>
      <c r="B713" s="135"/>
      <c r="C713" s="135"/>
      <c r="D713" s="516"/>
      <c r="E713" s="135"/>
      <c r="F713" s="135"/>
      <c r="G713" s="135"/>
      <c r="H713" s="135"/>
      <c r="I713" s="516"/>
      <c r="J713" s="135"/>
      <c r="K713" s="135"/>
      <c r="L713" s="135"/>
      <c r="M713" s="137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hidden="1" customHeight="1">
      <c r="A714" s="134"/>
      <c r="B714" s="135"/>
      <c r="C714" s="135"/>
      <c r="D714" s="516"/>
      <c r="E714" s="135"/>
      <c r="F714" s="135"/>
      <c r="G714" s="135"/>
      <c r="H714" s="135"/>
      <c r="I714" s="516"/>
      <c r="J714" s="135"/>
      <c r="K714" s="135"/>
      <c r="L714" s="135"/>
      <c r="M714" s="137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hidden="1" customHeight="1">
      <c r="A715" s="134"/>
      <c r="B715" s="135"/>
      <c r="C715" s="135"/>
      <c r="D715" s="516"/>
      <c r="E715" s="135"/>
      <c r="F715" s="135"/>
      <c r="G715" s="135"/>
      <c r="H715" s="135"/>
      <c r="I715" s="516"/>
      <c r="J715" s="135"/>
      <c r="K715" s="135"/>
      <c r="L715" s="135"/>
      <c r="M715" s="137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hidden="1" customHeight="1">
      <c r="A716" s="134"/>
      <c r="B716" s="135"/>
      <c r="C716" s="135"/>
      <c r="D716" s="516"/>
      <c r="E716" s="135"/>
      <c r="F716" s="135"/>
      <c r="G716" s="135"/>
      <c r="H716" s="135"/>
      <c r="I716" s="516"/>
      <c r="J716" s="135"/>
      <c r="K716" s="135"/>
      <c r="L716" s="135"/>
      <c r="M716" s="137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hidden="1" customHeight="1">
      <c r="A717" s="134"/>
      <c r="B717" s="135"/>
      <c r="C717" s="135"/>
      <c r="D717" s="516"/>
      <c r="E717" s="135"/>
      <c r="F717" s="135"/>
      <c r="G717" s="135"/>
      <c r="H717" s="135"/>
      <c r="I717" s="516"/>
      <c r="J717" s="135"/>
      <c r="K717" s="135"/>
      <c r="L717" s="135"/>
      <c r="M717" s="137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hidden="1" customHeight="1">
      <c r="A718" s="134"/>
      <c r="B718" s="135"/>
      <c r="C718" s="135"/>
      <c r="D718" s="516"/>
      <c r="E718" s="135"/>
      <c r="F718" s="135"/>
      <c r="G718" s="135"/>
      <c r="H718" s="135"/>
      <c r="I718" s="516"/>
      <c r="J718" s="135"/>
      <c r="K718" s="135"/>
      <c r="L718" s="135"/>
      <c r="M718" s="137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hidden="1" customHeight="1">
      <c r="A719" s="134"/>
      <c r="B719" s="135"/>
      <c r="C719" s="135"/>
      <c r="D719" s="516"/>
      <c r="E719" s="135"/>
      <c r="F719" s="135"/>
      <c r="G719" s="135"/>
      <c r="H719" s="135"/>
      <c r="I719" s="516"/>
      <c r="J719" s="135"/>
      <c r="K719" s="135"/>
      <c r="L719" s="135"/>
      <c r="M719" s="137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hidden="1" customHeight="1">
      <c r="A720" s="134"/>
      <c r="B720" s="135"/>
      <c r="C720" s="135"/>
      <c r="D720" s="516"/>
      <c r="E720" s="135"/>
      <c r="F720" s="135"/>
      <c r="G720" s="135"/>
      <c r="H720" s="135"/>
      <c r="I720" s="516"/>
      <c r="J720" s="135"/>
      <c r="K720" s="135"/>
      <c r="L720" s="135"/>
      <c r="M720" s="137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hidden="1" customHeight="1">
      <c r="A721" s="134"/>
      <c r="B721" s="135"/>
      <c r="C721" s="135"/>
      <c r="D721" s="516"/>
      <c r="E721" s="135"/>
      <c r="F721" s="135"/>
      <c r="G721" s="135"/>
      <c r="H721" s="135"/>
      <c r="I721" s="516"/>
      <c r="J721" s="135"/>
      <c r="K721" s="135"/>
      <c r="L721" s="135"/>
      <c r="M721" s="137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hidden="1" customHeight="1">
      <c r="A722" s="134"/>
      <c r="B722" s="135"/>
      <c r="C722" s="135"/>
      <c r="D722" s="516"/>
      <c r="E722" s="135"/>
      <c r="F722" s="135"/>
      <c r="G722" s="135"/>
      <c r="H722" s="135"/>
      <c r="I722" s="516"/>
      <c r="J722" s="135"/>
      <c r="K722" s="135"/>
      <c r="L722" s="135"/>
      <c r="M722" s="137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hidden="1" customHeight="1">
      <c r="A723" s="134"/>
      <c r="B723" s="135"/>
      <c r="C723" s="135"/>
      <c r="D723" s="516"/>
      <c r="E723" s="135"/>
      <c r="F723" s="135"/>
      <c r="G723" s="135"/>
      <c r="H723" s="135"/>
      <c r="I723" s="516"/>
      <c r="J723" s="135"/>
      <c r="K723" s="135"/>
      <c r="L723" s="135"/>
      <c r="M723" s="137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hidden="1" customHeight="1">
      <c r="A724" s="134"/>
      <c r="B724" s="135"/>
      <c r="C724" s="135"/>
      <c r="D724" s="516"/>
      <c r="E724" s="135"/>
      <c r="F724" s="135"/>
      <c r="G724" s="135"/>
      <c r="H724" s="135"/>
      <c r="I724" s="516"/>
      <c r="J724" s="135"/>
      <c r="K724" s="135"/>
      <c r="L724" s="135"/>
      <c r="M724" s="137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hidden="1" customHeight="1">
      <c r="A725" s="134"/>
      <c r="B725" s="135"/>
      <c r="C725" s="135"/>
      <c r="D725" s="516"/>
      <c r="E725" s="135"/>
      <c r="F725" s="135"/>
      <c r="G725" s="135"/>
      <c r="H725" s="135"/>
      <c r="I725" s="516"/>
      <c r="J725" s="135"/>
      <c r="K725" s="135"/>
      <c r="L725" s="135"/>
      <c r="M725" s="137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hidden="1" customHeight="1">
      <c r="A726" s="134"/>
      <c r="B726" s="135"/>
      <c r="C726" s="135"/>
      <c r="D726" s="516"/>
      <c r="E726" s="135"/>
      <c r="F726" s="135"/>
      <c r="G726" s="135"/>
      <c r="H726" s="135"/>
      <c r="I726" s="516"/>
      <c r="J726" s="135"/>
      <c r="K726" s="135"/>
      <c r="L726" s="135"/>
      <c r="M726" s="137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hidden="1" customHeight="1">
      <c r="A727" s="134"/>
      <c r="B727" s="135"/>
      <c r="C727" s="135"/>
      <c r="D727" s="516"/>
      <c r="E727" s="135"/>
      <c r="F727" s="135"/>
      <c r="G727" s="135"/>
      <c r="H727" s="135"/>
      <c r="I727" s="516"/>
      <c r="J727" s="135"/>
      <c r="K727" s="135"/>
      <c r="L727" s="135"/>
      <c r="M727" s="137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hidden="1" customHeight="1">
      <c r="A728" s="134"/>
      <c r="B728" s="135"/>
      <c r="C728" s="135"/>
      <c r="D728" s="516"/>
      <c r="E728" s="135"/>
      <c r="F728" s="135"/>
      <c r="G728" s="135"/>
      <c r="H728" s="135"/>
      <c r="I728" s="516"/>
      <c r="J728" s="135"/>
      <c r="K728" s="135"/>
      <c r="L728" s="135"/>
      <c r="M728" s="137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hidden="1" customHeight="1">
      <c r="A729" s="134"/>
      <c r="B729" s="135"/>
      <c r="C729" s="135"/>
      <c r="D729" s="516"/>
      <c r="E729" s="135"/>
      <c r="F729" s="135"/>
      <c r="G729" s="135"/>
      <c r="H729" s="135"/>
      <c r="I729" s="516"/>
      <c r="J729" s="135"/>
      <c r="K729" s="135"/>
      <c r="L729" s="135"/>
      <c r="M729" s="137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hidden="1" customHeight="1">
      <c r="A730" s="134"/>
      <c r="B730" s="135"/>
      <c r="C730" s="135"/>
      <c r="D730" s="516"/>
      <c r="E730" s="135"/>
      <c r="F730" s="135"/>
      <c r="G730" s="135"/>
      <c r="H730" s="135"/>
      <c r="I730" s="516"/>
      <c r="J730" s="135"/>
      <c r="K730" s="135"/>
      <c r="L730" s="135"/>
      <c r="M730" s="137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hidden="1" customHeight="1">
      <c r="A731" s="134"/>
      <c r="B731" s="135"/>
      <c r="C731" s="135"/>
      <c r="D731" s="516"/>
      <c r="E731" s="135"/>
      <c r="F731" s="135"/>
      <c r="G731" s="135"/>
      <c r="H731" s="135"/>
      <c r="I731" s="516"/>
      <c r="J731" s="135"/>
      <c r="K731" s="135"/>
      <c r="L731" s="135"/>
      <c r="M731" s="137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hidden="1" customHeight="1">
      <c r="A732" s="134"/>
      <c r="B732" s="135"/>
      <c r="C732" s="135"/>
      <c r="D732" s="516"/>
      <c r="E732" s="135"/>
      <c r="F732" s="135"/>
      <c r="G732" s="135"/>
      <c r="H732" s="135"/>
      <c r="I732" s="516"/>
      <c r="J732" s="135"/>
      <c r="K732" s="135"/>
      <c r="L732" s="135"/>
      <c r="M732" s="137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hidden="1" customHeight="1">
      <c r="A733" s="134"/>
      <c r="B733" s="135"/>
      <c r="C733" s="135"/>
      <c r="D733" s="516"/>
      <c r="E733" s="135"/>
      <c r="F733" s="135"/>
      <c r="G733" s="135"/>
      <c r="H733" s="135"/>
      <c r="I733" s="516"/>
      <c r="J733" s="135"/>
      <c r="K733" s="135"/>
      <c r="L733" s="135"/>
      <c r="M733" s="137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hidden="1" customHeight="1">
      <c r="A734" s="134"/>
      <c r="B734" s="135"/>
      <c r="C734" s="135"/>
      <c r="D734" s="516"/>
      <c r="E734" s="135"/>
      <c r="F734" s="135"/>
      <c r="G734" s="135"/>
      <c r="H734" s="135"/>
      <c r="I734" s="516"/>
      <c r="J734" s="135"/>
      <c r="K734" s="135"/>
      <c r="L734" s="135"/>
      <c r="M734" s="137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hidden="1" customHeight="1">
      <c r="A735" s="134"/>
      <c r="B735" s="135"/>
      <c r="C735" s="135"/>
      <c r="D735" s="516"/>
      <c r="E735" s="135"/>
      <c r="F735" s="135"/>
      <c r="G735" s="135"/>
      <c r="H735" s="135"/>
      <c r="I735" s="516"/>
      <c r="J735" s="135"/>
      <c r="K735" s="135"/>
      <c r="L735" s="135"/>
      <c r="M735" s="137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hidden="1" customHeight="1">
      <c r="A736" s="134"/>
      <c r="B736" s="135"/>
      <c r="C736" s="135"/>
      <c r="D736" s="516"/>
      <c r="E736" s="135"/>
      <c r="F736" s="135"/>
      <c r="G736" s="135"/>
      <c r="H736" s="135"/>
      <c r="I736" s="516"/>
      <c r="J736" s="135"/>
      <c r="K736" s="135"/>
      <c r="L736" s="135"/>
      <c r="M736" s="137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hidden="1" customHeight="1">
      <c r="A737" s="134"/>
      <c r="B737" s="135"/>
      <c r="C737" s="135"/>
      <c r="D737" s="516"/>
      <c r="E737" s="135"/>
      <c r="F737" s="135"/>
      <c r="G737" s="135"/>
      <c r="H737" s="135"/>
      <c r="I737" s="516"/>
      <c r="J737" s="135"/>
      <c r="K737" s="135"/>
      <c r="L737" s="135"/>
      <c r="M737" s="137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hidden="1" customHeight="1">
      <c r="A738" s="134"/>
      <c r="B738" s="135"/>
      <c r="C738" s="135"/>
      <c r="D738" s="516"/>
      <c r="E738" s="135"/>
      <c r="F738" s="135"/>
      <c r="G738" s="135"/>
      <c r="H738" s="135"/>
      <c r="I738" s="516"/>
      <c r="J738" s="135"/>
      <c r="K738" s="135"/>
      <c r="L738" s="135"/>
      <c r="M738" s="137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hidden="1" customHeight="1">
      <c r="A739" s="134"/>
      <c r="B739" s="135"/>
      <c r="C739" s="135"/>
      <c r="D739" s="516"/>
      <c r="E739" s="135"/>
      <c r="F739" s="135"/>
      <c r="G739" s="135"/>
      <c r="H739" s="135"/>
      <c r="I739" s="516"/>
      <c r="J739" s="135"/>
      <c r="K739" s="135"/>
      <c r="L739" s="135"/>
      <c r="M739" s="137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hidden="1" customHeight="1">
      <c r="A740" s="134"/>
      <c r="B740" s="135"/>
      <c r="C740" s="135"/>
      <c r="D740" s="516"/>
      <c r="E740" s="135"/>
      <c r="F740" s="135"/>
      <c r="G740" s="135"/>
      <c r="H740" s="135"/>
      <c r="I740" s="516"/>
      <c r="J740" s="135"/>
      <c r="K740" s="135"/>
      <c r="L740" s="135"/>
      <c r="M740" s="137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hidden="1" customHeight="1">
      <c r="A741" s="134"/>
      <c r="B741" s="135"/>
      <c r="C741" s="135"/>
      <c r="D741" s="516"/>
      <c r="E741" s="135"/>
      <c r="F741" s="135"/>
      <c r="G741" s="135"/>
      <c r="H741" s="135"/>
      <c r="I741" s="516"/>
      <c r="J741" s="135"/>
      <c r="K741" s="135"/>
      <c r="L741" s="135"/>
      <c r="M741" s="137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hidden="1" customHeight="1">
      <c r="A742" s="134"/>
      <c r="B742" s="135"/>
      <c r="C742" s="135"/>
      <c r="D742" s="516"/>
      <c r="E742" s="135"/>
      <c r="F742" s="135"/>
      <c r="G742" s="135"/>
      <c r="H742" s="135"/>
      <c r="I742" s="516"/>
      <c r="J742" s="135"/>
      <c r="K742" s="135"/>
      <c r="L742" s="135"/>
      <c r="M742" s="137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hidden="1" customHeight="1">
      <c r="A743" s="134"/>
      <c r="B743" s="135"/>
      <c r="C743" s="135"/>
      <c r="D743" s="516"/>
      <c r="E743" s="135"/>
      <c r="F743" s="135"/>
      <c r="G743" s="135"/>
      <c r="H743" s="135"/>
      <c r="I743" s="516"/>
      <c r="J743" s="135"/>
      <c r="K743" s="135"/>
      <c r="L743" s="135"/>
      <c r="M743" s="137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hidden="1" customHeight="1">
      <c r="A744" s="134"/>
      <c r="B744" s="135"/>
      <c r="C744" s="135"/>
      <c r="D744" s="516"/>
      <c r="E744" s="135"/>
      <c r="F744" s="135"/>
      <c r="G744" s="135"/>
      <c r="H744" s="135"/>
      <c r="I744" s="516"/>
      <c r="J744" s="135"/>
      <c r="K744" s="135"/>
      <c r="L744" s="135"/>
      <c r="M744" s="137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hidden="1" customHeight="1">
      <c r="A745" s="134"/>
      <c r="B745" s="135"/>
      <c r="C745" s="135"/>
      <c r="D745" s="516"/>
      <c r="E745" s="135"/>
      <c r="F745" s="135"/>
      <c r="G745" s="135"/>
      <c r="H745" s="135"/>
      <c r="I745" s="516"/>
      <c r="J745" s="135"/>
      <c r="K745" s="135"/>
      <c r="L745" s="135"/>
      <c r="M745" s="137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hidden="1" customHeight="1">
      <c r="A746" s="134"/>
      <c r="B746" s="135"/>
      <c r="C746" s="135"/>
      <c r="D746" s="516"/>
      <c r="E746" s="135"/>
      <c r="F746" s="135"/>
      <c r="G746" s="135"/>
      <c r="H746" s="135"/>
      <c r="I746" s="516"/>
      <c r="J746" s="135"/>
      <c r="K746" s="135"/>
      <c r="L746" s="135"/>
      <c r="M746" s="137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hidden="1" customHeight="1">
      <c r="A747" s="134"/>
      <c r="B747" s="135"/>
      <c r="C747" s="135"/>
      <c r="D747" s="516"/>
      <c r="E747" s="135"/>
      <c r="F747" s="135"/>
      <c r="G747" s="135"/>
      <c r="H747" s="135"/>
      <c r="I747" s="516"/>
      <c r="J747" s="135"/>
      <c r="K747" s="135"/>
      <c r="L747" s="135"/>
      <c r="M747" s="137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hidden="1" customHeight="1">
      <c r="A748" s="134"/>
      <c r="B748" s="135"/>
      <c r="C748" s="135"/>
      <c r="D748" s="516"/>
      <c r="E748" s="135"/>
      <c r="F748" s="135"/>
      <c r="G748" s="135"/>
      <c r="H748" s="135"/>
      <c r="I748" s="516"/>
      <c r="J748" s="135"/>
      <c r="K748" s="135"/>
      <c r="L748" s="135"/>
      <c r="M748" s="137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hidden="1" customHeight="1">
      <c r="A749" s="134"/>
      <c r="B749" s="135"/>
      <c r="C749" s="135"/>
      <c r="D749" s="516"/>
      <c r="E749" s="135"/>
      <c r="F749" s="135"/>
      <c r="G749" s="135"/>
      <c r="H749" s="135"/>
      <c r="I749" s="516"/>
      <c r="J749" s="135"/>
      <c r="K749" s="135"/>
      <c r="L749" s="135"/>
      <c r="M749" s="137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hidden="1" customHeight="1">
      <c r="A750" s="134"/>
      <c r="B750" s="135"/>
      <c r="C750" s="135"/>
      <c r="D750" s="516"/>
      <c r="E750" s="135"/>
      <c r="F750" s="135"/>
      <c r="G750" s="135"/>
      <c r="H750" s="135"/>
      <c r="I750" s="516"/>
      <c r="J750" s="135"/>
      <c r="K750" s="135"/>
      <c r="L750" s="135"/>
      <c r="M750" s="137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hidden="1" customHeight="1">
      <c r="A751" s="134"/>
      <c r="B751" s="135"/>
      <c r="C751" s="135"/>
      <c r="D751" s="516"/>
      <c r="E751" s="135"/>
      <c r="F751" s="135"/>
      <c r="G751" s="135"/>
      <c r="H751" s="135"/>
      <c r="I751" s="516"/>
      <c r="J751" s="135"/>
      <c r="K751" s="135"/>
      <c r="L751" s="135"/>
      <c r="M751" s="137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hidden="1" customHeight="1">
      <c r="A752" s="134"/>
      <c r="B752" s="135"/>
      <c r="C752" s="135"/>
      <c r="D752" s="516"/>
      <c r="E752" s="135"/>
      <c r="F752" s="135"/>
      <c r="G752" s="135"/>
      <c r="H752" s="135"/>
      <c r="I752" s="516"/>
      <c r="J752" s="135"/>
      <c r="K752" s="135"/>
      <c r="L752" s="135"/>
      <c r="M752" s="137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hidden="1" customHeight="1">
      <c r="A753" s="134"/>
      <c r="B753" s="135"/>
      <c r="C753" s="135"/>
      <c r="D753" s="516"/>
      <c r="E753" s="135"/>
      <c r="F753" s="135"/>
      <c r="G753" s="135"/>
      <c r="H753" s="135"/>
      <c r="I753" s="516"/>
      <c r="J753" s="135"/>
      <c r="K753" s="135"/>
      <c r="L753" s="135"/>
      <c r="M753" s="137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hidden="1" customHeight="1">
      <c r="A754" s="134"/>
      <c r="B754" s="135"/>
      <c r="C754" s="135"/>
      <c r="D754" s="516"/>
      <c r="E754" s="135"/>
      <c r="F754" s="135"/>
      <c r="G754" s="135"/>
      <c r="H754" s="135"/>
      <c r="I754" s="516"/>
      <c r="J754" s="135"/>
      <c r="K754" s="135"/>
      <c r="L754" s="135"/>
      <c r="M754" s="137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hidden="1" customHeight="1">
      <c r="A755" s="134"/>
      <c r="B755" s="135"/>
      <c r="C755" s="135"/>
      <c r="D755" s="516"/>
      <c r="E755" s="135"/>
      <c r="F755" s="135"/>
      <c r="G755" s="135"/>
      <c r="H755" s="135"/>
      <c r="I755" s="516"/>
      <c r="J755" s="135"/>
      <c r="K755" s="135"/>
      <c r="L755" s="135"/>
      <c r="M755" s="137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hidden="1" customHeight="1">
      <c r="A756" s="134"/>
      <c r="B756" s="135"/>
      <c r="C756" s="135"/>
      <c r="D756" s="516"/>
      <c r="E756" s="135"/>
      <c r="F756" s="135"/>
      <c r="G756" s="135"/>
      <c r="H756" s="135"/>
      <c r="I756" s="516"/>
      <c r="J756" s="135"/>
      <c r="K756" s="135"/>
      <c r="L756" s="135"/>
      <c r="M756" s="137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hidden="1" customHeight="1">
      <c r="A757" s="134"/>
      <c r="B757" s="135"/>
      <c r="C757" s="135"/>
      <c r="D757" s="516"/>
      <c r="E757" s="135"/>
      <c r="F757" s="135"/>
      <c r="G757" s="135"/>
      <c r="H757" s="135"/>
      <c r="I757" s="516"/>
      <c r="J757" s="135"/>
      <c r="K757" s="135"/>
      <c r="L757" s="135"/>
      <c r="M757" s="137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hidden="1" customHeight="1">
      <c r="A758" s="134"/>
      <c r="B758" s="135"/>
      <c r="C758" s="135"/>
      <c r="D758" s="516"/>
      <c r="E758" s="135"/>
      <c r="F758" s="135"/>
      <c r="G758" s="135"/>
      <c r="H758" s="135"/>
      <c r="I758" s="516"/>
      <c r="J758" s="135"/>
      <c r="K758" s="135"/>
      <c r="L758" s="135"/>
      <c r="M758" s="137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hidden="1" customHeight="1">
      <c r="A759" s="134"/>
      <c r="B759" s="135"/>
      <c r="C759" s="135"/>
      <c r="D759" s="516"/>
      <c r="E759" s="135"/>
      <c r="F759" s="135"/>
      <c r="G759" s="135"/>
      <c r="H759" s="135"/>
      <c r="I759" s="516"/>
      <c r="J759" s="135"/>
      <c r="K759" s="135"/>
      <c r="L759" s="135"/>
      <c r="M759" s="137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hidden="1" customHeight="1">
      <c r="A760" s="134"/>
      <c r="B760" s="135"/>
      <c r="C760" s="135"/>
      <c r="D760" s="516"/>
      <c r="E760" s="135"/>
      <c r="F760" s="135"/>
      <c r="G760" s="135"/>
      <c r="H760" s="135"/>
      <c r="I760" s="516"/>
      <c r="J760" s="135"/>
      <c r="K760" s="135"/>
      <c r="L760" s="135"/>
      <c r="M760" s="137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hidden="1" customHeight="1">
      <c r="A761" s="134"/>
      <c r="B761" s="135"/>
      <c r="C761" s="135"/>
      <c r="D761" s="516"/>
      <c r="E761" s="135"/>
      <c r="F761" s="135"/>
      <c r="G761" s="135"/>
      <c r="H761" s="135"/>
      <c r="I761" s="516"/>
      <c r="J761" s="135"/>
      <c r="K761" s="135"/>
      <c r="L761" s="135"/>
      <c r="M761" s="137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hidden="1" customHeight="1">
      <c r="A762" s="134"/>
      <c r="B762" s="135"/>
      <c r="C762" s="135"/>
      <c r="D762" s="516"/>
      <c r="E762" s="135"/>
      <c r="F762" s="135"/>
      <c r="G762" s="135"/>
      <c r="H762" s="135"/>
      <c r="I762" s="516"/>
      <c r="J762" s="135"/>
      <c r="K762" s="135"/>
      <c r="L762" s="135"/>
      <c r="M762" s="137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hidden="1" customHeight="1">
      <c r="A763" s="134"/>
      <c r="B763" s="135"/>
      <c r="C763" s="135"/>
      <c r="D763" s="516"/>
      <c r="E763" s="135"/>
      <c r="F763" s="135"/>
      <c r="G763" s="135"/>
      <c r="H763" s="135"/>
      <c r="I763" s="516"/>
      <c r="J763" s="135"/>
      <c r="K763" s="135"/>
      <c r="L763" s="135"/>
      <c r="M763" s="137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hidden="1" customHeight="1">
      <c r="A764" s="134"/>
      <c r="B764" s="135"/>
      <c r="C764" s="135"/>
      <c r="D764" s="516"/>
      <c r="E764" s="135"/>
      <c r="F764" s="135"/>
      <c r="G764" s="135"/>
      <c r="H764" s="135"/>
      <c r="I764" s="516"/>
      <c r="J764" s="135"/>
      <c r="K764" s="135"/>
      <c r="L764" s="135"/>
      <c r="M764" s="137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hidden="1" customHeight="1">
      <c r="A765" s="134"/>
      <c r="B765" s="135"/>
      <c r="C765" s="135"/>
      <c r="D765" s="516"/>
      <c r="E765" s="135"/>
      <c r="F765" s="135"/>
      <c r="G765" s="135"/>
      <c r="H765" s="135"/>
      <c r="I765" s="516"/>
      <c r="J765" s="135"/>
      <c r="K765" s="135"/>
      <c r="L765" s="135"/>
      <c r="M765" s="137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hidden="1" customHeight="1">
      <c r="A766" s="138"/>
      <c r="B766" s="139"/>
      <c r="C766" s="139"/>
      <c r="D766" s="194"/>
      <c r="E766" s="141"/>
      <c r="F766" s="142"/>
      <c r="G766" s="141"/>
      <c r="H766" s="142"/>
      <c r="I766" s="194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hidden="1" customHeight="1">
      <c r="A767" s="138"/>
      <c r="B767" s="139"/>
      <c r="C767" s="139"/>
      <c r="D767" s="194"/>
      <c r="E767" s="141"/>
      <c r="F767" s="142"/>
      <c r="G767" s="141"/>
      <c r="H767" s="142"/>
      <c r="I767" s="194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hidden="1" customHeight="1">
      <c r="A768" s="138"/>
      <c r="B768" s="139"/>
      <c r="C768" s="139"/>
      <c r="D768" s="194"/>
      <c r="E768" s="141"/>
      <c r="F768" s="142"/>
      <c r="G768" s="141"/>
      <c r="H768" s="142"/>
      <c r="I768" s="194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hidden="1" customHeight="1">
      <c r="A769" s="138"/>
      <c r="B769" s="139"/>
      <c r="C769" s="139"/>
      <c r="D769" s="194"/>
      <c r="E769" s="141"/>
      <c r="F769" s="142"/>
      <c r="G769" s="141"/>
      <c r="H769" s="142"/>
      <c r="I769" s="194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hidden="1" customHeight="1">
      <c r="A770" s="138"/>
      <c r="B770" s="139"/>
      <c r="C770" s="139"/>
      <c r="D770" s="194"/>
      <c r="E770" s="141"/>
      <c r="F770" s="142"/>
      <c r="G770" s="141"/>
      <c r="H770" s="142"/>
      <c r="I770" s="194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hidden="1" customHeight="1">
      <c r="A771" s="138"/>
      <c r="B771" s="139"/>
      <c r="C771" s="139"/>
      <c r="D771" s="194"/>
      <c r="E771" s="141"/>
      <c r="F771" s="142"/>
      <c r="G771" s="141"/>
      <c r="H771" s="142"/>
      <c r="I771" s="194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hidden="1" customHeight="1">
      <c r="A772" s="138"/>
      <c r="B772" s="139"/>
      <c r="C772" s="139"/>
      <c r="D772" s="194"/>
      <c r="E772" s="141"/>
      <c r="F772" s="142"/>
      <c r="G772" s="141"/>
      <c r="H772" s="142"/>
      <c r="I772" s="194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hidden="1" customHeight="1">
      <c r="A773" s="138"/>
      <c r="B773" s="139"/>
      <c r="C773" s="139"/>
      <c r="D773" s="194"/>
      <c r="E773" s="141"/>
      <c r="F773" s="142"/>
      <c r="G773" s="141"/>
      <c r="H773" s="142"/>
      <c r="I773" s="194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hidden="1" customHeight="1">
      <c r="A774" s="138"/>
      <c r="B774" s="139"/>
      <c r="C774" s="139"/>
      <c r="D774" s="194"/>
      <c r="E774" s="141"/>
      <c r="F774" s="142"/>
      <c r="G774" s="141"/>
      <c r="H774" s="142"/>
      <c r="I774" s="194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hidden="1" customHeight="1">
      <c r="A775" s="138"/>
      <c r="B775" s="139"/>
      <c r="C775" s="139"/>
      <c r="D775" s="194"/>
      <c r="E775" s="141"/>
      <c r="F775" s="142"/>
      <c r="G775" s="141"/>
      <c r="H775" s="142"/>
      <c r="I775" s="194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hidden="1" customHeight="1">
      <c r="A776" s="138"/>
      <c r="B776" s="139"/>
      <c r="C776" s="139"/>
      <c r="D776" s="194"/>
      <c r="E776" s="141"/>
      <c r="F776" s="142"/>
      <c r="G776" s="141"/>
      <c r="H776" s="142"/>
      <c r="I776" s="194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hidden="1" customHeight="1">
      <c r="A777" s="138"/>
      <c r="B777" s="139"/>
      <c r="C777" s="139"/>
      <c r="D777" s="194"/>
      <c r="E777" s="141"/>
      <c r="F777" s="142"/>
      <c r="G777" s="141"/>
      <c r="H777" s="142"/>
      <c r="I777" s="194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hidden="1" customHeight="1">
      <c r="A778" s="138"/>
      <c r="B778" s="139"/>
      <c r="C778" s="139"/>
      <c r="D778" s="194"/>
      <c r="E778" s="141"/>
      <c r="F778" s="142"/>
      <c r="G778" s="141"/>
      <c r="H778" s="142"/>
      <c r="I778" s="194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hidden="1" customHeight="1">
      <c r="A779" s="138"/>
      <c r="B779" s="139"/>
      <c r="C779" s="139"/>
      <c r="D779" s="194"/>
      <c r="E779" s="141"/>
      <c r="F779" s="142"/>
      <c r="G779" s="141"/>
      <c r="H779" s="142"/>
      <c r="I779" s="194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hidden="1" customHeight="1">
      <c r="A780" s="138"/>
      <c r="B780" s="139"/>
      <c r="C780" s="139"/>
      <c r="D780" s="194"/>
      <c r="E780" s="141"/>
      <c r="F780" s="142"/>
      <c r="G780" s="141"/>
      <c r="H780" s="142"/>
      <c r="I780" s="194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hidden="1" customHeight="1">
      <c r="A781" s="138"/>
      <c r="B781" s="139"/>
      <c r="C781" s="139"/>
      <c r="D781" s="194"/>
      <c r="E781" s="141"/>
      <c r="F781" s="142"/>
      <c r="G781" s="141"/>
      <c r="H781" s="142"/>
      <c r="I781" s="194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hidden="1" customHeight="1">
      <c r="A782" s="138"/>
      <c r="B782" s="139"/>
      <c r="C782" s="139"/>
      <c r="D782" s="194"/>
      <c r="E782" s="141"/>
      <c r="F782" s="142"/>
      <c r="G782" s="141"/>
      <c r="H782" s="142"/>
      <c r="I782" s="194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hidden="1" customHeight="1">
      <c r="A783" s="138"/>
      <c r="B783" s="139"/>
      <c r="C783" s="139"/>
      <c r="D783" s="194"/>
      <c r="E783" s="141"/>
      <c r="F783" s="142"/>
      <c r="G783" s="141"/>
      <c r="H783" s="142"/>
      <c r="I783" s="194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hidden="1" customHeight="1">
      <c r="A784" s="138"/>
      <c r="B784" s="139"/>
      <c r="C784" s="139"/>
      <c r="D784" s="194"/>
      <c r="E784" s="141"/>
      <c r="F784" s="142"/>
      <c r="G784" s="141"/>
      <c r="H784" s="142"/>
      <c r="I784" s="194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hidden="1" customHeight="1">
      <c r="A785" s="138"/>
      <c r="B785" s="139"/>
      <c r="C785" s="139"/>
      <c r="D785" s="194"/>
      <c r="E785" s="141"/>
      <c r="F785" s="142"/>
      <c r="G785" s="141"/>
      <c r="H785" s="142"/>
      <c r="I785" s="194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hidden="1" customHeight="1">
      <c r="A786" s="138"/>
      <c r="B786" s="139"/>
      <c r="C786" s="139"/>
      <c r="D786" s="194"/>
      <c r="E786" s="141"/>
      <c r="F786" s="142"/>
      <c r="G786" s="141"/>
      <c r="H786" s="142"/>
      <c r="I786" s="194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hidden="1" customHeight="1">
      <c r="A787" s="138"/>
      <c r="B787" s="139"/>
      <c r="C787" s="139"/>
      <c r="D787" s="194"/>
      <c r="E787" s="141"/>
      <c r="F787" s="142"/>
      <c r="G787" s="141"/>
      <c r="H787" s="142"/>
      <c r="I787" s="194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hidden="1" customHeight="1">
      <c r="A788" s="138"/>
      <c r="B788" s="139"/>
      <c r="C788" s="139"/>
      <c r="D788" s="194"/>
      <c r="E788" s="141"/>
      <c r="F788" s="142"/>
      <c r="G788" s="141"/>
      <c r="H788" s="142"/>
      <c r="I788" s="194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hidden="1" customHeight="1">
      <c r="A789" s="138"/>
      <c r="B789" s="139"/>
      <c r="C789" s="139"/>
      <c r="D789" s="194"/>
      <c r="E789" s="141"/>
      <c r="F789" s="142"/>
      <c r="G789" s="141"/>
      <c r="H789" s="142"/>
      <c r="I789" s="194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hidden="1" customHeight="1">
      <c r="A790" s="138"/>
      <c r="B790" s="139"/>
      <c r="C790" s="139"/>
      <c r="D790" s="194"/>
      <c r="E790" s="141"/>
      <c r="F790" s="142"/>
      <c r="G790" s="141"/>
      <c r="H790" s="142"/>
      <c r="I790" s="194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hidden="1" customHeight="1">
      <c r="A791" s="138"/>
      <c r="B791" s="139"/>
      <c r="C791" s="139"/>
      <c r="D791" s="194"/>
      <c r="E791" s="141"/>
      <c r="F791" s="142"/>
      <c r="G791" s="141"/>
      <c r="H791" s="142"/>
      <c r="I791" s="194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hidden="1" customHeight="1">
      <c r="A792" s="138"/>
      <c r="B792" s="139"/>
      <c r="C792" s="139"/>
      <c r="D792" s="194"/>
      <c r="E792" s="141"/>
      <c r="F792" s="142"/>
      <c r="G792" s="141"/>
      <c r="H792" s="142"/>
      <c r="I792" s="194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hidden="1" customHeight="1">
      <c r="A793" s="138"/>
      <c r="B793" s="139"/>
      <c r="C793" s="139"/>
      <c r="D793" s="194"/>
      <c r="E793" s="141"/>
      <c r="F793" s="142"/>
      <c r="G793" s="141"/>
      <c r="H793" s="142"/>
      <c r="I793" s="194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hidden="1" customHeight="1">
      <c r="A794" s="138"/>
      <c r="B794" s="139"/>
      <c r="C794" s="139"/>
      <c r="D794" s="194"/>
      <c r="E794" s="141"/>
      <c r="F794" s="142"/>
      <c r="G794" s="141"/>
      <c r="H794" s="142"/>
      <c r="I794" s="194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hidden="1" customHeight="1">
      <c r="A795" s="138"/>
      <c r="B795" s="139"/>
      <c r="C795" s="139"/>
      <c r="D795" s="194"/>
      <c r="E795" s="141"/>
      <c r="F795" s="142"/>
      <c r="G795" s="141"/>
      <c r="H795" s="142"/>
      <c r="I795" s="194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hidden="1" customHeight="1">
      <c r="A796" s="138"/>
      <c r="B796" s="139"/>
      <c r="C796" s="139"/>
      <c r="D796" s="194"/>
      <c r="E796" s="141"/>
      <c r="F796" s="142"/>
      <c r="G796" s="141"/>
      <c r="H796" s="142"/>
      <c r="I796" s="194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hidden="1" customHeight="1">
      <c r="A797" s="138"/>
      <c r="B797" s="139"/>
      <c r="C797" s="139"/>
      <c r="D797" s="194"/>
      <c r="E797" s="141"/>
      <c r="F797" s="142"/>
      <c r="G797" s="141"/>
      <c r="H797" s="142"/>
      <c r="I797" s="194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hidden="1" customHeight="1">
      <c r="A798" s="138"/>
      <c r="B798" s="139"/>
      <c r="C798" s="139"/>
      <c r="D798" s="194"/>
      <c r="E798" s="141"/>
      <c r="F798" s="142"/>
      <c r="G798" s="141"/>
      <c r="H798" s="142"/>
      <c r="I798" s="194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hidden="1" customHeight="1">
      <c r="A799" s="138"/>
      <c r="B799" s="139"/>
      <c r="C799" s="139"/>
      <c r="D799" s="194"/>
      <c r="E799" s="141"/>
      <c r="F799" s="142"/>
      <c r="G799" s="141"/>
      <c r="H799" s="142"/>
      <c r="I799" s="194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hidden="1" customHeight="1">
      <c r="A800" s="138"/>
      <c r="B800" s="139"/>
      <c r="C800" s="139"/>
      <c r="D800" s="194"/>
      <c r="E800" s="141"/>
      <c r="F800" s="142"/>
      <c r="G800" s="141"/>
      <c r="H800" s="142"/>
      <c r="I800" s="194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hidden="1" customHeight="1">
      <c r="A801" s="138"/>
      <c r="B801" s="139"/>
      <c r="C801" s="139"/>
      <c r="D801" s="194"/>
      <c r="E801" s="141"/>
      <c r="F801" s="142"/>
      <c r="G801" s="141"/>
      <c r="H801" s="142"/>
      <c r="I801" s="194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hidden="1" customHeight="1">
      <c r="A802" s="138"/>
      <c r="B802" s="139"/>
      <c r="C802" s="139"/>
      <c r="D802" s="194"/>
      <c r="E802" s="141"/>
      <c r="F802" s="142"/>
      <c r="G802" s="141"/>
      <c r="H802" s="142"/>
      <c r="I802" s="194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hidden="1" customHeight="1">
      <c r="A803" s="138"/>
      <c r="B803" s="139"/>
      <c r="C803" s="139"/>
      <c r="D803" s="194"/>
      <c r="E803" s="141"/>
      <c r="F803" s="142"/>
      <c r="G803" s="141"/>
      <c r="H803" s="142"/>
      <c r="I803" s="194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hidden="1" customHeight="1">
      <c r="A804" s="138"/>
      <c r="B804" s="139"/>
      <c r="C804" s="139"/>
      <c r="D804" s="194"/>
      <c r="E804" s="141"/>
      <c r="F804" s="142"/>
      <c r="G804" s="141"/>
      <c r="H804" s="142"/>
      <c r="I804" s="194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hidden="1" customHeight="1">
      <c r="A805" s="138"/>
      <c r="B805" s="139"/>
      <c r="C805" s="139"/>
      <c r="D805" s="194"/>
      <c r="E805" s="141"/>
      <c r="F805" s="142"/>
      <c r="G805" s="141"/>
      <c r="H805" s="142"/>
      <c r="I805" s="194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hidden="1" customHeight="1">
      <c r="A806" s="138"/>
      <c r="B806" s="139"/>
      <c r="C806" s="139"/>
      <c r="D806" s="194"/>
      <c r="E806" s="141"/>
      <c r="F806" s="142"/>
      <c r="G806" s="141"/>
      <c r="H806" s="142"/>
      <c r="I806" s="194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hidden="1" customHeight="1">
      <c r="A807" s="138"/>
      <c r="B807" s="139"/>
      <c r="C807" s="139"/>
      <c r="D807" s="194"/>
      <c r="E807" s="141"/>
      <c r="F807" s="142"/>
      <c r="G807" s="141"/>
      <c r="H807" s="142"/>
      <c r="I807" s="194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hidden="1" customHeight="1">
      <c r="A808" s="138"/>
      <c r="B808" s="139"/>
      <c r="C808" s="139"/>
      <c r="D808" s="194"/>
      <c r="E808" s="141"/>
      <c r="F808" s="142"/>
      <c r="G808" s="141"/>
      <c r="H808" s="142"/>
      <c r="I808" s="194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hidden="1" customHeight="1">
      <c r="A809" s="138"/>
      <c r="B809" s="139"/>
      <c r="C809" s="139"/>
      <c r="D809" s="194"/>
      <c r="E809" s="141"/>
      <c r="F809" s="142"/>
      <c r="G809" s="141"/>
      <c r="H809" s="142"/>
      <c r="I809" s="194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hidden="1" customHeight="1">
      <c r="A810" s="138"/>
      <c r="B810" s="139"/>
      <c r="C810" s="139"/>
      <c r="D810" s="194"/>
      <c r="E810" s="141"/>
      <c r="F810" s="142"/>
      <c r="G810" s="141"/>
      <c r="H810" s="142"/>
      <c r="I810" s="194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hidden="1" customHeight="1">
      <c r="A811" s="138"/>
      <c r="B811" s="139"/>
      <c r="C811" s="139"/>
      <c r="D811" s="194"/>
      <c r="E811" s="141"/>
      <c r="F811" s="142"/>
      <c r="G811" s="141"/>
      <c r="H811" s="142"/>
      <c r="I811" s="194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hidden="1" customHeight="1">
      <c r="A812" s="138"/>
      <c r="B812" s="139"/>
      <c r="C812" s="139"/>
      <c r="D812" s="194"/>
      <c r="E812" s="141"/>
      <c r="F812" s="142"/>
      <c r="G812" s="141"/>
      <c r="H812" s="142"/>
      <c r="I812" s="194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hidden="1" customHeight="1">
      <c r="A813" s="138"/>
      <c r="B813" s="139"/>
      <c r="C813" s="139"/>
      <c r="D813" s="194"/>
      <c r="E813" s="141"/>
      <c r="F813" s="142"/>
      <c r="G813" s="141"/>
      <c r="H813" s="142"/>
      <c r="I813" s="194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hidden="1" customHeight="1">
      <c r="A814" s="138"/>
      <c r="B814" s="139"/>
      <c r="C814" s="139"/>
      <c r="D814" s="194"/>
      <c r="E814" s="141"/>
      <c r="F814" s="142"/>
      <c r="G814" s="141"/>
      <c r="H814" s="142"/>
      <c r="I814" s="194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hidden="1" customHeight="1">
      <c r="A815" s="138"/>
      <c r="B815" s="139"/>
      <c r="C815" s="139"/>
      <c r="D815" s="194"/>
      <c r="E815" s="141"/>
      <c r="F815" s="142"/>
      <c r="G815" s="141"/>
      <c r="H815" s="142"/>
      <c r="I815" s="194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hidden="1" customHeight="1">
      <c r="A816" s="138"/>
      <c r="B816" s="139"/>
      <c r="C816" s="139"/>
      <c r="D816" s="194"/>
      <c r="E816" s="141"/>
      <c r="F816" s="142"/>
      <c r="G816" s="141"/>
      <c r="H816" s="142"/>
      <c r="I816" s="194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hidden="1" customHeight="1">
      <c r="A817" s="138"/>
      <c r="B817" s="139"/>
      <c r="C817" s="139"/>
      <c r="D817" s="194"/>
      <c r="E817" s="141"/>
      <c r="F817" s="142"/>
      <c r="G817" s="141"/>
      <c r="H817" s="142"/>
      <c r="I817" s="194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hidden="1" customHeight="1">
      <c r="A818" s="138"/>
      <c r="B818" s="139"/>
      <c r="C818" s="139"/>
      <c r="D818" s="194"/>
      <c r="E818" s="141"/>
      <c r="F818" s="142"/>
      <c r="G818" s="141"/>
      <c r="H818" s="142"/>
      <c r="I818" s="194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hidden="1" customHeight="1">
      <c r="A819" s="138"/>
      <c r="B819" s="139"/>
      <c r="C819" s="139"/>
      <c r="D819" s="194"/>
      <c r="E819" s="141"/>
      <c r="F819" s="142"/>
      <c r="G819" s="141"/>
      <c r="H819" s="142"/>
      <c r="I819" s="194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hidden="1" customHeight="1">
      <c r="A820" s="138"/>
      <c r="B820" s="139"/>
      <c r="C820" s="139"/>
      <c r="D820" s="194"/>
      <c r="E820" s="141"/>
      <c r="F820" s="142"/>
      <c r="G820" s="141"/>
      <c r="H820" s="142"/>
      <c r="I820" s="194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hidden="1" customHeight="1">
      <c r="A821" s="138"/>
      <c r="B821" s="139"/>
      <c r="C821" s="139"/>
      <c r="D821" s="194"/>
      <c r="E821" s="141"/>
      <c r="F821" s="142"/>
      <c r="G821" s="141"/>
      <c r="H821" s="142"/>
      <c r="I821" s="194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hidden="1" customHeight="1">
      <c r="A822" s="138"/>
      <c r="B822" s="139"/>
      <c r="C822" s="139"/>
      <c r="D822" s="194"/>
      <c r="E822" s="141"/>
      <c r="F822" s="142"/>
      <c r="G822" s="141"/>
      <c r="H822" s="142"/>
      <c r="I822" s="194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hidden="1" customHeight="1">
      <c r="A823" s="138"/>
      <c r="B823" s="139"/>
      <c r="C823" s="139"/>
      <c r="D823" s="194"/>
      <c r="E823" s="141"/>
      <c r="F823" s="142"/>
      <c r="G823" s="141"/>
      <c r="H823" s="142"/>
      <c r="I823" s="194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hidden="1" customHeight="1">
      <c r="A824" s="138"/>
      <c r="B824" s="139"/>
      <c r="C824" s="139"/>
      <c r="D824" s="194"/>
      <c r="E824" s="141"/>
      <c r="F824" s="142"/>
      <c r="G824" s="141"/>
      <c r="H824" s="142"/>
      <c r="I824" s="194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hidden="1" customHeight="1">
      <c r="A825" s="138"/>
      <c r="B825" s="139"/>
      <c r="C825" s="139"/>
      <c r="D825" s="194"/>
      <c r="E825" s="141"/>
      <c r="F825" s="142"/>
      <c r="G825" s="141"/>
      <c r="H825" s="142"/>
      <c r="I825" s="194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hidden="1" customHeight="1">
      <c r="A826" s="138"/>
      <c r="B826" s="139"/>
      <c r="C826" s="139"/>
      <c r="D826" s="194"/>
      <c r="E826" s="141"/>
      <c r="F826" s="142"/>
      <c r="G826" s="141"/>
      <c r="H826" s="142"/>
      <c r="I826" s="194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hidden="1" customHeight="1">
      <c r="A827" s="138"/>
      <c r="B827" s="139"/>
      <c r="C827" s="139"/>
      <c r="D827" s="194"/>
      <c r="E827" s="141"/>
      <c r="F827" s="142"/>
      <c r="G827" s="141"/>
      <c r="H827" s="142"/>
      <c r="I827" s="194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hidden="1" customHeight="1">
      <c r="A828" s="138"/>
      <c r="B828" s="139"/>
      <c r="C828" s="139"/>
      <c r="D828" s="194"/>
      <c r="E828" s="141"/>
      <c r="F828" s="142"/>
      <c r="G828" s="141"/>
      <c r="H828" s="142"/>
      <c r="I828" s="194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hidden="1" customHeight="1">
      <c r="A829" s="138"/>
      <c r="B829" s="139"/>
      <c r="C829" s="139"/>
      <c r="D829" s="194"/>
      <c r="E829" s="141"/>
      <c r="F829" s="142"/>
      <c r="G829" s="141"/>
      <c r="H829" s="142"/>
      <c r="I829" s="194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hidden="1" customHeight="1">
      <c r="A830" s="138"/>
      <c r="B830" s="139"/>
      <c r="C830" s="139"/>
      <c r="D830" s="194"/>
      <c r="E830" s="141"/>
      <c r="F830" s="142"/>
      <c r="G830" s="141"/>
      <c r="H830" s="142"/>
      <c r="I830" s="194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hidden="1" customHeight="1">
      <c r="A831" s="138"/>
      <c r="B831" s="139"/>
      <c r="C831" s="139"/>
      <c r="D831" s="194"/>
      <c r="E831" s="141"/>
      <c r="F831" s="142"/>
      <c r="G831" s="141"/>
      <c r="H831" s="142"/>
      <c r="I831" s="194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hidden="1" customHeight="1">
      <c r="A832" s="138"/>
      <c r="B832" s="139"/>
      <c r="C832" s="139"/>
      <c r="D832" s="194"/>
      <c r="E832" s="141"/>
      <c r="F832" s="142"/>
      <c r="G832" s="141"/>
      <c r="H832" s="142"/>
      <c r="I832" s="194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hidden="1" customHeight="1">
      <c r="A833" s="138"/>
      <c r="B833" s="139"/>
      <c r="C833" s="139"/>
      <c r="D833" s="194"/>
      <c r="E833" s="141"/>
      <c r="F833" s="142"/>
      <c r="G833" s="141"/>
      <c r="H833" s="142"/>
      <c r="I833" s="194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hidden="1" customHeight="1">
      <c r="A834" s="138"/>
      <c r="B834" s="139"/>
      <c r="C834" s="139"/>
      <c r="D834" s="194"/>
      <c r="E834" s="141"/>
      <c r="F834" s="142"/>
      <c r="G834" s="141"/>
      <c r="H834" s="142"/>
      <c r="I834" s="194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hidden="1" customHeight="1">
      <c r="A835" s="138"/>
      <c r="B835" s="139"/>
      <c r="C835" s="139"/>
      <c r="D835" s="194"/>
      <c r="E835" s="141"/>
      <c r="F835" s="142"/>
      <c r="G835" s="141"/>
      <c r="H835" s="142"/>
      <c r="I835" s="194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hidden="1" customHeight="1">
      <c r="A836" s="138"/>
      <c r="B836" s="139"/>
      <c r="C836" s="139"/>
      <c r="D836" s="194"/>
      <c r="E836" s="141"/>
      <c r="F836" s="142"/>
      <c r="G836" s="141"/>
      <c r="H836" s="142"/>
      <c r="I836" s="194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hidden="1" customHeight="1">
      <c r="A837" s="138"/>
      <c r="B837" s="139"/>
      <c r="C837" s="139"/>
      <c r="D837" s="194"/>
      <c r="E837" s="141"/>
      <c r="F837" s="142"/>
      <c r="G837" s="141"/>
      <c r="H837" s="142"/>
      <c r="I837" s="194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hidden="1" customHeight="1">
      <c r="A838" s="138"/>
      <c r="B838" s="139"/>
      <c r="C838" s="139"/>
      <c r="D838" s="194"/>
      <c r="E838" s="141"/>
      <c r="F838" s="142"/>
      <c r="G838" s="141"/>
      <c r="H838" s="142"/>
      <c r="I838" s="194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hidden="1" customHeight="1">
      <c r="A839" s="138"/>
      <c r="B839" s="139"/>
      <c r="C839" s="139"/>
      <c r="D839" s="194"/>
      <c r="E839" s="141"/>
      <c r="F839" s="142"/>
      <c r="G839" s="141"/>
      <c r="H839" s="142"/>
      <c r="I839" s="194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hidden="1" customHeight="1">
      <c r="A840" s="138"/>
      <c r="B840" s="139"/>
      <c r="C840" s="139"/>
      <c r="D840" s="194"/>
      <c r="E840" s="141"/>
      <c r="F840" s="142"/>
      <c r="G840" s="141"/>
      <c r="H840" s="142"/>
      <c r="I840" s="194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hidden="1" customHeight="1">
      <c r="A841" s="138"/>
      <c r="B841" s="139"/>
      <c r="C841" s="139"/>
      <c r="D841" s="194"/>
      <c r="E841" s="141"/>
      <c r="F841" s="142"/>
      <c r="G841" s="141"/>
      <c r="H841" s="142"/>
      <c r="I841" s="194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hidden="1" customHeight="1">
      <c r="A842" s="138"/>
      <c r="B842" s="139"/>
      <c r="C842" s="139"/>
      <c r="D842" s="194"/>
      <c r="E842" s="141"/>
      <c r="F842" s="142"/>
      <c r="G842" s="141"/>
      <c r="H842" s="142"/>
      <c r="I842" s="194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hidden="1" customHeight="1">
      <c r="A843" s="138"/>
      <c r="B843" s="139"/>
      <c r="C843" s="139"/>
      <c r="D843" s="194"/>
      <c r="E843" s="141"/>
      <c r="F843" s="142"/>
      <c r="G843" s="141"/>
      <c r="H843" s="142"/>
      <c r="I843" s="194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hidden="1" customHeight="1">
      <c r="A844" s="138"/>
      <c r="B844" s="139"/>
      <c r="C844" s="139"/>
      <c r="D844" s="194"/>
      <c r="E844" s="141"/>
      <c r="F844" s="142"/>
      <c r="G844" s="141"/>
      <c r="H844" s="142"/>
      <c r="I844" s="194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hidden="1" customHeight="1">
      <c r="A845" s="138"/>
      <c r="B845" s="139"/>
      <c r="C845" s="139"/>
      <c r="D845" s="194"/>
      <c r="E845" s="141"/>
      <c r="F845" s="142"/>
      <c r="G845" s="141"/>
      <c r="H845" s="142"/>
      <c r="I845" s="194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hidden="1" customHeight="1">
      <c r="A846" s="138"/>
      <c r="B846" s="139"/>
      <c r="C846" s="139"/>
      <c r="D846" s="194"/>
      <c r="E846" s="141"/>
      <c r="F846" s="142"/>
      <c r="G846" s="141"/>
      <c r="H846" s="142"/>
      <c r="I846" s="194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hidden="1" customHeight="1">
      <c r="A847" s="138"/>
      <c r="B847" s="139"/>
      <c r="C847" s="139"/>
      <c r="D847" s="194"/>
      <c r="E847" s="141"/>
      <c r="F847" s="142"/>
      <c r="G847" s="141"/>
      <c r="H847" s="142"/>
      <c r="I847" s="194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hidden="1" customHeight="1">
      <c r="A848" s="138"/>
      <c r="B848" s="139"/>
      <c r="C848" s="139"/>
      <c r="D848" s="194"/>
      <c r="E848" s="141"/>
      <c r="F848" s="142"/>
      <c r="G848" s="141"/>
      <c r="H848" s="142"/>
      <c r="I848" s="194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hidden="1" customHeight="1">
      <c r="A849" s="138"/>
      <c r="B849" s="139"/>
      <c r="C849" s="139"/>
      <c r="D849" s="194"/>
      <c r="E849" s="141"/>
      <c r="F849" s="142"/>
      <c r="G849" s="141"/>
      <c r="H849" s="142"/>
      <c r="I849" s="194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hidden="1" customHeight="1">
      <c r="A850" s="138"/>
      <c r="B850" s="139"/>
      <c r="C850" s="139"/>
      <c r="D850" s="194"/>
      <c r="E850" s="141"/>
      <c r="F850" s="142"/>
      <c r="G850" s="141"/>
      <c r="H850" s="142"/>
      <c r="I850" s="194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hidden="1" customHeight="1">
      <c r="A851" s="138"/>
      <c r="B851" s="139"/>
      <c r="C851" s="139"/>
      <c r="D851" s="194"/>
      <c r="E851" s="141"/>
      <c r="F851" s="142"/>
      <c r="G851" s="141"/>
      <c r="H851" s="142"/>
      <c r="I851" s="194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hidden="1" customHeight="1">
      <c r="A852" s="138"/>
      <c r="B852" s="139"/>
      <c r="C852" s="139"/>
      <c r="D852" s="194"/>
      <c r="E852" s="141"/>
      <c r="F852" s="142"/>
      <c r="G852" s="141"/>
      <c r="H852" s="142"/>
      <c r="I852" s="194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hidden="1" customHeight="1">
      <c r="A853" s="138"/>
      <c r="B853" s="139"/>
      <c r="C853" s="139"/>
      <c r="D853" s="194"/>
      <c r="E853" s="141"/>
      <c r="F853" s="142"/>
      <c r="G853" s="141"/>
      <c r="H853" s="142"/>
      <c r="I853" s="194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hidden="1" customHeight="1">
      <c r="A854" s="138"/>
      <c r="B854" s="139"/>
      <c r="C854" s="139"/>
      <c r="D854" s="194"/>
      <c r="E854" s="141"/>
      <c r="F854" s="142"/>
      <c r="G854" s="141"/>
      <c r="H854" s="142"/>
      <c r="I854" s="194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hidden="1" customHeight="1">
      <c r="A855" s="138"/>
      <c r="B855" s="139"/>
      <c r="C855" s="139"/>
      <c r="D855" s="194"/>
      <c r="E855" s="141"/>
      <c r="F855" s="142"/>
      <c r="G855" s="141"/>
      <c r="H855" s="142"/>
      <c r="I855" s="194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hidden="1" customHeight="1">
      <c r="A856" s="138"/>
      <c r="B856" s="139"/>
      <c r="C856" s="139"/>
      <c r="D856" s="194"/>
      <c r="E856" s="141"/>
      <c r="F856" s="142"/>
      <c r="G856" s="141"/>
      <c r="H856" s="142"/>
      <c r="I856" s="194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hidden="1" customHeight="1">
      <c r="A857" s="138"/>
      <c r="B857" s="139"/>
      <c r="C857" s="139"/>
      <c r="D857" s="194"/>
      <c r="E857" s="141"/>
      <c r="F857" s="142"/>
      <c r="G857" s="141"/>
      <c r="H857" s="142"/>
      <c r="I857" s="194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hidden="1" customHeight="1">
      <c r="A858" s="138"/>
      <c r="B858" s="139"/>
      <c r="C858" s="139"/>
      <c r="D858" s="194"/>
      <c r="E858" s="141"/>
      <c r="F858" s="142"/>
      <c r="G858" s="141"/>
      <c r="H858" s="142"/>
      <c r="I858" s="194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hidden="1" customHeight="1">
      <c r="A859" s="138"/>
      <c r="B859" s="139"/>
      <c r="C859" s="139"/>
      <c r="D859" s="194"/>
      <c r="E859" s="141"/>
      <c r="F859" s="142"/>
      <c r="G859" s="141"/>
      <c r="H859" s="142"/>
      <c r="I859" s="194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hidden="1" customHeight="1">
      <c r="A860" s="138"/>
      <c r="B860" s="139"/>
      <c r="C860" s="139"/>
      <c r="D860" s="194"/>
      <c r="E860" s="141"/>
      <c r="F860" s="142"/>
      <c r="G860" s="141"/>
      <c r="H860" s="142"/>
      <c r="I860" s="194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hidden="1" customHeight="1">
      <c r="A861" s="138"/>
      <c r="B861" s="139"/>
      <c r="C861" s="139"/>
      <c r="D861" s="194"/>
      <c r="E861" s="141"/>
      <c r="F861" s="142"/>
      <c r="G861" s="141"/>
      <c r="H861" s="142"/>
      <c r="I861" s="194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hidden="1" customHeight="1">
      <c r="A862" s="138"/>
      <c r="B862" s="139"/>
      <c r="C862" s="139"/>
      <c r="D862" s="194"/>
      <c r="E862" s="141"/>
      <c r="F862" s="142"/>
      <c r="G862" s="141"/>
      <c r="H862" s="142"/>
      <c r="I862" s="194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hidden="1" customHeight="1">
      <c r="A863" s="138"/>
      <c r="B863" s="139"/>
      <c r="C863" s="139"/>
      <c r="D863" s="194"/>
      <c r="E863" s="141"/>
      <c r="F863" s="142"/>
      <c r="G863" s="141"/>
      <c r="H863" s="142"/>
      <c r="I863" s="194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hidden="1" customHeight="1">
      <c r="A864" s="138"/>
      <c r="B864" s="139"/>
      <c r="C864" s="139"/>
      <c r="D864" s="194"/>
      <c r="E864" s="141"/>
      <c r="F864" s="142"/>
      <c r="G864" s="141"/>
      <c r="H864" s="142"/>
      <c r="I864" s="194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hidden="1" customHeight="1">
      <c r="A865" s="138"/>
      <c r="B865" s="139"/>
      <c r="C865" s="139"/>
      <c r="D865" s="194"/>
      <c r="E865" s="141"/>
      <c r="F865" s="142"/>
      <c r="G865" s="141"/>
      <c r="H865" s="142"/>
      <c r="I865" s="194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hidden="1" customHeight="1">
      <c r="A866" s="138"/>
      <c r="B866" s="139"/>
      <c r="C866" s="139"/>
      <c r="D866" s="194"/>
      <c r="E866" s="141"/>
      <c r="F866" s="142"/>
      <c r="G866" s="141"/>
      <c r="H866" s="142"/>
      <c r="I866" s="194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hidden="1" customHeight="1">
      <c r="A867" s="138"/>
      <c r="B867" s="139"/>
      <c r="C867" s="139"/>
      <c r="D867" s="194"/>
      <c r="E867" s="141"/>
      <c r="F867" s="142"/>
      <c r="G867" s="141"/>
      <c r="H867" s="142"/>
      <c r="I867" s="194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hidden="1" customHeight="1">
      <c r="A868" s="138"/>
      <c r="B868" s="139"/>
      <c r="C868" s="139"/>
      <c r="D868" s="194"/>
      <c r="E868" s="141"/>
      <c r="F868" s="142"/>
      <c r="G868" s="141"/>
      <c r="H868" s="142"/>
      <c r="I868" s="194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hidden="1" customHeight="1">
      <c r="A869" s="138"/>
      <c r="B869" s="139"/>
      <c r="C869" s="139"/>
      <c r="D869" s="194"/>
      <c r="E869" s="141"/>
      <c r="F869" s="142"/>
      <c r="G869" s="141"/>
      <c r="H869" s="142"/>
      <c r="I869" s="194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hidden="1" customHeight="1">
      <c r="A870" s="138"/>
      <c r="B870" s="139"/>
      <c r="C870" s="139"/>
      <c r="D870" s="194"/>
      <c r="E870" s="141"/>
      <c r="F870" s="142"/>
      <c r="G870" s="141"/>
      <c r="H870" s="142"/>
      <c r="I870" s="194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hidden="1" customHeight="1">
      <c r="A871" s="138"/>
      <c r="B871" s="139"/>
      <c r="C871" s="139"/>
      <c r="D871" s="194"/>
      <c r="E871" s="141"/>
      <c r="F871" s="142"/>
      <c r="G871" s="141"/>
      <c r="H871" s="142"/>
      <c r="I871" s="194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hidden="1" customHeight="1">
      <c r="A872" s="138"/>
      <c r="B872" s="139"/>
      <c r="C872" s="139"/>
      <c r="D872" s="194"/>
      <c r="E872" s="141"/>
      <c r="F872" s="142"/>
      <c r="G872" s="141"/>
      <c r="H872" s="142"/>
      <c r="I872" s="194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hidden="1" customHeight="1">
      <c r="A873" s="138"/>
      <c r="B873" s="139"/>
      <c r="C873" s="139"/>
      <c r="D873" s="194"/>
      <c r="E873" s="141"/>
      <c r="F873" s="142"/>
      <c r="G873" s="141"/>
      <c r="H873" s="142"/>
      <c r="I873" s="194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hidden="1" customHeight="1">
      <c r="A874" s="138"/>
      <c r="B874" s="139"/>
      <c r="C874" s="139"/>
      <c r="D874" s="194"/>
      <c r="E874" s="141"/>
      <c r="F874" s="142"/>
      <c r="G874" s="141"/>
      <c r="H874" s="142"/>
      <c r="I874" s="194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hidden="1" customHeight="1">
      <c r="A875" s="138"/>
      <c r="B875" s="139"/>
      <c r="C875" s="139"/>
      <c r="D875" s="194"/>
      <c r="E875" s="141"/>
      <c r="F875" s="142"/>
      <c r="G875" s="141"/>
      <c r="H875" s="142"/>
      <c r="I875" s="194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hidden="1" customHeight="1">
      <c r="A876" s="138"/>
      <c r="B876" s="139"/>
      <c r="C876" s="139"/>
      <c r="D876" s="194"/>
      <c r="E876" s="141"/>
      <c r="F876" s="142"/>
      <c r="G876" s="141"/>
      <c r="H876" s="142"/>
      <c r="I876" s="194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hidden="1" customHeight="1">
      <c r="A877" s="138"/>
      <c r="B877" s="139"/>
      <c r="C877" s="139"/>
      <c r="D877" s="194"/>
      <c r="E877" s="141"/>
      <c r="F877" s="142"/>
      <c r="G877" s="141"/>
      <c r="H877" s="142"/>
      <c r="I877" s="194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hidden="1" customHeight="1">
      <c r="A878" s="138"/>
      <c r="B878" s="139"/>
      <c r="C878" s="139"/>
      <c r="D878" s="194"/>
      <c r="E878" s="141"/>
      <c r="F878" s="142"/>
      <c r="G878" s="141"/>
      <c r="H878" s="142"/>
      <c r="I878" s="194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hidden="1" customHeight="1">
      <c r="A879" s="138"/>
      <c r="B879" s="139"/>
      <c r="C879" s="139"/>
      <c r="D879" s="194"/>
      <c r="E879" s="141"/>
      <c r="F879" s="142"/>
      <c r="G879" s="141"/>
      <c r="H879" s="142"/>
      <c r="I879" s="194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hidden="1" customHeight="1">
      <c r="A880" s="138"/>
      <c r="B880" s="139"/>
      <c r="C880" s="139"/>
      <c r="D880" s="194"/>
      <c r="E880" s="141"/>
      <c r="F880" s="142"/>
      <c r="G880" s="141"/>
      <c r="H880" s="142"/>
      <c r="I880" s="194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hidden="1" customHeight="1">
      <c r="A881" s="138"/>
      <c r="B881" s="139"/>
      <c r="C881" s="139"/>
      <c r="D881" s="194"/>
      <c r="E881" s="141"/>
      <c r="F881" s="142"/>
      <c r="G881" s="141"/>
      <c r="H881" s="142"/>
      <c r="I881" s="194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hidden="1" customHeight="1">
      <c r="A882" s="138"/>
      <c r="B882" s="139"/>
      <c r="C882" s="139"/>
      <c r="D882" s="194"/>
      <c r="E882" s="141"/>
      <c r="F882" s="142"/>
      <c r="G882" s="141"/>
      <c r="H882" s="142"/>
      <c r="I882" s="194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hidden="1" customHeight="1">
      <c r="A883" s="138"/>
      <c r="B883" s="139"/>
      <c r="C883" s="139"/>
      <c r="D883" s="194"/>
      <c r="E883" s="141"/>
      <c r="F883" s="142"/>
      <c r="G883" s="141"/>
      <c r="H883" s="142"/>
      <c r="I883" s="194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hidden="1" customHeight="1">
      <c r="A884" s="138"/>
      <c r="B884" s="139"/>
      <c r="C884" s="139"/>
      <c r="D884" s="194"/>
      <c r="E884" s="141"/>
      <c r="F884" s="142"/>
      <c r="G884" s="141"/>
      <c r="H884" s="142"/>
      <c r="I884" s="194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hidden="1" customHeight="1">
      <c r="A885" s="138"/>
      <c r="B885" s="139"/>
      <c r="C885" s="139"/>
      <c r="D885" s="194"/>
      <c r="E885" s="141"/>
      <c r="F885" s="142"/>
      <c r="G885" s="141"/>
      <c r="H885" s="142"/>
      <c r="I885" s="194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hidden="1" customHeight="1">
      <c r="A886" s="138"/>
      <c r="B886" s="139"/>
      <c r="C886" s="139"/>
      <c r="D886" s="194"/>
      <c r="E886" s="141"/>
      <c r="F886" s="142"/>
      <c r="G886" s="141"/>
      <c r="H886" s="142"/>
      <c r="I886" s="194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hidden="1" customHeight="1">
      <c r="A887" s="138"/>
      <c r="B887" s="139"/>
      <c r="C887" s="139"/>
      <c r="D887" s="194"/>
      <c r="E887" s="141"/>
      <c r="F887" s="142"/>
      <c r="G887" s="141"/>
      <c r="H887" s="142"/>
      <c r="I887" s="194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hidden="1" customHeight="1">
      <c r="A888" s="138"/>
      <c r="B888" s="139"/>
      <c r="C888" s="139"/>
      <c r="D888" s="194"/>
      <c r="E888" s="141"/>
      <c r="F888" s="142"/>
      <c r="G888" s="141"/>
      <c r="H888" s="142"/>
      <c r="I888" s="194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hidden="1" customHeight="1">
      <c r="A889" s="138"/>
      <c r="B889" s="139"/>
      <c r="C889" s="139"/>
      <c r="D889" s="194"/>
      <c r="E889" s="141"/>
      <c r="F889" s="142"/>
      <c r="G889" s="141"/>
      <c r="H889" s="142"/>
      <c r="I889" s="194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hidden="1" customHeight="1">
      <c r="A890" s="138"/>
      <c r="B890" s="139"/>
      <c r="C890" s="139"/>
      <c r="D890" s="194"/>
      <c r="E890" s="141"/>
      <c r="F890" s="142"/>
      <c r="G890" s="141"/>
      <c r="H890" s="142"/>
      <c r="I890" s="194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hidden="1" customHeight="1">
      <c r="A891" s="138"/>
      <c r="B891" s="139"/>
      <c r="C891" s="139"/>
      <c r="D891" s="194"/>
      <c r="E891" s="141"/>
      <c r="F891" s="142"/>
      <c r="G891" s="141"/>
      <c r="H891" s="142"/>
      <c r="I891" s="194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hidden="1" customHeight="1">
      <c r="A892" s="138"/>
      <c r="B892" s="139"/>
      <c r="C892" s="139"/>
      <c r="D892" s="194"/>
      <c r="E892" s="141"/>
      <c r="F892" s="142"/>
      <c r="G892" s="141"/>
      <c r="H892" s="142"/>
      <c r="I892" s="194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hidden="1" customHeight="1">
      <c r="A893" s="138"/>
      <c r="B893" s="139"/>
      <c r="C893" s="139"/>
      <c r="D893" s="194"/>
      <c r="E893" s="141"/>
      <c r="F893" s="142"/>
      <c r="G893" s="141"/>
      <c r="H893" s="142"/>
      <c r="I893" s="194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hidden="1" customHeight="1">
      <c r="A894" s="138"/>
      <c r="B894" s="139"/>
      <c r="C894" s="139"/>
      <c r="D894" s="194"/>
      <c r="E894" s="141"/>
      <c r="F894" s="142"/>
      <c r="G894" s="141"/>
      <c r="H894" s="142"/>
      <c r="I894" s="194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hidden="1" customHeight="1">
      <c r="A895" s="138"/>
      <c r="B895" s="139"/>
      <c r="C895" s="139"/>
      <c r="D895" s="194"/>
      <c r="E895" s="141"/>
      <c r="F895" s="142"/>
      <c r="G895" s="141"/>
      <c r="H895" s="142"/>
      <c r="I895" s="194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hidden="1" customHeight="1">
      <c r="A896" s="138"/>
      <c r="B896" s="139"/>
      <c r="C896" s="139"/>
      <c r="D896" s="194"/>
      <c r="E896" s="141"/>
      <c r="F896" s="142"/>
      <c r="G896" s="141"/>
      <c r="H896" s="142"/>
      <c r="I896" s="194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hidden="1" customHeight="1">
      <c r="A897" s="138"/>
      <c r="B897" s="139"/>
      <c r="C897" s="139"/>
      <c r="D897" s="194"/>
      <c r="E897" s="141"/>
      <c r="F897" s="142"/>
      <c r="G897" s="141"/>
      <c r="H897" s="142"/>
      <c r="I897" s="194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hidden="1" customHeight="1">
      <c r="A898" s="138"/>
      <c r="B898" s="139"/>
      <c r="C898" s="139"/>
      <c r="D898" s="194"/>
      <c r="E898" s="141"/>
      <c r="F898" s="142"/>
      <c r="G898" s="141"/>
      <c r="H898" s="142"/>
      <c r="I898" s="194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hidden="1" customHeight="1">
      <c r="A899" s="138"/>
      <c r="B899" s="139"/>
      <c r="C899" s="139"/>
      <c r="D899" s="194"/>
      <c r="E899" s="141"/>
      <c r="F899" s="142"/>
      <c r="G899" s="141"/>
      <c r="H899" s="142"/>
      <c r="I899" s="194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hidden="1" customHeight="1">
      <c r="A900" s="138"/>
      <c r="B900" s="139"/>
      <c r="C900" s="139"/>
      <c r="D900" s="194"/>
      <c r="E900" s="141"/>
      <c r="F900" s="142"/>
      <c r="G900" s="141"/>
      <c r="H900" s="142"/>
      <c r="I900" s="194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hidden="1" customHeight="1">
      <c r="A901" s="138"/>
      <c r="B901" s="139"/>
      <c r="C901" s="139"/>
      <c r="D901" s="194"/>
      <c r="E901" s="141"/>
      <c r="F901" s="142"/>
      <c r="G901" s="141"/>
      <c r="H901" s="142"/>
      <c r="I901" s="194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hidden="1" customHeight="1">
      <c r="A902" s="138"/>
      <c r="B902" s="139"/>
      <c r="C902" s="139"/>
      <c r="D902" s="194"/>
      <c r="E902" s="141"/>
      <c r="F902" s="142"/>
      <c r="G902" s="141"/>
      <c r="H902" s="142"/>
      <c r="I902" s="194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hidden="1" customHeight="1">
      <c r="A903" s="138"/>
      <c r="B903" s="139"/>
      <c r="C903" s="139"/>
      <c r="D903" s="194"/>
      <c r="E903" s="141"/>
      <c r="F903" s="142"/>
      <c r="G903" s="141"/>
      <c r="H903" s="142"/>
      <c r="I903" s="194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hidden="1" customHeight="1">
      <c r="A904" s="138"/>
      <c r="B904" s="139"/>
      <c r="C904" s="139"/>
      <c r="D904" s="194"/>
      <c r="E904" s="141"/>
      <c r="F904" s="142"/>
      <c r="G904" s="141"/>
      <c r="H904" s="142"/>
      <c r="I904" s="194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hidden="1" customHeight="1">
      <c r="A905" s="138"/>
      <c r="B905" s="139"/>
      <c r="C905" s="139"/>
      <c r="D905" s="194"/>
      <c r="E905" s="141"/>
      <c r="F905" s="142"/>
      <c r="G905" s="141"/>
      <c r="H905" s="142"/>
      <c r="I905" s="194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hidden="1" customHeight="1">
      <c r="A906" s="138"/>
      <c r="B906" s="139"/>
      <c r="C906" s="139"/>
      <c r="D906" s="194"/>
      <c r="E906" s="141"/>
      <c r="F906" s="142"/>
      <c r="G906" s="141"/>
      <c r="H906" s="142"/>
      <c r="I906" s="194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hidden="1" customHeight="1">
      <c r="A907" s="138"/>
      <c r="B907" s="139"/>
      <c r="C907" s="139"/>
      <c r="D907" s="194"/>
      <c r="E907" s="141"/>
      <c r="F907" s="142"/>
      <c r="G907" s="141"/>
      <c r="H907" s="142"/>
      <c r="I907" s="194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hidden="1" customHeight="1">
      <c r="A908" s="138"/>
      <c r="B908" s="139"/>
      <c r="C908" s="139"/>
      <c r="D908" s="194"/>
      <c r="E908" s="141"/>
      <c r="F908" s="142"/>
      <c r="G908" s="141"/>
      <c r="H908" s="142"/>
      <c r="I908" s="194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hidden="1" customHeight="1">
      <c r="A909" s="138"/>
      <c r="B909" s="139"/>
      <c r="C909" s="139"/>
      <c r="D909" s="194"/>
      <c r="E909" s="141"/>
      <c r="F909" s="142"/>
      <c r="G909" s="141"/>
      <c r="H909" s="142"/>
      <c r="I909" s="194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hidden="1" customHeight="1">
      <c r="A910" s="138"/>
      <c r="B910" s="139"/>
      <c r="C910" s="139"/>
      <c r="D910" s="194"/>
      <c r="E910" s="141"/>
      <c r="F910" s="142"/>
      <c r="G910" s="141"/>
      <c r="H910" s="142"/>
      <c r="I910" s="194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hidden="1" customHeight="1">
      <c r="A911" s="138"/>
      <c r="B911" s="139"/>
      <c r="C911" s="139"/>
      <c r="D911" s="194"/>
      <c r="E911" s="141"/>
      <c r="F911" s="142"/>
      <c r="G911" s="141"/>
      <c r="H911" s="142"/>
      <c r="I911" s="194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hidden="1" customHeight="1">
      <c r="A912" s="138"/>
      <c r="B912" s="139"/>
      <c r="C912" s="139"/>
      <c r="D912" s="194"/>
      <c r="E912" s="141"/>
      <c r="F912" s="142"/>
      <c r="G912" s="141"/>
      <c r="H912" s="142"/>
      <c r="I912" s="194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hidden="1" customHeight="1">
      <c r="A913" s="138"/>
      <c r="B913" s="139"/>
      <c r="C913" s="139"/>
      <c r="D913" s="194"/>
      <c r="E913" s="141"/>
      <c r="F913" s="142"/>
      <c r="G913" s="141"/>
      <c r="H913" s="142"/>
      <c r="I913" s="194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hidden="1" customHeight="1">
      <c r="A914" s="138"/>
      <c r="B914" s="139"/>
      <c r="C914" s="139"/>
      <c r="D914" s="194"/>
      <c r="E914" s="141"/>
      <c r="F914" s="142"/>
      <c r="G914" s="141"/>
      <c r="H914" s="142"/>
      <c r="I914" s="194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hidden="1" customHeight="1">
      <c r="A915" s="138"/>
      <c r="B915" s="139"/>
      <c r="C915" s="139"/>
      <c r="D915" s="194"/>
      <c r="E915" s="141"/>
      <c r="F915" s="142"/>
      <c r="G915" s="141"/>
      <c r="H915" s="142"/>
      <c r="I915" s="194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hidden="1" customHeight="1">
      <c r="A916" s="138"/>
      <c r="B916" s="139"/>
      <c r="C916" s="139"/>
      <c r="D916" s="194"/>
      <c r="E916" s="141"/>
      <c r="F916" s="142"/>
      <c r="G916" s="141"/>
      <c r="H916" s="142"/>
      <c r="I916" s="194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hidden="1" customHeight="1">
      <c r="A917" s="138"/>
      <c r="B917" s="139"/>
      <c r="C917" s="139"/>
      <c r="D917" s="194"/>
      <c r="E917" s="141"/>
      <c r="F917" s="142"/>
      <c r="G917" s="141"/>
      <c r="H917" s="142"/>
      <c r="I917" s="194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hidden="1" customHeight="1">
      <c r="A918" s="138"/>
      <c r="B918" s="139"/>
      <c r="C918" s="139"/>
      <c r="D918" s="194"/>
      <c r="E918" s="141"/>
      <c r="F918" s="142"/>
      <c r="G918" s="141"/>
      <c r="H918" s="142"/>
      <c r="I918" s="194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hidden="1" customHeight="1">
      <c r="A919" s="138"/>
      <c r="B919" s="139"/>
      <c r="C919" s="139"/>
      <c r="D919" s="194"/>
      <c r="E919" s="141"/>
      <c r="F919" s="142"/>
      <c r="G919" s="141"/>
      <c r="H919" s="142"/>
      <c r="I919" s="194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hidden="1" customHeight="1">
      <c r="A920" s="138"/>
      <c r="B920" s="139"/>
      <c r="C920" s="139"/>
      <c r="D920" s="194"/>
      <c r="E920" s="141"/>
      <c r="F920" s="142"/>
      <c r="G920" s="141"/>
      <c r="H920" s="142"/>
      <c r="I920" s="194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hidden="1" customHeight="1">
      <c r="A921" s="138"/>
      <c r="B921" s="139"/>
      <c r="C921" s="139"/>
      <c r="D921" s="194"/>
      <c r="E921" s="141"/>
      <c r="F921" s="142"/>
      <c r="G921" s="141"/>
      <c r="H921" s="142"/>
      <c r="I921" s="194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hidden="1" customHeight="1">
      <c r="A922" s="138"/>
      <c r="B922" s="139"/>
      <c r="C922" s="139"/>
      <c r="D922" s="194"/>
      <c r="E922" s="141"/>
      <c r="F922" s="142"/>
      <c r="G922" s="141"/>
      <c r="H922" s="142"/>
      <c r="I922" s="194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hidden="1" customHeight="1">
      <c r="A923" s="138"/>
      <c r="B923" s="139"/>
      <c r="C923" s="139"/>
      <c r="D923" s="194"/>
      <c r="E923" s="141"/>
      <c r="F923" s="142"/>
      <c r="G923" s="141"/>
      <c r="H923" s="142"/>
      <c r="I923" s="194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hidden="1" customHeight="1">
      <c r="A924" s="138"/>
      <c r="B924" s="139"/>
      <c r="C924" s="139"/>
      <c r="D924" s="194"/>
      <c r="E924" s="141"/>
      <c r="F924" s="142"/>
      <c r="G924" s="141"/>
      <c r="H924" s="142"/>
      <c r="I924" s="194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hidden="1" customHeight="1">
      <c r="A925" s="138"/>
      <c r="B925" s="139"/>
      <c r="C925" s="139"/>
      <c r="D925" s="194"/>
      <c r="E925" s="141"/>
      <c r="F925" s="142"/>
      <c r="G925" s="141"/>
      <c r="H925" s="142"/>
      <c r="I925" s="194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hidden="1" customHeight="1">
      <c r="A926" s="138"/>
      <c r="B926" s="139"/>
      <c r="C926" s="139"/>
      <c r="D926" s="194"/>
      <c r="E926" s="141"/>
      <c r="F926" s="142"/>
      <c r="G926" s="141"/>
      <c r="H926" s="142"/>
      <c r="I926" s="194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hidden="1" customHeight="1">
      <c r="A927" s="138"/>
      <c r="B927" s="139"/>
      <c r="C927" s="139"/>
      <c r="D927" s="194"/>
      <c r="E927" s="141"/>
      <c r="F927" s="142"/>
      <c r="G927" s="141"/>
      <c r="H927" s="142"/>
      <c r="I927" s="194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hidden="1" customHeight="1">
      <c r="A928" s="138"/>
      <c r="B928" s="139"/>
      <c r="C928" s="139"/>
      <c r="D928" s="194"/>
      <c r="E928" s="141"/>
      <c r="F928" s="142"/>
      <c r="G928" s="141"/>
      <c r="H928" s="142"/>
      <c r="I928" s="194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hidden="1" customHeight="1">
      <c r="A929" s="138"/>
      <c r="B929" s="139"/>
      <c r="C929" s="139"/>
      <c r="D929" s="194"/>
      <c r="E929" s="141"/>
      <c r="F929" s="142"/>
      <c r="G929" s="141"/>
      <c r="H929" s="142"/>
      <c r="I929" s="194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hidden="1" customHeight="1">
      <c r="A930" s="138"/>
      <c r="B930" s="139"/>
      <c r="C930" s="139"/>
      <c r="D930" s="194"/>
      <c r="E930" s="141"/>
      <c r="F930" s="142"/>
      <c r="G930" s="141"/>
      <c r="H930" s="142"/>
      <c r="I930" s="194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hidden="1" customHeight="1">
      <c r="A931" s="138"/>
      <c r="B931" s="139"/>
      <c r="C931" s="139"/>
      <c r="D931" s="194"/>
      <c r="E931" s="141"/>
      <c r="F931" s="142"/>
      <c r="G931" s="141"/>
      <c r="H931" s="142"/>
      <c r="I931" s="194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hidden="1" customHeight="1">
      <c r="A932" s="138"/>
      <c r="B932" s="139"/>
      <c r="C932" s="139"/>
      <c r="D932" s="194"/>
      <c r="E932" s="141"/>
      <c r="F932" s="142"/>
      <c r="G932" s="141"/>
      <c r="H932" s="142"/>
      <c r="I932" s="194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hidden="1" customHeight="1">
      <c r="A933" s="138"/>
      <c r="B933" s="139"/>
      <c r="C933" s="139"/>
      <c r="D933" s="194"/>
      <c r="E933" s="141"/>
      <c r="F933" s="142"/>
      <c r="G933" s="141"/>
      <c r="H933" s="142"/>
      <c r="I933" s="194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hidden="1" customHeight="1">
      <c r="A934" s="138"/>
      <c r="B934" s="139"/>
      <c r="C934" s="139"/>
      <c r="D934" s="194"/>
      <c r="E934" s="141"/>
      <c r="F934" s="142"/>
      <c r="G934" s="141"/>
      <c r="H934" s="142"/>
      <c r="I934" s="194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hidden="1" customHeight="1">
      <c r="A935" s="138"/>
      <c r="B935" s="139"/>
      <c r="C935" s="139"/>
      <c r="D935" s="194"/>
      <c r="E935" s="141"/>
      <c r="F935" s="142"/>
      <c r="G935" s="141"/>
      <c r="H935" s="142"/>
      <c r="I935" s="194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hidden="1" customHeight="1">
      <c r="A936" s="138"/>
      <c r="B936" s="139"/>
      <c r="C936" s="139"/>
      <c r="D936" s="194"/>
      <c r="E936" s="141"/>
      <c r="F936" s="142"/>
      <c r="G936" s="141"/>
      <c r="H936" s="142"/>
      <c r="I936" s="194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hidden="1" customHeight="1">
      <c r="A937" s="138"/>
      <c r="B937" s="139"/>
      <c r="C937" s="139"/>
      <c r="D937" s="194"/>
      <c r="E937" s="141"/>
      <c r="F937" s="142"/>
      <c r="G937" s="141"/>
      <c r="H937" s="142"/>
      <c r="I937" s="194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hidden="1" customHeight="1">
      <c r="A938" s="138"/>
      <c r="B938" s="139"/>
      <c r="C938" s="139"/>
      <c r="D938" s="194"/>
      <c r="E938" s="141"/>
      <c r="F938" s="142"/>
      <c r="G938" s="141"/>
      <c r="H938" s="142"/>
      <c r="I938" s="194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hidden="1" customHeight="1">
      <c r="A939" s="138"/>
      <c r="B939" s="139"/>
      <c r="C939" s="139"/>
      <c r="D939" s="194"/>
      <c r="E939" s="141"/>
      <c r="F939" s="142"/>
      <c r="G939" s="141"/>
      <c r="H939" s="142"/>
      <c r="I939" s="194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hidden="1" customHeight="1">
      <c r="A940" s="138"/>
      <c r="B940" s="139"/>
      <c r="C940" s="139"/>
      <c r="D940" s="194"/>
      <c r="E940" s="141"/>
      <c r="F940" s="142"/>
      <c r="G940" s="141"/>
      <c r="H940" s="142"/>
      <c r="I940" s="194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hidden="1" customHeight="1">
      <c r="A941" s="138"/>
      <c r="B941" s="139"/>
      <c r="C941" s="139"/>
      <c r="D941" s="194"/>
      <c r="E941" s="141"/>
      <c r="F941" s="142"/>
      <c r="G941" s="141"/>
      <c r="H941" s="142"/>
      <c r="I941" s="194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hidden="1" customHeight="1">
      <c r="A942" s="138"/>
      <c r="B942" s="139"/>
      <c r="C942" s="139"/>
      <c r="D942" s="194"/>
      <c r="E942" s="141"/>
      <c r="F942" s="142"/>
      <c r="G942" s="141"/>
      <c r="H942" s="142"/>
      <c r="I942" s="194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hidden="1" customHeight="1">
      <c r="A943" s="138"/>
      <c r="B943" s="139"/>
      <c r="C943" s="139"/>
      <c r="D943" s="194"/>
      <c r="E943" s="141"/>
      <c r="F943" s="142"/>
      <c r="G943" s="141"/>
      <c r="H943" s="142"/>
      <c r="I943" s="194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hidden="1" customHeight="1">
      <c r="A944" s="138"/>
      <c r="B944" s="139"/>
      <c r="C944" s="139"/>
      <c r="D944" s="194"/>
      <c r="E944" s="141"/>
      <c r="F944" s="142"/>
      <c r="G944" s="141"/>
      <c r="H944" s="142"/>
      <c r="I944" s="194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hidden="1" customHeight="1">
      <c r="A945" s="138"/>
      <c r="B945" s="139"/>
      <c r="C945" s="139"/>
      <c r="D945" s="194"/>
      <c r="E945" s="141"/>
      <c r="F945" s="142"/>
      <c r="G945" s="141"/>
      <c r="H945" s="142"/>
      <c r="I945" s="194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hidden="1" customHeight="1">
      <c r="A946" s="138"/>
      <c r="B946" s="139"/>
      <c r="C946" s="139"/>
      <c r="D946" s="194"/>
      <c r="E946" s="141"/>
      <c r="F946" s="142"/>
      <c r="G946" s="141"/>
      <c r="H946" s="142"/>
      <c r="I946" s="194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hidden="1" customHeight="1">
      <c r="A947" s="138"/>
      <c r="B947" s="139"/>
      <c r="C947" s="139"/>
      <c r="D947" s="194"/>
      <c r="E947" s="141"/>
      <c r="F947" s="142"/>
      <c r="G947" s="141"/>
      <c r="H947" s="142"/>
      <c r="I947" s="194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hidden="1" customHeight="1">
      <c r="A948" s="138"/>
      <c r="B948" s="139"/>
      <c r="C948" s="139"/>
      <c r="D948" s="194"/>
      <c r="E948" s="141"/>
      <c r="F948" s="142"/>
      <c r="G948" s="141"/>
      <c r="H948" s="142"/>
      <c r="I948" s="194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hidden="1" customHeight="1">
      <c r="A949" s="138"/>
      <c r="B949" s="139"/>
      <c r="C949" s="139"/>
      <c r="D949" s="194"/>
      <c r="E949" s="141"/>
      <c r="F949" s="142"/>
      <c r="G949" s="141"/>
      <c r="H949" s="142"/>
      <c r="I949" s="194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hidden="1" customHeight="1">
      <c r="A950" s="138"/>
      <c r="B950" s="139"/>
      <c r="C950" s="139"/>
      <c r="D950" s="194"/>
      <c r="E950" s="141"/>
      <c r="F950" s="142"/>
      <c r="G950" s="141"/>
      <c r="H950" s="142"/>
      <c r="I950" s="194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hidden="1" customHeight="1">
      <c r="A951" s="138"/>
      <c r="B951" s="139"/>
      <c r="C951" s="139"/>
      <c r="D951" s="194"/>
      <c r="E951" s="141"/>
      <c r="F951" s="142"/>
      <c r="G951" s="141"/>
      <c r="H951" s="142"/>
      <c r="I951" s="194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hidden="1" customHeight="1">
      <c r="A952" s="138"/>
      <c r="B952" s="139"/>
      <c r="C952" s="139"/>
      <c r="D952" s="194"/>
      <c r="E952" s="141"/>
      <c r="F952" s="142"/>
      <c r="G952" s="141"/>
      <c r="H952" s="142"/>
      <c r="I952" s="194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hidden="1" customHeight="1">
      <c r="A953" s="138"/>
      <c r="B953" s="139"/>
      <c r="C953" s="139"/>
      <c r="D953" s="194"/>
      <c r="E953" s="141"/>
      <c r="F953" s="142"/>
      <c r="G953" s="141"/>
      <c r="H953" s="142"/>
      <c r="I953" s="194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hidden="1" customHeight="1">
      <c r="A954" s="138"/>
      <c r="B954" s="139"/>
      <c r="C954" s="139"/>
      <c r="D954" s="194"/>
      <c r="E954" s="141"/>
      <c r="F954" s="142"/>
      <c r="G954" s="141"/>
      <c r="H954" s="142"/>
      <c r="I954" s="194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hidden="1" customHeight="1">
      <c r="A955" s="138"/>
      <c r="B955" s="139"/>
      <c r="C955" s="139"/>
      <c r="D955" s="194"/>
      <c r="E955" s="141"/>
      <c r="F955" s="142"/>
      <c r="G955" s="141"/>
      <c r="H955" s="142"/>
      <c r="I955" s="194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hidden="1" customHeight="1">
      <c r="A956" s="138"/>
      <c r="B956" s="139"/>
      <c r="C956" s="139"/>
      <c r="D956" s="194"/>
      <c r="E956" s="141"/>
      <c r="F956" s="142"/>
      <c r="G956" s="141"/>
      <c r="H956" s="142"/>
      <c r="I956" s="194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hidden="1" customHeight="1">
      <c r="A957" s="138"/>
      <c r="B957" s="139"/>
      <c r="C957" s="139"/>
      <c r="D957" s="194"/>
      <c r="E957" s="141"/>
      <c r="F957" s="142"/>
      <c r="G957" s="141"/>
      <c r="H957" s="142"/>
      <c r="I957" s="194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hidden="1" customHeight="1">
      <c r="A958" s="138"/>
      <c r="B958" s="139"/>
      <c r="C958" s="139"/>
      <c r="D958" s="194"/>
      <c r="E958" s="141"/>
      <c r="F958" s="142"/>
      <c r="G958" s="141"/>
      <c r="H958" s="142"/>
      <c r="I958" s="194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hidden="1" customHeight="1">
      <c r="A959" s="138"/>
      <c r="B959" s="139"/>
      <c r="C959" s="139"/>
      <c r="D959" s="194"/>
      <c r="E959" s="141"/>
      <c r="F959" s="142"/>
      <c r="G959" s="141"/>
      <c r="H959" s="142"/>
      <c r="I959" s="194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hidden="1" customHeight="1">
      <c r="A960" s="138"/>
      <c r="B960" s="139"/>
      <c r="C960" s="139"/>
      <c r="D960" s="194"/>
      <c r="E960" s="141"/>
      <c r="F960" s="142"/>
      <c r="G960" s="141"/>
      <c r="H960" s="142"/>
      <c r="I960" s="194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hidden="1" customHeight="1">
      <c r="A961" s="138"/>
      <c r="B961" s="139"/>
      <c r="C961" s="139"/>
      <c r="D961" s="194"/>
      <c r="E961" s="141"/>
      <c r="F961" s="142"/>
      <c r="G961" s="141"/>
      <c r="H961" s="142"/>
      <c r="I961" s="194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hidden="1" customHeight="1">
      <c r="A962" s="138"/>
      <c r="B962" s="139"/>
      <c r="C962" s="139"/>
      <c r="D962" s="194"/>
      <c r="E962" s="141"/>
      <c r="F962" s="142"/>
      <c r="G962" s="141"/>
      <c r="H962" s="142"/>
      <c r="I962" s="194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hidden="1" customHeight="1">
      <c r="A963" s="138"/>
      <c r="B963" s="139"/>
      <c r="C963" s="139"/>
      <c r="D963" s="194"/>
      <c r="E963" s="141"/>
      <c r="F963" s="142"/>
      <c r="G963" s="141"/>
      <c r="H963" s="142"/>
      <c r="I963" s="194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hidden="1" customHeight="1">
      <c r="A964" s="138"/>
      <c r="B964" s="139"/>
      <c r="C964" s="139"/>
      <c r="D964" s="194"/>
      <c r="E964" s="141"/>
      <c r="F964" s="142"/>
      <c r="G964" s="141"/>
      <c r="H964" s="142"/>
      <c r="I964" s="194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hidden="1" customHeight="1">
      <c r="A965" s="138"/>
      <c r="B965" s="139"/>
      <c r="C965" s="139"/>
      <c r="D965" s="194"/>
      <c r="E965" s="141"/>
      <c r="F965" s="142"/>
      <c r="G965" s="141"/>
      <c r="H965" s="142"/>
      <c r="I965" s="194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hidden="1" customHeight="1">
      <c r="A966" s="138"/>
      <c r="B966" s="139"/>
      <c r="C966" s="139"/>
      <c r="D966" s="194"/>
      <c r="E966" s="141"/>
      <c r="F966" s="142"/>
      <c r="G966" s="141"/>
      <c r="H966" s="142"/>
      <c r="I966" s="194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hidden="1" customHeight="1">
      <c r="A967" s="138"/>
      <c r="B967" s="139"/>
      <c r="C967" s="139"/>
      <c r="D967" s="194"/>
      <c r="E967" s="141"/>
      <c r="F967" s="142"/>
      <c r="G967" s="141"/>
      <c r="H967" s="142"/>
      <c r="I967" s="194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hidden="1" customHeight="1">
      <c r="A968" s="138"/>
      <c r="B968" s="139"/>
      <c r="C968" s="139"/>
      <c r="D968" s="194"/>
      <c r="E968" s="141"/>
      <c r="F968" s="142"/>
      <c r="G968" s="141"/>
      <c r="H968" s="142"/>
      <c r="I968" s="194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hidden="1" customHeight="1">
      <c r="A969" s="138"/>
      <c r="B969" s="139"/>
      <c r="C969" s="139"/>
      <c r="D969" s="194"/>
      <c r="E969" s="141"/>
      <c r="F969" s="142"/>
      <c r="G969" s="141"/>
      <c r="H969" s="142"/>
      <c r="I969" s="194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hidden="1" customHeight="1">
      <c r="A970" s="138"/>
      <c r="B970" s="139"/>
      <c r="C970" s="139"/>
      <c r="D970" s="194"/>
      <c r="E970" s="141"/>
      <c r="F970" s="142"/>
      <c r="G970" s="141"/>
      <c r="H970" s="142"/>
      <c r="I970" s="194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hidden="1" customHeight="1">
      <c r="A971" s="138"/>
      <c r="B971" s="139"/>
      <c r="C971" s="139"/>
      <c r="D971" s="194"/>
      <c r="E971" s="141"/>
      <c r="F971" s="142"/>
      <c r="G971" s="141"/>
      <c r="H971" s="142"/>
      <c r="I971" s="194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hidden="1" customHeight="1">
      <c r="A972" s="138"/>
      <c r="B972" s="139"/>
      <c r="C972" s="139"/>
      <c r="D972" s="194"/>
      <c r="E972" s="141"/>
      <c r="F972" s="142"/>
      <c r="G972" s="141"/>
      <c r="H972" s="142"/>
      <c r="I972" s="194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hidden="1" customHeight="1">
      <c r="A973" s="138"/>
      <c r="B973" s="139"/>
      <c r="C973" s="139"/>
      <c r="D973" s="194"/>
      <c r="E973" s="141"/>
      <c r="F973" s="142"/>
      <c r="G973" s="141"/>
      <c r="H973" s="142"/>
      <c r="I973" s="194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hidden="1" customHeight="1">
      <c r="A974" s="138"/>
      <c r="B974" s="139"/>
      <c r="C974" s="139"/>
      <c r="D974" s="194"/>
      <c r="E974" s="141"/>
      <c r="F974" s="142"/>
      <c r="G974" s="141"/>
      <c r="H974" s="142"/>
      <c r="I974" s="194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hidden="1" customHeight="1">
      <c r="A975" s="138"/>
      <c r="B975" s="139"/>
      <c r="C975" s="139"/>
      <c r="D975" s="194"/>
      <c r="E975" s="141"/>
      <c r="F975" s="142"/>
      <c r="G975" s="141"/>
      <c r="H975" s="142"/>
      <c r="I975" s="194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hidden="1" customHeight="1">
      <c r="A976" s="138"/>
      <c r="B976" s="139"/>
      <c r="C976" s="139"/>
      <c r="D976" s="194"/>
      <c r="E976" s="141"/>
      <c r="F976" s="142"/>
      <c r="G976" s="141"/>
      <c r="H976" s="142"/>
      <c r="I976" s="194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hidden="1" customHeight="1">
      <c r="A977" s="138"/>
      <c r="B977" s="139"/>
      <c r="C977" s="139"/>
      <c r="D977" s="194"/>
      <c r="E977" s="141"/>
      <c r="F977" s="142"/>
      <c r="G977" s="141"/>
      <c r="H977" s="142"/>
      <c r="I977" s="194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hidden="1" customHeight="1">
      <c r="A978" s="138"/>
      <c r="B978" s="139"/>
      <c r="C978" s="139"/>
      <c r="D978" s="194"/>
      <c r="E978" s="141"/>
      <c r="F978" s="142"/>
      <c r="G978" s="141"/>
      <c r="H978" s="142"/>
      <c r="I978" s="194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hidden="1" customHeight="1">
      <c r="A979" s="138"/>
      <c r="B979" s="139"/>
      <c r="C979" s="139"/>
      <c r="D979" s="194"/>
      <c r="E979" s="141"/>
      <c r="F979" s="142"/>
      <c r="G979" s="141"/>
      <c r="H979" s="142"/>
      <c r="I979" s="194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hidden="1" customHeight="1">
      <c r="A980" s="138"/>
      <c r="B980" s="139"/>
      <c r="C980" s="139"/>
      <c r="D980" s="194"/>
      <c r="E980" s="141"/>
      <c r="F980" s="142"/>
      <c r="G980" s="141"/>
      <c r="H980" s="142"/>
      <c r="I980" s="194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hidden="1" customHeight="1">
      <c r="A981" s="138"/>
      <c r="B981" s="139"/>
      <c r="C981" s="139"/>
      <c r="D981" s="194"/>
      <c r="E981" s="141"/>
      <c r="F981" s="142"/>
      <c r="G981" s="141"/>
      <c r="H981" s="142"/>
      <c r="I981" s="194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hidden="1" customHeight="1">
      <c r="A982" s="138"/>
      <c r="B982" s="139"/>
      <c r="C982" s="139"/>
      <c r="D982" s="194"/>
      <c r="E982" s="141"/>
      <c r="F982" s="142"/>
      <c r="G982" s="141"/>
      <c r="H982" s="142"/>
      <c r="I982" s="194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hidden="1" customHeight="1">
      <c r="A983" s="138"/>
      <c r="B983" s="139"/>
      <c r="C983" s="139"/>
      <c r="D983" s="194"/>
      <c r="E983" s="141"/>
      <c r="F983" s="142"/>
      <c r="G983" s="141"/>
      <c r="H983" s="142"/>
      <c r="I983" s="194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hidden="1" customHeight="1">
      <c r="A984" s="138"/>
      <c r="B984" s="139"/>
      <c r="C984" s="139"/>
      <c r="D984" s="194"/>
      <c r="E984" s="141"/>
      <c r="F984" s="142"/>
      <c r="G984" s="141"/>
      <c r="H984" s="142"/>
      <c r="I984" s="194"/>
      <c r="J984" s="141"/>
      <c r="K984" s="141"/>
      <c r="L984" s="141"/>
      <c r="M984" s="143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hidden="1" customHeight="1">
      <c r="A985" s="138"/>
      <c r="B985" s="139"/>
      <c r="C985" s="139"/>
      <c r="D985" s="194"/>
      <c r="E985" s="141"/>
      <c r="F985" s="142"/>
      <c r="G985" s="141"/>
      <c r="H985" s="142"/>
      <c r="I985" s="194"/>
      <c r="J985" s="141"/>
      <c r="K985" s="141"/>
      <c r="L985" s="141"/>
      <c r="M985" s="143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hidden="1" customHeight="1">
      <c r="A986" s="138"/>
      <c r="B986" s="139"/>
      <c r="C986" s="139"/>
      <c r="D986" s="194"/>
      <c r="E986" s="141"/>
      <c r="F986" s="142"/>
      <c r="G986" s="141"/>
      <c r="H986" s="142"/>
      <c r="I986" s="194"/>
      <c r="J986" s="141"/>
      <c r="K986" s="141"/>
      <c r="L986" s="141"/>
      <c r="M986" s="143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hidden="1" customHeight="1">
      <c r="A987" s="138"/>
      <c r="B987" s="139"/>
      <c r="C987" s="139"/>
      <c r="D987" s="194"/>
      <c r="E987" s="141"/>
      <c r="F987" s="142"/>
      <c r="G987" s="141"/>
      <c r="H987" s="142"/>
      <c r="I987" s="194"/>
      <c r="J987" s="141"/>
      <c r="K987" s="141"/>
      <c r="L987" s="141"/>
      <c r="M987" s="143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hidden="1" customHeight="1">
      <c r="A988" s="138"/>
      <c r="B988" s="139"/>
      <c r="C988" s="139"/>
      <c r="D988" s="194"/>
      <c r="E988" s="141"/>
      <c r="F988" s="142"/>
      <c r="G988" s="141"/>
      <c r="H988" s="142"/>
      <c r="I988" s="194"/>
      <c r="J988" s="141"/>
      <c r="K988" s="141"/>
      <c r="L988" s="141"/>
      <c r="M988" s="143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hidden="1" customHeight="1">
      <c r="A989" s="138"/>
      <c r="B989" s="139"/>
      <c r="C989" s="139"/>
      <c r="D989" s="194"/>
      <c r="E989" s="141"/>
      <c r="F989" s="142"/>
      <c r="G989" s="141"/>
      <c r="H989" s="142"/>
      <c r="I989" s="194"/>
      <c r="J989" s="141"/>
      <c r="K989" s="141"/>
      <c r="L989" s="141"/>
      <c r="M989" s="143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hidden="1" customHeight="1">
      <c r="A990" s="138"/>
      <c r="B990" s="139"/>
      <c r="C990" s="139"/>
      <c r="D990" s="194"/>
      <c r="E990" s="141"/>
      <c r="F990" s="142"/>
      <c r="G990" s="141"/>
      <c r="H990" s="142"/>
      <c r="I990" s="194"/>
      <c r="J990" s="141"/>
      <c r="K990" s="141"/>
      <c r="L990" s="141"/>
      <c r="M990" s="143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hidden="1" customHeight="1">
      <c r="A991" s="138"/>
      <c r="B991" s="139"/>
      <c r="C991" s="139"/>
      <c r="D991" s="194"/>
      <c r="E991" s="141"/>
      <c r="F991" s="142"/>
      <c r="G991" s="141"/>
      <c r="H991" s="142"/>
      <c r="I991" s="194"/>
      <c r="J991" s="141"/>
      <c r="K991" s="141"/>
      <c r="L991" s="141"/>
      <c r="M991" s="143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hidden="1" customHeight="1">
      <c r="A992" s="138"/>
      <c r="B992" s="139"/>
      <c r="C992" s="139"/>
      <c r="D992" s="194"/>
      <c r="E992" s="141"/>
      <c r="F992" s="142"/>
      <c r="G992" s="141"/>
      <c r="H992" s="142"/>
      <c r="I992" s="194"/>
      <c r="J992" s="141"/>
      <c r="K992" s="141"/>
      <c r="L992" s="141"/>
      <c r="M992" s="143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hidden="1" customHeight="1">
      <c r="A993" s="138"/>
      <c r="B993" s="139"/>
      <c r="C993" s="139"/>
      <c r="D993" s="194"/>
      <c r="E993" s="141"/>
      <c r="F993" s="142"/>
      <c r="G993" s="141"/>
      <c r="H993" s="142"/>
      <c r="I993" s="194"/>
      <c r="J993" s="141"/>
      <c r="K993" s="141"/>
      <c r="L993" s="141"/>
      <c r="M993" s="143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hidden="1" customHeight="1">
      <c r="A994" s="138"/>
      <c r="B994" s="139"/>
      <c r="C994" s="139"/>
      <c r="D994" s="194"/>
      <c r="E994" s="141"/>
      <c r="F994" s="142"/>
      <c r="G994" s="141"/>
      <c r="H994" s="142"/>
      <c r="I994" s="194"/>
      <c r="J994" s="141"/>
      <c r="K994" s="141"/>
      <c r="L994" s="141"/>
      <c r="M994" s="143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hidden="1" customHeight="1">
      <c r="A995" s="138"/>
      <c r="B995" s="139"/>
      <c r="C995" s="139"/>
      <c r="D995" s="194"/>
      <c r="E995" s="141"/>
      <c r="F995" s="142"/>
      <c r="G995" s="141"/>
      <c r="H995" s="142"/>
      <c r="I995" s="194"/>
      <c r="J995" s="141"/>
      <c r="K995" s="141"/>
      <c r="L995" s="141"/>
      <c r="M995" s="143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hidden="1" customHeight="1">
      <c r="A996" s="138"/>
      <c r="B996" s="139"/>
      <c r="C996" s="139"/>
      <c r="D996" s="194"/>
      <c r="E996" s="141"/>
      <c r="F996" s="142"/>
      <c r="G996" s="141"/>
      <c r="H996" s="142"/>
      <c r="I996" s="194"/>
      <c r="J996" s="141"/>
      <c r="K996" s="141"/>
      <c r="L996" s="141"/>
      <c r="M996" s="143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hidden="1" customHeight="1">
      <c r="A997" s="138"/>
      <c r="B997" s="139"/>
      <c r="C997" s="139"/>
      <c r="D997" s="194"/>
      <c r="E997" s="141"/>
      <c r="F997" s="142"/>
      <c r="G997" s="141"/>
      <c r="H997" s="142"/>
      <c r="I997" s="194"/>
      <c r="J997" s="141"/>
      <c r="K997" s="141"/>
      <c r="L997" s="141"/>
      <c r="M997" s="143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hidden="1" customHeight="1">
      <c r="A998" s="138"/>
      <c r="B998" s="139"/>
      <c r="C998" s="139"/>
      <c r="D998" s="194"/>
      <c r="E998" s="141"/>
      <c r="F998" s="142"/>
      <c r="G998" s="141"/>
      <c r="H998" s="142"/>
      <c r="I998" s="194"/>
      <c r="J998" s="141"/>
      <c r="K998" s="141"/>
      <c r="L998" s="141"/>
      <c r="M998" s="143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hidden="1" customHeight="1">
      <c r="A999" s="138"/>
      <c r="B999" s="139"/>
      <c r="C999" s="139"/>
      <c r="D999" s="194"/>
      <c r="E999" s="141"/>
      <c r="F999" s="142"/>
      <c r="G999" s="141"/>
      <c r="H999" s="142"/>
      <c r="I999" s="194"/>
      <c r="J999" s="141"/>
      <c r="K999" s="141"/>
      <c r="L999" s="141"/>
      <c r="M999" s="143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hidden="1" customHeight="1">
      <c r="A1000" s="138"/>
      <c r="B1000" s="139"/>
      <c r="C1000" s="139"/>
      <c r="D1000" s="194"/>
      <c r="E1000" s="141"/>
      <c r="F1000" s="142"/>
      <c r="G1000" s="141"/>
      <c r="H1000" s="142"/>
      <c r="I1000" s="194"/>
      <c r="J1000" s="141"/>
      <c r="K1000" s="141"/>
      <c r="L1000" s="141"/>
      <c r="M1000" s="143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  <row r="1001" ht="12.75" hidden="1" customHeight="1">
      <c r="A1001" s="138"/>
      <c r="B1001" s="139"/>
      <c r="C1001" s="139"/>
      <c r="D1001" s="194"/>
      <c r="E1001" s="141"/>
      <c r="F1001" s="142"/>
      <c r="G1001" s="141"/>
      <c r="H1001" s="142"/>
      <c r="I1001" s="194"/>
      <c r="J1001" s="141"/>
      <c r="K1001" s="141"/>
      <c r="L1001" s="141"/>
      <c r="M1001" s="143"/>
      <c r="N1001" s="135"/>
      <c r="O1001" s="135"/>
      <c r="P1001" s="135"/>
      <c r="Q1001" s="135"/>
      <c r="R1001" s="135"/>
      <c r="S1001" s="135"/>
      <c r="T1001" s="135"/>
      <c r="U1001" s="135"/>
      <c r="V1001" s="135"/>
      <c r="W1001" s="135"/>
      <c r="X1001" s="135"/>
      <c r="Y1001" s="135"/>
      <c r="Z1001" s="135"/>
    </row>
  </sheetData>
  <autoFilter ref="$A$1:$M$660"/>
  <customSheetViews>
    <customSheetView guid="{79FBE3E8-7F5F-4A89-9A6A-AA8E4E519678}" filter="1" showAutoFilter="1">
      <autoFilter ref="$A$1:$M$653"/>
      <extLst>
        <ext uri="GoogleSheetsCustomDataVersion1">
          <go:sheetsCustomData xmlns:go="http://customooxmlschemas.google.com/" filterViewId="233976759"/>
        </ext>
      </extLst>
    </customSheetView>
  </customSheetViews>
  <mergeCells count="78">
    <mergeCell ref="O69:R69"/>
    <mergeCell ref="O70:R70"/>
    <mergeCell ref="O71:R71"/>
    <mergeCell ref="O72:R72"/>
    <mergeCell ref="O73:R73"/>
    <mergeCell ref="O74:R74"/>
    <mergeCell ref="O75:R75"/>
    <mergeCell ref="O76:R76"/>
    <mergeCell ref="O77:R77"/>
    <mergeCell ref="O78:R78"/>
    <mergeCell ref="O80:T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P100:R100"/>
    <mergeCell ref="P101:R101"/>
    <mergeCell ref="O85:R85"/>
    <mergeCell ref="O86:R86"/>
    <mergeCell ref="O87:R87"/>
    <mergeCell ref="O89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P44:R44"/>
    <mergeCell ref="O46:S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P61:R61"/>
    <mergeCell ref="O63:T64"/>
    <mergeCell ref="O65:R65"/>
    <mergeCell ref="O66:R66"/>
    <mergeCell ref="O67:R67"/>
    <mergeCell ref="O68:R68"/>
  </mergeCells>
  <conditionalFormatting sqref="I2:I40 I44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min="22" max="26" width="8.71"/>
  </cols>
  <sheetData>
    <row r="1" ht="12.75" customHeight="1">
      <c r="A1" s="312" t="s">
        <v>0</v>
      </c>
      <c r="B1" s="313" t="s">
        <v>1</v>
      </c>
      <c r="C1" s="313" t="s">
        <v>2</v>
      </c>
      <c r="D1" s="314" t="s">
        <v>3</v>
      </c>
      <c r="E1" s="313" t="s">
        <v>4</v>
      </c>
      <c r="F1" s="313" t="s">
        <v>5</v>
      </c>
      <c r="G1" s="313" t="s">
        <v>6</v>
      </c>
      <c r="H1" s="313" t="s">
        <v>7</v>
      </c>
      <c r="I1" s="314" t="s">
        <v>8</v>
      </c>
      <c r="J1" s="313" t="s">
        <v>9</v>
      </c>
      <c r="K1" s="313" t="s">
        <v>10</v>
      </c>
      <c r="L1" s="313" t="s">
        <v>11</v>
      </c>
      <c r="M1" s="315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419" t="s">
        <v>2851</v>
      </c>
      <c r="B2" s="420" t="s">
        <v>2852</v>
      </c>
      <c r="C2" s="420">
        <v>2017.0</v>
      </c>
      <c r="D2" s="497">
        <v>43073.0</v>
      </c>
      <c r="E2" s="394" t="s">
        <v>2853</v>
      </c>
      <c r="F2" s="422" t="s">
        <v>1401</v>
      </c>
      <c r="G2" s="422" t="s">
        <v>17</v>
      </c>
      <c r="H2" s="394" t="s">
        <v>18</v>
      </c>
      <c r="I2" s="497">
        <v>44225.0</v>
      </c>
      <c r="J2" s="422">
        <v>1.0</v>
      </c>
      <c r="K2" s="422" t="s">
        <v>2854</v>
      </c>
      <c r="L2" s="422" t="s">
        <v>2855</v>
      </c>
      <c r="M2" s="528">
        <f t="shared" ref="M2:M347" si="1">I2-D2</f>
        <v>1152</v>
      </c>
      <c r="N2" s="15"/>
      <c r="O2" s="317" t="s">
        <v>2856</v>
      </c>
      <c r="P2" s="318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425" t="s">
        <v>2857</v>
      </c>
      <c r="B3" s="426" t="s">
        <v>2858</v>
      </c>
      <c r="C3" s="426">
        <v>2013.0</v>
      </c>
      <c r="D3" s="500">
        <v>41365.0</v>
      </c>
      <c r="E3" s="428" t="s">
        <v>2859</v>
      </c>
      <c r="F3" s="428" t="s">
        <v>765</v>
      </c>
      <c r="G3" s="397" t="s">
        <v>17</v>
      </c>
      <c r="H3" s="397" t="s">
        <v>596</v>
      </c>
      <c r="I3" s="500">
        <v>44225.0</v>
      </c>
      <c r="J3" s="428">
        <v>1.0</v>
      </c>
      <c r="K3" s="428" t="s">
        <v>2854</v>
      </c>
      <c r="L3" s="428" t="s">
        <v>2860</v>
      </c>
      <c r="M3" s="529">
        <f t="shared" si="1"/>
        <v>2860</v>
      </c>
      <c r="N3" s="15"/>
      <c r="O3" s="320" t="s">
        <v>27</v>
      </c>
      <c r="P3" s="320">
        <f>COUNTIF($G$2:$G$564,"PT")</f>
        <v>1</v>
      </c>
      <c r="Q3" s="15"/>
      <c r="R3" s="25"/>
      <c r="S3" s="15"/>
      <c r="T3" s="15"/>
      <c r="U3" s="15"/>
      <c r="V3" s="15"/>
      <c r="W3" s="15"/>
      <c r="X3" s="15"/>
      <c r="Y3" s="15"/>
      <c r="Z3" s="15"/>
    </row>
    <row r="4" ht="15.0" customHeight="1">
      <c r="A4" s="419" t="s">
        <v>2861</v>
      </c>
      <c r="B4" s="420" t="s">
        <v>2862</v>
      </c>
      <c r="C4" s="420">
        <v>2017.0</v>
      </c>
      <c r="D4" s="497">
        <v>42996.0</v>
      </c>
      <c r="E4" s="394" t="s">
        <v>2863</v>
      </c>
      <c r="F4" s="422" t="s">
        <v>1108</v>
      </c>
      <c r="G4" s="422" t="s">
        <v>17</v>
      </c>
      <c r="H4" s="394" t="s">
        <v>50</v>
      </c>
      <c r="I4" s="497">
        <v>44225.0</v>
      </c>
      <c r="J4" s="422">
        <v>1.0</v>
      </c>
      <c r="K4" s="422" t="s">
        <v>2854</v>
      </c>
      <c r="L4" s="422" t="s">
        <v>2860</v>
      </c>
      <c r="M4" s="528">
        <f t="shared" si="1"/>
        <v>1229</v>
      </c>
      <c r="N4" s="25"/>
      <c r="O4" s="321" t="s">
        <v>34</v>
      </c>
      <c r="P4" s="321">
        <f>COUNTIF($G$2:$G$564,"PTN")</f>
        <v>7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425" t="s">
        <v>2864</v>
      </c>
      <c r="B5" s="426" t="s">
        <v>2865</v>
      </c>
      <c r="C5" s="426">
        <v>2018.0</v>
      </c>
      <c r="D5" s="500">
        <v>43158.0</v>
      </c>
      <c r="E5" s="428" t="s">
        <v>2866</v>
      </c>
      <c r="F5" s="428" t="s">
        <v>1464</v>
      </c>
      <c r="G5" s="397" t="s">
        <v>17</v>
      </c>
      <c r="H5" s="397" t="s">
        <v>990</v>
      </c>
      <c r="I5" s="500">
        <v>44225.0</v>
      </c>
      <c r="J5" s="428">
        <v>1.0</v>
      </c>
      <c r="K5" s="428" t="s">
        <v>2854</v>
      </c>
      <c r="L5" s="428" t="s">
        <v>2860</v>
      </c>
      <c r="M5" s="529">
        <f t="shared" si="1"/>
        <v>1067</v>
      </c>
      <c r="N5" s="25"/>
      <c r="O5" s="322" t="s">
        <v>40</v>
      </c>
      <c r="P5" s="322">
        <f>COUNTIF($G$2:$G$564,"PTE")</f>
        <v>182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419" t="s">
        <v>2867</v>
      </c>
      <c r="B6" s="420" t="s">
        <v>2868</v>
      </c>
      <c r="C6" s="420">
        <v>2020.0</v>
      </c>
      <c r="D6" s="497">
        <v>43902.0</v>
      </c>
      <c r="E6" s="394" t="s">
        <v>2869</v>
      </c>
      <c r="F6" s="422" t="s">
        <v>1460</v>
      </c>
      <c r="G6" s="422" t="s">
        <v>17</v>
      </c>
      <c r="H6" s="394" t="s">
        <v>87</v>
      </c>
      <c r="I6" s="497">
        <v>44225.0</v>
      </c>
      <c r="J6" s="422">
        <v>1.0</v>
      </c>
      <c r="K6" s="422" t="s">
        <v>2854</v>
      </c>
      <c r="L6" s="422" t="s">
        <v>2855</v>
      </c>
      <c r="M6" s="528">
        <f t="shared" si="1"/>
        <v>323</v>
      </c>
      <c r="N6" s="25"/>
      <c r="O6" s="321" t="s">
        <v>46</v>
      </c>
      <c r="P6" s="321">
        <f>COUNTIF($G$2:$G$564,"Pré-Mistura")</f>
        <v>1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425" t="s">
        <v>2870</v>
      </c>
      <c r="B7" s="426" t="s">
        <v>2871</v>
      </c>
      <c r="C7" s="426">
        <v>2019.0</v>
      </c>
      <c r="D7" s="500">
        <v>43535.0</v>
      </c>
      <c r="E7" s="428" t="s">
        <v>2872</v>
      </c>
      <c r="F7" s="428" t="s">
        <v>2873</v>
      </c>
      <c r="G7" s="397" t="s">
        <v>17</v>
      </c>
      <c r="H7" s="397" t="s">
        <v>740</v>
      </c>
      <c r="I7" s="500">
        <v>44225.0</v>
      </c>
      <c r="J7" s="428">
        <v>1.0</v>
      </c>
      <c r="K7" s="428" t="s">
        <v>2854</v>
      </c>
      <c r="L7" s="428" t="s">
        <v>2855</v>
      </c>
      <c r="M7" s="529">
        <f t="shared" si="1"/>
        <v>690</v>
      </c>
      <c r="N7" s="25"/>
      <c r="O7" s="322" t="s">
        <v>553</v>
      </c>
      <c r="P7" s="322">
        <f>COUNTIF($G$2:$G$564,"PF")</f>
        <v>60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419" t="s">
        <v>2874</v>
      </c>
      <c r="B8" s="420" t="s">
        <v>2875</v>
      </c>
      <c r="C8" s="420">
        <v>2019.0</v>
      </c>
      <c r="D8" s="497">
        <v>43724.0</v>
      </c>
      <c r="E8" s="394" t="s">
        <v>2876</v>
      </c>
      <c r="F8" s="422" t="s">
        <v>666</v>
      </c>
      <c r="G8" s="422" t="s">
        <v>17</v>
      </c>
      <c r="H8" s="394" t="s">
        <v>990</v>
      </c>
      <c r="I8" s="497">
        <v>44225.0</v>
      </c>
      <c r="J8" s="422">
        <v>1.0</v>
      </c>
      <c r="K8" s="422" t="s">
        <v>2854</v>
      </c>
      <c r="L8" s="422" t="s">
        <v>2855</v>
      </c>
      <c r="M8" s="528">
        <f t="shared" si="1"/>
        <v>501</v>
      </c>
      <c r="N8" s="25"/>
      <c r="O8" s="321" t="s">
        <v>547</v>
      </c>
      <c r="P8" s="321">
        <f>COUNTIF($G$2:$G$564,"PFN")</f>
        <v>12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425" t="s">
        <v>2877</v>
      </c>
      <c r="B9" s="426" t="s">
        <v>2878</v>
      </c>
      <c r="C9" s="426">
        <v>2019.0</v>
      </c>
      <c r="D9" s="500">
        <v>43801.0</v>
      </c>
      <c r="E9" s="428" t="s">
        <v>2879</v>
      </c>
      <c r="F9" s="428" t="s">
        <v>595</v>
      </c>
      <c r="G9" s="397" t="s">
        <v>17</v>
      </c>
      <c r="H9" s="397" t="s">
        <v>50</v>
      </c>
      <c r="I9" s="500">
        <v>44225.0</v>
      </c>
      <c r="J9" s="428">
        <v>1.0</v>
      </c>
      <c r="K9" s="428" t="s">
        <v>2854</v>
      </c>
      <c r="L9" s="428" t="s">
        <v>840</v>
      </c>
      <c r="M9" s="529">
        <f t="shared" si="1"/>
        <v>424</v>
      </c>
      <c r="N9" s="25"/>
      <c r="O9" s="322" t="s">
        <v>560</v>
      </c>
      <c r="P9" s="322">
        <f>COUNTIF($G$2:$G$564,"PF/PTE")</f>
        <v>207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419" t="s">
        <v>2880</v>
      </c>
      <c r="B10" s="420" t="s">
        <v>2881</v>
      </c>
      <c r="C10" s="420">
        <v>2020.0</v>
      </c>
      <c r="D10" s="497">
        <v>43895.0</v>
      </c>
      <c r="E10" s="394" t="s">
        <v>2882</v>
      </c>
      <c r="F10" s="422" t="s">
        <v>1554</v>
      </c>
      <c r="G10" s="422" t="s">
        <v>17</v>
      </c>
      <c r="H10" s="394" t="s">
        <v>149</v>
      </c>
      <c r="I10" s="497">
        <v>44225.0</v>
      </c>
      <c r="J10" s="422">
        <v>1.0</v>
      </c>
      <c r="K10" s="422" t="s">
        <v>2854</v>
      </c>
      <c r="L10" s="422" t="s">
        <v>2855</v>
      </c>
      <c r="M10" s="528">
        <f t="shared" si="1"/>
        <v>330</v>
      </c>
      <c r="N10" s="25"/>
      <c r="O10" s="321" t="s">
        <v>565</v>
      </c>
      <c r="P10" s="321">
        <f>COUNTIF($G$2:$G$564,"Bio")</f>
        <v>41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425" t="s">
        <v>2883</v>
      </c>
      <c r="B11" s="426" t="s">
        <v>2884</v>
      </c>
      <c r="C11" s="426">
        <v>2020.0</v>
      </c>
      <c r="D11" s="500">
        <v>43852.0</v>
      </c>
      <c r="E11" s="428" t="s">
        <v>2885</v>
      </c>
      <c r="F11" s="428" t="s">
        <v>1554</v>
      </c>
      <c r="G11" s="397" t="s">
        <v>17</v>
      </c>
      <c r="H11" s="397" t="s">
        <v>153</v>
      </c>
      <c r="I11" s="500">
        <v>44225.0</v>
      </c>
      <c r="J11" s="428">
        <v>1.0</v>
      </c>
      <c r="K11" s="428" t="s">
        <v>2854</v>
      </c>
      <c r="L11" s="428" t="s">
        <v>2855</v>
      </c>
      <c r="M11" s="529">
        <f t="shared" si="1"/>
        <v>373</v>
      </c>
      <c r="N11" s="25"/>
      <c r="O11" s="323" t="s">
        <v>569</v>
      </c>
      <c r="P11" s="323">
        <f>COUNTIF($G$2:$G$564,"Bio/Org")</f>
        <v>51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419" t="s">
        <v>2886</v>
      </c>
      <c r="B12" s="420" t="s">
        <v>2887</v>
      </c>
      <c r="C12" s="420">
        <v>2015.0</v>
      </c>
      <c r="D12" s="497">
        <v>42275.0</v>
      </c>
      <c r="E12" s="394" t="s">
        <v>2888</v>
      </c>
      <c r="F12" s="422" t="s">
        <v>1554</v>
      </c>
      <c r="G12" s="422" t="s">
        <v>17</v>
      </c>
      <c r="H12" s="394" t="s">
        <v>187</v>
      </c>
      <c r="I12" s="497">
        <v>44225.0</v>
      </c>
      <c r="J12" s="422">
        <v>1.0</v>
      </c>
      <c r="K12" s="422" t="s">
        <v>2854</v>
      </c>
      <c r="L12" s="422" t="s">
        <v>2855</v>
      </c>
      <c r="M12" s="528">
        <f t="shared" si="1"/>
        <v>1950</v>
      </c>
      <c r="N12" s="25"/>
      <c r="O12" s="324" t="s">
        <v>51</v>
      </c>
      <c r="P12" s="325">
        <f>SUM(P3:P11)</f>
        <v>562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425" t="s">
        <v>2889</v>
      </c>
      <c r="B13" s="426" t="s">
        <v>2890</v>
      </c>
      <c r="C13" s="426">
        <v>2015.0</v>
      </c>
      <c r="D13" s="500">
        <v>42297.0</v>
      </c>
      <c r="E13" s="428" t="s">
        <v>2891</v>
      </c>
      <c r="F13" s="428" t="s">
        <v>1554</v>
      </c>
      <c r="G13" s="397" t="s">
        <v>17</v>
      </c>
      <c r="H13" s="397" t="s">
        <v>56</v>
      </c>
      <c r="I13" s="500">
        <v>44225.0</v>
      </c>
      <c r="J13" s="428">
        <v>1.0</v>
      </c>
      <c r="K13" s="428" t="s">
        <v>2854</v>
      </c>
      <c r="L13" s="428" t="s">
        <v>2855</v>
      </c>
      <c r="M13" s="529">
        <f t="shared" si="1"/>
        <v>1928</v>
      </c>
      <c r="N13" s="42"/>
      <c r="O13" s="25"/>
      <c r="P13" s="25"/>
      <c r="Q13" s="25"/>
      <c r="R13" s="326"/>
      <c r="S13" s="326"/>
      <c r="T13" s="25"/>
      <c r="U13" s="25"/>
      <c r="V13" s="25"/>
      <c r="W13" s="25"/>
      <c r="X13" s="25"/>
      <c r="Y13" s="25"/>
      <c r="Z13" s="25"/>
    </row>
    <row r="14" ht="15.0" customHeight="1">
      <c r="A14" s="419" t="s">
        <v>2892</v>
      </c>
      <c r="B14" s="420" t="s">
        <v>2893</v>
      </c>
      <c r="C14" s="420">
        <v>2014.0</v>
      </c>
      <c r="D14" s="497">
        <v>41948.0</v>
      </c>
      <c r="E14" s="394" t="s">
        <v>2894</v>
      </c>
      <c r="F14" s="422" t="s">
        <v>1108</v>
      </c>
      <c r="G14" s="422" t="s">
        <v>17</v>
      </c>
      <c r="H14" s="394" t="s">
        <v>39</v>
      </c>
      <c r="I14" s="497">
        <v>44225.0</v>
      </c>
      <c r="J14" s="422">
        <v>1.0</v>
      </c>
      <c r="K14" s="422" t="s">
        <v>2854</v>
      </c>
      <c r="L14" s="422" t="s">
        <v>2860</v>
      </c>
      <c r="M14" s="528">
        <f t="shared" si="1"/>
        <v>2277</v>
      </c>
      <c r="N14" s="42"/>
      <c r="O14" s="327" t="s">
        <v>61</v>
      </c>
      <c r="P14" s="102"/>
      <c r="Q14" s="102"/>
      <c r="R14" s="102"/>
      <c r="S14" s="103"/>
      <c r="T14" s="25"/>
      <c r="U14" s="25"/>
      <c r="V14" s="25"/>
      <c r="W14" s="25"/>
      <c r="X14" s="25"/>
      <c r="Y14" s="25"/>
      <c r="Z14" s="25"/>
    </row>
    <row r="15" ht="15.0" customHeight="1">
      <c r="A15" s="425" t="s">
        <v>2895</v>
      </c>
      <c r="B15" s="426" t="s">
        <v>2896</v>
      </c>
      <c r="C15" s="426">
        <v>2020.0</v>
      </c>
      <c r="D15" s="500">
        <v>43920.0</v>
      </c>
      <c r="E15" s="428" t="s">
        <v>2897</v>
      </c>
      <c r="F15" s="428" t="s">
        <v>1108</v>
      </c>
      <c r="G15" s="397" t="s">
        <v>17</v>
      </c>
      <c r="H15" s="397" t="s">
        <v>596</v>
      </c>
      <c r="I15" s="500">
        <v>44225.0</v>
      </c>
      <c r="J15" s="428">
        <v>1.0</v>
      </c>
      <c r="K15" s="428" t="s">
        <v>2854</v>
      </c>
      <c r="L15" s="428" t="s">
        <v>2860</v>
      </c>
      <c r="M15" s="529">
        <f t="shared" si="1"/>
        <v>305</v>
      </c>
      <c r="N15" s="25"/>
      <c r="O15" s="328"/>
      <c r="P15" s="329"/>
      <c r="Q15" s="329"/>
      <c r="R15" s="329"/>
      <c r="S15" s="330"/>
      <c r="T15" s="25"/>
      <c r="U15" s="25"/>
      <c r="V15" s="25"/>
      <c r="W15" s="25"/>
      <c r="X15" s="25"/>
      <c r="Y15" s="25"/>
      <c r="Z15" s="25"/>
    </row>
    <row r="16" ht="15.0" customHeight="1">
      <c r="A16" s="419" t="s">
        <v>2898</v>
      </c>
      <c r="B16" s="420" t="s">
        <v>2899</v>
      </c>
      <c r="C16" s="420">
        <v>2013.0</v>
      </c>
      <c r="D16" s="497">
        <v>41528.0</v>
      </c>
      <c r="E16" s="394" t="s">
        <v>2900</v>
      </c>
      <c r="F16" s="422" t="s">
        <v>1811</v>
      </c>
      <c r="G16" s="422" t="s">
        <v>17</v>
      </c>
      <c r="H16" s="394" t="s">
        <v>775</v>
      </c>
      <c r="I16" s="497">
        <v>44225.0</v>
      </c>
      <c r="J16" s="422">
        <v>1.0</v>
      </c>
      <c r="K16" s="422" t="s">
        <v>2854</v>
      </c>
      <c r="L16" s="422" t="s">
        <v>2855</v>
      </c>
      <c r="M16" s="528">
        <f t="shared" si="1"/>
        <v>2697</v>
      </c>
      <c r="N16" s="25"/>
      <c r="O16" s="331" t="s">
        <v>2901</v>
      </c>
      <c r="P16" s="332"/>
      <c r="Q16" s="332"/>
      <c r="R16" s="332"/>
      <c r="S16" s="333"/>
      <c r="T16" s="25"/>
      <c r="U16" s="25"/>
      <c r="V16" s="25"/>
      <c r="W16" s="25"/>
      <c r="X16" s="25"/>
      <c r="Y16" s="25"/>
      <c r="Z16" s="25"/>
    </row>
    <row r="17" ht="15.0" customHeight="1">
      <c r="A17" s="425" t="s">
        <v>2902</v>
      </c>
      <c r="B17" s="426" t="s">
        <v>2903</v>
      </c>
      <c r="C17" s="426">
        <v>2019.0</v>
      </c>
      <c r="D17" s="500">
        <v>43602.0</v>
      </c>
      <c r="E17" s="428" t="s">
        <v>2904</v>
      </c>
      <c r="F17" s="428" t="s">
        <v>2905</v>
      </c>
      <c r="G17" s="397" t="s">
        <v>17</v>
      </c>
      <c r="H17" s="397" t="s">
        <v>87</v>
      </c>
      <c r="I17" s="500">
        <v>44225.0</v>
      </c>
      <c r="J17" s="428">
        <v>1.0</v>
      </c>
      <c r="K17" s="428" t="s">
        <v>2854</v>
      </c>
      <c r="L17" s="428" t="s">
        <v>2860</v>
      </c>
      <c r="M17" s="529">
        <f t="shared" si="1"/>
        <v>623</v>
      </c>
      <c r="N17" s="25"/>
      <c r="O17" s="334" t="s">
        <v>2906</v>
      </c>
      <c r="P17" s="113"/>
      <c r="Q17" s="113"/>
      <c r="R17" s="113"/>
      <c r="S17" s="114"/>
      <c r="T17" s="25"/>
      <c r="U17" s="25"/>
      <c r="V17" s="25"/>
      <c r="W17" s="25"/>
      <c r="X17" s="25"/>
      <c r="Y17" s="25"/>
      <c r="Z17" s="25"/>
    </row>
    <row r="18" ht="15.0" customHeight="1">
      <c r="A18" s="419" t="s">
        <v>2907</v>
      </c>
      <c r="B18" s="420" t="s">
        <v>2908</v>
      </c>
      <c r="C18" s="420">
        <v>2014.0</v>
      </c>
      <c r="D18" s="497">
        <v>41911.0</v>
      </c>
      <c r="E18" s="394" t="s">
        <v>2909</v>
      </c>
      <c r="F18" s="422" t="s">
        <v>186</v>
      </c>
      <c r="G18" s="422" t="s">
        <v>17</v>
      </c>
      <c r="H18" s="394" t="s">
        <v>18</v>
      </c>
      <c r="I18" s="497">
        <v>44225.0</v>
      </c>
      <c r="J18" s="422">
        <v>1.0</v>
      </c>
      <c r="K18" s="422" t="s">
        <v>2854</v>
      </c>
      <c r="L18" s="422" t="s">
        <v>2860</v>
      </c>
      <c r="M18" s="528">
        <f t="shared" si="1"/>
        <v>2314</v>
      </c>
      <c r="N18" s="25"/>
      <c r="O18" s="335" t="s">
        <v>2910</v>
      </c>
      <c r="P18" s="113"/>
      <c r="Q18" s="113"/>
      <c r="R18" s="113"/>
      <c r="S18" s="114"/>
      <c r="T18" s="25"/>
      <c r="U18" s="25"/>
      <c r="V18" s="25"/>
      <c r="W18" s="25"/>
      <c r="X18" s="25"/>
      <c r="Y18" s="25"/>
      <c r="Z18" s="25"/>
    </row>
    <row r="19" ht="15.0" customHeight="1">
      <c r="A19" s="425" t="s">
        <v>2911</v>
      </c>
      <c r="B19" s="426" t="s">
        <v>2912</v>
      </c>
      <c r="C19" s="426">
        <v>2015.0</v>
      </c>
      <c r="D19" s="500">
        <v>42240.0</v>
      </c>
      <c r="E19" s="428" t="s">
        <v>2913</v>
      </c>
      <c r="F19" s="428" t="s">
        <v>120</v>
      </c>
      <c r="G19" s="397" t="s">
        <v>17</v>
      </c>
      <c r="H19" s="397" t="s">
        <v>740</v>
      </c>
      <c r="I19" s="500">
        <v>44225.0</v>
      </c>
      <c r="J19" s="428">
        <v>1.0</v>
      </c>
      <c r="K19" s="428" t="s">
        <v>2854</v>
      </c>
      <c r="L19" s="428" t="s">
        <v>2855</v>
      </c>
      <c r="M19" s="529">
        <f t="shared" si="1"/>
        <v>1985</v>
      </c>
      <c r="N19" s="25"/>
      <c r="O19" s="334" t="s">
        <v>2914</v>
      </c>
      <c r="P19" s="113"/>
      <c r="Q19" s="113"/>
      <c r="R19" s="113"/>
      <c r="S19" s="114"/>
      <c r="T19" s="25"/>
      <c r="U19" s="25"/>
      <c r="V19" s="25"/>
      <c r="W19" s="25"/>
      <c r="X19" s="25"/>
      <c r="Y19" s="25"/>
      <c r="Z19" s="25"/>
    </row>
    <row r="20" ht="15.0" customHeight="1">
      <c r="A20" s="419" t="s">
        <v>2915</v>
      </c>
      <c r="B20" s="420" t="s">
        <v>2916</v>
      </c>
      <c r="C20" s="420">
        <v>2015.0</v>
      </c>
      <c r="D20" s="497">
        <v>42129.0</v>
      </c>
      <c r="E20" s="394" t="s">
        <v>2917</v>
      </c>
      <c r="F20" s="422" t="s">
        <v>2873</v>
      </c>
      <c r="G20" s="422" t="s">
        <v>17</v>
      </c>
      <c r="H20" s="394" t="s">
        <v>2509</v>
      </c>
      <c r="I20" s="497">
        <v>44225.0</v>
      </c>
      <c r="J20" s="422">
        <v>1.0</v>
      </c>
      <c r="K20" s="422" t="s">
        <v>2854</v>
      </c>
      <c r="L20" s="422" t="s">
        <v>2860</v>
      </c>
      <c r="M20" s="528">
        <f t="shared" si="1"/>
        <v>2096</v>
      </c>
      <c r="N20" s="25"/>
      <c r="O20" s="335" t="s">
        <v>2918</v>
      </c>
      <c r="P20" s="113"/>
      <c r="Q20" s="113"/>
      <c r="R20" s="113"/>
      <c r="S20" s="114"/>
      <c r="T20" s="25"/>
      <c r="U20" s="25"/>
      <c r="V20" s="25"/>
      <c r="W20" s="25"/>
      <c r="X20" s="25"/>
      <c r="Y20" s="25"/>
      <c r="Z20" s="25"/>
    </row>
    <row r="21" ht="15.0" customHeight="1">
      <c r="A21" s="425" t="s">
        <v>2919</v>
      </c>
      <c r="B21" s="426" t="s">
        <v>2920</v>
      </c>
      <c r="C21" s="426">
        <v>2019.0</v>
      </c>
      <c r="D21" s="500">
        <v>43717.0</v>
      </c>
      <c r="E21" s="428" t="s">
        <v>2921</v>
      </c>
      <c r="F21" s="428" t="s">
        <v>1150</v>
      </c>
      <c r="G21" s="397" t="s">
        <v>17</v>
      </c>
      <c r="H21" s="397" t="s">
        <v>990</v>
      </c>
      <c r="I21" s="500">
        <v>44225.0</v>
      </c>
      <c r="J21" s="428">
        <v>1.0</v>
      </c>
      <c r="K21" s="428" t="s">
        <v>2854</v>
      </c>
      <c r="L21" s="428" t="s">
        <v>2860</v>
      </c>
      <c r="M21" s="529">
        <f t="shared" si="1"/>
        <v>508</v>
      </c>
      <c r="N21" s="25"/>
      <c r="O21" s="334" t="s">
        <v>2922</v>
      </c>
      <c r="P21" s="113"/>
      <c r="Q21" s="113"/>
      <c r="R21" s="113"/>
      <c r="S21" s="114"/>
      <c r="T21" s="25"/>
      <c r="U21" s="25"/>
      <c r="V21" s="25"/>
      <c r="W21" s="25"/>
      <c r="X21" s="25"/>
      <c r="Y21" s="25"/>
      <c r="Z21" s="25"/>
    </row>
    <row r="22" ht="15.0" customHeight="1">
      <c r="A22" s="419" t="s">
        <v>2923</v>
      </c>
      <c r="B22" s="420" t="s">
        <v>2924</v>
      </c>
      <c r="C22" s="420">
        <v>2019.0</v>
      </c>
      <c r="D22" s="497">
        <v>43717.0</v>
      </c>
      <c r="E22" s="394" t="s">
        <v>2925</v>
      </c>
      <c r="F22" s="422" t="s">
        <v>2873</v>
      </c>
      <c r="G22" s="422" t="s">
        <v>17</v>
      </c>
      <c r="H22" s="394" t="s">
        <v>990</v>
      </c>
      <c r="I22" s="497">
        <v>44225.0</v>
      </c>
      <c r="J22" s="422">
        <v>1.0</v>
      </c>
      <c r="K22" s="422" t="s">
        <v>2854</v>
      </c>
      <c r="L22" s="422" t="s">
        <v>2860</v>
      </c>
      <c r="M22" s="528">
        <f t="shared" si="1"/>
        <v>508</v>
      </c>
      <c r="N22" s="25"/>
      <c r="O22" s="335" t="s">
        <v>2926</v>
      </c>
      <c r="P22" s="113"/>
      <c r="Q22" s="113"/>
      <c r="R22" s="113"/>
      <c r="S22" s="114"/>
      <c r="T22" s="25"/>
      <c r="U22" s="25"/>
      <c r="V22" s="25"/>
      <c r="W22" s="25"/>
      <c r="X22" s="25"/>
      <c r="Y22" s="25"/>
      <c r="Z22" s="25"/>
    </row>
    <row r="23" ht="15.0" customHeight="1">
      <c r="A23" s="425" t="s">
        <v>2927</v>
      </c>
      <c r="B23" s="426" t="s">
        <v>2928</v>
      </c>
      <c r="C23" s="426">
        <v>2019.0</v>
      </c>
      <c r="D23" s="500">
        <v>43819.0</v>
      </c>
      <c r="E23" s="428" t="s">
        <v>2929</v>
      </c>
      <c r="F23" s="428" t="s">
        <v>563</v>
      </c>
      <c r="G23" s="397" t="s">
        <v>17</v>
      </c>
      <c r="H23" s="397" t="s">
        <v>990</v>
      </c>
      <c r="I23" s="500">
        <v>44225.0</v>
      </c>
      <c r="J23" s="428">
        <v>1.0</v>
      </c>
      <c r="K23" s="428" t="s">
        <v>2854</v>
      </c>
      <c r="L23" s="428" t="s">
        <v>2860</v>
      </c>
      <c r="M23" s="529">
        <f t="shared" si="1"/>
        <v>406</v>
      </c>
      <c r="N23" s="25"/>
      <c r="O23" s="334" t="s">
        <v>2930</v>
      </c>
      <c r="P23" s="113"/>
      <c r="Q23" s="113"/>
      <c r="R23" s="113"/>
      <c r="S23" s="114"/>
      <c r="T23" s="25"/>
      <c r="U23" s="25"/>
      <c r="V23" s="25"/>
      <c r="W23" s="25"/>
      <c r="X23" s="25"/>
      <c r="Y23" s="25"/>
      <c r="Z23" s="25"/>
    </row>
    <row r="24" ht="15.0" customHeight="1">
      <c r="A24" s="419" t="s">
        <v>2931</v>
      </c>
      <c r="B24" s="420" t="s">
        <v>2932</v>
      </c>
      <c r="C24" s="420">
        <v>2019.0</v>
      </c>
      <c r="D24" s="497">
        <v>43727.0</v>
      </c>
      <c r="E24" s="394" t="s">
        <v>2933</v>
      </c>
      <c r="F24" s="422" t="s">
        <v>1108</v>
      </c>
      <c r="G24" s="422" t="s">
        <v>17</v>
      </c>
      <c r="H24" s="394" t="s">
        <v>2934</v>
      </c>
      <c r="I24" s="497">
        <v>44225.0</v>
      </c>
      <c r="J24" s="422">
        <v>1.0</v>
      </c>
      <c r="K24" s="422" t="s">
        <v>2854</v>
      </c>
      <c r="L24" s="422" t="s">
        <v>2860</v>
      </c>
      <c r="M24" s="528">
        <f t="shared" si="1"/>
        <v>498</v>
      </c>
      <c r="N24" s="25"/>
      <c r="O24" s="336" t="s">
        <v>2935</v>
      </c>
      <c r="P24" s="118"/>
      <c r="Q24" s="118"/>
      <c r="R24" s="118"/>
      <c r="S24" s="119"/>
      <c r="T24" s="25"/>
      <c r="U24" s="25"/>
      <c r="V24" s="25"/>
      <c r="W24" s="25"/>
      <c r="X24" s="25"/>
      <c r="Y24" s="25"/>
      <c r="Z24" s="25"/>
    </row>
    <row r="25" ht="15.0" customHeight="1">
      <c r="A25" s="425" t="s">
        <v>2936</v>
      </c>
      <c r="B25" s="426" t="s">
        <v>2937</v>
      </c>
      <c r="C25" s="426">
        <v>2014.0</v>
      </c>
      <c r="D25" s="500">
        <v>41900.0</v>
      </c>
      <c r="E25" s="428" t="s">
        <v>2938</v>
      </c>
      <c r="F25" s="428" t="s">
        <v>2939</v>
      </c>
      <c r="G25" s="397" t="s">
        <v>17</v>
      </c>
      <c r="H25" s="397" t="s">
        <v>130</v>
      </c>
      <c r="I25" s="500">
        <v>44225.0</v>
      </c>
      <c r="J25" s="428">
        <v>1.0</v>
      </c>
      <c r="K25" s="428" t="s">
        <v>2854</v>
      </c>
      <c r="L25" s="428" t="s">
        <v>2860</v>
      </c>
      <c r="M25" s="529">
        <f t="shared" si="1"/>
        <v>2325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419" t="s">
        <v>2940</v>
      </c>
      <c r="B26" s="420" t="s">
        <v>2941</v>
      </c>
      <c r="C26" s="420">
        <v>2017.0</v>
      </c>
      <c r="D26" s="497">
        <v>42824.0</v>
      </c>
      <c r="E26" s="394" t="s">
        <v>2942</v>
      </c>
      <c r="F26" s="422" t="s">
        <v>1895</v>
      </c>
      <c r="G26" s="422" t="s">
        <v>17</v>
      </c>
      <c r="H26" s="394" t="s">
        <v>130</v>
      </c>
      <c r="I26" s="497">
        <v>44225.0</v>
      </c>
      <c r="J26" s="422">
        <v>1.0</v>
      </c>
      <c r="K26" s="422" t="s">
        <v>2854</v>
      </c>
      <c r="L26" s="422" t="s">
        <v>2860</v>
      </c>
      <c r="M26" s="528">
        <f t="shared" si="1"/>
        <v>1401</v>
      </c>
      <c r="N26" s="25"/>
      <c r="O26" s="327" t="s">
        <v>617</v>
      </c>
      <c r="P26" s="102"/>
      <c r="Q26" s="102"/>
      <c r="R26" s="102"/>
      <c r="S26" s="103"/>
      <c r="T26" s="25"/>
      <c r="U26" s="25"/>
      <c r="V26" s="25"/>
      <c r="W26" s="25"/>
      <c r="X26" s="25"/>
      <c r="Y26" s="25"/>
      <c r="Z26" s="25"/>
    </row>
    <row r="27" ht="15.0" customHeight="1">
      <c r="A27" s="425" t="s">
        <v>2943</v>
      </c>
      <c r="B27" s="426" t="s">
        <v>2944</v>
      </c>
      <c r="C27" s="426">
        <v>2015.0</v>
      </c>
      <c r="D27" s="500">
        <v>42108.0</v>
      </c>
      <c r="E27" s="428" t="s">
        <v>2945</v>
      </c>
      <c r="F27" s="428" t="s">
        <v>1464</v>
      </c>
      <c r="G27" s="397" t="s">
        <v>17</v>
      </c>
      <c r="H27" s="397" t="s">
        <v>26</v>
      </c>
      <c r="I27" s="500">
        <v>44225.0</v>
      </c>
      <c r="J27" s="428">
        <v>1.0</v>
      </c>
      <c r="K27" s="428" t="s">
        <v>2854</v>
      </c>
      <c r="L27" s="428" t="s">
        <v>2860</v>
      </c>
      <c r="M27" s="529">
        <f t="shared" si="1"/>
        <v>2117</v>
      </c>
      <c r="N27" s="25"/>
      <c r="O27" s="104"/>
      <c r="P27" s="105"/>
      <c r="Q27" s="105"/>
      <c r="R27" s="105"/>
      <c r="S27" s="106"/>
      <c r="T27" s="25"/>
      <c r="U27" s="25"/>
      <c r="V27" s="25"/>
      <c r="W27" s="25"/>
      <c r="X27" s="25"/>
      <c r="Y27" s="25"/>
      <c r="Z27" s="25"/>
    </row>
    <row r="28" ht="15.0" customHeight="1">
      <c r="A28" s="419" t="s">
        <v>2946</v>
      </c>
      <c r="B28" s="420" t="s">
        <v>2947</v>
      </c>
      <c r="C28" s="420">
        <v>2020.0</v>
      </c>
      <c r="D28" s="497">
        <v>44125.0</v>
      </c>
      <c r="E28" s="394" t="s">
        <v>2948</v>
      </c>
      <c r="F28" s="422" t="s">
        <v>1150</v>
      </c>
      <c r="G28" s="422" t="s">
        <v>17</v>
      </c>
      <c r="H28" s="394" t="s">
        <v>149</v>
      </c>
      <c r="I28" s="497">
        <v>44225.0</v>
      </c>
      <c r="J28" s="422">
        <v>1.0</v>
      </c>
      <c r="K28" s="422" t="s">
        <v>2854</v>
      </c>
      <c r="L28" s="422" t="s">
        <v>2860</v>
      </c>
      <c r="M28" s="528">
        <f t="shared" si="1"/>
        <v>100</v>
      </c>
      <c r="N28" s="25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425" t="s">
        <v>2949</v>
      </c>
      <c r="B29" s="426" t="s">
        <v>2950</v>
      </c>
      <c r="C29" s="426">
        <v>2016.0</v>
      </c>
      <c r="D29" s="500">
        <v>42502.0</v>
      </c>
      <c r="E29" s="428" t="s">
        <v>2951</v>
      </c>
      <c r="F29" s="428" t="s">
        <v>1150</v>
      </c>
      <c r="G29" s="397" t="s">
        <v>17</v>
      </c>
      <c r="H29" s="397" t="s">
        <v>1588</v>
      </c>
      <c r="I29" s="500">
        <v>44263.0</v>
      </c>
      <c r="J29" s="428">
        <v>3.0</v>
      </c>
      <c r="K29" s="428" t="s">
        <v>2854</v>
      </c>
      <c r="L29" s="428" t="s">
        <v>2860</v>
      </c>
      <c r="M29" s="529">
        <f t="shared" si="1"/>
        <v>1761</v>
      </c>
      <c r="N29" s="25"/>
      <c r="O29" s="322">
        <v>2008.0</v>
      </c>
      <c r="P29" s="342">
        <f>COUNTIF($C$2:$C$564,"2008")</f>
        <v>1</v>
      </c>
      <c r="Q29" s="332"/>
      <c r="R29" s="333"/>
      <c r="S29" s="343">
        <f>(P29/P43)</f>
        <v>0.001779359431</v>
      </c>
      <c r="T29" s="25"/>
      <c r="U29" s="25"/>
      <c r="V29" s="25"/>
      <c r="W29" s="25"/>
      <c r="X29" s="25"/>
      <c r="Y29" s="25"/>
      <c r="Z29" s="25"/>
    </row>
    <row r="30" ht="15.0" customHeight="1">
      <c r="A30" s="419" t="s">
        <v>2952</v>
      </c>
      <c r="B30" s="420" t="s">
        <v>2953</v>
      </c>
      <c r="C30" s="420">
        <v>2014.0</v>
      </c>
      <c r="D30" s="497">
        <v>41974.0</v>
      </c>
      <c r="E30" s="394" t="s">
        <v>2954</v>
      </c>
      <c r="F30" s="422" t="s">
        <v>1150</v>
      </c>
      <c r="G30" s="422" t="s">
        <v>17</v>
      </c>
      <c r="H30" s="394" t="s">
        <v>50</v>
      </c>
      <c r="I30" s="497">
        <v>44263.0</v>
      </c>
      <c r="J30" s="422">
        <v>3.0</v>
      </c>
      <c r="K30" s="422" t="s">
        <v>2854</v>
      </c>
      <c r="L30" s="422" t="s">
        <v>2860</v>
      </c>
      <c r="M30" s="528">
        <f t="shared" si="1"/>
        <v>2289</v>
      </c>
      <c r="N30" s="25"/>
      <c r="O30" s="321">
        <v>2009.0</v>
      </c>
      <c r="P30" s="344">
        <f>COUNTIF($C$2:$C$564,"2009")</f>
        <v>1</v>
      </c>
      <c r="Q30" s="113"/>
      <c r="R30" s="114"/>
      <c r="S30" s="345">
        <f>(P30/P43)</f>
        <v>0.001779359431</v>
      </c>
      <c r="T30" s="25"/>
      <c r="U30" s="25"/>
      <c r="V30" s="25"/>
      <c r="W30" s="25"/>
      <c r="X30" s="25"/>
      <c r="Y30" s="25"/>
      <c r="Z30" s="25"/>
    </row>
    <row r="31" ht="15.0" customHeight="1">
      <c r="A31" s="425" t="s">
        <v>2955</v>
      </c>
      <c r="B31" s="426" t="s">
        <v>2956</v>
      </c>
      <c r="C31" s="426">
        <v>2016.0</v>
      </c>
      <c r="D31" s="500">
        <v>42599.0</v>
      </c>
      <c r="E31" s="428" t="s">
        <v>2957</v>
      </c>
      <c r="F31" s="428" t="s">
        <v>1628</v>
      </c>
      <c r="G31" s="397" t="s">
        <v>17</v>
      </c>
      <c r="H31" s="397" t="s">
        <v>56</v>
      </c>
      <c r="I31" s="500">
        <v>44263.0</v>
      </c>
      <c r="J31" s="428">
        <v>3.0</v>
      </c>
      <c r="K31" s="428" t="s">
        <v>2854</v>
      </c>
      <c r="L31" s="428" t="s">
        <v>2860</v>
      </c>
      <c r="M31" s="529">
        <f t="shared" si="1"/>
        <v>1664</v>
      </c>
      <c r="N31" s="25"/>
      <c r="O31" s="322">
        <v>2010.0</v>
      </c>
      <c r="P31" s="346">
        <f>COUNTIF($C$2:$C$564,"2010")</f>
        <v>3</v>
      </c>
      <c r="Q31" s="113"/>
      <c r="R31" s="114"/>
      <c r="S31" s="343">
        <f>(P31/P43)</f>
        <v>0.005338078292</v>
      </c>
      <c r="T31" s="25"/>
      <c r="U31" s="25"/>
      <c r="V31" s="25"/>
      <c r="W31" s="25"/>
      <c r="X31" s="25"/>
      <c r="Y31" s="25"/>
      <c r="Z31" s="25"/>
    </row>
    <row r="32" ht="15.0" customHeight="1">
      <c r="A32" s="419" t="s">
        <v>2958</v>
      </c>
      <c r="B32" s="420" t="s">
        <v>2959</v>
      </c>
      <c r="C32" s="420">
        <v>2017.0</v>
      </c>
      <c r="D32" s="497">
        <v>42814.0</v>
      </c>
      <c r="E32" s="394" t="s">
        <v>2960</v>
      </c>
      <c r="F32" s="422" t="s">
        <v>563</v>
      </c>
      <c r="G32" s="422" t="s">
        <v>17</v>
      </c>
      <c r="H32" s="394" t="s">
        <v>77</v>
      </c>
      <c r="I32" s="497">
        <v>44263.0</v>
      </c>
      <c r="J32" s="422">
        <v>3.0</v>
      </c>
      <c r="K32" s="422" t="s">
        <v>2854</v>
      </c>
      <c r="L32" s="422" t="s">
        <v>2860</v>
      </c>
      <c r="M32" s="528">
        <f t="shared" si="1"/>
        <v>1449</v>
      </c>
      <c r="N32" s="25"/>
      <c r="O32" s="321">
        <v>2011.0</v>
      </c>
      <c r="P32" s="344">
        <f>COUNTIF($C$2:$C$564,"2011")</f>
        <v>11</v>
      </c>
      <c r="Q32" s="113"/>
      <c r="R32" s="114"/>
      <c r="S32" s="345">
        <f>(P32/P43)</f>
        <v>0.01957295374</v>
      </c>
      <c r="T32" s="25"/>
      <c r="U32" s="25"/>
      <c r="V32" s="25"/>
      <c r="W32" s="25"/>
      <c r="X32" s="25"/>
      <c r="Y32" s="25"/>
      <c r="Z32" s="25"/>
    </row>
    <row r="33" ht="15.0" customHeight="1">
      <c r="A33" s="425" t="s">
        <v>2961</v>
      </c>
      <c r="B33" s="426" t="s">
        <v>2962</v>
      </c>
      <c r="C33" s="426">
        <v>2015.0</v>
      </c>
      <c r="D33" s="500">
        <v>42353.0</v>
      </c>
      <c r="E33" s="428" t="s">
        <v>2963</v>
      </c>
      <c r="F33" s="428" t="s">
        <v>963</v>
      </c>
      <c r="G33" s="397" t="s">
        <v>46</v>
      </c>
      <c r="H33" s="397" t="s">
        <v>2964</v>
      </c>
      <c r="I33" s="500">
        <v>44263.0</v>
      </c>
      <c r="J33" s="428">
        <v>3.0</v>
      </c>
      <c r="K33" s="428" t="s">
        <v>238</v>
      </c>
      <c r="L33" s="428" t="s">
        <v>2855</v>
      </c>
      <c r="M33" s="529">
        <f t="shared" si="1"/>
        <v>1910</v>
      </c>
      <c r="N33" s="25"/>
      <c r="O33" s="322">
        <v>2012.0</v>
      </c>
      <c r="P33" s="346">
        <f>COUNTIF($C$2:$C$564,"2012")</f>
        <v>11</v>
      </c>
      <c r="Q33" s="113"/>
      <c r="R33" s="114"/>
      <c r="S33" s="343">
        <f>(P33/P43)</f>
        <v>0.01957295374</v>
      </c>
      <c r="T33" s="25"/>
      <c r="U33" s="25"/>
      <c r="V33" s="25"/>
      <c r="W33" s="25"/>
      <c r="X33" s="25"/>
      <c r="Y33" s="25"/>
      <c r="Z33" s="25"/>
    </row>
    <row r="34" ht="15.0" customHeight="1">
      <c r="A34" s="419" t="s">
        <v>2965</v>
      </c>
      <c r="B34" s="420" t="s">
        <v>2966</v>
      </c>
      <c r="C34" s="420">
        <v>2018.0</v>
      </c>
      <c r="D34" s="497">
        <v>43299.0</v>
      </c>
      <c r="E34" s="394" t="s">
        <v>2967</v>
      </c>
      <c r="F34" s="422" t="s">
        <v>559</v>
      </c>
      <c r="G34" s="422" t="s">
        <v>17</v>
      </c>
      <c r="H34" s="394" t="s">
        <v>39</v>
      </c>
      <c r="I34" s="497">
        <v>44263.0</v>
      </c>
      <c r="J34" s="422">
        <v>3.0</v>
      </c>
      <c r="K34" s="422" t="s">
        <v>2854</v>
      </c>
      <c r="L34" s="422" t="s">
        <v>2860</v>
      </c>
      <c r="M34" s="528">
        <f t="shared" si="1"/>
        <v>964</v>
      </c>
      <c r="N34" s="25"/>
      <c r="O34" s="321">
        <v>2013.0</v>
      </c>
      <c r="P34" s="344">
        <f>COUNTIF($C$2:$C$564,"2013")</f>
        <v>57</v>
      </c>
      <c r="Q34" s="113"/>
      <c r="R34" s="114"/>
      <c r="S34" s="345">
        <f>(P34/P43)</f>
        <v>0.1014234875</v>
      </c>
      <c r="T34" s="25"/>
      <c r="U34" s="25"/>
      <c r="V34" s="25"/>
      <c r="W34" s="25"/>
      <c r="X34" s="25"/>
      <c r="Y34" s="25"/>
      <c r="Z34" s="25"/>
    </row>
    <row r="35" ht="15.0" customHeight="1">
      <c r="A35" s="425" t="s">
        <v>2968</v>
      </c>
      <c r="B35" s="426" t="s">
        <v>2969</v>
      </c>
      <c r="C35" s="426">
        <v>2018.0</v>
      </c>
      <c r="D35" s="500">
        <v>43131.0</v>
      </c>
      <c r="E35" s="428" t="s">
        <v>2970</v>
      </c>
      <c r="F35" s="428" t="s">
        <v>71</v>
      </c>
      <c r="G35" s="397" t="s">
        <v>17</v>
      </c>
      <c r="H35" s="397" t="s">
        <v>596</v>
      </c>
      <c r="I35" s="500">
        <v>44263.0</v>
      </c>
      <c r="J35" s="428">
        <v>3.0</v>
      </c>
      <c r="K35" s="428" t="s">
        <v>2854</v>
      </c>
      <c r="L35" s="428" t="s">
        <v>2855</v>
      </c>
      <c r="M35" s="529">
        <f t="shared" si="1"/>
        <v>1132</v>
      </c>
      <c r="N35" s="25"/>
      <c r="O35" s="322">
        <v>2014.0</v>
      </c>
      <c r="P35" s="346">
        <f>COUNTIF($C$2:$C$564,"2014")</f>
        <v>85</v>
      </c>
      <c r="Q35" s="113"/>
      <c r="R35" s="114"/>
      <c r="S35" s="343">
        <f>(P35/P43)</f>
        <v>0.1512455516</v>
      </c>
      <c r="T35" s="25"/>
      <c r="U35" s="25"/>
      <c r="V35" s="25"/>
      <c r="W35" s="25"/>
      <c r="X35" s="25"/>
      <c r="Y35" s="25"/>
      <c r="Z35" s="25"/>
    </row>
    <row r="36" ht="15.0" customHeight="1">
      <c r="A36" s="419" t="s">
        <v>2971</v>
      </c>
      <c r="B36" s="420" t="s">
        <v>2972</v>
      </c>
      <c r="C36" s="420">
        <v>2020.0</v>
      </c>
      <c r="D36" s="497">
        <v>43979.0</v>
      </c>
      <c r="E36" s="394" t="s">
        <v>2973</v>
      </c>
      <c r="F36" s="422" t="s">
        <v>874</v>
      </c>
      <c r="G36" s="422" t="s">
        <v>17</v>
      </c>
      <c r="H36" s="394" t="s">
        <v>1178</v>
      </c>
      <c r="I36" s="497">
        <v>44263.0</v>
      </c>
      <c r="J36" s="422">
        <v>3.0</v>
      </c>
      <c r="K36" s="422" t="s">
        <v>2854</v>
      </c>
      <c r="L36" s="422" t="s">
        <v>2860</v>
      </c>
      <c r="M36" s="528">
        <f t="shared" si="1"/>
        <v>284</v>
      </c>
      <c r="N36" s="25"/>
      <c r="O36" s="321">
        <v>2015.0</v>
      </c>
      <c r="P36" s="344">
        <f>COUNTIF($C$2:$C$5646,"2015")</f>
        <v>64</v>
      </c>
      <c r="Q36" s="113"/>
      <c r="R36" s="114"/>
      <c r="S36" s="345">
        <f>(P36/P43)</f>
        <v>0.1138790036</v>
      </c>
      <c r="T36" s="25"/>
      <c r="U36" s="25"/>
      <c r="V36" s="25"/>
      <c r="W36" s="25"/>
      <c r="X36" s="25"/>
      <c r="Y36" s="25"/>
      <c r="Z36" s="25"/>
    </row>
    <row r="37" ht="15.0" customHeight="1">
      <c r="A37" s="425" t="s">
        <v>2974</v>
      </c>
      <c r="B37" s="426" t="s">
        <v>2975</v>
      </c>
      <c r="C37" s="426">
        <v>2017.0</v>
      </c>
      <c r="D37" s="500">
        <v>42884.0</v>
      </c>
      <c r="E37" s="428" t="s">
        <v>2976</v>
      </c>
      <c r="F37" s="428" t="s">
        <v>120</v>
      </c>
      <c r="G37" s="397" t="s">
        <v>17</v>
      </c>
      <c r="H37" s="397" t="s">
        <v>573</v>
      </c>
      <c r="I37" s="500">
        <v>44263.0</v>
      </c>
      <c r="J37" s="428">
        <v>3.0</v>
      </c>
      <c r="K37" s="428" t="s">
        <v>2854</v>
      </c>
      <c r="L37" s="428" t="s">
        <v>2855</v>
      </c>
      <c r="M37" s="529">
        <f t="shared" si="1"/>
        <v>1379</v>
      </c>
      <c r="N37" s="25"/>
      <c r="O37" s="322">
        <v>2016.0</v>
      </c>
      <c r="P37" s="346">
        <f>COUNTIF($C$2:$C$564,"2016")</f>
        <v>54</v>
      </c>
      <c r="Q37" s="113"/>
      <c r="R37" s="114"/>
      <c r="S37" s="343">
        <f>(P37/P43)</f>
        <v>0.09608540925</v>
      </c>
      <c r="T37" s="25"/>
      <c r="U37" s="25"/>
      <c r="V37" s="25"/>
      <c r="W37" s="25"/>
      <c r="X37" s="25"/>
      <c r="Y37" s="25"/>
      <c r="Z37" s="25"/>
    </row>
    <row r="38" ht="15.0" customHeight="1">
      <c r="A38" s="419" t="s">
        <v>2977</v>
      </c>
      <c r="B38" s="420" t="s">
        <v>2978</v>
      </c>
      <c r="C38" s="420">
        <v>2017.0</v>
      </c>
      <c r="D38" s="497">
        <v>43063.0</v>
      </c>
      <c r="E38" s="394" t="s">
        <v>2979</v>
      </c>
      <c r="F38" s="422" t="s">
        <v>1108</v>
      </c>
      <c r="G38" s="422" t="s">
        <v>17</v>
      </c>
      <c r="H38" s="394" t="s">
        <v>573</v>
      </c>
      <c r="I38" s="497">
        <v>44263.0</v>
      </c>
      <c r="J38" s="422">
        <v>3.0</v>
      </c>
      <c r="K38" s="422" t="s">
        <v>2854</v>
      </c>
      <c r="L38" s="422" t="s">
        <v>2860</v>
      </c>
      <c r="M38" s="528">
        <f t="shared" si="1"/>
        <v>1200</v>
      </c>
      <c r="N38" s="25"/>
      <c r="O38" s="321">
        <v>2017.0</v>
      </c>
      <c r="P38" s="344">
        <f>COUNTIF($C$2:$C$5646,"2017")</f>
        <v>42</v>
      </c>
      <c r="Q38" s="113"/>
      <c r="R38" s="114"/>
      <c r="S38" s="345">
        <f>(P38/P43)</f>
        <v>0.07473309609</v>
      </c>
      <c r="T38" s="25"/>
      <c r="U38" s="25"/>
      <c r="V38" s="25"/>
      <c r="W38" s="25"/>
      <c r="X38" s="25"/>
      <c r="Y38" s="25"/>
      <c r="Z38" s="25"/>
    </row>
    <row r="39" ht="15.0" customHeight="1">
      <c r="A39" s="425" t="s">
        <v>2980</v>
      </c>
      <c r="B39" s="426" t="s">
        <v>2981</v>
      </c>
      <c r="C39" s="426">
        <v>2020.0</v>
      </c>
      <c r="D39" s="500">
        <v>43964.0</v>
      </c>
      <c r="E39" s="428" t="s">
        <v>2982</v>
      </c>
      <c r="F39" s="428" t="s">
        <v>1554</v>
      </c>
      <c r="G39" s="397" t="s">
        <v>17</v>
      </c>
      <c r="H39" s="397" t="s">
        <v>26</v>
      </c>
      <c r="I39" s="500">
        <v>44263.0</v>
      </c>
      <c r="J39" s="428">
        <v>3.0</v>
      </c>
      <c r="K39" s="428" t="s">
        <v>2854</v>
      </c>
      <c r="L39" s="428" t="s">
        <v>2855</v>
      </c>
      <c r="M39" s="529">
        <f t="shared" si="1"/>
        <v>299</v>
      </c>
      <c r="N39" s="25"/>
      <c r="O39" s="322">
        <v>2018.0</v>
      </c>
      <c r="P39" s="346">
        <f>COUNTIF($C$2:$C$564,"2018")</f>
        <v>74</v>
      </c>
      <c r="Q39" s="113"/>
      <c r="R39" s="114"/>
      <c r="S39" s="343">
        <f>(P39/P43)</f>
        <v>0.1316725979</v>
      </c>
      <c r="T39" s="25"/>
      <c r="U39" s="25"/>
      <c r="V39" s="25"/>
      <c r="W39" s="25"/>
      <c r="X39" s="25"/>
      <c r="Y39" s="25"/>
      <c r="Z39" s="25"/>
    </row>
    <row r="40" ht="15.0" customHeight="1">
      <c r="A40" s="419" t="s">
        <v>2983</v>
      </c>
      <c r="B40" s="420" t="s">
        <v>2984</v>
      </c>
      <c r="C40" s="420">
        <v>2015.0</v>
      </c>
      <c r="D40" s="497">
        <v>42102.0</v>
      </c>
      <c r="E40" s="394" t="s">
        <v>2985</v>
      </c>
      <c r="F40" s="422" t="s">
        <v>1554</v>
      </c>
      <c r="G40" s="422" t="s">
        <v>17</v>
      </c>
      <c r="H40" s="394" t="s">
        <v>583</v>
      </c>
      <c r="I40" s="497">
        <v>44263.0</v>
      </c>
      <c r="J40" s="422">
        <v>3.0</v>
      </c>
      <c r="K40" s="422" t="s">
        <v>2854</v>
      </c>
      <c r="L40" s="422" t="s">
        <v>2855</v>
      </c>
      <c r="M40" s="528">
        <f t="shared" si="1"/>
        <v>2161</v>
      </c>
      <c r="N40" s="25"/>
      <c r="O40" s="321">
        <v>2019.0</v>
      </c>
      <c r="P40" s="344">
        <f>COUNTIF($C$2:$C$564,"2019")</f>
        <v>38</v>
      </c>
      <c r="Q40" s="113"/>
      <c r="R40" s="114"/>
      <c r="S40" s="345">
        <f>(P40/P43)</f>
        <v>0.06761565836</v>
      </c>
      <c r="T40" s="25"/>
      <c r="U40" s="25"/>
      <c r="V40" s="25"/>
      <c r="W40" s="25"/>
      <c r="X40" s="25"/>
      <c r="Y40" s="25"/>
      <c r="Z40" s="25"/>
    </row>
    <row r="41" ht="15.0" customHeight="1">
      <c r="A41" s="425" t="s">
        <v>2986</v>
      </c>
      <c r="B41" s="426" t="s">
        <v>2987</v>
      </c>
      <c r="C41" s="426">
        <v>2019.0</v>
      </c>
      <c r="D41" s="500">
        <v>43522.0</v>
      </c>
      <c r="E41" s="428" t="s">
        <v>2988</v>
      </c>
      <c r="F41" s="428" t="s">
        <v>120</v>
      </c>
      <c r="G41" s="397" t="s">
        <v>17</v>
      </c>
      <c r="H41" s="397" t="s">
        <v>149</v>
      </c>
      <c r="I41" s="500">
        <v>44263.0</v>
      </c>
      <c r="J41" s="428">
        <v>3.0</v>
      </c>
      <c r="K41" s="428" t="s">
        <v>2854</v>
      </c>
      <c r="L41" s="428" t="s">
        <v>2855</v>
      </c>
      <c r="M41" s="529">
        <f t="shared" si="1"/>
        <v>741</v>
      </c>
      <c r="N41" s="25"/>
      <c r="O41" s="322">
        <v>2020.0</v>
      </c>
      <c r="P41" s="346">
        <f>COUNTIF($C$2:$C$564,"2020")</f>
        <v>77</v>
      </c>
      <c r="Q41" s="113"/>
      <c r="R41" s="114"/>
      <c r="S41" s="343">
        <f>(P41/P43)</f>
        <v>0.1370106762</v>
      </c>
      <c r="T41" s="25"/>
      <c r="U41" s="25"/>
      <c r="V41" s="25"/>
      <c r="W41" s="25"/>
      <c r="X41" s="25"/>
      <c r="Y41" s="25"/>
      <c r="Z41" s="25"/>
    </row>
    <row r="42" ht="15.0" customHeight="1">
      <c r="A42" s="419" t="s">
        <v>2989</v>
      </c>
      <c r="B42" s="420" t="s">
        <v>2990</v>
      </c>
      <c r="C42" s="420">
        <v>2014.0</v>
      </c>
      <c r="D42" s="497">
        <v>41948.0</v>
      </c>
      <c r="E42" s="394" t="s">
        <v>2991</v>
      </c>
      <c r="F42" s="422" t="s">
        <v>120</v>
      </c>
      <c r="G42" s="422" t="s">
        <v>17</v>
      </c>
      <c r="H42" s="394" t="s">
        <v>130</v>
      </c>
      <c r="I42" s="497">
        <v>44263.0</v>
      </c>
      <c r="J42" s="422">
        <v>3.0</v>
      </c>
      <c r="K42" s="422" t="s">
        <v>2854</v>
      </c>
      <c r="L42" s="422" t="s">
        <v>2855</v>
      </c>
      <c r="M42" s="528">
        <f t="shared" si="1"/>
        <v>2315</v>
      </c>
      <c r="N42" s="25"/>
      <c r="O42" s="321">
        <v>2021.0</v>
      </c>
      <c r="P42" s="344">
        <f>COUNTIF($C$2:$C$564,"2021")</f>
        <v>44</v>
      </c>
      <c r="Q42" s="113"/>
      <c r="R42" s="114"/>
      <c r="S42" s="345">
        <f>(P42/P43)</f>
        <v>0.07829181495</v>
      </c>
      <c r="T42" s="25"/>
      <c r="U42" s="25"/>
      <c r="V42" s="25"/>
      <c r="W42" s="25"/>
      <c r="X42" s="25"/>
      <c r="Y42" s="25"/>
      <c r="Z42" s="25"/>
    </row>
    <row r="43" ht="15.0" customHeight="1">
      <c r="A43" s="425" t="s">
        <v>2992</v>
      </c>
      <c r="B43" s="426" t="s">
        <v>2993</v>
      </c>
      <c r="C43" s="426">
        <v>2020.0</v>
      </c>
      <c r="D43" s="500">
        <v>44133.0</v>
      </c>
      <c r="E43" s="428" t="s">
        <v>2994</v>
      </c>
      <c r="F43" s="428" t="s">
        <v>1985</v>
      </c>
      <c r="G43" s="397" t="s">
        <v>17</v>
      </c>
      <c r="H43" s="397" t="s">
        <v>153</v>
      </c>
      <c r="I43" s="500">
        <v>44263.0</v>
      </c>
      <c r="J43" s="428">
        <v>3.0</v>
      </c>
      <c r="K43" s="428" t="s">
        <v>2854</v>
      </c>
      <c r="L43" s="428" t="s">
        <v>2860</v>
      </c>
      <c r="M43" s="529">
        <f t="shared" si="1"/>
        <v>130</v>
      </c>
      <c r="N43" s="25"/>
      <c r="O43" s="348" t="s">
        <v>179</v>
      </c>
      <c r="P43" s="349">
        <f>SUM(P29:R42)</f>
        <v>562</v>
      </c>
      <c r="Q43" s="350"/>
      <c r="R43" s="351"/>
      <c r="S43" s="352">
        <f>SUM(S29:S42)</f>
        <v>1</v>
      </c>
      <c r="T43" s="25"/>
      <c r="U43" s="25"/>
      <c r="V43" s="25"/>
      <c r="W43" s="25"/>
      <c r="X43" s="25"/>
      <c r="Y43" s="25"/>
      <c r="Z43" s="25"/>
    </row>
    <row r="44" ht="15.0" customHeight="1">
      <c r="A44" s="419" t="s">
        <v>2995</v>
      </c>
      <c r="B44" s="420" t="s">
        <v>2996</v>
      </c>
      <c r="C44" s="420">
        <v>2019.0</v>
      </c>
      <c r="D44" s="497">
        <v>43495.0</v>
      </c>
      <c r="E44" s="394" t="s">
        <v>2997</v>
      </c>
      <c r="F44" s="422" t="s">
        <v>120</v>
      </c>
      <c r="G44" s="422" t="s">
        <v>17</v>
      </c>
      <c r="H44" s="394" t="s">
        <v>2998</v>
      </c>
      <c r="I44" s="497">
        <v>44263.0</v>
      </c>
      <c r="J44" s="422">
        <v>3.0</v>
      </c>
      <c r="K44" s="422" t="s">
        <v>2854</v>
      </c>
      <c r="L44" s="422" t="s">
        <v>2855</v>
      </c>
      <c r="M44" s="528">
        <f t="shared" si="1"/>
        <v>768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5.0" customHeight="1">
      <c r="A45" s="425" t="s">
        <v>2999</v>
      </c>
      <c r="B45" s="426" t="s">
        <v>3000</v>
      </c>
      <c r="C45" s="426">
        <v>2018.0</v>
      </c>
      <c r="D45" s="500">
        <v>43438.0</v>
      </c>
      <c r="E45" s="428" t="s">
        <v>3001</v>
      </c>
      <c r="F45" s="428" t="s">
        <v>120</v>
      </c>
      <c r="G45" s="397" t="s">
        <v>17</v>
      </c>
      <c r="H45" s="397" t="s">
        <v>130</v>
      </c>
      <c r="I45" s="500">
        <v>44263.0</v>
      </c>
      <c r="J45" s="428">
        <v>3.0</v>
      </c>
      <c r="K45" s="428" t="s">
        <v>2854</v>
      </c>
      <c r="L45" s="428" t="s">
        <v>2855</v>
      </c>
      <c r="M45" s="529">
        <f t="shared" si="1"/>
        <v>825</v>
      </c>
      <c r="N45" s="25"/>
      <c r="O45" s="327" t="s">
        <v>692</v>
      </c>
      <c r="P45" s="102"/>
      <c r="Q45" s="102"/>
      <c r="R45" s="102"/>
      <c r="S45" s="103"/>
      <c r="T45" s="25"/>
      <c r="U45" s="25"/>
      <c r="V45" s="25"/>
      <c r="W45" s="25"/>
      <c r="X45" s="25"/>
      <c r="Y45" s="25"/>
      <c r="Z45" s="25"/>
    </row>
    <row r="46" ht="15.0" customHeight="1">
      <c r="A46" s="419" t="s">
        <v>3002</v>
      </c>
      <c r="B46" s="420" t="s">
        <v>3003</v>
      </c>
      <c r="C46" s="420">
        <v>2020.0</v>
      </c>
      <c r="D46" s="497">
        <v>43878.0</v>
      </c>
      <c r="E46" s="394" t="s">
        <v>3004</v>
      </c>
      <c r="F46" s="422" t="s">
        <v>3005</v>
      </c>
      <c r="G46" s="422" t="s">
        <v>17</v>
      </c>
      <c r="H46" s="394" t="s">
        <v>3006</v>
      </c>
      <c r="I46" s="497">
        <v>44263.0</v>
      </c>
      <c r="J46" s="422">
        <v>3.0</v>
      </c>
      <c r="K46" s="422" t="s">
        <v>2854</v>
      </c>
      <c r="L46" s="422" t="s">
        <v>2860</v>
      </c>
      <c r="M46" s="528">
        <f t="shared" si="1"/>
        <v>385</v>
      </c>
      <c r="N46" s="25"/>
      <c r="O46" s="104"/>
      <c r="P46" s="105"/>
      <c r="Q46" s="105"/>
      <c r="R46" s="105"/>
      <c r="S46" s="106"/>
      <c r="T46" s="25"/>
      <c r="U46" s="25"/>
      <c r="V46" s="25"/>
      <c r="W46" s="25"/>
      <c r="X46" s="25"/>
      <c r="Y46" s="25"/>
      <c r="Z46" s="25"/>
    </row>
    <row r="47" ht="15.0" customHeight="1">
      <c r="A47" s="425" t="s">
        <v>3007</v>
      </c>
      <c r="B47" s="426" t="s">
        <v>3008</v>
      </c>
      <c r="C47" s="426">
        <v>2017.0</v>
      </c>
      <c r="D47" s="500">
        <v>43095.0</v>
      </c>
      <c r="E47" s="428" t="s">
        <v>3009</v>
      </c>
      <c r="F47" s="428" t="s">
        <v>120</v>
      </c>
      <c r="G47" s="397" t="s">
        <v>17</v>
      </c>
      <c r="H47" s="397" t="s">
        <v>573</v>
      </c>
      <c r="I47" s="500">
        <v>44263.0</v>
      </c>
      <c r="J47" s="428">
        <v>3.0</v>
      </c>
      <c r="K47" s="428" t="s">
        <v>2854</v>
      </c>
      <c r="L47" s="428" t="s">
        <v>2855</v>
      </c>
      <c r="M47" s="529">
        <f t="shared" si="1"/>
        <v>1168</v>
      </c>
      <c r="N47" s="25"/>
      <c r="O47" s="337" t="s">
        <v>9</v>
      </c>
      <c r="P47" s="338" t="s">
        <v>107</v>
      </c>
      <c r="Q47" s="339"/>
      <c r="R47" s="340"/>
      <c r="S47" s="341" t="s">
        <v>108</v>
      </c>
      <c r="T47" s="25"/>
      <c r="U47" s="25"/>
      <c r="V47" s="25"/>
      <c r="W47" s="25"/>
      <c r="X47" s="25"/>
      <c r="Y47" s="25"/>
      <c r="Z47" s="25"/>
    </row>
    <row r="48" ht="15.0" customHeight="1">
      <c r="A48" s="419" t="s">
        <v>3010</v>
      </c>
      <c r="B48" s="420" t="s">
        <v>3011</v>
      </c>
      <c r="C48" s="420">
        <v>2015.0</v>
      </c>
      <c r="D48" s="497">
        <v>42184.0</v>
      </c>
      <c r="E48" s="394" t="s">
        <v>3012</v>
      </c>
      <c r="F48" s="422" t="s">
        <v>3013</v>
      </c>
      <c r="G48" s="422" t="s">
        <v>17</v>
      </c>
      <c r="H48" s="394" t="s">
        <v>50</v>
      </c>
      <c r="I48" s="497">
        <v>44263.0</v>
      </c>
      <c r="J48" s="422">
        <v>3.0</v>
      </c>
      <c r="K48" s="422" t="s">
        <v>2854</v>
      </c>
      <c r="L48" s="422" t="s">
        <v>2860</v>
      </c>
      <c r="M48" s="528">
        <f t="shared" si="1"/>
        <v>2079</v>
      </c>
      <c r="N48" s="25"/>
      <c r="O48" s="353" t="s">
        <v>195</v>
      </c>
      <c r="P48" s="342">
        <f>COUNTIF($J$2:$J$564,"1")</f>
        <v>76</v>
      </c>
      <c r="Q48" s="332"/>
      <c r="R48" s="333"/>
      <c r="S48" s="354">
        <f>(P48/P60)</f>
        <v>0.1352313167</v>
      </c>
      <c r="T48" s="25"/>
      <c r="U48" s="25"/>
      <c r="V48" s="25"/>
      <c r="W48" s="25"/>
      <c r="X48" s="25"/>
      <c r="Y48" s="25"/>
      <c r="Z48" s="25"/>
    </row>
    <row r="49" ht="15.0" customHeight="1">
      <c r="A49" s="425" t="s">
        <v>3014</v>
      </c>
      <c r="B49" s="426" t="s">
        <v>3015</v>
      </c>
      <c r="C49" s="426">
        <v>2016.0</v>
      </c>
      <c r="D49" s="500">
        <v>42510.0</v>
      </c>
      <c r="E49" s="428" t="s">
        <v>3016</v>
      </c>
      <c r="F49" s="428" t="s">
        <v>1464</v>
      </c>
      <c r="G49" s="397" t="s">
        <v>17</v>
      </c>
      <c r="H49" s="397" t="s">
        <v>26</v>
      </c>
      <c r="I49" s="500">
        <v>44263.0</v>
      </c>
      <c r="J49" s="428">
        <v>3.0</v>
      </c>
      <c r="K49" s="428" t="s">
        <v>2854</v>
      </c>
      <c r="L49" s="428" t="s">
        <v>2860</v>
      </c>
      <c r="M49" s="529">
        <f t="shared" si="1"/>
        <v>1753</v>
      </c>
      <c r="N49" s="25"/>
      <c r="O49" s="321" t="s">
        <v>197</v>
      </c>
      <c r="P49" s="344">
        <f>COUNTIF($J$2:$J$564,"2")</f>
        <v>18</v>
      </c>
      <c r="Q49" s="113"/>
      <c r="R49" s="114"/>
      <c r="S49" s="345">
        <f>(P49/P60)</f>
        <v>0.03202846975</v>
      </c>
      <c r="T49" s="25"/>
      <c r="U49" s="25"/>
      <c r="V49" s="25"/>
      <c r="W49" s="25"/>
      <c r="X49" s="25"/>
      <c r="Y49" s="25"/>
      <c r="Z49" s="25"/>
    </row>
    <row r="50" ht="15.0" customHeight="1">
      <c r="A50" s="419" t="s">
        <v>3017</v>
      </c>
      <c r="B50" s="420" t="s">
        <v>3018</v>
      </c>
      <c r="C50" s="420">
        <v>2015.0</v>
      </c>
      <c r="D50" s="497">
        <v>42082.0</v>
      </c>
      <c r="E50" s="394" t="s">
        <v>3019</v>
      </c>
      <c r="F50" s="422" t="s">
        <v>71</v>
      </c>
      <c r="G50" s="422" t="s">
        <v>17</v>
      </c>
      <c r="H50" s="394" t="s">
        <v>26</v>
      </c>
      <c r="I50" s="497">
        <v>44263.0</v>
      </c>
      <c r="J50" s="422">
        <v>3.0</v>
      </c>
      <c r="K50" s="422" t="s">
        <v>2854</v>
      </c>
      <c r="L50" s="422" t="s">
        <v>2855</v>
      </c>
      <c r="M50" s="528">
        <f t="shared" si="1"/>
        <v>2181</v>
      </c>
      <c r="N50" s="25"/>
      <c r="O50" s="322" t="s">
        <v>199</v>
      </c>
      <c r="P50" s="346">
        <f>COUNTIF($J$2:$J$564,"3")</f>
        <v>54</v>
      </c>
      <c r="Q50" s="113"/>
      <c r="R50" s="114"/>
      <c r="S50" s="343">
        <f>(P50/P60)</f>
        <v>0.09608540925</v>
      </c>
      <c r="T50" s="25"/>
      <c r="U50" s="25"/>
      <c r="V50" s="25"/>
      <c r="W50" s="25"/>
      <c r="X50" s="25"/>
      <c r="Y50" s="25"/>
      <c r="Z50" s="25"/>
    </row>
    <row r="51" ht="15.0" customHeight="1">
      <c r="A51" s="425" t="s">
        <v>3020</v>
      </c>
      <c r="B51" s="426" t="s">
        <v>3021</v>
      </c>
      <c r="C51" s="426">
        <v>2018.0</v>
      </c>
      <c r="D51" s="500">
        <v>43434.0</v>
      </c>
      <c r="E51" s="428" t="s">
        <v>3022</v>
      </c>
      <c r="F51" s="428" t="s">
        <v>1460</v>
      </c>
      <c r="G51" s="397" t="s">
        <v>17</v>
      </c>
      <c r="H51" s="397" t="s">
        <v>573</v>
      </c>
      <c r="I51" s="500">
        <v>44263.0</v>
      </c>
      <c r="J51" s="428">
        <v>3.0</v>
      </c>
      <c r="K51" s="428" t="s">
        <v>2854</v>
      </c>
      <c r="L51" s="428" t="s">
        <v>2855</v>
      </c>
      <c r="M51" s="529">
        <f t="shared" si="1"/>
        <v>829</v>
      </c>
      <c r="N51" s="25"/>
      <c r="O51" s="321" t="s">
        <v>201</v>
      </c>
      <c r="P51" s="344">
        <f>COUNTIF($J$2:$J$564,"4")</f>
        <v>35</v>
      </c>
      <c r="Q51" s="113"/>
      <c r="R51" s="114"/>
      <c r="S51" s="345">
        <f>(P51/P60)</f>
        <v>0.06227758007</v>
      </c>
      <c r="T51" s="25"/>
      <c r="U51" s="25"/>
      <c r="V51" s="25"/>
      <c r="W51" s="25"/>
      <c r="X51" s="25"/>
      <c r="Y51" s="25"/>
      <c r="Z51" s="25"/>
    </row>
    <row r="52" ht="15.0" customHeight="1">
      <c r="A52" s="419" t="s">
        <v>3023</v>
      </c>
      <c r="B52" s="420" t="s">
        <v>3024</v>
      </c>
      <c r="C52" s="420">
        <v>2019.0</v>
      </c>
      <c r="D52" s="497">
        <v>43580.0</v>
      </c>
      <c r="E52" s="394" t="s">
        <v>3025</v>
      </c>
      <c r="F52" s="422" t="s">
        <v>55</v>
      </c>
      <c r="G52" s="422" t="s">
        <v>17</v>
      </c>
      <c r="H52" s="394" t="s">
        <v>3026</v>
      </c>
      <c r="I52" s="497">
        <v>44263.0</v>
      </c>
      <c r="J52" s="422">
        <v>3.0</v>
      </c>
      <c r="K52" s="422" t="s">
        <v>2854</v>
      </c>
      <c r="L52" s="422" t="s">
        <v>2860</v>
      </c>
      <c r="M52" s="528">
        <f t="shared" si="1"/>
        <v>683</v>
      </c>
      <c r="N52" s="25"/>
      <c r="O52" s="322" t="s">
        <v>203</v>
      </c>
      <c r="P52" s="346">
        <f>COUNTIF($J$2:$J$564,"5")</f>
        <v>75</v>
      </c>
      <c r="Q52" s="113"/>
      <c r="R52" s="114"/>
      <c r="S52" s="343">
        <f>(P52/P60)</f>
        <v>0.1334519573</v>
      </c>
      <c r="T52" s="25"/>
      <c r="U52" s="25"/>
      <c r="V52" s="25"/>
      <c r="W52" s="25"/>
      <c r="X52" s="25"/>
      <c r="Y52" s="25"/>
      <c r="Z52" s="25"/>
    </row>
    <row r="53" ht="15.0" customHeight="1">
      <c r="A53" s="425" t="s">
        <v>3027</v>
      </c>
      <c r="B53" s="426" t="s">
        <v>3028</v>
      </c>
      <c r="C53" s="426">
        <v>2020.0</v>
      </c>
      <c r="D53" s="500">
        <v>44103.0</v>
      </c>
      <c r="E53" s="428" t="s">
        <v>3029</v>
      </c>
      <c r="F53" s="428" t="s">
        <v>1232</v>
      </c>
      <c r="G53" s="397" t="s">
        <v>17</v>
      </c>
      <c r="H53" s="397" t="s">
        <v>149</v>
      </c>
      <c r="I53" s="500">
        <v>44279.0</v>
      </c>
      <c r="J53" s="428">
        <v>3.0</v>
      </c>
      <c r="K53" s="428" t="s">
        <v>2854</v>
      </c>
      <c r="L53" s="428" t="s">
        <v>2860</v>
      </c>
      <c r="M53" s="529">
        <f t="shared" si="1"/>
        <v>176</v>
      </c>
      <c r="N53" s="25"/>
      <c r="O53" s="321" t="s">
        <v>205</v>
      </c>
      <c r="P53" s="344">
        <f>COUNTIF($J$2:$J$564,"6")</f>
        <v>34</v>
      </c>
      <c r="Q53" s="113"/>
      <c r="R53" s="114"/>
      <c r="S53" s="345">
        <f>(P53/P60)</f>
        <v>0.06049822064</v>
      </c>
      <c r="T53" s="25"/>
      <c r="U53" s="25"/>
      <c r="V53" s="25"/>
      <c r="W53" s="25"/>
      <c r="X53" s="25"/>
      <c r="Y53" s="25"/>
      <c r="Z53" s="25"/>
    </row>
    <row r="54" ht="15.0" customHeight="1">
      <c r="A54" s="419" t="s">
        <v>3030</v>
      </c>
      <c r="B54" s="420" t="s">
        <v>3031</v>
      </c>
      <c r="C54" s="420">
        <v>2020.0</v>
      </c>
      <c r="D54" s="497">
        <v>44132.0</v>
      </c>
      <c r="E54" s="394" t="s">
        <v>3032</v>
      </c>
      <c r="F54" s="422" t="s">
        <v>2873</v>
      </c>
      <c r="G54" s="422" t="s">
        <v>17</v>
      </c>
      <c r="H54" s="394" t="s">
        <v>149</v>
      </c>
      <c r="I54" s="497">
        <v>44284.0</v>
      </c>
      <c r="J54" s="422">
        <v>3.0</v>
      </c>
      <c r="K54" s="422" t="s">
        <v>2854</v>
      </c>
      <c r="L54" s="422" t="s">
        <v>2855</v>
      </c>
      <c r="M54" s="528">
        <f t="shared" si="1"/>
        <v>152</v>
      </c>
      <c r="N54" s="25"/>
      <c r="O54" s="322" t="s">
        <v>207</v>
      </c>
      <c r="P54" s="346">
        <f>COUNTIF($J$2:$J$564,"7")</f>
        <v>77</v>
      </c>
      <c r="Q54" s="113"/>
      <c r="R54" s="114"/>
      <c r="S54" s="343">
        <f>(P54/P60)</f>
        <v>0.1370106762</v>
      </c>
      <c r="T54" s="25"/>
      <c r="U54" s="25"/>
      <c r="V54" s="25"/>
      <c r="W54" s="25"/>
      <c r="X54" s="25"/>
      <c r="Y54" s="25"/>
      <c r="Z54" s="25"/>
    </row>
    <row r="55" ht="15.0" customHeight="1">
      <c r="A55" s="425" t="s">
        <v>3033</v>
      </c>
      <c r="B55" s="426" t="s">
        <v>3034</v>
      </c>
      <c r="C55" s="426">
        <v>2015.0</v>
      </c>
      <c r="D55" s="500">
        <v>42199.0</v>
      </c>
      <c r="E55" s="428" t="s">
        <v>3035</v>
      </c>
      <c r="F55" s="428" t="s">
        <v>3013</v>
      </c>
      <c r="G55" s="397" t="s">
        <v>17</v>
      </c>
      <c r="H55" s="397" t="s">
        <v>583</v>
      </c>
      <c r="I55" s="500">
        <v>44284.0</v>
      </c>
      <c r="J55" s="428">
        <v>3.0</v>
      </c>
      <c r="K55" s="428" t="s">
        <v>2854</v>
      </c>
      <c r="L55" s="428" t="s">
        <v>2860</v>
      </c>
      <c r="M55" s="529">
        <f t="shared" si="1"/>
        <v>2085</v>
      </c>
      <c r="N55" s="42"/>
      <c r="O55" s="321" t="s">
        <v>209</v>
      </c>
      <c r="P55" s="344">
        <f>COUNTIF($J$2:$J$564,"8")</f>
        <v>29</v>
      </c>
      <c r="Q55" s="113"/>
      <c r="R55" s="114"/>
      <c r="S55" s="345">
        <f>(P55/P60)</f>
        <v>0.05160142349</v>
      </c>
      <c r="T55" s="25"/>
      <c r="U55" s="25"/>
      <c r="V55" s="25"/>
      <c r="W55" s="25"/>
      <c r="X55" s="25"/>
      <c r="Y55" s="25"/>
      <c r="Z55" s="25"/>
    </row>
    <row r="56" ht="15.0" customHeight="1">
      <c r="A56" s="419" t="s">
        <v>3036</v>
      </c>
      <c r="B56" s="420" t="s">
        <v>3037</v>
      </c>
      <c r="C56" s="420">
        <v>2017.0</v>
      </c>
      <c r="D56" s="497">
        <v>43063.0</v>
      </c>
      <c r="E56" s="394" t="s">
        <v>3038</v>
      </c>
      <c r="F56" s="422" t="s">
        <v>1464</v>
      </c>
      <c r="G56" s="422" t="s">
        <v>17</v>
      </c>
      <c r="H56" s="394" t="s">
        <v>18</v>
      </c>
      <c r="I56" s="497">
        <v>44284.0</v>
      </c>
      <c r="J56" s="422">
        <v>3.0</v>
      </c>
      <c r="K56" s="422" t="s">
        <v>2854</v>
      </c>
      <c r="L56" s="422" t="s">
        <v>2860</v>
      </c>
      <c r="M56" s="528">
        <f t="shared" si="1"/>
        <v>1221</v>
      </c>
      <c r="N56" s="25"/>
      <c r="O56" s="322" t="s">
        <v>211</v>
      </c>
      <c r="P56" s="346">
        <f>COUNTIF($J$2:$J$564,"9")</f>
        <v>43</v>
      </c>
      <c r="Q56" s="113"/>
      <c r="R56" s="114"/>
      <c r="S56" s="343">
        <f>(P56/P60)</f>
        <v>0.07651245552</v>
      </c>
      <c r="T56" s="25"/>
      <c r="U56" s="25"/>
      <c r="V56" s="25"/>
      <c r="W56" s="25"/>
      <c r="X56" s="25"/>
      <c r="Y56" s="25"/>
      <c r="Z56" s="25"/>
    </row>
    <row r="57" ht="15.0" customHeight="1">
      <c r="A57" s="425" t="s">
        <v>3039</v>
      </c>
      <c r="B57" s="426" t="s">
        <v>3040</v>
      </c>
      <c r="C57" s="426">
        <v>2021.0</v>
      </c>
      <c r="D57" s="500">
        <v>43895.0</v>
      </c>
      <c r="E57" s="428" t="s">
        <v>3041</v>
      </c>
      <c r="F57" s="428" t="s">
        <v>874</v>
      </c>
      <c r="G57" s="397" t="s">
        <v>17</v>
      </c>
      <c r="H57" s="397" t="s">
        <v>149</v>
      </c>
      <c r="I57" s="500">
        <v>44292.0</v>
      </c>
      <c r="J57" s="428">
        <v>4.0</v>
      </c>
      <c r="K57" s="428" t="s">
        <v>2854</v>
      </c>
      <c r="L57" s="428" t="s">
        <v>2860</v>
      </c>
      <c r="M57" s="529">
        <f t="shared" si="1"/>
        <v>397</v>
      </c>
      <c r="N57" s="25"/>
      <c r="O57" s="321" t="s">
        <v>213</v>
      </c>
      <c r="P57" s="344">
        <f>COUNTIF($J$2:$J$564,"10")</f>
        <v>40</v>
      </c>
      <c r="Q57" s="113"/>
      <c r="R57" s="114"/>
      <c r="S57" s="345">
        <f>(P57/P60)</f>
        <v>0.07117437722</v>
      </c>
      <c r="T57" s="25"/>
      <c r="U57" s="25"/>
      <c r="V57" s="25"/>
      <c r="W57" s="25"/>
      <c r="X57" s="25"/>
      <c r="Y57" s="25"/>
      <c r="Z57" s="25"/>
    </row>
    <row r="58" ht="15.0" customHeight="1">
      <c r="A58" s="419" t="s">
        <v>3042</v>
      </c>
      <c r="B58" s="420" t="s">
        <v>3043</v>
      </c>
      <c r="C58" s="420">
        <v>2013.0</v>
      </c>
      <c r="D58" s="497">
        <v>41627.0</v>
      </c>
      <c r="E58" s="394" t="s">
        <v>3044</v>
      </c>
      <c r="F58" s="422" t="s">
        <v>3045</v>
      </c>
      <c r="G58" s="422" t="s">
        <v>34</v>
      </c>
      <c r="H58" s="394" t="s">
        <v>2964</v>
      </c>
      <c r="I58" s="497">
        <v>44292.0</v>
      </c>
      <c r="J58" s="422">
        <v>4.0</v>
      </c>
      <c r="K58" s="530" t="s">
        <v>822</v>
      </c>
      <c r="L58" s="422" t="s">
        <v>2855</v>
      </c>
      <c r="M58" s="528">
        <f t="shared" si="1"/>
        <v>2665</v>
      </c>
      <c r="N58" s="25"/>
      <c r="O58" s="322" t="s">
        <v>215</v>
      </c>
      <c r="P58" s="346">
        <f>COUNTIF($J$2:$J$564,"11")</f>
        <v>27</v>
      </c>
      <c r="Q58" s="113"/>
      <c r="R58" s="114"/>
      <c r="S58" s="343">
        <f>(P58/P60)</f>
        <v>0.04804270463</v>
      </c>
      <c r="T58" s="25"/>
      <c r="U58" s="25"/>
      <c r="V58" s="25"/>
      <c r="W58" s="25"/>
      <c r="X58" s="25"/>
      <c r="Y58" s="25"/>
      <c r="Z58" s="25"/>
    </row>
    <row r="59" ht="15.0" customHeight="1">
      <c r="A59" s="425" t="s">
        <v>3046</v>
      </c>
      <c r="B59" s="426" t="s">
        <v>3047</v>
      </c>
      <c r="C59" s="426">
        <v>2020.0</v>
      </c>
      <c r="D59" s="500">
        <v>44123.0</v>
      </c>
      <c r="E59" s="428" t="s">
        <v>3048</v>
      </c>
      <c r="F59" s="428" t="s">
        <v>2233</v>
      </c>
      <c r="G59" s="397" t="s">
        <v>17</v>
      </c>
      <c r="H59" s="397" t="s">
        <v>573</v>
      </c>
      <c r="I59" s="500">
        <v>44292.0</v>
      </c>
      <c r="J59" s="428">
        <v>4.0</v>
      </c>
      <c r="K59" s="428" t="s">
        <v>2854</v>
      </c>
      <c r="L59" s="428" t="s">
        <v>2860</v>
      </c>
      <c r="M59" s="529">
        <f t="shared" si="1"/>
        <v>169</v>
      </c>
      <c r="N59" s="25"/>
      <c r="O59" s="355" t="s">
        <v>217</v>
      </c>
      <c r="P59" s="344">
        <f>COUNTIF($J$2:$J$564,"12")</f>
        <v>54</v>
      </c>
      <c r="Q59" s="113"/>
      <c r="R59" s="114"/>
      <c r="S59" s="356">
        <f>(P59/P60)</f>
        <v>0.09608540925</v>
      </c>
      <c r="T59" s="25"/>
      <c r="U59" s="25"/>
      <c r="V59" s="25"/>
      <c r="W59" s="25"/>
      <c r="X59" s="25"/>
      <c r="Y59" s="25"/>
      <c r="Z59" s="25"/>
    </row>
    <row r="60" ht="15.0" customHeight="1">
      <c r="A60" s="419" t="s">
        <v>3049</v>
      </c>
      <c r="B60" s="420" t="s">
        <v>3050</v>
      </c>
      <c r="C60" s="420">
        <v>2019.0</v>
      </c>
      <c r="D60" s="497">
        <v>43570.0</v>
      </c>
      <c r="E60" s="394" t="s">
        <v>3051</v>
      </c>
      <c r="F60" s="422" t="s">
        <v>874</v>
      </c>
      <c r="G60" s="422" t="s">
        <v>17</v>
      </c>
      <c r="H60" s="394" t="s">
        <v>130</v>
      </c>
      <c r="I60" s="497">
        <v>44292.0</v>
      </c>
      <c r="J60" s="422">
        <v>4.0</v>
      </c>
      <c r="K60" s="422" t="s">
        <v>2854</v>
      </c>
      <c r="L60" s="422" t="s">
        <v>2855</v>
      </c>
      <c r="M60" s="528">
        <f t="shared" si="1"/>
        <v>722</v>
      </c>
      <c r="N60" s="25"/>
      <c r="O60" s="348" t="s">
        <v>219</v>
      </c>
      <c r="P60" s="349">
        <f>SUM(P48:R59)</f>
        <v>562</v>
      </c>
      <c r="Q60" s="350"/>
      <c r="R60" s="351"/>
      <c r="S60" s="352">
        <f>SUM(S48:S59)</f>
        <v>1</v>
      </c>
      <c r="T60" s="25"/>
      <c r="U60" s="25"/>
      <c r="V60" s="25"/>
      <c r="W60" s="25"/>
      <c r="X60" s="25"/>
      <c r="Y60" s="25"/>
      <c r="Z60" s="25"/>
    </row>
    <row r="61" ht="15.0" customHeight="1">
      <c r="A61" s="425" t="s">
        <v>3052</v>
      </c>
      <c r="B61" s="426" t="s">
        <v>3053</v>
      </c>
      <c r="C61" s="426">
        <v>2020.0</v>
      </c>
      <c r="D61" s="500">
        <v>44127.0</v>
      </c>
      <c r="E61" s="428" t="s">
        <v>3054</v>
      </c>
      <c r="F61" s="428" t="s">
        <v>1170</v>
      </c>
      <c r="G61" s="397" t="s">
        <v>17</v>
      </c>
      <c r="H61" s="397" t="s">
        <v>1091</v>
      </c>
      <c r="I61" s="500">
        <v>44294.0</v>
      </c>
      <c r="J61" s="428">
        <v>4.0</v>
      </c>
      <c r="K61" s="428" t="s">
        <v>2854</v>
      </c>
      <c r="L61" s="428" t="s">
        <v>2860</v>
      </c>
      <c r="M61" s="529">
        <f t="shared" si="1"/>
        <v>167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0" customHeight="1">
      <c r="A62" s="419" t="s">
        <v>3055</v>
      </c>
      <c r="B62" s="420" t="s">
        <v>3056</v>
      </c>
      <c r="C62" s="420">
        <v>2016.0</v>
      </c>
      <c r="D62" s="497">
        <v>42451.0</v>
      </c>
      <c r="E62" s="394" t="s">
        <v>3057</v>
      </c>
      <c r="F62" s="422" t="s">
        <v>2667</v>
      </c>
      <c r="G62" s="422" t="s">
        <v>17</v>
      </c>
      <c r="H62" s="394" t="s">
        <v>583</v>
      </c>
      <c r="I62" s="497">
        <v>44294.0</v>
      </c>
      <c r="J62" s="422">
        <v>4.0</v>
      </c>
      <c r="K62" s="422" t="s">
        <v>2854</v>
      </c>
      <c r="L62" s="422" t="s">
        <v>2855</v>
      </c>
      <c r="M62" s="528">
        <f t="shared" si="1"/>
        <v>1843</v>
      </c>
      <c r="N62" s="25"/>
      <c r="O62" s="357" t="s">
        <v>222</v>
      </c>
      <c r="P62" s="102"/>
      <c r="Q62" s="102"/>
      <c r="R62" s="102"/>
      <c r="S62" s="102"/>
      <c r="T62" s="103"/>
      <c r="U62" s="25"/>
      <c r="V62" s="25"/>
      <c r="W62" s="25"/>
      <c r="X62" s="25"/>
      <c r="Y62" s="25"/>
      <c r="Z62" s="25"/>
    </row>
    <row r="63" ht="15.0" customHeight="1">
      <c r="A63" s="425" t="s">
        <v>3058</v>
      </c>
      <c r="B63" s="426" t="s">
        <v>3059</v>
      </c>
      <c r="C63" s="426">
        <v>2018.0</v>
      </c>
      <c r="D63" s="500">
        <v>43238.0</v>
      </c>
      <c r="E63" s="428" t="s">
        <v>3060</v>
      </c>
      <c r="F63" s="428" t="s">
        <v>3061</v>
      </c>
      <c r="G63" s="397" t="s">
        <v>17</v>
      </c>
      <c r="H63" s="397" t="s">
        <v>990</v>
      </c>
      <c r="I63" s="500">
        <v>44315.0</v>
      </c>
      <c r="J63" s="428">
        <v>4.0</v>
      </c>
      <c r="K63" s="428" t="s">
        <v>2854</v>
      </c>
      <c r="L63" s="428" t="s">
        <v>2855</v>
      </c>
      <c r="M63" s="529">
        <f t="shared" si="1"/>
        <v>1077</v>
      </c>
      <c r="N63" s="25"/>
      <c r="O63" s="104"/>
      <c r="P63" s="105"/>
      <c r="Q63" s="105"/>
      <c r="R63" s="105"/>
      <c r="S63" s="105"/>
      <c r="T63" s="106"/>
      <c r="U63" s="25"/>
      <c r="V63" s="25"/>
      <c r="W63" s="25"/>
      <c r="X63" s="25"/>
      <c r="Y63" s="25"/>
      <c r="Z63" s="25"/>
    </row>
    <row r="64" ht="15.0" customHeight="1">
      <c r="A64" s="419" t="s">
        <v>3062</v>
      </c>
      <c r="B64" s="420" t="s">
        <v>3063</v>
      </c>
      <c r="C64" s="420">
        <v>2019.0</v>
      </c>
      <c r="D64" s="497">
        <v>43607.0</v>
      </c>
      <c r="E64" s="394" t="s">
        <v>3064</v>
      </c>
      <c r="F64" s="422" t="s">
        <v>2667</v>
      </c>
      <c r="G64" s="422" t="s">
        <v>17</v>
      </c>
      <c r="H64" s="394" t="s">
        <v>2934</v>
      </c>
      <c r="I64" s="497">
        <v>44315.0</v>
      </c>
      <c r="J64" s="422">
        <v>4.0</v>
      </c>
      <c r="K64" s="422" t="s">
        <v>2854</v>
      </c>
      <c r="L64" s="422" t="s">
        <v>2855</v>
      </c>
      <c r="M64" s="528">
        <f t="shared" si="1"/>
        <v>708</v>
      </c>
      <c r="N64" s="42"/>
      <c r="O64" s="358" t="s">
        <v>225</v>
      </c>
      <c r="P64" s="359"/>
      <c r="Q64" s="359"/>
      <c r="R64" s="360"/>
      <c r="S64" s="520" t="s">
        <v>226</v>
      </c>
      <c r="T64" s="521" t="s">
        <v>108</v>
      </c>
      <c r="U64" s="25"/>
      <c r="V64" s="25"/>
      <c r="W64" s="25"/>
      <c r="X64" s="25"/>
      <c r="Y64" s="25"/>
      <c r="Z64" s="25"/>
    </row>
    <row r="65" ht="15.0" customHeight="1">
      <c r="A65" s="425" t="s">
        <v>3065</v>
      </c>
      <c r="B65" s="426" t="s">
        <v>3066</v>
      </c>
      <c r="C65" s="426">
        <v>2013.0</v>
      </c>
      <c r="D65" s="500">
        <v>41540.0</v>
      </c>
      <c r="E65" s="428" t="s">
        <v>3067</v>
      </c>
      <c r="F65" s="428" t="s">
        <v>3068</v>
      </c>
      <c r="G65" s="397" t="s">
        <v>17</v>
      </c>
      <c r="H65" s="397" t="s">
        <v>775</v>
      </c>
      <c r="I65" s="500">
        <v>44323.0</v>
      </c>
      <c r="J65" s="428">
        <v>5.0</v>
      </c>
      <c r="K65" s="428" t="s">
        <v>2854</v>
      </c>
      <c r="L65" s="428" t="s">
        <v>2860</v>
      </c>
      <c r="M65" s="529">
        <f t="shared" si="1"/>
        <v>2783</v>
      </c>
      <c r="N65" s="25"/>
      <c r="O65" s="522" t="s">
        <v>228</v>
      </c>
      <c r="P65" s="523"/>
      <c r="Q65" s="523"/>
      <c r="R65" s="524"/>
      <c r="S65" s="365">
        <f>COUNTIF($K$2:$K$564,"I - Extremamente tóxico")</f>
        <v>14</v>
      </c>
      <c r="T65" s="366">
        <f>(S65/S77)</f>
        <v>0.02491103203</v>
      </c>
      <c r="U65" s="25"/>
      <c r="V65" s="25"/>
      <c r="W65" s="25"/>
      <c r="X65" s="25"/>
      <c r="Y65" s="25"/>
      <c r="Z65" s="25"/>
    </row>
    <row r="66" ht="15.0" customHeight="1">
      <c r="A66" s="419" t="s">
        <v>3069</v>
      </c>
      <c r="B66" s="420" t="s">
        <v>3070</v>
      </c>
      <c r="C66" s="420">
        <v>2016.0</v>
      </c>
      <c r="D66" s="497">
        <v>42527.0</v>
      </c>
      <c r="E66" s="394" t="s">
        <v>3071</v>
      </c>
      <c r="F66" s="422" t="s">
        <v>3068</v>
      </c>
      <c r="G66" s="422" t="s">
        <v>17</v>
      </c>
      <c r="H66" s="394" t="s">
        <v>50</v>
      </c>
      <c r="I66" s="497">
        <v>44323.0</v>
      </c>
      <c r="J66" s="422">
        <v>5.0</v>
      </c>
      <c r="K66" s="422" t="s">
        <v>2854</v>
      </c>
      <c r="L66" s="422" t="s">
        <v>2860</v>
      </c>
      <c r="M66" s="528">
        <f t="shared" si="1"/>
        <v>1796</v>
      </c>
      <c r="N66" s="25"/>
      <c r="O66" s="367" t="s">
        <v>230</v>
      </c>
      <c r="P66" s="368"/>
      <c r="Q66" s="368"/>
      <c r="R66" s="369"/>
      <c r="S66" s="370">
        <f>COUNTIF($K$2:$K$564,"Categoria 1 - Produto Extremamente Tóxico")</f>
        <v>0</v>
      </c>
      <c r="T66" s="371">
        <f>(S66/S77)</f>
        <v>0</v>
      </c>
      <c r="U66" s="25"/>
      <c r="V66" s="25"/>
      <c r="W66" s="25"/>
      <c r="X66" s="25"/>
      <c r="Y66" s="25"/>
      <c r="Z66" s="25"/>
    </row>
    <row r="67" ht="15.0" customHeight="1">
      <c r="A67" s="425" t="s">
        <v>3072</v>
      </c>
      <c r="B67" s="426" t="s">
        <v>3073</v>
      </c>
      <c r="C67" s="426">
        <v>2016.0</v>
      </c>
      <c r="D67" s="500">
        <v>42493.0</v>
      </c>
      <c r="E67" s="428" t="s">
        <v>3074</v>
      </c>
      <c r="F67" s="428" t="s">
        <v>874</v>
      </c>
      <c r="G67" s="397" t="s">
        <v>17</v>
      </c>
      <c r="H67" s="397" t="s">
        <v>56</v>
      </c>
      <c r="I67" s="500">
        <v>44323.0</v>
      </c>
      <c r="J67" s="428">
        <v>5.0</v>
      </c>
      <c r="K67" s="428" t="s">
        <v>2854</v>
      </c>
      <c r="L67" s="428" t="s">
        <v>2860</v>
      </c>
      <c r="M67" s="529">
        <f t="shared" si="1"/>
        <v>1830</v>
      </c>
      <c r="N67" s="25"/>
      <c r="O67" s="367" t="s">
        <v>232</v>
      </c>
      <c r="P67" s="368"/>
      <c r="Q67" s="368"/>
      <c r="R67" s="369"/>
      <c r="S67" s="370">
        <f>COUNTIF($K$2:$K$564,"Categoria 2 - Produto Altamente Tóxico")</f>
        <v>8</v>
      </c>
      <c r="T67" s="371">
        <f>(S67/S77)</f>
        <v>0.01423487544</v>
      </c>
      <c r="U67" s="25"/>
      <c r="V67" s="25"/>
      <c r="W67" s="25"/>
      <c r="X67" s="25"/>
      <c r="Y67" s="25"/>
      <c r="Z67" s="25"/>
    </row>
    <row r="68" ht="15.0" customHeight="1">
      <c r="A68" s="419" t="s">
        <v>3075</v>
      </c>
      <c r="B68" s="420" t="s">
        <v>3076</v>
      </c>
      <c r="C68" s="420">
        <v>2015.0</v>
      </c>
      <c r="D68" s="497">
        <v>42048.0</v>
      </c>
      <c r="E68" s="394" t="s">
        <v>3077</v>
      </c>
      <c r="F68" s="422" t="s">
        <v>3078</v>
      </c>
      <c r="G68" s="422" t="s">
        <v>17</v>
      </c>
      <c r="H68" s="394" t="s">
        <v>583</v>
      </c>
      <c r="I68" s="497">
        <v>44323.0</v>
      </c>
      <c r="J68" s="422">
        <v>5.0</v>
      </c>
      <c r="K68" s="422" t="s">
        <v>2854</v>
      </c>
      <c r="L68" s="422" t="s">
        <v>2860</v>
      </c>
      <c r="M68" s="528">
        <f t="shared" si="1"/>
        <v>2275</v>
      </c>
      <c r="N68" s="25"/>
      <c r="O68" s="372" t="s">
        <v>234</v>
      </c>
      <c r="P68" s="368"/>
      <c r="Q68" s="368"/>
      <c r="R68" s="369"/>
      <c r="S68" s="373">
        <f>COUNTIF($K$2:$K$564,"II - Altamente tóxico")</f>
        <v>0</v>
      </c>
      <c r="T68" s="374">
        <f>(S68/S77)</f>
        <v>0</v>
      </c>
      <c r="U68" s="25"/>
      <c r="V68" s="25"/>
      <c r="W68" s="25"/>
      <c r="X68" s="25"/>
      <c r="Y68" s="25"/>
      <c r="Z68" s="25"/>
    </row>
    <row r="69" ht="15.0" customHeight="1">
      <c r="A69" s="425" t="s">
        <v>3079</v>
      </c>
      <c r="B69" s="426" t="s">
        <v>3080</v>
      </c>
      <c r="C69" s="426">
        <v>2020.0</v>
      </c>
      <c r="D69" s="500">
        <v>43844.0</v>
      </c>
      <c r="E69" s="428" t="s">
        <v>3081</v>
      </c>
      <c r="F69" s="428" t="s">
        <v>874</v>
      </c>
      <c r="G69" s="397" t="s">
        <v>17</v>
      </c>
      <c r="H69" s="397" t="s">
        <v>583</v>
      </c>
      <c r="I69" s="500">
        <v>44323.0</v>
      </c>
      <c r="J69" s="428">
        <v>5.0</v>
      </c>
      <c r="K69" s="428" t="s">
        <v>2854</v>
      </c>
      <c r="L69" s="428" t="s">
        <v>2860</v>
      </c>
      <c r="M69" s="529">
        <f t="shared" si="1"/>
        <v>479</v>
      </c>
      <c r="N69" s="25"/>
      <c r="O69" s="372" t="s">
        <v>236</v>
      </c>
      <c r="P69" s="368"/>
      <c r="Q69" s="368"/>
      <c r="R69" s="369"/>
      <c r="S69" s="373">
        <f>COUNTIF($K$2:$K$564,"Categoria 3 - Produto Moderadamente Tóxico")</f>
        <v>28</v>
      </c>
      <c r="T69" s="374">
        <f>(S69/S77)</f>
        <v>0.04982206406</v>
      </c>
      <c r="U69" s="25"/>
      <c r="V69" s="25"/>
      <c r="W69" s="25"/>
      <c r="X69" s="25"/>
      <c r="Y69" s="25"/>
      <c r="Z69" s="25"/>
    </row>
    <row r="70" ht="15.0" customHeight="1">
      <c r="A70" s="419" t="s">
        <v>3082</v>
      </c>
      <c r="B70" s="420" t="s">
        <v>3083</v>
      </c>
      <c r="C70" s="420">
        <v>2015.0</v>
      </c>
      <c r="D70" s="497">
        <v>42095.0</v>
      </c>
      <c r="E70" s="394" t="s">
        <v>3084</v>
      </c>
      <c r="F70" s="422" t="s">
        <v>1460</v>
      </c>
      <c r="G70" s="422" t="s">
        <v>17</v>
      </c>
      <c r="H70" s="394" t="s">
        <v>583</v>
      </c>
      <c r="I70" s="497">
        <v>44323.0</v>
      </c>
      <c r="J70" s="422">
        <v>5.0</v>
      </c>
      <c r="K70" s="422" t="s">
        <v>2854</v>
      </c>
      <c r="L70" s="422" t="s">
        <v>2855</v>
      </c>
      <c r="M70" s="528">
        <f t="shared" si="1"/>
        <v>2228</v>
      </c>
      <c r="N70" s="25"/>
      <c r="O70" s="375" t="s">
        <v>238</v>
      </c>
      <c r="P70" s="368"/>
      <c r="Q70" s="368"/>
      <c r="R70" s="369"/>
      <c r="S70" s="376">
        <f>COUNTIF($K$2:$K$564,"III - Medianamente tóxico")</f>
        <v>7</v>
      </c>
      <c r="T70" s="377">
        <f>(S70/S77)</f>
        <v>0.01245551601</v>
      </c>
      <c r="U70" s="25"/>
      <c r="V70" s="25"/>
      <c r="W70" s="25"/>
      <c r="X70" s="25"/>
      <c r="Y70" s="25"/>
      <c r="Z70" s="25"/>
    </row>
    <row r="71" ht="15.0" customHeight="1">
      <c r="A71" s="425" t="s">
        <v>3085</v>
      </c>
      <c r="B71" s="426" t="s">
        <v>3086</v>
      </c>
      <c r="C71" s="426">
        <v>2014.0</v>
      </c>
      <c r="D71" s="500">
        <v>41821.0</v>
      </c>
      <c r="E71" s="428" t="s">
        <v>3087</v>
      </c>
      <c r="F71" s="428" t="s">
        <v>3088</v>
      </c>
      <c r="G71" s="397" t="s">
        <v>34</v>
      </c>
      <c r="H71" s="397" t="s">
        <v>633</v>
      </c>
      <c r="I71" s="500">
        <v>44323.0</v>
      </c>
      <c r="J71" s="428">
        <v>5.0</v>
      </c>
      <c r="K71" s="530" t="s">
        <v>822</v>
      </c>
      <c r="L71" s="428" t="s">
        <v>2860</v>
      </c>
      <c r="M71" s="529">
        <f t="shared" si="1"/>
        <v>2502</v>
      </c>
      <c r="N71" s="25"/>
      <c r="O71" s="375" t="s">
        <v>240</v>
      </c>
      <c r="P71" s="368"/>
      <c r="Q71" s="368"/>
      <c r="R71" s="369"/>
      <c r="S71" s="376">
        <f>COUNTIF($K$2:$K$564,"Categoria 4 - Produto Pouco Tóxico")</f>
        <v>74</v>
      </c>
      <c r="T71" s="377">
        <f>(S71/S77)</f>
        <v>0.1316725979</v>
      </c>
      <c r="U71" s="25"/>
      <c r="V71" s="25"/>
      <c r="W71" s="25"/>
      <c r="X71" s="25"/>
      <c r="Y71" s="25"/>
      <c r="Z71" s="25"/>
    </row>
    <row r="72" ht="15.0" customHeight="1">
      <c r="A72" s="419" t="s">
        <v>3089</v>
      </c>
      <c r="B72" s="420" t="s">
        <v>3090</v>
      </c>
      <c r="C72" s="420">
        <v>2011.0</v>
      </c>
      <c r="D72" s="497">
        <v>40738.0</v>
      </c>
      <c r="E72" s="394" t="s">
        <v>3091</v>
      </c>
      <c r="F72" s="422" t="s">
        <v>92</v>
      </c>
      <c r="G72" s="422" t="s">
        <v>17</v>
      </c>
      <c r="H72" s="394" t="s">
        <v>775</v>
      </c>
      <c r="I72" s="497">
        <v>44323.0</v>
      </c>
      <c r="J72" s="422">
        <v>5.0</v>
      </c>
      <c r="K72" s="422" t="s">
        <v>2854</v>
      </c>
      <c r="L72" s="422" t="s">
        <v>2855</v>
      </c>
      <c r="M72" s="528">
        <f t="shared" si="1"/>
        <v>3585</v>
      </c>
      <c r="N72" s="25"/>
      <c r="O72" s="375" t="s">
        <v>242</v>
      </c>
      <c r="P72" s="368"/>
      <c r="Q72" s="368"/>
      <c r="R72" s="369"/>
      <c r="S72" s="376">
        <f>COUNTIF($K$2:$K$564,"Categoria 5 - Produto Improvável de Causar Dano Agudo")</f>
        <v>186</v>
      </c>
      <c r="T72" s="377">
        <f>(S72/S77)</f>
        <v>0.3309608541</v>
      </c>
      <c r="U72" s="25"/>
      <c r="V72" s="25"/>
      <c r="W72" s="25"/>
      <c r="X72" s="25"/>
      <c r="Y72" s="25"/>
      <c r="Z72" s="25"/>
    </row>
    <row r="73" ht="15.0" customHeight="1">
      <c r="A73" s="425" t="s">
        <v>3092</v>
      </c>
      <c r="B73" s="426" t="s">
        <v>3093</v>
      </c>
      <c r="C73" s="426">
        <v>2015.0</v>
      </c>
      <c r="D73" s="500">
        <v>42356.0</v>
      </c>
      <c r="E73" s="428" t="s">
        <v>3094</v>
      </c>
      <c r="F73" s="428" t="s">
        <v>3095</v>
      </c>
      <c r="G73" s="397" t="s">
        <v>17</v>
      </c>
      <c r="H73" s="397" t="s">
        <v>740</v>
      </c>
      <c r="I73" s="500">
        <v>44323.0</v>
      </c>
      <c r="J73" s="428">
        <v>5.0</v>
      </c>
      <c r="K73" s="428" t="s">
        <v>2854</v>
      </c>
      <c r="L73" s="428" t="s">
        <v>2860</v>
      </c>
      <c r="M73" s="529">
        <f t="shared" si="1"/>
        <v>1967</v>
      </c>
      <c r="N73" s="25"/>
      <c r="O73" s="378" t="s">
        <v>244</v>
      </c>
      <c r="P73" s="368"/>
      <c r="Q73" s="368"/>
      <c r="R73" s="369"/>
      <c r="S73" s="379">
        <f>COUNTIF($K$2:$K$564,"IV - Pouco tóxico")</f>
        <v>2</v>
      </c>
      <c r="T73" s="380">
        <f>(S73/S77)</f>
        <v>0.003558718861</v>
      </c>
      <c r="U73" s="25"/>
      <c r="V73" s="25"/>
      <c r="W73" s="25"/>
      <c r="X73" s="25"/>
      <c r="Y73" s="25"/>
      <c r="Z73" s="25"/>
    </row>
    <row r="74" ht="15.0" customHeight="1">
      <c r="A74" s="419" t="s">
        <v>3096</v>
      </c>
      <c r="B74" s="420" t="s">
        <v>3097</v>
      </c>
      <c r="C74" s="420">
        <v>2015.0</v>
      </c>
      <c r="D74" s="497">
        <v>42066.0</v>
      </c>
      <c r="E74" s="394" t="s">
        <v>3098</v>
      </c>
      <c r="F74" s="422" t="s">
        <v>1968</v>
      </c>
      <c r="G74" s="422" t="s">
        <v>17</v>
      </c>
      <c r="H74" s="394" t="s">
        <v>130</v>
      </c>
      <c r="I74" s="497">
        <v>44323.0</v>
      </c>
      <c r="J74" s="422">
        <v>5.0</v>
      </c>
      <c r="K74" s="422" t="s">
        <v>2854</v>
      </c>
      <c r="L74" s="422" t="s">
        <v>2860</v>
      </c>
      <c r="M74" s="528">
        <f t="shared" si="1"/>
        <v>2257</v>
      </c>
      <c r="N74" s="25"/>
      <c r="O74" s="378" t="s">
        <v>822</v>
      </c>
      <c r="P74" s="368"/>
      <c r="Q74" s="368"/>
      <c r="R74" s="369"/>
      <c r="S74" s="379">
        <f>COUNTIF($K$2:$K$564,"Não classificado - Produto não classificado")</f>
        <v>61</v>
      </c>
      <c r="T74" s="380">
        <f>(S74/S77)</f>
        <v>0.1085409253</v>
      </c>
      <c r="U74" s="25"/>
      <c r="V74" s="25"/>
      <c r="W74" s="25"/>
      <c r="X74" s="25"/>
      <c r="Y74" s="25"/>
      <c r="Z74" s="25"/>
    </row>
    <row r="75" ht="15.0" customHeight="1">
      <c r="A75" s="425" t="s">
        <v>3099</v>
      </c>
      <c r="B75" s="426" t="s">
        <v>3100</v>
      </c>
      <c r="C75" s="426">
        <v>2018.0</v>
      </c>
      <c r="D75" s="500">
        <v>43195.0</v>
      </c>
      <c r="E75" s="428" t="s">
        <v>3101</v>
      </c>
      <c r="F75" s="428" t="s">
        <v>44</v>
      </c>
      <c r="G75" s="397" t="s">
        <v>17</v>
      </c>
      <c r="H75" s="397" t="s">
        <v>881</v>
      </c>
      <c r="I75" s="500">
        <v>44323.0</v>
      </c>
      <c r="J75" s="428">
        <v>5.0</v>
      </c>
      <c r="K75" s="428" t="s">
        <v>2854</v>
      </c>
      <c r="L75" s="428" t="s">
        <v>2855</v>
      </c>
      <c r="M75" s="529">
        <f t="shared" si="1"/>
        <v>1128</v>
      </c>
      <c r="N75" s="25"/>
      <c r="O75" s="378" t="s">
        <v>850</v>
      </c>
      <c r="P75" s="368"/>
      <c r="Q75" s="368"/>
      <c r="R75" s="369"/>
      <c r="S75" s="379">
        <f>COUNTIF($K$2:$K$564,"Não determinada devido à natureza do produto (Inimigos naturais)")</f>
        <v>0</v>
      </c>
      <c r="T75" s="380">
        <f>(S75/S77)</f>
        <v>0</v>
      </c>
      <c r="U75" s="25"/>
      <c r="V75" s="25"/>
      <c r="W75" s="25"/>
      <c r="X75" s="25"/>
      <c r="Y75" s="25"/>
      <c r="Z75" s="25"/>
    </row>
    <row r="76" ht="15.0" customHeight="1">
      <c r="A76" s="419" t="s">
        <v>3102</v>
      </c>
      <c r="B76" s="420" t="s">
        <v>3103</v>
      </c>
      <c r="C76" s="420">
        <v>2016.0</v>
      </c>
      <c r="D76" s="497">
        <v>42561.0</v>
      </c>
      <c r="E76" s="394" t="s">
        <v>3104</v>
      </c>
      <c r="F76" s="422" t="s">
        <v>44</v>
      </c>
      <c r="G76" s="422" t="s">
        <v>17</v>
      </c>
      <c r="H76" s="394" t="s">
        <v>1084</v>
      </c>
      <c r="I76" s="497">
        <v>44323.0</v>
      </c>
      <c r="J76" s="422">
        <v>5.0</v>
      </c>
      <c r="K76" s="422" t="s">
        <v>2854</v>
      </c>
      <c r="L76" s="422" t="s">
        <v>2855</v>
      </c>
      <c r="M76" s="528">
        <f t="shared" si="1"/>
        <v>1762</v>
      </c>
      <c r="N76" s="25"/>
      <c r="O76" s="381" t="s">
        <v>19</v>
      </c>
      <c r="P76" s="382"/>
      <c r="Q76" s="382"/>
      <c r="R76" s="383"/>
      <c r="S76" s="384">
        <f>COUNTIF($K$2:$K$564,"O perfil toxicológico foi considerado equivalente ao produto técnico de referência.")</f>
        <v>182</v>
      </c>
      <c r="T76" s="385">
        <f>(S76/S77)</f>
        <v>0.3238434164</v>
      </c>
      <c r="U76" s="25"/>
      <c r="V76" s="25"/>
      <c r="W76" s="25"/>
      <c r="X76" s="25"/>
      <c r="Y76" s="25"/>
      <c r="Z76" s="25"/>
    </row>
    <row r="77" ht="15.0" customHeight="1">
      <c r="A77" s="425" t="s">
        <v>3105</v>
      </c>
      <c r="B77" s="426" t="s">
        <v>3106</v>
      </c>
      <c r="C77" s="426">
        <v>2019.0</v>
      </c>
      <c r="D77" s="500">
        <v>43551.0</v>
      </c>
      <c r="E77" s="428" t="s">
        <v>3107</v>
      </c>
      <c r="F77" s="428" t="s">
        <v>44</v>
      </c>
      <c r="G77" s="397" t="s">
        <v>17</v>
      </c>
      <c r="H77" s="397" t="s">
        <v>712</v>
      </c>
      <c r="I77" s="500">
        <v>44323.0</v>
      </c>
      <c r="J77" s="428">
        <v>5.0</v>
      </c>
      <c r="K77" s="428" t="s">
        <v>2854</v>
      </c>
      <c r="L77" s="428" t="s">
        <v>2855</v>
      </c>
      <c r="M77" s="529">
        <f t="shared" si="1"/>
        <v>772</v>
      </c>
      <c r="N77" s="25"/>
      <c r="O77" s="386" t="s">
        <v>219</v>
      </c>
      <c r="P77" s="332"/>
      <c r="Q77" s="332"/>
      <c r="R77" s="387"/>
      <c r="S77" s="388">
        <f>SUM(S65:S76)</f>
        <v>562</v>
      </c>
      <c r="T77" s="389">
        <f>(S77/S77)</f>
        <v>1</v>
      </c>
      <c r="U77" s="25"/>
      <c r="V77" s="25"/>
      <c r="W77" s="25"/>
      <c r="X77" s="25"/>
      <c r="Y77" s="25"/>
      <c r="Z77" s="25"/>
    </row>
    <row r="78" ht="15.0" customHeight="1">
      <c r="A78" s="419" t="s">
        <v>3108</v>
      </c>
      <c r="B78" s="420" t="s">
        <v>3109</v>
      </c>
      <c r="C78" s="420">
        <v>2017.0</v>
      </c>
      <c r="D78" s="497">
        <v>42745.0</v>
      </c>
      <c r="E78" s="394" t="s">
        <v>3110</v>
      </c>
      <c r="F78" s="422" t="s">
        <v>1232</v>
      </c>
      <c r="G78" s="422" t="s">
        <v>17</v>
      </c>
      <c r="H78" s="394" t="s">
        <v>50</v>
      </c>
      <c r="I78" s="497">
        <v>44323.0</v>
      </c>
      <c r="J78" s="422">
        <v>5.0</v>
      </c>
      <c r="K78" s="422" t="s">
        <v>2854</v>
      </c>
      <c r="L78" s="422" t="s">
        <v>2860</v>
      </c>
      <c r="M78" s="528">
        <f t="shared" si="1"/>
        <v>1578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0" customHeight="1">
      <c r="A79" s="425" t="s">
        <v>3111</v>
      </c>
      <c r="B79" s="426" t="s">
        <v>3112</v>
      </c>
      <c r="C79" s="426">
        <v>2014.0</v>
      </c>
      <c r="D79" s="500">
        <v>41739.0</v>
      </c>
      <c r="E79" s="428" t="s">
        <v>3113</v>
      </c>
      <c r="F79" s="428" t="s">
        <v>1108</v>
      </c>
      <c r="G79" s="397" t="s">
        <v>17</v>
      </c>
      <c r="H79" s="397" t="s">
        <v>573</v>
      </c>
      <c r="I79" s="500">
        <v>44323.0</v>
      </c>
      <c r="J79" s="428">
        <v>5.0</v>
      </c>
      <c r="K79" s="428" t="s">
        <v>2854</v>
      </c>
      <c r="L79" s="428" t="s">
        <v>2860</v>
      </c>
      <c r="M79" s="529">
        <f t="shared" si="1"/>
        <v>2584</v>
      </c>
      <c r="N79" s="25"/>
      <c r="O79" s="357" t="s">
        <v>11</v>
      </c>
      <c r="P79" s="102"/>
      <c r="Q79" s="102"/>
      <c r="R79" s="102"/>
      <c r="S79" s="102"/>
      <c r="T79" s="103"/>
      <c r="U79" s="25"/>
      <c r="V79" s="25"/>
      <c r="W79" s="25"/>
      <c r="X79" s="25"/>
      <c r="Y79" s="25"/>
      <c r="Z79" s="25"/>
    </row>
    <row r="80" ht="15.0" customHeight="1">
      <c r="A80" s="419" t="s">
        <v>3114</v>
      </c>
      <c r="B80" s="420" t="s">
        <v>3115</v>
      </c>
      <c r="C80" s="420">
        <v>2014.0</v>
      </c>
      <c r="D80" s="497">
        <v>41999.0</v>
      </c>
      <c r="E80" s="394" t="s">
        <v>3116</v>
      </c>
      <c r="F80" s="422" t="s">
        <v>1460</v>
      </c>
      <c r="G80" s="422" t="s">
        <v>17</v>
      </c>
      <c r="H80" s="394" t="s">
        <v>153</v>
      </c>
      <c r="I80" s="497">
        <v>44323.0</v>
      </c>
      <c r="J80" s="422">
        <v>5.0</v>
      </c>
      <c r="K80" s="422" t="s">
        <v>2854</v>
      </c>
      <c r="L80" s="422" t="s">
        <v>2855</v>
      </c>
      <c r="M80" s="528">
        <f t="shared" si="1"/>
        <v>2324</v>
      </c>
      <c r="N80" s="25"/>
      <c r="O80" s="104"/>
      <c r="P80" s="105"/>
      <c r="Q80" s="105"/>
      <c r="R80" s="105"/>
      <c r="S80" s="105"/>
      <c r="T80" s="106"/>
      <c r="U80" s="25"/>
      <c r="V80" s="25"/>
      <c r="W80" s="25"/>
      <c r="X80" s="25"/>
      <c r="Y80" s="25"/>
      <c r="Z80" s="25"/>
    </row>
    <row r="81" ht="15.0" customHeight="1">
      <c r="A81" s="425" t="s">
        <v>3117</v>
      </c>
      <c r="B81" s="426" t="s">
        <v>3118</v>
      </c>
      <c r="C81" s="426">
        <v>2020.0</v>
      </c>
      <c r="D81" s="500">
        <v>43934.0</v>
      </c>
      <c r="E81" s="428" t="s">
        <v>3119</v>
      </c>
      <c r="F81" s="428" t="s">
        <v>1464</v>
      </c>
      <c r="G81" s="397" t="s">
        <v>17</v>
      </c>
      <c r="H81" s="397" t="s">
        <v>32</v>
      </c>
      <c r="I81" s="500">
        <v>44323.0</v>
      </c>
      <c r="J81" s="428">
        <v>5.0</v>
      </c>
      <c r="K81" s="428" t="s">
        <v>2854</v>
      </c>
      <c r="L81" s="428" t="s">
        <v>2860</v>
      </c>
      <c r="M81" s="529">
        <f t="shared" si="1"/>
        <v>389</v>
      </c>
      <c r="N81" s="25"/>
      <c r="O81" s="358" t="s">
        <v>225</v>
      </c>
      <c r="P81" s="359"/>
      <c r="Q81" s="359"/>
      <c r="R81" s="360"/>
      <c r="S81" s="525" t="s">
        <v>226</v>
      </c>
      <c r="T81" s="526" t="s">
        <v>108</v>
      </c>
      <c r="U81" s="25"/>
      <c r="V81" s="25"/>
      <c r="W81" s="25"/>
      <c r="X81" s="25"/>
      <c r="Y81" s="25"/>
      <c r="Z81" s="25"/>
    </row>
    <row r="82" ht="15.0" customHeight="1">
      <c r="A82" s="419" t="s">
        <v>3120</v>
      </c>
      <c r="B82" s="420" t="s">
        <v>3121</v>
      </c>
      <c r="C82" s="420">
        <v>2015.0</v>
      </c>
      <c r="D82" s="497">
        <v>42111.0</v>
      </c>
      <c r="E82" s="394" t="s">
        <v>3122</v>
      </c>
      <c r="F82" s="422" t="s">
        <v>186</v>
      </c>
      <c r="G82" s="422" t="s">
        <v>17</v>
      </c>
      <c r="H82" s="394" t="s">
        <v>740</v>
      </c>
      <c r="I82" s="497">
        <v>44323.0</v>
      </c>
      <c r="J82" s="422">
        <v>5.0</v>
      </c>
      <c r="K82" s="422" t="s">
        <v>2854</v>
      </c>
      <c r="L82" s="422" t="s">
        <v>2860</v>
      </c>
      <c r="M82" s="528">
        <f t="shared" si="1"/>
        <v>2212</v>
      </c>
      <c r="N82" s="25"/>
      <c r="O82" s="527" t="s">
        <v>254</v>
      </c>
      <c r="P82" s="332"/>
      <c r="Q82" s="332"/>
      <c r="R82" s="333"/>
      <c r="S82" s="394">
        <f>COUNTIF($L$2:$L$564,"I - Produto altamente perigoso ao meio ambiente")</f>
        <v>4</v>
      </c>
      <c r="T82" s="395">
        <f>(S82/S86)</f>
        <v>0.007117437722</v>
      </c>
      <c r="U82" s="25"/>
      <c r="V82" s="25"/>
      <c r="W82" s="25"/>
      <c r="X82" s="25"/>
      <c r="Y82" s="25"/>
      <c r="Z82" s="25"/>
    </row>
    <row r="83" ht="15.0" customHeight="1">
      <c r="A83" s="425" t="s">
        <v>3123</v>
      </c>
      <c r="B83" s="426" t="s">
        <v>3124</v>
      </c>
      <c r="C83" s="426">
        <v>2020.0</v>
      </c>
      <c r="D83" s="500">
        <v>43956.0</v>
      </c>
      <c r="E83" s="428" t="s">
        <v>3125</v>
      </c>
      <c r="F83" s="428" t="s">
        <v>167</v>
      </c>
      <c r="G83" s="397" t="s">
        <v>17</v>
      </c>
      <c r="H83" s="397" t="s">
        <v>990</v>
      </c>
      <c r="I83" s="500">
        <v>44326.0</v>
      </c>
      <c r="J83" s="428">
        <v>5.0</v>
      </c>
      <c r="K83" s="428" t="s">
        <v>2854</v>
      </c>
      <c r="L83" s="428" t="s">
        <v>2860</v>
      </c>
      <c r="M83" s="529">
        <f t="shared" si="1"/>
        <v>370</v>
      </c>
      <c r="N83" s="25"/>
      <c r="O83" s="396" t="s">
        <v>256</v>
      </c>
      <c r="P83" s="113"/>
      <c r="Q83" s="113"/>
      <c r="R83" s="114"/>
      <c r="S83" s="397">
        <f>COUNTIF($L$2:$L$564,"II - Produto muito perigoso ao meio ambiente")</f>
        <v>273</v>
      </c>
      <c r="T83" s="398">
        <f>(S83/S86)</f>
        <v>0.4857651246</v>
      </c>
      <c r="U83" s="25"/>
      <c r="V83" s="25"/>
      <c r="W83" s="25"/>
      <c r="X83" s="25"/>
      <c r="Y83" s="25"/>
      <c r="Z83" s="25"/>
    </row>
    <row r="84" ht="15.0" customHeight="1">
      <c r="A84" s="419" t="s">
        <v>3126</v>
      </c>
      <c r="B84" s="420" t="s">
        <v>3127</v>
      </c>
      <c r="C84" s="420">
        <v>2016.0</v>
      </c>
      <c r="D84" s="497">
        <v>42578.0</v>
      </c>
      <c r="E84" s="394" t="s">
        <v>3128</v>
      </c>
      <c r="F84" s="422" t="s">
        <v>186</v>
      </c>
      <c r="G84" s="422" t="s">
        <v>17</v>
      </c>
      <c r="H84" s="394" t="s">
        <v>45</v>
      </c>
      <c r="I84" s="497">
        <v>44326.0</v>
      </c>
      <c r="J84" s="422">
        <v>5.0</v>
      </c>
      <c r="K84" s="422" t="s">
        <v>2854</v>
      </c>
      <c r="L84" s="422" t="s">
        <v>2860</v>
      </c>
      <c r="M84" s="528">
        <f t="shared" si="1"/>
        <v>1748</v>
      </c>
      <c r="N84" s="25"/>
      <c r="O84" s="399" t="s">
        <v>258</v>
      </c>
      <c r="P84" s="113"/>
      <c r="Q84" s="113"/>
      <c r="R84" s="114"/>
      <c r="S84" s="394">
        <f>COUNTIF($L$2:$L$564,"III - Produto perigoso ao meio ambiente")</f>
        <v>190</v>
      </c>
      <c r="T84" s="395">
        <f>(S84/S86)</f>
        <v>0.3380782918</v>
      </c>
      <c r="U84" s="25"/>
      <c r="V84" s="25"/>
      <c r="W84" s="25"/>
      <c r="X84" s="25"/>
      <c r="Y84" s="25"/>
      <c r="Z84" s="25"/>
    </row>
    <row r="85" ht="15.0" customHeight="1">
      <c r="A85" s="425" t="s">
        <v>3129</v>
      </c>
      <c r="B85" s="426" t="s">
        <v>3130</v>
      </c>
      <c r="C85" s="426">
        <v>2014.0</v>
      </c>
      <c r="D85" s="500">
        <v>41893.0</v>
      </c>
      <c r="E85" s="428" t="s">
        <v>3131</v>
      </c>
      <c r="F85" s="428" t="s">
        <v>3078</v>
      </c>
      <c r="G85" s="397" t="s">
        <v>17</v>
      </c>
      <c r="H85" s="397" t="s">
        <v>125</v>
      </c>
      <c r="I85" s="500">
        <v>44326.0</v>
      </c>
      <c r="J85" s="428">
        <v>5.0</v>
      </c>
      <c r="K85" s="428" t="s">
        <v>2854</v>
      </c>
      <c r="L85" s="428" t="s">
        <v>2860</v>
      </c>
      <c r="M85" s="529">
        <f t="shared" si="1"/>
        <v>2433</v>
      </c>
      <c r="N85" s="25"/>
      <c r="O85" s="396" t="s">
        <v>260</v>
      </c>
      <c r="P85" s="113"/>
      <c r="Q85" s="113"/>
      <c r="R85" s="114"/>
      <c r="S85" s="397">
        <f>COUNTIF($L$2:$L$564,"IV - Produto pouco perigoso ao meio ambiente")</f>
        <v>95</v>
      </c>
      <c r="T85" s="398">
        <f>(S85/S86)</f>
        <v>0.1690391459</v>
      </c>
      <c r="U85" s="25"/>
      <c r="V85" s="25"/>
      <c r="W85" s="25"/>
      <c r="X85" s="25"/>
      <c r="Y85" s="25"/>
      <c r="Z85" s="25"/>
    </row>
    <row r="86" ht="15.0" customHeight="1">
      <c r="A86" s="419" t="s">
        <v>3132</v>
      </c>
      <c r="B86" s="420" t="s">
        <v>3133</v>
      </c>
      <c r="C86" s="420">
        <v>2014.0</v>
      </c>
      <c r="D86" s="497">
        <v>41656.0</v>
      </c>
      <c r="E86" s="394" t="s">
        <v>3134</v>
      </c>
      <c r="F86" s="422" t="s">
        <v>2186</v>
      </c>
      <c r="G86" s="422" t="s">
        <v>34</v>
      </c>
      <c r="H86" s="394" t="s">
        <v>695</v>
      </c>
      <c r="I86" s="497">
        <v>44328.0</v>
      </c>
      <c r="J86" s="422">
        <v>5.0</v>
      </c>
      <c r="K86" s="530" t="s">
        <v>822</v>
      </c>
      <c r="L86" s="422" t="s">
        <v>2855</v>
      </c>
      <c r="M86" s="528">
        <f t="shared" si="1"/>
        <v>2672</v>
      </c>
      <c r="N86" s="25"/>
      <c r="O86" s="358" t="s">
        <v>219</v>
      </c>
      <c r="P86" s="359"/>
      <c r="Q86" s="359"/>
      <c r="R86" s="360"/>
      <c r="S86" s="388">
        <f>SUM(S82:S85)</f>
        <v>562</v>
      </c>
      <c r="T86" s="389">
        <f>(S86/S86)</f>
        <v>1</v>
      </c>
      <c r="U86" s="25"/>
      <c r="V86" s="25"/>
      <c r="W86" s="25"/>
      <c r="X86" s="25"/>
      <c r="Y86" s="25"/>
      <c r="Z86" s="25"/>
    </row>
    <row r="87" ht="15.0" customHeight="1">
      <c r="A87" s="425" t="s">
        <v>3135</v>
      </c>
      <c r="B87" s="426" t="s">
        <v>3136</v>
      </c>
      <c r="C87" s="426">
        <v>2016.0</v>
      </c>
      <c r="D87" s="500">
        <v>42486.0</v>
      </c>
      <c r="E87" s="428" t="s">
        <v>3137</v>
      </c>
      <c r="F87" s="428" t="s">
        <v>71</v>
      </c>
      <c r="G87" s="397" t="s">
        <v>17</v>
      </c>
      <c r="H87" s="397" t="s">
        <v>583</v>
      </c>
      <c r="I87" s="500">
        <v>44328.0</v>
      </c>
      <c r="J87" s="428">
        <v>5.0</v>
      </c>
      <c r="K87" s="428" t="s">
        <v>2854</v>
      </c>
      <c r="L87" s="428" t="s">
        <v>2860</v>
      </c>
      <c r="M87" s="529">
        <f t="shared" si="1"/>
        <v>1842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419" t="s">
        <v>3138</v>
      </c>
      <c r="B88" s="420" t="s">
        <v>3139</v>
      </c>
      <c r="C88" s="420">
        <v>2014.0</v>
      </c>
      <c r="D88" s="497">
        <v>41823.0</v>
      </c>
      <c r="E88" s="394" t="s">
        <v>3140</v>
      </c>
      <c r="F88" s="422" t="s">
        <v>3141</v>
      </c>
      <c r="G88" s="422" t="s">
        <v>17</v>
      </c>
      <c r="H88" s="394" t="s">
        <v>130</v>
      </c>
      <c r="I88" s="497">
        <v>44328.0</v>
      </c>
      <c r="J88" s="422">
        <v>5.0</v>
      </c>
      <c r="K88" s="422" t="s">
        <v>2854</v>
      </c>
      <c r="L88" s="422" t="s">
        <v>2860</v>
      </c>
      <c r="M88" s="528">
        <f t="shared" si="1"/>
        <v>2505</v>
      </c>
      <c r="N88" s="25"/>
      <c r="O88" s="403" t="s">
        <v>264</v>
      </c>
      <c r="P88" s="404"/>
      <c r="Q88" s="404"/>
      <c r="R88" s="405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425" t="s">
        <v>3142</v>
      </c>
      <c r="B89" s="426" t="s">
        <v>3143</v>
      </c>
      <c r="C89" s="426">
        <v>2014.0</v>
      </c>
      <c r="D89" s="500">
        <v>41758.0</v>
      </c>
      <c r="E89" s="428" t="s">
        <v>3144</v>
      </c>
      <c r="F89" s="428" t="s">
        <v>3145</v>
      </c>
      <c r="G89" s="397" t="s">
        <v>270</v>
      </c>
      <c r="H89" s="397" t="s">
        <v>651</v>
      </c>
      <c r="I89" s="500">
        <v>44328.0</v>
      </c>
      <c r="J89" s="428">
        <v>5.0</v>
      </c>
      <c r="K89" s="530" t="s">
        <v>822</v>
      </c>
      <c r="L89" s="428" t="s">
        <v>2860</v>
      </c>
      <c r="M89" s="529">
        <f t="shared" si="1"/>
        <v>2570</v>
      </c>
      <c r="N89" s="25"/>
      <c r="O89" s="406"/>
      <c r="P89" s="105"/>
      <c r="Q89" s="105"/>
      <c r="R89" s="407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419" t="s">
        <v>3146</v>
      </c>
      <c r="B90" s="420" t="s">
        <v>3147</v>
      </c>
      <c r="C90" s="420">
        <v>2016.0</v>
      </c>
      <c r="D90" s="497">
        <v>42572.0</v>
      </c>
      <c r="E90" s="394" t="s">
        <v>3148</v>
      </c>
      <c r="F90" s="422" t="s">
        <v>186</v>
      </c>
      <c r="G90" s="422" t="s">
        <v>17</v>
      </c>
      <c r="H90" s="394" t="s">
        <v>187</v>
      </c>
      <c r="I90" s="497">
        <v>44358.0</v>
      </c>
      <c r="J90" s="422">
        <v>6.0</v>
      </c>
      <c r="K90" s="422" t="s">
        <v>2854</v>
      </c>
      <c r="L90" s="422" t="s">
        <v>2860</v>
      </c>
      <c r="M90" s="528">
        <f t="shared" si="1"/>
        <v>1786</v>
      </c>
      <c r="N90" s="25"/>
      <c r="O90" s="408" t="s">
        <v>267</v>
      </c>
      <c r="P90" s="409" t="s">
        <v>268</v>
      </c>
      <c r="Q90" s="410"/>
      <c r="R90" s="411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425" t="s">
        <v>3149</v>
      </c>
      <c r="B91" s="426" t="s">
        <v>3150</v>
      </c>
      <c r="C91" s="426">
        <v>2017.0</v>
      </c>
      <c r="D91" s="500">
        <v>42850.0</v>
      </c>
      <c r="E91" s="428" t="s">
        <v>3151</v>
      </c>
      <c r="F91" s="428" t="s">
        <v>120</v>
      </c>
      <c r="G91" s="397" t="s">
        <v>17</v>
      </c>
      <c r="H91" s="397" t="s">
        <v>740</v>
      </c>
      <c r="I91" s="500">
        <v>44358.0</v>
      </c>
      <c r="J91" s="428">
        <v>6.0</v>
      </c>
      <c r="K91" s="428" t="s">
        <v>2854</v>
      </c>
      <c r="L91" s="428" t="s">
        <v>2855</v>
      </c>
      <c r="M91" s="529">
        <f t="shared" si="1"/>
        <v>1508</v>
      </c>
      <c r="N91" s="25"/>
      <c r="O91" s="412" t="s">
        <v>270</v>
      </c>
      <c r="P91" s="413">
        <f>AVERAGEIF(G2:G564,"PT",M2:M564)</f>
        <v>2570</v>
      </c>
      <c r="Q91" s="368"/>
      <c r="R91" s="369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419" t="s">
        <v>3152</v>
      </c>
      <c r="B92" s="420" t="s">
        <v>3153</v>
      </c>
      <c r="C92" s="420">
        <v>2013.0</v>
      </c>
      <c r="D92" s="497">
        <v>41495.0</v>
      </c>
      <c r="E92" s="394" t="s">
        <v>3154</v>
      </c>
      <c r="F92" s="422" t="s">
        <v>3155</v>
      </c>
      <c r="G92" s="422" t="s">
        <v>17</v>
      </c>
      <c r="H92" s="394" t="s">
        <v>775</v>
      </c>
      <c r="I92" s="497">
        <v>44358.0</v>
      </c>
      <c r="J92" s="422">
        <v>6.0</v>
      </c>
      <c r="K92" s="422" t="s">
        <v>2854</v>
      </c>
      <c r="L92" s="422" t="s">
        <v>2860</v>
      </c>
      <c r="M92" s="528">
        <f t="shared" si="1"/>
        <v>2863</v>
      </c>
      <c r="N92" s="25"/>
      <c r="O92" s="414" t="s">
        <v>34</v>
      </c>
      <c r="P92" s="415">
        <f>AVERAGEIF(G2:G564,"PTN",M2:M564)</f>
        <v>2562.428571</v>
      </c>
      <c r="Q92" s="368"/>
      <c r="R92" s="369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425" t="s">
        <v>3156</v>
      </c>
      <c r="B93" s="426" t="s">
        <v>3157</v>
      </c>
      <c r="C93" s="426">
        <v>2015.0</v>
      </c>
      <c r="D93" s="500">
        <v>42270.0</v>
      </c>
      <c r="E93" s="428" t="s">
        <v>3158</v>
      </c>
      <c r="F93" s="428" t="s">
        <v>2667</v>
      </c>
      <c r="G93" s="397" t="s">
        <v>17</v>
      </c>
      <c r="H93" s="397" t="s">
        <v>130</v>
      </c>
      <c r="I93" s="500">
        <v>44358.0</v>
      </c>
      <c r="J93" s="428">
        <v>6.0</v>
      </c>
      <c r="K93" s="428" t="s">
        <v>2854</v>
      </c>
      <c r="L93" s="428" t="s">
        <v>2855</v>
      </c>
      <c r="M93" s="529">
        <f t="shared" si="1"/>
        <v>2088</v>
      </c>
      <c r="N93" s="25"/>
      <c r="O93" s="412" t="s">
        <v>17</v>
      </c>
      <c r="P93" s="413">
        <f>AVERAGEIF(G2:G564,"PTE",M2:M564)</f>
        <v>1498.269231</v>
      </c>
      <c r="Q93" s="368"/>
      <c r="R93" s="369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419" t="s">
        <v>3159</v>
      </c>
      <c r="B94" s="420" t="s">
        <v>3160</v>
      </c>
      <c r="C94" s="420">
        <v>2020.0</v>
      </c>
      <c r="D94" s="497">
        <v>44055.0</v>
      </c>
      <c r="E94" s="394" t="s">
        <v>3161</v>
      </c>
      <c r="F94" s="422" t="s">
        <v>2905</v>
      </c>
      <c r="G94" s="422" t="s">
        <v>17</v>
      </c>
      <c r="H94" s="394" t="s">
        <v>583</v>
      </c>
      <c r="I94" s="497">
        <v>44358.0</v>
      </c>
      <c r="J94" s="422">
        <v>6.0</v>
      </c>
      <c r="K94" s="422" t="s">
        <v>2854</v>
      </c>
      <c r="L94" s="422" t="s">
        <v>2860</v>
      </c>
      <c r="M94" s="528">
        <f t="shared" si="1"/>
        <v>303</v>
      </c>
      <c r="N94" s="25"/>
      <c r="O94" s="414" t="s">
        <v>46</v>
      </c>
      <c r="P94" s="415">
        <f>AVERAGEIF(G2:G564,"Pré-Mistura",M2:M564)</f>
        <v>1910</v>
      </c>
      <c r="Q94" s="368"/>
      <c r="R94" s="369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425" t="s">
        <v>3162</v>
      </c>
      <c r="B95" s="426" t="s">
        <v>3163</v>
      </c>
      <c r="C95" s="426">
        <v>2016.0</v>
      </c>
      <c r="D95" s="500">
        <v>42502.0</v>
      </c>
      <c r="E95" s="428" t="s">
        <v>3164</v>
      </c>
      <c r="F95" s="428" t="s">
        <v>186</v>
      </c>
      <c r="G95" s="397" t="s">
        <v>17</v>
      </c>
      <c r="H95" s="397" t="s">
        <v>60</v>
      </c>
      <c r="I95" s="500">
        <v>44358.0</v>
      </c>
      <c r="J95" s="428">
        <v>6.0</v>
      </c>
      <c r="K95" s="428" t="s">
        <v>2854</v>
      </c>
      <c r="L95" s="428" t="s">
        <v>2860</v>
      </c>
      <c r="M95" s="529">
        <f t="shared" si="1"/>
        <v>1856</v>
      </c>
      <c r="N95" s="25"/>
      <c r="O95" s="412" t="s">
        <v>650</v>
      </c>
      <c r="P95" s="413">
        <f>AVERAGEIF(G2:G564,"PF",M2:M564)</f>
        <v>2029.45</v>
      </c>
      <c r="Q95" s="368"/>
      <c r="R95" s="369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419" t="s">
        <v>3165</v>
      </c>
      <c r="B96" s="420" t="s">
        <v>3166</v>
      </c>
      <c r="C96" s="420">
        <v>2018.0</v>
      </c>
      <c r="D96" s="497">
        <v>43453.0</v>
      </c>
      <c r="E96" s="394" t="s">
        <v>3167</v>
      </c>
      <c r="F96" s="422" t="s">
        <v>186</v>
      </c>
      <c r="G96" s="422" t="s">
        <v>17</v>
      </c>
      <c r="H96" s="394" t="s">
        <v>3168</v>
      </c>
      <c r="I96" s="497">
        <v>44358.0</v>
      </c>
      <c r="J96" s="422">
        <v>6.0</v>
      </c>
      <c r="K96" s="422" t="s">
        <v>2854</v>
      </c>
      <c r="L96" s="422" t="s">
        <v>2860</v>
      </c>
      <c r="M96" s="528">
        <f t="shared" si="1"/>
        <v>905</v>
      </c>
      <c r="N96" s="25"/>
      <c r="O96" s="414" t="s">
        <v>547</v>
      </c>
      <c r="P96" s="415">
        <f>AVERAGEIF(G2:G564,"PFN",M2:M564)</f>
        <v>2119.583333</v>
      </c>
      <c r="Q96" s="368"/>
      <c r="R96" s="369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425" t="s">
        <v>3169</v>
      </c>
      <c r="B97" s="426" t="s">
        <v>3170</v>
      </c>
      <c r="C97" s="426">
        <v>2016.0</v>
      </c>
      <c r="D97" s="500">
        <v>42543.0</v>
      </c>
      <c r="E97" s="428" t="s">
        <v>3171</v>
      </c>
      <c r="F97" s="428" t="s">
        <v>3172</v>
      </c>
      <c r="G97" s="397" t="s">
        <v>17</v>
      </c>
      <c r="H97" s="397" t="s">
        <v>583</v>
      </c>
      <c r="I97" s="500">
        <v>44358.0</v>
      </c>
      <c r="J97" s="428">
        <v>6.0</v>
      </c>
      <c r="K97" s="428" t="s">
        <v>2854</v>
      </c>
      <c r="L97" s="428" t="s">
        <v>2860</v>
      </c>
      <c r="M97" s="529">
        <f t="shared" si="1"/>
        <v>1815</v>
      </c>
      <c r="N97" s="25"/>
      <c r="O97" s="412" t="s">
        <v>552</v>
      </c>
      <c r="P97" s="413">
        <f>AVERAGEIF(G2:G564,"PF/PTE",M2:M564)</f>
        <v>2067.097087</v>
      </c>
      <c r="Q97" s="368"/>
      <c r="R97" s="369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419" t="s">
        <v>3173</v>
      </c>
      <c r="B98" s="420" t="s">
        <v>3174</v>
      </c>
      <c r="C98" s="420">
        <v>2013.0</v>
      </c>
      <c r="D98" s="497">
        <v>41627.0</v>
      </c>
      <c r="E98" s="394" t="s">
        <v>3175</v>
      </c>
      <c r="F98" s="422" t="s">
        <v>186</v>
      </c>
      <c r="G98" s="422" t="s">
        <v>17</v>
      </c>
      <c r="H98" s="394" t="s">
        <v>3168</v>
      </c>
      <c r="I98" s="497">
        <v>44358.0</v>
      </c>
      <c r="J98" s="422">
        <v>6.0</v>
      </c>
      <c r="K98" s="422" t="s">
        <v>2854</v>
      </c>
      <c r="L98" s="422" t="s">
        <v>2860</v>
      </c>
      <c r="M98" s="528">
        <f t="shared" si="1"/>
        <v>2731</v>
      </c>
      <c r="N98" s="25"/>
      <c r="O98" s="414" t="s">
        <v>565</v>
      </c>
      <c r="P98" s="415">
        <f>AVERAGEIF(G2:G546,"Bio",M2:M564)</f>
        <v>355.7435897</v>
      </c>
      <c r="Q98" s="368"/>
      <c r="R98" s="369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425" t="s">
        <v>3176</v>
      </c>
      <c r="B99" s="426" t="s">
        <v>3177</v>
      </c>
      <c r="C99" s="426">
        <v>2009.0</v>
      </c>
      <c r="D99" s="500">
        <v>40051.0</v>
      </c>
      <c r="E99" s="428" t="s">
        <v>3178</v>
      </c>
      <c r="F99" s="428" t="s">
        <v>3179</v>
      </c>
      <c r="G99" s="397" t="s">
        <v>34</v>
      </c>
      <c r="H99" s="397" t="s">
        <v>651</v>
      </c>
      <c r="I99" s="500">
        <v>44358.0</v>
      </c>
      <c r="J99" s="428">
        <v>6.0</v>
      </c>
      <c r="K99" s="530" t="s">
        <v>822</v>
      </c>
      <c r="L99" s="428" t="s">
        <v>2855</v>
      </c>
      <c r="M99" s="529">
        <f t="shared" si="1"/>
        <v>4307</v>
      </c>
      <c r="N99" s="25"/>
      <c r="O99" s="412" t="s">
        <v>569</v>
      </c>
      <c r="P99" s="413">
        <f>AVERAGEIF(G2:G564,"Bio/Org",M2:M564)</f>
        <v>211.6078431</v>
      </c>
      <c r="Q99" s="368"/>
      <c r="R99" s="369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419" t="s">
        <v>3180</v>
      </c>
      <c r="B100" s="420" t="s">
        <v>3181</v>
      </c>
      <c r="C100" s="420">
        <v>2014.0</v>
      </c>
      <c r="D100" s="497">
        <v>41851.0</v>
      </c>
      <c r="E100" s="394" t="s">
        <v>3182</v>
      </c>
      <c r="F100" s="422" t="s">
        <v>3183</v>
      </c>
      <c r="G100" s="422" t="s">
        <v>34</v>
      </c>
      <c r="H100" s="394" t="s">
        <v>633</v>
      </c>
      <c r="I100" s="497">
        <v>44358.0</v>
      </c>
      <c r="J100" s="422">
        <v>6.0</v>
      </c>
      <c r="K100" s="530" t="s">
        <v>822</v>
      </c>
      <c r="L100" s="422" t="s">
        <v>2860</v>
      </c>
      <c r="M100" s="528">
        <f t="shared" si="1"/>
        <v>2507</v>
      </c>
      <c r="N100" s="25"/>
      <c r="O100" s="416" t="s">
        <v>275</v>
      </c>
      <c r="P100" s="417">
        <f>AVERAGE(M2:M564)</f>
        <v>1592.645276</v>
      </c>
      <c r="Q100" s="418"/>
      <c r="R100" s="318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425" t="s">
        <v>3184</v>
      </c>
      <c r="B101" s="426" t="s">
        <v>3185</v>
      </c>
      <c r="C101" s="426">
        <v>2016.0</v>
      </c>
      <c r="D101" s="500">
        <v>42606.0</v>
      </c>
      <c r="E101" s="428" t="s">
        <v>3186</v>
      </c>
      <c r="F101" s="428" t="s">
        <v>171</v>
      </c>
      <c r="G101" s="397" t="s">
        <v>17</v>
      </c>
      <c r="H101" s="397" t="s">
        <v>187</v>
      </c>
      <c r="I101" s="500">
        <v>44358.0</v>
      </c>
      <c r="J101" s="428">
        <v>6.0</v>
      </c>
      <c r="K101" s="428" t="s">
        <v>2854</v>
      </c>
      <c r="L101" s="428" t="s">
        <v>2860</v>
      </c>
      <c r="M101" s="529">
        <f t="shared" si="1"/>
        <v>1752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419" t="s">
        <v>3187</v>
      </c>
      <c r="B102" s="420" t="s">
        <v>3188</v>
      </c>
      <c r="C102" s="420">
        <v>2020.0</v>
      </c>
      <c r="D102" s="497">
        <v>43913.0</v>
      </c>
      <c r="E102" s="394" t="s">
        <v>3189</v>
      </c>
      <c r="F102" s="422" t="s">
        <v>1823</v>
      </c>
      <c r="G102" s="422" t="s">
        <v>17</v>
      </c>
      <c r="H102" s="394" t="s">
        <v>1091</v>
      </c>
      <c r="I102" s="497">
        <v>44358.0</v>
      </c>
      <c r="J102" s="422">
        <v>6.0</v>
      </c>
      <c r="K102" s="422" t="s">
        <v>2854</v>
      </c>
      <c r="L102" s="422" t="s">
        <v>2860</v>
      </c>
      <c r="M102" s="528">
        <f t="shared" si="1"/>
        <v>445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425" t="s">
        <v>3190</v>
      </c>
      <c r="B103" s="426" t="s">
        <v>3191</v>
      </c>
      <c r="C103" s="426">
        <v>2016.0</v>
      </c>
      <c r="D103" s="500">
        <v>42528.0</v>
      </c>
      <c r="E103" s="428" t="s">
        <v>3192</v>
      </c>
      <c r="F103" s="428" t="s">
        <v>44</v>
      </c>
      <c r="G103" s="397" t="s">
        <v>17</v>
      </c>
      <c r="H103" s="397" t="s">
        <v>3193</v>
      </c>
      <c r="I103" s="500">
        <v>44358.0</v>
      </c>
      <c r="J103" s="428">
        <v>6.0</v>
      </c>
      <c r="K103" s="428" t="s">
        <v>2854</v>
      </c>
      <c r="L103" s="428" t="s">
        <v>2855</v>
      </c>
      <c r="M103" s="529">
        <f t="shared" si="1"/>
        <v>1830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19" t="s">
        <v>3194</v>
      </c>
      <c r="B104" s="420" t="s">
        <v>3195</v>
      </c>
      <c r="C104" s="420">
        <v>2017.0</v>
      </c>
      <c r="D104" s="497">
        <v>43006.0</v>
      </c>
      <c r="E104" s="394" t="s">
        <v>3196</v>
      </c>
      <c r="F104" s="422" t="s">
        <v>44</v>
      </c>
      <c r="G104" s="422" t="s">
        <v>17</v>
      </c>
      <c r="H104" s="394" t="s">
        <v>1588</v>
      </c>
      <c r="I104" s="497">
        <v>44358.0</v>
      </c>
      <c r="J104" s="422">
        <v>6.0</v>
      </c>
      <c r="K104" s="422" t="s">
        <v>2854</v>
      </c>
      <c r="L104" s="422" t="s">
        <v>2855</v>
      </c>
      <c r="M104" s="528">
        <f t="shared" si="1"/>
        <v>1352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25" t="s">
        <v>3197</v>
      </c>
      <c r="B105" s="426" t="s">
        <v>3198</v>
      </c>
      <c r="C105" s="426">
        <v>2020.0</v>
      </c>
      <c r="D105" s="500">
        <v>44160.0</v>
      </c>
      <c r="E105" s="428" t="s">
        <v>3199</v>
      </c>
      <c r="F105" s="428" t="s">
        <v>1232</v>
      </c>
      <c r="G105" s="397" t="s">
        <v>17</v>
      </c>
      <c r="H105" s="397" t="s">
        <v>149</v>
      </c>
      <c r="I105" s="500">
        <v>44358.0</v>
      </c>
      <c r="J105" s="428">
        <v>6.0</v>
      </c>
      <c r="K105" s="428" t="s">
        <v>2854</v>
      </c>
      <c r="L105" s="428" t="s">
        <v>2860</v>
      </c>
      <c r="M105" s="529">
        <f t="shared" si="1"/>
        <v>198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19" t="s">
        <v>3200</v>
      </c>
      <c r="B106" s="420" t="s">
        <v>3201</v>
      </c>
      <c r="C106" s="420">
        <v>2020.0</v>
      </c>
      <c r="D106" s="497">
        <v>44155.0</v>
      </c>
      <c r="E106" s="394" t="s">
        <v>3202</v>
      </c>
      <c r="F106" s="422" t="s">
        <v>1401</v>
      </c>
      <c r="G106" s="422" t="s">
        <v>17</v>
      </c>
      <c r="H106" s="394" t="s">
        <v>149</v>
      </c>
      <c r="I106" s="497">
        <v>44377.0</v>
      </c>
      <c r="J106" s="422">
        <v>6.0</v>
      </c>
      <c r="K106" s="422" t="s">
        <v>2854</v>
      </c>
      <c r="L106" s="422" t="s">
        <v>2855</v>
      </c>
      <c r="M106" s="528">
        <f t="shared" si="1"/>
        <v>222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25" t="s">
        <v>3203</v>
      </c>
      <c r="B107" s="426" t="s">
        <v>3204</v>
      </c>
      <c r="C107" s="426">
        <v>2015.0</v>
      </c>
      <c r="D107" s="500">
        <v>42132.0</v>
      </c>
      <c r="E107" s="428" t="s">
        <v>3205</v>
      </c>
      <c r="F107" s="428" t="s">
        <v>765</v>
      </c>
      <c r="G107" s="397" t="s">
        <v>17</v>
      </c>
      <c r="H107" s="397" t="s">
        <v>163</v>
      </c>
      <c r="I107" s="500">
        <v>44378.0</v>
      </c>
      <c r="J107" s="428">
        <v>7.0</v>
      </c>
      <c r="K107" s="428" t="s">
        <v>2854</v>
      </c>
      <c r="L107" s="428" t="s">
        <v>2860</v>
      </c>
      <c r="M107" s="529">
        <f t="shared" si="1"/>
        <v>2246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19" t="s">
        <v>3206</v>
      </c>
      <c r="B108" s="420" t="s">
        <v>3207</v>
      </c>
      <c r="C108" s="420">
        <v>2014.0</v>
      </c>
      <c r="D108" s="497">
        <v>41983.0</v>
      </c>
      <c r="E108" s="394" t="s">
        <v>3208</v>
      </c>
      <c r="F108" s="422" t="s">
        <v>3209</v>
      </c>
      <c r="G108" s="422" t="s">
        <v>17</v>
      </c>
      <c r="H108" s="394" t="s">
        <v>573</v>
      </c>
      <c r="I108" s="497">
        <v>44378.0</v>
      </c>
      <c r="J108" s="422">
        <v>7.0</v>
      </c>
      <c r="K108" s="422" t="s">
        <v>2854</v>
      </c>
      <c r="L108" s="422" t="s">
        <v>2860</v>
      </c>
      <c r="M108" s="528">
        <f t="shared" si="1"/>
        <v>2395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25" t="s">
        <v>3210</v>
      </c>
      <c r="B109" s="426" t="s">
        <v>3211</v>
      </c>
      <c r="C109" s="426">
        <v>2017.0</v>
      </c>
      <c r="D109" s="500">
        <v>43082.0</v>
      </c>
      <c r="E109" s="428" t="s">
        <v>3212</v>
      </c>
      <c r="F109" s="428" t="s">
        <v>3213</v>
      </c>
      <c r="G109" s="397" t="s">
        <v>17</v>
      </c>
      <c r="H109" s="397" t="s">
        <v>66</v>
      </c>
      <c r="I109" s="500">
        <v>44378.0</v>
      </c>
      <c r="J109" s="428">
        <v>7.0</v>
      </c>
      <c r="K109" s="428" t="s">
        <v>2854</v>
      </c>
      <c r="L109" s="428" t="s">
        <v>2860</v>
      </c>
      <c r="M109" s="529">
        <f t="shared" si="1"/>
        <v>1296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19" t="s">
        <v>3214</v>
      </c>
      <c r="B110" s="420" t="s">
        <v>3215</v>
      </c>
      <c r="C110" s="420">
        <v>2018.0</v>
      </c>
      <c r="D110" s="497">
        <v>43311.0</v>
      </c>
      <c r="E110" s="394" t="s">
        <v>3216</v>
      </c>
      <c r="F110" s="422" t="s">
        <v>55</v>
      </c>
      <c r="G110" s="422" t="s">
        <v>17</v>
      </c>
      <c r="H110" s="394" t="s">
        <v>990</v>
      </c>
      <c r="I110" s="497">
        <v>44378.0</v>
      </c>
      <c r="J110" s="422">
        <v>7.0</v>
      </c>
      <c r="K110" s="422" t="s">
        <v>2854</v>
      </c>
      <c r="L110" s="422" t="s">
        <v>2860</v>
      </c>
      <c r="M110" s="528">
        <f t="shared" si="1"/>
        <v>1067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25" t="s">
        <v>3217</v>
      </c>
      <c r="B111" s="426" t="s">
        <v>3218</v>
      </c>
      <c r="C111" s="426">
        <v>2017.0</v>
      </c>
      <c r="D111" s="500">
        <v>42860.0</v>
      </c>
      <c r="E111" s="428" t="s">
        <v>3219</v>
      </c>
      <c r="F111" s="428" t="s">
        <v>186</v>
      </c>
      <c r="G111" s="397" t="s">
        <v>17</v>
      </c>
      <c r="H111" s="397" t="s">
        <v>775</v>
      </c>
      <c r="I111" s="500">
        <v>44378.0</v>
      </c>
      <c r="J111" s="428">
        <v>7.0</v>
      </c>
      <c r="K111" s="428" t="s">
        <v>2854</v>
      </c>
      <c r="L111" s="428" t="s">
        <v>2860</v>
      </c>
      <c r="M111" s="529">
        <f t="shared" si="1"/>
        <v>1518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19" t="s">
        <v>3220</v>
      </c>
      <c r="B112" s="420" t="s">
        <v>3221</v>
      </c>
      <c r="C112" s="420">
        <v>2013.0</v>
      </c>
      <c r="D112" s="497">
        <v>41484.0</v>
      </c>
      <c r="E112" s="394" t="s">
        <v>3222</v>
      </c>
      <c r="F112" s="422" t="s">
        <v>1843</v>
      </c>
      <c r="G112" s="422" t="s">
        <v>17</v>
      </c>
      <c r="H112" s="394" t="s">
        <v>125</v>
      </c>
      <c r="I112" s="497">
        <v>44378.0</v>
      </c>
      <c r="J112" s="422">
        <v>7.0</v>
      </c>
      <c r="K112" s="422" t="s">
        <v>2854</v>
      </c>
      <c r="L112" s="422" t="s">
        <v>2860</v>
      </c>
      <c r="M112" s="528">
        <f t="shared" si="1"/>
        <v>2894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25" t="s">
        <v>3223</v>
      </c>
      <c r="B113" s="426" t="s">
        <v>3224</v>
      </c>
      <c r="C113" s="426">
        <v>2013.0</v>
      </c>
      <c r="D113" s="500">
        <v>41533.0</v>
      </c>
      <c r="E113" s="428" t="s">
        <v>3225</v>
      </c>
      <c r="F113" s="428" t="s">
        <v>928</v>
      </c>
      <c r="G113" s="397" t="s">
        <v>17</v>
      </c>
      <c r="H113" s="397" t="s">
        <v>130</v>
      </c>
      <c r="I113" s="500">
        <v>44378.0</v>
      </c>
      <c r="J113" s="428">
        <v>7.0</v>
      </c>
      <c r="K113" s="428" t="s">
        <v>2854</v>
      </c>
      <c r="L113" s="428" t="s">
        <v>2860</v>
      </c>
      <c r="M113" s="529">
        <f t="shared" si="1"/>
        <v>2845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19" t="s">
        <v>3226</v>
      </c>
      <c r="B114" s="420" t="s">
        <v>3227</v>
      </c>
      <c r="C114" s="420">
        <v>2014.0</v>
      </c>
      <c r="D114" s="497">
        <v>41719.0</v>
      </c>
      <c r="E114" s="394" t="s">
        <v>3228</v>
      </c>
      <c r="F114" s="422" t="s">
        <v>711</v>
      </c>
      <c r="G114" s="422" t="s">
        <v>17</v>
      </c>
      <c r="H114" s="394" t="s">
        <v>740</v>
      </c>
      <c r="I114" s="497">
        <v>44378.0</v>
      </c>
      <c r="J114" s="422">
        <v>7.0</v>
      </c>
      <c r="K114" s="422" t="s">
        <v>2854</v>
      </c>
      <c r="L114" s="422" t="s">
        <v>2860</v>
      </c>
      <c r="M114" s="528">
        <f t="shared" si="1"/>
        <v>2659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25" t="s">
        <v>3229</v>
      </c>
      <c r="B115" s="426" t="s">
        <v>3230</v>
      </c>
      <c r="C115" s="426">
        <v>2013.0</v>
      </c>
      <c r="D115" s="500">
        <v>41547.0</v>
      </c>
      <c r="E115" s="428" t="s">
        <v>3231</v>
      </c>
      <c r="F115" s="428" t="s">
        <v>3213</v>
      </c>
      <c r="G115" s="397" t="s">
        <v>17</v>
      </c>
      <c r="H115" s="397" t="s">
        <v>712</v>
      </c>
      <c r="I115" s="500">
        <v>44378.0</v>
      </c>
      <c r="J115" s="428">
        <v>7.0</v>
      </c>
      <c r="K115" s="428" t="s">
        <v>2854</v>
      </c>
      <c r="L115" s="428" t="s">
        <v>2860</v>
      </c>
      <c r="M115" s="529">
        <f t="shared" si="1"/>
        <v>2831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19" t="s">
        <v>3232</v>
      </c>
      <c r="B116" s="420" t="s">
        <v>3233</v>
      </c>
      <c r="C116" s="420">
        <v>2015.0</v>
      </c>
      <c r="D116" s="497">
        <v>44026.0</v>
      </c>
      <c r="E116" s="394" t="s">
        <v>3234</v>
      </c>
      <c r="F116" s="422" t="s">
        <v>55</v>
      </c>
      <c r="G116" s="422" t="s">
        <v>17</v>
      </c>
      <c r="H116" s="394" t="s">
        <v>149</v>
      </c>
      <c r="I116" s="497">
        <v>44378.0</v>
      </c>
      <c r="J116" s="422">
        <v>7.0</v>
      </c>
      <c r="K116" s="422" t="s">
        <v>2854</v>
      </c>
      <c r="L116" s="422" t="s">
        <v>2860</v>
      </c>
      <c r="M116" s="528">
        <f t="shared" si="1"/>
        <v>352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25" t="s">
        <v>3235</v>
      </c>
      <c r="B117" s="426" t="s">
        <v>3236</v>
      </c>
      <c r="C117" s="426">
        <v>2016.0</v>
      </c>
      <c r="D117" s="500">
        <v>42398.0</v>
      </c>
      <c r="E117" s="428" t="s">
        <v>3237</v>
      </c>
      <c r="F117" s="428" t="s">
        <v>3213</v>
      </c>
      <c r="G117" s="397" t="s">
        <v>17</v>
      </c>
      <c r="H117" s="397" t="s">
        <v>1143</v>
      </c>
      <c r="I117" s="500">
        <v>44378.0</v>
      </c>
      <c r="J117" s="428">
        <v>7.0</v>
      </c>
      <c r="K117" s="428" t="s">
        <v>2854</v>
      </c>
      <c r="L117" s="428" t="s">
        <v>2860</v>
      </c>
      <c r="M117" s="529">
        <f t="shared" si="1"/>
        <v>1980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19" t="s">
        <v>3238</v>
      </c>
      <c r="B118" s="420" t="s">
        <v>3239</v>
      </c>
      <c r="C118" s="420">
        <v>2018.0</v>
      </c>
      <c r="D118" s="497">
        <v>43194.0</v>
      </c>
      <c r="E118" s="394" t="s">
        <v>3240</v>
      </c>
      <c r="F118" s="422" t="s">
        <v>71</v>
      </c>
      <c r="G118" s="422" t="s">
        <v>17</v>
      </c>
      <c r="H118" s="394" t="s">
        <v>1178</v>
      </c>
      <c r="I118" s="497">
        <v>44378.0</v>
      </c>
      <c r="J118" s="422">
        <v>7.0</v>
      </c>
      <c r="K118" s="422" t="s">
        <v>2854</v>
      </c>
      <c r="L118" s="422" t="s">
        <v>2855</v>
      </c>
      <c r="M118" s="528">
        <f t="shared" si="1"/>
        <v>1184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25" t="s">
        <v>3241</v>
      </c>
      <c r="B119" s="426" t="s">
        <v>3242</v>
      </c>
      <c r="C119" s="426">
        <v>2018.0</v>
      </c>
      <c r="D119" s="500">
        <v>42433.0</v>
      </c>
      <c r="E119" s="428" t="s">
        <v>3243</v>
      </c>
      <c r="F119" s="428" t="s">
        <v>71</v>
      </c>
      <c r="G119" s="397" t="s">
        <v>17</v>
      </c>
      <c r="H119" s="397" t="s">
        <v>50</v>
      </c>
      <c r="I119" s="500">
        <v>44378.0</v>
      </c>
      <c r="J119" s="428">
        <v>7.0</v>
      </c>
      <c r="K119" s="428" t="s">
        <v>2854</v>
      </c>
      <c r="L119" s="428" t="s">
        <v>2855</v>
      </c>
      <c r="M119" s="529">
        <f t="shared" si="1"/>
        <v>1945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19" t="s">
        <v>3244</v>
      </c>
      <c r="B120" s="420" t="s">
        <v>3245</v>
      </c>
      <c r="C120" s="420">
        <v>2016.0</v>
      </c>
      <c r="D120" s="497">
        <v>42424.0</v>
      </c>
      <c r="E120" s="394" t="s">
        <v>3246</v>
      </c>
      <c r="F120" s="422" t="s">
        <v>186</v>
      </c>
      <c r="G120" s="422" t="s">
        <v>17</v>
      </c>
      <c r="H120" s="394" t="s">
        <v>712</v>
      </c>
      <c r="I120" s="497">
        <v>44378.0</v>
      </c>
      <c r="J120" s="422">
        <v>7.0</v>
      </c>
      <c r="K120" s="422" t="s">
        <v>2854</v>
      </c>
      <c r="L120" s="422" t="s">
        <v>2860</v>
      </c>
      <c r="M120" s="528">
        <f t="shared" si="1"/>
        <v>1954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25" t="s">
        <v>3247</v>
      </c>
      <c r="B121" s="426" t="s">
        <v>3248</v>
      </c>
      <c r="C121" s="426">
        <v>2018.0</v>
      </c>
      <c r="D121" s="500">
        <v>43237.0</v>
      </c>
      <c r="E121" s="428" t="s">
        <v>3249</v>
      </c>
      <c r="F121" s="428" t="s">
        <v>3213</v>
      </c>
      <c r="G121" s="397" t="s">
        <v>17</v>
      </c>
      <c r="H121" s="397" t="s">
        <v>50</v>
      </c>
      <c r="I121" s="500">
        <v>44378.0</v>
      </c>
      <c r="J121" s="428">
        <v>7.0</v>
      </c>
      <c r="K121" s="428" t="s">
        <v>2854</v>
      </c>
      <c r="L121" s="428" t="s">
        <v>2860</v>
      </c>
      <c r="M121" s="529">
        <f t="shared" si="1"/>
        <v>1141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19" t="s">
        <v>3250</v>
      </c>
      <c r="B122" s="420" t="s">
        <v>3251</v>
      </c>
      <c r="C122" s="420">
        <v>2015.0</v>
      </c>
      <c r="D122" s="497">
        <v>42124.0</v>
      </c>
      <c r="E122" s="394" t="s">
        <v>3252</v>
      </c>
      <c r="F122" s="422" t="s">
        <v>928</v>
      </c>
      <c r="G122" s="422" t="s">
        <v>17</v>
      </c>
      <c r="H122" s="394" t="s">
        <v>583</v>
      </c>
      <c r="I122" s="497">
        <v>44378.0</v>
      </c>
      <c r="J122" s="422">
        <v>7.0</v>
      </c>
      <c r="K122" s="422" t="s">
        <v>2854</v>
      </c>
      <c r="L122" s="422" t="s">
        <v>2860</v>
      </c>
      <c r="M122" s="528">
        <f t="shared" si="1"/>
        <v>2254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25" t="s">
        <v>3253</v>
      </c>
      <c r="B123" s="426" t="s">
        <v>3254</v>
      </c>
      <c r="C123" s="426">
        <v>2018.0</v>
      </c>
      <c r="D123" s="500">
        <v>43311.0</v>
      </c>
      <c r="E123" s="428" t="s">
        <v>3255</v>
      </c>
      <c r="F123" s="428" t="s">
        <v>3213</v>
      </c>
      <c r="G123" s="397" t="s">
        <v>17</v>
      </c>
      <c r="H123" s="397" t="s">
        <v>2934</v>
      </c>
      <c r="I123" s="500">
        <v>44378.0</v>
      </c>
      <c r="J123" s="428">
        <v>7.0</v>
      </c>
      <c r="K123" s="428" t="s">
        <v>2854</v>
      </c>
      <c r="L123" s="428" t="s">
        <v>2860</v>
      </c>
      <c r="M123" s="529">
        <f t="shared" si="1"/>
        <v>1067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19" t="s">
        <v>3256</v>
      </c>
      <c r="B124" s="420" t="s">
        <v>3257</v>
      </c>
      <c r="C124" s="420">
        <v>2016.0</v>
      </c>
      <c r="D124" s="497">
        <v>42674.0</v>
      </c>
      <c r="E124" s="394" t="s">
        <v>3258</v>
      </c>
      <c r="F124" s="422" t="s">
        <v>1957</v>
      </c>
      <c r="G124" s="422" t="s">
        <v>17</v>
      </c>
      <c r="H124" s="394" t="s">
        <v>929</v>
      </c>
      <c r="I124" s="497">
        <v>44378.0</v>
      </c>
      <c r="J124" s="422">
        <v>7.0</v>
      </c>
      <c r="K124" s="422" t="s">
        <v>2854</v>
      </c>
      <c r="L124" s="422" t="s">
        <v>2855</v>
      </c>
      <c r="M124" s="528">
        <f t="shared" si="1"/>
        <v>1704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25" t="s">
        <v>3259</v>
      </c>
      <c r="B125" s="426" t="s">
        <v>3260</v>
      </c>
      <c r="C125" s="426">
        <v>2018.0</v>
      </c>
      <c r="D125" s="500">
        <v>43453.0</v>
      </c>
      <c r="E125" s="428" t="s">
        <v>3261</v>
      </c>
      <c r="F125" s="428" t="s">
        <v>186</v>
      </c>
      <c r="G125" s="397" t="s">
        <v>17</v>
      </c>
      <c r="H125" s="397" t="s">
        <v>573</v>
      </c>
      <c r="I125" s="500">
        <v>44378.0</v>
      </c>
      <c r="J125" s="428">
        <v>7.0</v>
      </c>
      <c r="K125" s="428" t="s">
        <v>2854</v>
      </c>
      <c r="L125" s="428" t="s">
        <v>2860</v>
      </c>
      <c r="M125" s="529">
        <f t="shared" si="1"/>
        <v>925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19" t="s">
        <v>3262</v>
      </c>
      <c r="B126" s="420" t="s">
        <v>3263</v>
      </c>
      <c r="C126" s="420">
        <v>2016.0</v>
      </c>
      <c r="D126" s="497">
        <v>42585.0</v>
      </c>
      <c r="E126" s="394" t="s">
        <v>3264</v>
      </c>
      <c r="F126" s="422" t="s">
        <v>3265</v>
      </c>
      <c r="G126" s="422" t="s">
        <v>17</v>
      </c>
      <c r="H126" s="394" t="s">
        <v>901</v>
      </c>
      <c r="I126" s="497">
        <v>44378.0</v>
      </c>
      <c r="J126" s="422">
        <v>7.0</v>
      </c>
      <c r="K126" s="422" t="s">
        <v>2854</v>
      </c>
      <c r="L126" s="422" t="s">
        <v>2855</v>
      </c>
      <c r="M126" s="528">
        <f t="shared" si="1"/>
        <v>1793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25" t="s">
        <v>3266</v>
      </c>
      <c r="B127" s="426" t="s">
        <v>3267</v>
      </c>
      <c r="C127" s="426">
        <v>2016.0</v>
      </c>
      <c r="D127" s="500">
        <v>42636.0</v>
      </c>
      <c r="E127" s="428" t="s">
        <v>3268</v>
      </c>
      <c r="F127" s="428" t="s">
        <v>3265</v>
      </c>
      <c r="G127" s="397" t="s">
        <v>17</v>
      </c>
      <c r="H127" s="397" t="s">
        <v>573</v>
      </c>
      <c r="I127" s="500">
        <v>44378.0</v>
      </c>
      <c r="J127" s="428">
        <v>7.0</v>
      </c>
      <c r="K127" s="428" t="s">
        <v>2854</v>
      </c>
      <c r="L127" s="428" t="s">
        <v>2855</v>
      </c>
      <c r="M127" s="529">
        <f t="shared" si="1"/>
        <v>1742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19" t="s">
        <v>3269</v>
      </c>
      <c r="B128" s="420" t="s">
        <v>3270</v>
      </c>
      <c r="C128" s="420">
        <v>2018.0</v>
      </c>
      <c r="D128" s="497">
        <v>43154.0</v>
      </c>
      <c r="E128" s="394" t="s">
        <v>3271</v>
      </c>
      <c r="F128" s="422" t="s">
        <v>3265</v>
      </c>
      <c r="G128" s="422" t="s">
        <v>17</v>
      </c>
      <c r="H128" s="394" t="s">
        <v>39</v>
      </c>
      <c r="I128" s="497">
        <v>44378.0</v>
      </c>
      <c r="J128" s="422">
        <v>7.0</v>
      </c>
      <c r="K128" s="422" t="s">
        <v>2854</v>
      </c>
      <c r="L128" s="422" t="s">
        <v>2855</v>
      </c>
      <c r="M128" s="528">
        <f t="shared" si="1"/>
        <v>1224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25" t="s">
        <v>3272</v>
      </c>
      <c r="B129" s="426" t="s">
        <v>3273</v>
      </c>
      <c r="C129" s="426">
        <v>2020.0</v>
      </c>
      <c r="D129" s="500">
        <v>43924.0</v>
      </c>
      <c r="E129" s="428" t="s">
        <v>3274</v>
      </c>
      <c r="F129" s="428" t="s">
        <v>3265</v>
      </c>
      <c r="G129" s="397" t="s">
        <v>17</v>
      </c>
      <c r="H129" s="397" t="s">
        <v>3026</v>
      </c>
      <c r="I129" s="500">
        <v>44378.0</v>
      </c>
      <c r="J129" s="428">
        <v>7.0</v>
      </c>
      <c r="K129" s="428" t="s">
        <v>2854</v>
      </c>
      <c r="L129" s="428" t="s">
        <v>2855</v>
      </c>
      <c r="M129" s="529">
        <f t="shared" si="1"/>
        <v>454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19" t="s">
        <v>3275</v>
      </c>
      <c r="B130" s="420" t="s">
        <v>3276</v>
      </c>
      <c r="C130" s="420">
        <v>2014.0</v>
      </c>
      <c r="D130" s="497">
        <v>41991.0</v>
      </c>
      <c r="E130" s="394" t="s">
        <v>3277</v>
      </c>
      <c r="F130" s="422" t="s">
        <v>55</v>
      </c>
      <c r="G130" s="422" t="s">
        <v>17</v>
      </c>
      <c r="H130" s="394" t="s">
        <v>66</v>
      </c>
      <c r="I130" s="497">
        <v>44378.0</v>
      </c>
      <c r="J130" s="422">
        <v>7.0</v>
      </c>
      <c r="K130" s="422" t="s">
        <v>2854</v>
      </c>
      <c r="L130" s="422" t="s">
        <v>2860</v>
      </c>
      <c r="M130" s="528">
        <f t="shared" si="1"/>
        <v>2387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25" t="s">
        <v>3278</v>
      </c>
      <c r="B131" s="426" t="s">
        <v>3279</v>
      </c>
      <c r="C131" s="426">
        <v>2020.0</v>
      </c>
      <c r="D131" s="500">
        <v>43966.0</v>
      </c>
      <c r="E131" s="428" t="s">
        <v>3280</v>
      </c>
      <c r="F131" s="428" t="s">
        <v>55</v>
      </c>
      <c r="G131" s="397" t="s">
        <v>17</v>
      </c>
      <c r="H131" s="397" t="s">
        <v>3026</v>
      </c>
      <c r="I131" s="500">
        <v>44378.0</v>
      </c>
      <c r="J131" s="428">
        <v>7.0</v>
      </c>
      <c r="K131" s="428" t="s">
        <v>2854</v>
      </c>
      <c r="L131" s="428" t="s">
        <v>2860</v>
      </c>
      <c r="M131" s="529">
        <f t="shared" si="1"/>
        <v>412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19" t="s">
        <v>3281</v>
      </c>
      <c r="B132" s="420" t="s">
        <v>3282</v>
      </c>
      <c r="C132" s="420">
        <v>2014.0</v>
      </c>
      <c r="D132" s="497">
        <v>41971.0</v>
      </c>
      <c r="E132" s="394" t="s">
        <v>3283</v>
      </c>
      <c r="F132" s="422" t="s">
        <v>55</v>
      </c>
      <c r="G132" s="422" t="s">
        <v>17</v>
      </c>
      <c r="H132" s="394" t="s">
        <v>56</v>
      </c>
      <c r="I132" s="497">
        <v>44378.0</v>
      </c>
      <c r="J132" s="422">
        <v>7.0</v>
      </c>
      <c r="K132" s="422" t="s">
        <v>2854</v>
      </c>
      <c r="L132" s="422" t="s">
        <v>2860</v>
      </c>
      <c r="M132" s="528">
        <f t="shared" si="1"/>
        <v>2407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25" t="s">
        <v>3284</v>
      </c>
      <c r="B133" s="426" t="s">
        <v>3285</v>
      </c>
      <c r="C133" s="426">
        <v>2015.0</v>
      </c>
      <c r="D133" s="500">
        <v>42356.0</v>
      </c>
      <c r="E133" s="428" t="s">
        <v>3286</v>
      </c>
      <c r="F133" s="428" t="s">
        <v>3265</v>
      </c>
      <c r="G133" s="397" t="s">
        <v>17</v>
      </c>
      <c r="H133" s="397" t="s">
        <v>66</v>
      </c>
      <c r="I133" s="500">
        <v>44378.0</v>
      </c>
      <c r="J133" s="428">
        <v>7.0</v>
      </c>
      <c r="K133" s="428" t="s">
        <v>2854</v>
      </c>
      <c r="L133" s="428" t="s">
        <v>2855</v>
      </c>
      <c r="M133" s="529">
        <f t="shared" si="1"/>
        <v>2022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19" t="s">
        <v>3287</v>
      </c>
      <c r="B134" s="420" t="s">
        <v>3288</v>
      </c>
      <c r="C134" s="420">
        <v>2014.0</v>
      </c>
      <c r="D134" s="497">
        <v>41641.0</v>
      </c>
      <c r="E134" s="394" t="s">
        <v>3289</v>
      </c>
      <c r="F134" s="422" t="s">
        <v>3265</v>
      </c>
      <c r="G134" s="422" t="s">
        <v>17</v>
      </c>
      <c r="H134" s="394" t="s">
        <v>50</v>
      </c>
      <c r="I134" s="497">
        <v>44378.0</v>
      </c>
      <c r="J134" s="422">
        <v>7.0</v>
      </c>
      <c r="K134" s="422" t="s">
        <v>2854</v>
      </c>
      <c r="L134" s="422" t="s">
        <v>2855</v>
      </c>
      <c r="M134" s="528">
        <f t="shared" si="1"/>
        <v>2737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25" t="s">
        <v>3290</v>
      </c>
      <c r="B135" s="426" t="s">
        <v>3291</v>
      </c>
      <c r="C135" s="426">
        <v>2017.0</v>
      </c>
      <c r="D135" s="500">
        <v>42902.0</v>
      </c>
      <c r="E135" s="428" t="s">
        <v>3292</v>
      </c>
      <c r="F135" s="428" t="s">
        <v>3265</v>
      </c>
      <c r="G135" s="397" t="s">
        <v>17</v>
      </c>
      <c r="H135" s="397" t="s">
        <v>583</v>
      </c>
      <c r="I135" s="500">
        <v>44378.0</v>
      </c>
      <c r="J135" s="428">
        <v>7.0</v>
      </c>
      <c r="K135" s="428" t="s">
        <v>2854</v>
      </c>
      <c r="L135" s="428" t="s">
        <v>2855</v>
      </c>
      <c r="M135" s="529">
        <f t="shared" si="1"/>
        <v>1476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19" t="s">
        <v>3293</v>
      </c>
      <c r="B136" s="420" t="s">
        <v>3294</v>
      </c>
      <c r="C136" s="420">
        <v>2019.0</v>
      </c>
      <c r="D136" s="497">
        <v>43700.0</v>
      </c>
      <c r="E136" s="394" t="s">
        <v>3295</v>
      </c>
      <c r="F136" s="422" t="s">
        <v>1554</v>
      </c>
      <c r="G136" s="422" t="s">
        <v>17</v>
      </c>
      <c r="H136" s="394" t="s">
        <v>56</v>
      </c>
      <c r="I136" s="497">
        <v>44378.0</v>
      </c>
      <c r="J136" s="422">
        <v>7.0</v>
      </c>
      <c r="K136" s="422" t="s">
        <v>2854</v>
      </c>
      <c r="L136" s="422" t="s">
        <v>2855</v>
      </c>
      <c r="M136" s="528">
        <f t="shared" si="1"/>
        <v>678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25" t="s">
        <v>3296</v>
      </c>
      <c r="B137" s="426" t="s">
        <v>3297</v>
      </c>
      <c r="C137" s="426">
        <v>2013.0</v>
      </c>
      <c r="D137" s="500">
        <v>41621.0</v>
      </c>
      <c r="E137" s="428" t="s">
        <v>3298</v>
      </c>
      <c r="F137" s="428" t="s">
        <v>1232</v>
      </c>
      <c r="G137" s="397" t="s">
        <v>17</v>
      </c>
      <c r="H137" s="397" t="s">
        <v>573</v>
      </c>
      <c r="I137" s="500">
        <v>44378.0</v>
      </c>
      <c r="J137" s="428">
        <v>7.0</v>
      </c>
      <c r="K137" s="428" t="s">
        <v>2854</v>
      </c>
      <c r="L137" s="428" t="s">
        <v>2860</v>
      </c>
      <c r="M137" s="529">
        <f t="shared" si="1"/>
        <v>2757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19" t="s">
        <v>3299</v>
      </c>
      <c r="B138" s="420" t="s">
        <v>3300</v>
      </c>
      <c r="C138" s="420">
        <v>2016.0</v>
      </c>
      <c r="D138" s="497">
        <v>42723.0</v>
      </c>
      <c r="E138" s="394" t="s">
        <v>3301</v>
      </c>
      <c r="F138" s="422" t="s">
        <v>3302</v>
      </c>
      <c r="G138" s="422" t="s">
        <v>17</v>
      </c>
      <c r="H138" s="394" t="s">
        <v>3303</v>
      </c>
      <c r="I138" s="497">
        <v>44399.0</v>
      </c>
      <c r="J138" s="422">
        <v>7.0</v>
      </c>
      <c r="K138" s="422" t="s">
        <v>2854</v>
      </c>
      <c r="L138" s="422" t="s">
        <v>2860</v>
      </c>
      <c r="M138" s="528">
        <f t="shared" si="1"/>
        <v>1676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25" t="s">
        <v>3304</v>
      </c>
      <c r="B139" s="426" t="s">
        <v>3305</v>
      </c>
      <c r="C139" s="426">
        <v>2017.0</v>
      </c>
      <c r="D139" s="500">
        <v>43040.0</v>
      </c>
      <c r="E139" s="428" t="s">
        <v>3306</v>
      </c>
      <c r="F139" s="428" t="s">
        <v>2667</v>
      </c>
      <c r="G139" s="397" t="s">
        <v>17</v>
      </c>
      <c r="H139" s="397" t="s">
        <v>77</v>
      </c>
      <c r="I139" s="500">
        <v>44427.0</v>
      </c>
      <c r="J139" s="428">
        <v>8.0</v>
      </c>
      <c r="K139" s="428" t="s">
        <v>2854</v>
      </c>
      <c r="L139" s="428" t="s">
        <v>2855</v>
      </c>
      <c r="M139" s="529">
        <f t="shared" si="1"/>
        <v>1387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19" t="s">
        <v>3307</v>
      </c>
      <c r="B140" s="420" t="s">
        <v>3308</v>
      </c>
      <c r="C140" s="420">
        <v>2018.0</v>
      </c>
      <c r="D140" s="497">
        <v>43447.0</v>
      </c>
      <c r="E140" s="394" t="s">
        <v>3309</v>
      </c>
      <c r="F140" s="422" t="s">
        <v>1136</v>
      </c>
      <c r="G140" s="422" t="s">
        <v>17</v>
      </c>
      <c r="H140" s="394" t="s">
        <v>130</v>
      </c>
      <c r="I140" s="497">
        <v>44427.0</v>
      </c>
      <c r="J140" s="422">
        <v>8.0</v>
      </c>
      <c r="K140" s="422" t="s">
        <v>2854</v>
      </c>
      <c r="L140" s="422" t="s">
        <v>3310</v>
      </c>
      <c r="M140" s="528">
        <f t="shared" si="1"/>
        <v>980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25" t="s">
        <v>3311</v>
      </c>
      <c r="B141" s="426" t="s">
        <v>3312</v>
      </c>
      <c r="C141" s="426">
        <v>2016.0</v>
      </c>
      <c r="D141" s="500">
        <v>42618.0</v>
      </c>
      <c r="E141" s="428" t="s">
        <v>3313</v>
      </c>
      <c r="F141" s="428" t="s">
        <v>71</v>
      </c>
      <c r="G141" s="397" t="s">
        <v>17</v>
      </c>
      <c r="H141" s="397" t="s">
        <v>97</v>
      </c>
      <c r="I141" s="500">
        <v>44427.0</v>
      </c>
      <c r="J141" s="428">
        <v>8.0</v>
      </c>
      <c r="K141" s="428" t="s">
        <v>2854</v>
      </c>
      <c r="L141" s="428" t="s">
        <v>2855</v>
      </c>
      <c r="M141" s="529">
        <f t="shared" si="1"/>
        <v>1809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19" t="s">
        <v>3314</v>
      </c>
      <c r="B142" s="420" t="s">
        <v>3315</v>
      </c>
      <c r="C142" s="420">
        <v>2016.0</v>
      </c>
      <c r="D142" s="497">
        <v>42668.0</v>
      </c>
      <c r="E142" s="394" t="s">
        <v>3316</v>
      </c>
      <c r="F142" s="422" t="s">
        <v>71</v>
      </c>
      <c r="G142" s="422" t="s">
        <v>17</v>
      </c>
      <c r="H142" s="394" t="s">
        <v>573</v>
      </c>
      <c r="I142" s="497">
        <v>44427.0</v>
      </c>
      <c r="J142" s="422">
        <v>8.0</v>
      </c>
      <c r="K142" s="422" t="s">
        <v>2854</v>
      </c>
      <c r="L142" s="422" t="s">
        <v>2855</v>
      </c>
      <c r="M142" s="528">
        <f t="shared" si="1"/>
        <v>1759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25" t="s">
        <v>3317</v>
      </c>
      <c r="B143" s="426" t="s">
        <v>3318</v>
      </c>
      <c r="C143" s="426">
        <v>2016.0</v>
      </c>
      <c r="D143" s="500">
        <v>42643.0</v>
      </c>
      <c r="E143" s="428" t="s">
        <v>3319</v>
      </c>
      <c r="F143" s="428" t="s">
        <v>71</v>
      </c>
      <c r="G143" s="397" t="s">
        <v>17</v>
      </c>
      <c r="H143" s="397" t="s">
        <v>97</v>
      </c>
      <c r="I143" s="500">
        <v>44427.0</v>
      </c>
      <c r="J143" s="428">
        <v>8.0</v>
      </c>
      <c r="K143" s="428" t="s">
        <v>2854</v>
      </c>
      <c r="L143" s="428" t="s">
        <v>2855</v>
      </c>
      <c r="M143" s="529">
        <f t="shared" si="1"/>
        <v>1784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19" t="s">
        <v>3320</v>
      </c>
      <c r="B144" s="420" t="s">
        <v>3321</v>
      </c>
      <c r="C144" s="420">
        <v>2011.0</v>
      </c>
      <c r="D144" s="497">
        <v>40787.0</v>
      </c>
      <c r="E144" s="394" t="s">
        <v>3322</v>
      </c>
      <c r="F144" s="422" t="s">
        <v>563</v>
      </c>
      <c r="G144" s="422" t="s">
        <v>17</v>
      </c>
      <c r="H144" s="394" t="s">
        <v>153</v>
      </c>
      <c r="I144" s="497">
        <v>44427.0</v>
      </c>
      <c r="J144" s="422">
        <v>8.0</v>
      </c>
      <c r="K144" s="422" t="s">
        <v>2854</v>
      </c>
      <c r="L144" s="422" t="s">
        <v>2860</v>
      </c>
      <c r="M144" s="528">
        <f t="shared" si="1"/>
        <v>3640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25" t="s">
        <v>3323</v>
      </c>
      <c r="B145" s="426" t="s">
        <v>3324</v>
      </c>
      <c r="C145" s="426">
        <v>2018.0</v>
      </c>
      <c r="D145" s="500">
        <v>43290.0</v>
      </c>
      <c r="E145" s="428" t="s">
        <v>3325</v>
      </c>
      <c r="F145" s="428" t="s">
        <v>31</v>
      </c>
      <c r="G145" s="397" t="s">
        <v>17</v>
      </c>
      <c r="H145" s="397" t="s">
        <v>1143</v>
      </c>
      <c r="I145" s="500">
        <v>44427.0</v>
      </c>
      <c r="J145" s="428">
        <v>8.0</v>
      </c>
      <c r="K145" s="428" t="s">
        <v>2854</v>
      </c>
      <c r="L145" s="428" t="s">
        <v>2855</v>
      </c>
      <c r="M145" s="529">
        <f t="shared" si="1"/>
        <v>1137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19" t="s">
        <v>3326</v>
      </c>
      <c r="B146" s="420" t="s">
        <v>3327</v>
      </c>
      <c r="C146" s="420">
        <v>2016.0</v>
      </c>
      <c r="D146" s="497">
        <v>42688.0</v>
      </c>
      <c r="E146" s="394" t="s">
        <v>3328</v>
      </c>
      <c r="F146" s="422" t="s">
        <v>148</v>
      </c>
      <c r="G146" s="422" t="s">
        <v>17</v>
      </c>
      <c r="H146" s="394" t="s">
        <v>26</v>
      </c>
      <c r="I146" s="497">
        <v>44427.0</v>
      </c>
      <c r="J146" s="422">
        <v>8.0</v>
      </c>
      <c r="K146" s="422" t="s">
        <v>2854</v>
      </c>
      <c r="L146" s="422" t="s">
        <v>2860</v>
      </c>
      <c r="M146" s="528">
        <f t="shared" si="1"/>
        <v>1739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25" t="s">
        <v>3329</v>
      </c>
      <c r="B147" s="426" t="s">
        <v>3330</v>
      </c>
      <c r="C147" s="426">
        <v>2019.0</v>
      </c>
      <c r="D147" s="500">
        <v>43741.0</v>
      </c>
      <c r="E147" s="428" t="s">
        <v>3331</v>
      </c>
      <c r="F147" s="428" t="s">
        <v>148</v>
      </c>
      <c r="G147" s="397" t="s">
        <v>17</v>
      </c>
      <c r="H147" s="397" t="s">
        <v>573</v>
      </c>
      <c r="I147" s="500">
        <v>44427.0</v>
      </c>
      <c r="J147" s="428">
        <v>8.0</v>
      </c>
      <c r="K147" s="428" t="s">
        <v>2854</v>
      </c>
      <c r="L147" s="428" t="s">
        <v>2860</v>
      </c>
      <c r="M147" s="529">
        <f t="shared" si="1"/>
        <v>686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19" t="s">
        <v>3332</v>
      </c>
      <c r="B148" s="420" t="s">
        <v>3333</v>
      </c>
      <c r="C148" s="420">
        <v>2019.0</v>
      </c>
      <c r="D148" s="497">
        <v>43521.0</v>
      </c>
      <c r="E148" s="394" t="s">
        <v>3334</v>
      </c>
      <c r="F148" s="422" t="s">
        <v>892</v>
      </c>
      <c r="G148" s="422" t="s">
        <v>17</v>
      </c>
      <c r="H148" s="394" t="s">
        <v>97</v>
      </c>
      <c r="I148" s="497">
        <v>44427.0</v>
      </c>
      <c r="J148" s="422">
        <v>8.0</v>
      </c>
      <c r="K148" s="422" t="s">
        <v>2854</v>
      </c>
      <c r="L148" s="422" t="s">
        <v>2860</v>
      </c>
      <c r="M148" s="528">
        <f t="shared" si="1"/>
        <v>906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25" t="s">
        <v>3335</v>
      </c>
      <c r="B149" s="426" t="s">
        <v>3336</v>
      </c>
      <c r="C149" s="426">
        <v>2014.0</v>
      </c>
      <c r="D149" s="500">
        <v>41697.0</v>
      </c>
      <c r="E149" s="428" t="s">
        <v>3337</v>
      </c>
      <c r="F149" s="428" t="s">
        <v>3068</v>
      </c>
      <c r="G149" s="397" t="s">
        <v>17</v>
      </c>
      <c r="H149" s="397" t="s">
        <v>163</v>
      </c>
      <c r="I149" s="500">
        <v>44427.0</v>
      </c>
      <c r="J149" s="428">
        <v>8.0</v>
      </c>
      <c r="K149" s="428" t="s">
        <v>2854</v>
      </c>
      <c r="L149" s="428" t="s">
        <v>2860</v>
      </c>
      <c r="M149" s="529">
        <f t="shared" si="1"/>
        <v>2730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19" t="s">
        <v>3338</v>
      </c>
      <c r="B150" s="420" t="s">
        <v>3339</v>
      </c>
      <c r="C150" s="420">
        <v>2018.0</v>
      </c>
      <c r="D150" s="497">
        <v>43293.0</v>
      </c>
      <c r="E150" s="394" t="s">
        <v>3340</v>
      </c>
      <c r="F150" s="422" t="s">
        <v>1762</v>
      </c>
      <c r="G150" s="422" t="s">
        <v>17</v>
      </c>
      <c r="H150" s="394" t="s">
        <v>2934</v>
      </c>
      <c r="I150" s="497">
        <v>44427.0</v>
      </c>
      <c r="J150" s="422">
        <v>8.0</v>
      </c>
      <c r="K150" s="422" t="s">
        <v>2854</v>
      </c>
      <c r="L150" s="422" t="s">
        <v>2860</v>
      </c>
      <c r="M150" s="528">
        <f t="shared" si="1"/>
        <v>1134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25" t="s">
        <v>3341</v>
      </c>
      <c r="B151" s="426" t="s">
        <v>3342</v>
      </c>
      <c r="C151" s="426">
        <v>2015.0</v>
      </c>
      <c r="D151" s="500">
        <v>42185.0</v>
      </c>
      <c r="E151" s="428" t="s">
        <v>3343</v>
      </c>
      <c r="F151" s="428" t="s">
        <v>31</v>
      </c>
      <c r="G151" s="397" t="s">
        <v>17</v>
      </c>
      <c r="H151" s="397" t="s">
        <v>3344</v>
      </c>
      <c r="I151" s="500">
        <v>44427.0</v>
      </c>
      <c r="J151" s="428">
        <v>8.0</v>
      </c>
      <c r="K151" s="428" t="s">
        <v>2854</v>
      </c>
      <c r="L151" s="428" t="s">
        <v>2855</v>
      </c>
      <c r="M151" s="529">
        <f t="shared" si="1"/>
        <v>2242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19" t="s">
        <v>3345</v>
      </c>
      <c r="B152" s="420" t="s">
        <v>3346</v>
      </c>
      <c r="C152" s="420">
        <v>2015.0</v>
      </c>
      <c r="D152" s="497">
        <v>42142.0</v>
      </c>
      <c r="E152" s="394" t="s">
        <v>3347</v>
      </c>
      <c r="F152" s="422" t="s">
        <v>3348</v>
      </c>
      <c r="G152" s="422" t="s">
        <v>17</v>
      </c>
      <c r="H152" s="394" t="s">
        <v>50</v>
      </c>
      <c r="I152" s="497">
        <v>44460.0</v>
      </c>
      <c r="J152" s="422">
        <v>9.0</v>
      </c>
      <c r="K152" s="422" t="s">
        <v>2854</v>
      </c>
      <c r="L152" s="422" t="s">
        <v>2860</v>
      </c>
      <c r="M152" s="528">
        <f t="shared" si="1"/>
        <v>2318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25" t="s">
        <v>3349</v>
      </c>
      <c r="B153" s="426" t="s">
        <v>3350</v>
      </c>
      <c r="C153" s="426">
        <v>2015.0</v>
      </c>
      <c r="D153" s="500">
        <v>42303.0</v>
      </c>
      <c r="E153" s="428" t="s">
        <v>3351</v>
      </c>
      <c r="F153" s="428" t="s">
        <v>2667</v>
      </c>
      <c r="G153" s="397" t="s">
        <v>17</v>
      </c>
      <c r="H153" s="397" t="s">
        <v>50</v>
      </c>
      <c r="I153" s="500">
        <v>44460.0</v>
      </c>
      <c r="J153" s="428">
        <v>9.0</v>
      </c>
      <c r="K153" s="428" t="s">
        <v>2854</v>
      </c>
      <c r="L153" s="428" t="s">
        <v>2855</v>
      </c>
      <c r="M153" s="529">
        <f t="shared" si="1"/>
        <v>2157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19" t="s">
        <v>3352</v>
      </c>
      <c r="B154" s="420" t="s">
        <v>3353</v>
      </c>
      <c r="C154" s="420">
        <v>2014.0</v>
      </c>
      <c r="D154" s="497">
        <v>41995.0</v>
      </c>
      <c r="E154" s="394" t="s">
        <v>3354</v>
      </c>
      <c r="F154" s="422" t="s">
        <v>1255</v>
      </c>
      <c r="G154" s="422" t="s">
        <v>17</v>
      </c>
      <c r="H154" s="394" t="s">
        <v>66</v>
      </c>
      <c r="I154" s="497">
        <v>44460.0</v>
      </c>
      <c r="J154" s="422">
        <v>9.0</v>
      </c>
      <c r="K154" s="422" t="s">
        <v>2854</v>
      </c>
      <c r="L154" s="422" t="s">
        <v>2860</v>
      </c>
      <c r="M154" s="528">
        <f t="shared" si="1"/>
        <v>2465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25" t="s">
        <v>3355</v>
      </c>
      <c r="B155" s="426" t="s">
        <v>3356</v>
      </c>
      <c r="C155" s="426">
        <v>2020.0</v>
      </c>
      <c r="D155" s="500">
        <v>43963.0</v>
      </c>
      <c r="E155" s="428" t="s">
        <v>3357</v>
      </c>
      <c r="F155" s="428" t="s">
        <v>1255</v>
      </c>
      <c r="G155" s="397" t="s">
        <v>17</v>
      </c>
      <c r="H155" s="397" t="s">
        <v>26</v>
      </c>
      <c r="I155" s="500">
        <v>44460.0</v>
      </c>
      <c r="J155" s="428">
        <v>9.0</v>
      </c>
      <c r="K155" s="428" t="s">
        <v>2854</v>
      </c>
      <c r="L155" s="428" t="s">
        <v>2860</v>
      </c>
      <c r="M155" s="529">
        <f t="shared" si="1"/>
        <v>497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19" t="s">
        <v>3358</v>
      </c>
      <c r="B156" s="420" t="s">
        <v>3359</v>
      </c>
      <c r="C156" s="420">
        <v>2015.0</v>
      </c>
      <c r="D156" s="497">
        <v>42031.0</v>
      </c>
      <c r="E156" s="394" t="s">
        <v>3360</v>
      </c>
      <c r="F156" s="422" t="s">
        <v>1255</v>
      </c>
      <c r="G156" s="422" t="s">
        <v>17</v>
      </c>
      <c r="H156" s="394" t="s">
        <v>50</v>
      </c>
      <c r="I156" s="497">
        <v>44460.0</v>
      </c>
      <c r="J156" s="422">
        <v>9.0</v>
      </c>
      <c r="K156" s="422" t="s">
        <v>2854</v>
      </c>
      <c r="L156" s="422" t="s">
        <v>2860</v>
      </c>
      <c r="M156" s="528">
        <f t="shared" si="1"/>
        <v>2429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25" t="s">
        <v>3361</v>
      </c>
      <c r="B157" s="426" t="s">
        <v>3362</v>
      </c>
      <c r="C157" s="426">
        <v>2017.0</v>
      </c>
      <c r="D157" s="500">
        <v>42740.0</v>
      </c>
      <c r="E157" s="428" t="s">
        <v>3363</v>
      </c>
      <c r="F157" s="428" t="s">
        <v>765</v>
      </c>
      <c r="G157" s="397" t="s">
        <v>17</v>
      </c>
      <c r="H157" s="397" t="s">
        <v>573</v>
      </c>
      <c r="I157" s="500">
        <v>44460.0</v>
      </c>
      <c r="J157" s="428">
        <v>9.0</v>
      </c>
      <c r="K157" s="428" t="s">
        <v>2854</v>
      </c>
      <c r="L157" s="428" t="s">
        <v>2860</v>
      </c>
      <c r="M157" s="529">
        <f t="shared" si="1"/>
        <v>1720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19" t="s">
        <v>3364</v>
      </c>
      <c r="B158" s="420" t="s">
        <v>3365</v>
      </c>
      <c r="C158" s="420">
        <v>2015.0</v>
      </c>
      <c r="D158" s="497">
        <v>42349.0</v>
      </c>
      <c r="E158" s="394" t="s">
        <v>3366</v>
      </c>
      <c r="F158" s="422" t="s">
        <v>1255</v>
      </c>
      <c r="G158" s="422" t="s">
        <v>17</v>
      </c>
      <c r="H158" s="394" t="s">
        <v>1178</v>
      </c>
      <c r="I158" s="497">
        <v>44460.0</v>
      </c>
      <c r="J158" s="422">
        <v>9.0</v>
      </c>
      <c r="K158" s="422" t="s">
        <v>2854</v>
      </c>
      <c r="L158" s="422" t="s">
        <v>2860</v>
      </c>
      <c r="M158" s="528">
        <f t="shared" si="1"/>
        <v>2111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25" t="s">
        <v>3367</v>
      </c>
      <c r="B159" s="426" t="s">
        <v>3368</v>
      </c>
      <c r="C159" s="426">
        <v>2017.0</v>
      </c>
      <c r="D159" s="500">
        <v>43080.0</v>
      </c>
      <c r="E159" s="428" t="s">
        <v>3369</v>
      </c>
      <c r="F159" s="428" t="s">
        <v>1255</v>
      </c>
      <c r="G159" s="397" t="s">
        <v>17</v>
      </c>
      <c r="H159" s="397" t="s">
        <v>573</v>
      </c>
      <c r="I159" s="500">
        <v>44460.0</v>
      </c>
      <c r="J159" s="428">
        <v>9.0</v>
      </c>
      <c r="K159" s="428" t="s">
        <v>2854</v>
      </c>
      <c r="L159" s="428" t="s">
        <v>2860</v>
      </c>
      <c r="M159" s="529">
        <f t="shared" si="1"/>
        <v>1380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19" t="s">
        <v>3370</v>
      </c>
      <c r="B160" s="420" t="s">
        <v>3371</v>
      </c>
      <c r="C160" s="420">
        <v>2020.0</v>
      </c>
      <c r="D160" s="497">
        <v>44011.0</v>
      </c>
      <c r="E160" s="394" t="s">
        <v>3372</v>
      </c>
      <c r="F160" s="422" t="s">
        <v>1108</v>
      </c>
      <c r="G160" s="422" t="s">
        <v>17</v>
      </c>
      <c r="H160" s="394" t="s">
        <v>26</v>
      </c>
      <c r="I160" s="497">
        <v>44460.0</v>
      </c>
      <c r="J160" s="422">
        <v>9.0</v>
      </c>
      <c r="K160" s="422" t="s">
        <v>2854</v>
      </c>
      <c r="L160" s="422" t="s">
        <v>2860</v>
      </c>
      <c r="M160" s="528">
        <f t="shared" si="1"/>
        <v>449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25" t="s">
        <v>3373</v>
      </c>
      <c r="B161" s="426" t="s">
        <v>3374</v>
      </c>
      <c r="C161" s="426">
        <v>2020.0</v>
      </c>
      <c r="D161" s="500">
        <v>43980.0</v>
      </c>
      <c r="E161" s="428" t="s">
        <v>3375</v>
      </c>
      <c r="F161" s="428" t="s">
        <v>765</v>
      </c>
      <c r="G161" s="397" t="s">
        <v>17</v>
      </c>
      <c r="H161" s="397" t="s">
        <v>26</v>
      </c>
      <c r="I161" s="500">
        <v>44460.0</v>
      </c>
      <c r="J161" s="428">
        <v>9.0</v>
      </c>
      <c r="K161" s="428" t="s">
        <v>2854</v>
      </c>
      <c r="L161" s="428" t="s">
        <v>840</v>
      </c>
      <c r="M161" s="529">
        <f t="shared" si="1"/>
        <v>480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19" t="s">
        <v>3376</v>
      </c>
      <c r="B162" s="420" t="s">
        <v>3377</v>
      </c>
      <c r="C162" s="420">
        <v>2020.0</v>
      </c>
      <c r="D162" s="497">
        <v>43910.0</v>
      </c>
      <c r="E162" s="394" t="s">
        <v>3378</v>
      </c>
      <c r="F162" s="422" t="s">
        <v>2225</v>
      </c>
      <c r="G162" s="422" t="s">
        <v>17</v>
      </c>
      <c r="H162" s="394" t="s">
        <v>26</v>
      </c>
      <c r="I162" s="497">
        <v>44460.0</v>
      </c>
      <c r="J162" s="422">
        <v>9.0</v>
      </c>
      <c r="K162" s="422" t="s">
        <v>2854</v>
      </c>
      <c r="L162" s="422" t="s">
        <v>2855</v>
      </c>
      <c r="M162" s="528">
        <f t="shared" si="1"/>
        <v>550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25" t="s">
        <v>3379</v>
      </c>
      <c r="B163" s="426" t="s">
        <v>3380</v>
      </c>
      <c r="C163" s="426">
        <v>2019.0</v>
      </c>
      <c r="D163" s="500">
        <v>43580.0</v>
      </c>
      <c r="E163" s="428" t="s">
        <v>3381</v>
      </c>
      <c r="F163" s="428" t="s">
        <v>1440</v>
      </c>
      <c r="G163" s="397" t="s">
        <v>17</v>
      </c>
      <c r="H163" s="397" t="s">
        <v>3026</v>
      </c>
      <c r="I163" s="500">
        <v>44460.0</v>
      </c>
      <c r="J163" s="428">
        <v>9.0</v>
      </c>
      <c r="K163" s="428" t="s">
        <v>2854</v>
      </c>
      <c r="L163" s="428" t="s">
        <v>2860</v>
      </c>
      <c r="M163" s="529">
        <f t="shared" si="1"/>
        <v>880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19" t="s">
        <v>3382</v>
      </c>
      <c r="B164" s="420" t="s">
        <v>3383</v>
      </c>
      <c r="C164" s="420">
        <v>2019.0</v>
      </c>
      <c r="D164" s="497">
        <v>43538.0</v>
      </c>
      <c r="E164" s="394" t="s">
        <v>3384</v>
      </c>
      <c r="F164" s="422" t="s">
        <v>71</v>
      </c>
      <c r="G164" s="422" t="s">
        <v>17</v>
      </c>
      <c r="H164" s="394" t="s">
        <v>130</v>
      </c>
      <c r="I164" s="497">
        <v>44505.0</v>
      </c>
      <c r="J164" s="422">
        <v>11.0</v>
      </c>
      <c r="K164" s="422" t="s">
        <v>2854</v>
      </c>
      <c r="L164" s="422" t="s">
        <v>2855</v>
      </c>
      <c r="M164" s="528">
        <f t="shared" si="1"/>
        <v>967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25" t="s">
        <v>3385</v>
      </c>
      <c r="B165" s="426" t="s">
        <v>3386</v>
      </c>
      <c r="C165" s="426">
        <v>2021.0</v>
      </c>
      <c r="D165" s="500">
        <v>44280.0</v>
      </c>
      <c r="E165" s="428" t="s">
        <v>3387</v>
      </c>
      <c r="F165" s="428" t="s">
        <v>874</v>
      </c>
      <c r="G165" s="397" t="s">
        <v>17</v>
      </c>
      <c r="H165" s="397" t="s">
        <v>39</v>
      </c>
      <c r="I165" s="500">
        <v>44505.0</v>
      </c>
      <c r="J165" s="428">
        <v>11.0</v>
      </c>
      <c r="K165" s="428" t="s">
        <v>2854</v>
      </c>
      <c r="L165" s="428" t="s">
        <v>2860</v>
      </c>
      <c r="M165" s="529">
        <f t="shared" si="1"/>
        <v>225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19" t="s">
        <v>3388</v>
      </c>
      <c r="B166" s="420" t="s">
        <v>3389</v>
      </c>
      <c r="C166" s="420">
        <v>2015.0</v>
      </c>
      <c r="D166" s="497">
        <v>42039.0</v>
      </c>
      <c r="E166" s="394" t="s">
        <v>3390</v>
      </c>
      <c r="F166" s="422" t="s">
        <v>134</v>
      </c>
      <c r="G166" s="422" t="s">
        <v>17</v>
      </c>
      <c r="H166" s="394" t="s">
        <v>39</v>
      </c>
      <c r="I166" s="497">
        <v>44505.0</v>
      </c>
      <c r="J166" s="422">
        <v>11.0</v>
      </c>
      <c r="K166" s="422" t="s">
        <v>2854</v>
      </c>
      <c r="L166" s="422" t="s">
        <v>2860</v>
      </c>
      <c r="M166" s="528">
        <f t="shared" si="1"/>
        <v>2466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25" t="s">
        <v>3391</v>
      </c>
      <c r="B167" s="426" t="s">
        <v>3392</v>
      </c>
      <c r="C167" s="426">
        <v>2019.0</v>
      </c>
      <c r="D167" s="500">
        <v>43607.0</v>
      </c>
      <c r="E167" s="428" t="s">
        <v>3393</v>
      </c>
      <c r="F167" s="428" t="s">
        <v>1440</v>
      </c>
      <c r="G167" s="397" t="s">
        <v>17</v>
      </c>
      <c r="H167" s="397" t="s">
        <v>2934</v>
      </c>
      <c r="I167" s="500">
        <v>44505.0</v>
      </c>
      <c r="J167" s="428">
        <v>11.0</v>
      </c>
      <c r="K167" s="428" t="s">
        <v>2854</v>
      </c>
      <c r="L167" s="428" t="s">
        <v>2860</v>
      </c>
      <c r="M167" s="529">
        <f t="shared" si="1"/>
        <v>898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19" t="s">
        <v>3394</v>
      </c>
      <c r="B168" s="420" t="s">
        <v>3395</v>
      </c>
      <c r="C168" s="420">
        <v>2015.0</v>
      </c>
      <c r="D168" s="497">
        <v>42338.0</v>
      </c>
      <c r="E168" s="394" t="s">
        <v>3396</v>
      </c>
      <c r="F168" s="422" t="s">
        <v>167</v>
      </c>
      <c r="G168" s="422" t="s">
        <v>17</v>
      </c>
      <c r="H168" s="394" t="s">
        <v>50</v>
      </c>
      <c r="I168" s="497">
        <v>44505.0</v>
      </c>
      <c r="J168" s="422">
        <v>11.0</v>
      </c>
      <c r="K168" s="422" t="s">
        <v>2854</v>
      </c>
      <c r="L168" s="422" t="s">
        <v>2860</v>
      </c>
      <c r="M168" s="528">
        <f t="shared" si="1"/>
        <v>2167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25" t="s">
        <v>3397</v>
      </c>
      <c r="B169" s="426" t="s">
        <v>3398</v>
      </c>
      <c r="C169" s="426">
        <v>2014.0</v>
      </c>
      <c r="D169" s="500">
        <v>41873.0</v>
      </c>
      <c r="E169" s="428" t="s">
        <v>3399</v>
      </c>
      <c r="F169" s="428" t="s">
        <v>874</v>
      </c>
      <c r="G169" s="397" t="s">
        <v>17</v>
      </c>
      <c r="H169" s="397" t="s">
        <v>56</v>
      </c>
      <c r="I169" s="500">
        <v>44505.0</v>
      </c>
      <c r="J169" s="428">
        <v>11.0</v>
      </c>
      <c r="K169" s="428" t="s">
        <v>2854</v>
      </c>
      <c r="L169" s="428" t="s">
        <v>2860</v>
      </c>
      <c r="M169" s="529">
        <f t="shared" si="1"/>
        <v>2632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19" t="s">
        <v>3400</v>
      </c>
      <c r="B170" s="420" t="s">
        <v>3401</v>
      </c>
      <c r="C170" s="420">
        <v>2017.0</v>
      </c>
      <c r="D170" s="497">
        <v>42964.0</v>
      </c>
      <c r="E170" s="394" t="s">
        <v>3402</v>
      </c>
      <c r="F170" s="422" t="s">
        <v>71</v>
      </c>
      <c r="G170" s="422" t="s">
        <v>17</v>
      </c>
      <c r="H170" s="394" t="s">
        <v>740</v>
      </c>
      <c r="I170" s="497">
        <v>44505.0</v>
      </c>
      <c r="J170" s="422">
        <v>11.0</v>
      </c>
      <c r="K170" s="422" t="s">
        <v>2854</v>
      </c>
      <c r="L170" s="422" t="s">
        <v>2855</v>
      </c>
      <c r="M170" s="528">
        <f t="shared" si="1"/>
        <v>1541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25" t="s">
        <v>3403</v>
      </c>
      <c r="B171" s="426" t="s">
        <v>3404</v>
      </c>
      <c r="C171" s="426">
        <v>2020.0</v>
      </c>
      <c r="D171" s="500">
        <v>43957.0</v>
      </c>
      <c r="E171" s="428" t="s">
        <v>3405</v>
      </c>
      <c r="F171" s="428" t="s">
        <v>1440</v>
      </c>
      <c r="G171" s="397" t="s">
        <v>17</v>
      </c>
      <c r="H171" s="397" t="s">
        <v>3026</v>
      </c>
      <c r="I171" s="500">
        <v>44505.0</v>
      </c>
      <c r="J171" s="428">
        <v>11.0</v>
      </c>
      <c r="K171" s="428" t="s">
        <v>2854</v>
      </c>
      <c r="L171" s="428" t="s">
        <v>2860</v>
      </c>
      <c r="M171" s="529">
        <f t="shared" si="1"/>
        <v>548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19" t="s">
        <v>3406</v>
      </c>
      <c r="B172" s="420" t="s">
        <v>3407</v>
      </c>
      <c r="C172" s="420">
        <v>2017.0</v>
      </c>
      <c r="D172" s="497">
        <v>43035.0</v>
      </c>
      <c r="E172" s="394" t="s">
        <v>3408</v>
      </c>
      <c r="F172" s="422" t="s">
        <v>3409</v>
      </c>
      <c r="G172" s="422" t="s">
        <v>34</v>
      </c>
      <c r="H172" s="394" t="s">
        <v>18</v>
      </c>
      <c r="I172" s="497">
        <v>44505.0</v>
      </c>
      <c r="J172" s="422">
        <v>11.0</v>
      </c>
      <c r="K172" s="530" t="s">
        <v>822</v>
      </c>
      <c r="L172" s="422" t="s">
        <v>2860</v>
      </c>
      <c r="M172" s="528">
        <f t="shared" si="1"/>
        <v>1470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425" t="s">
        <v>3410</v>
      </c>
      <c r="B173" s="426" t="s">
        <v>3411</v>
      </c>
      <c r="C173" s="426">
        <v>2014.0</v>
      </c>
      <c r="D173" s="500">
        <v>41929.0</v>
      </c>
      <c r="E173" s="428" t="s">
        <v>3412</v>
      </c>
      <c r="F173" s="428" t="s">
        <v>874</v>
      </c>
      <c r="G173" s="397" t="s">
        <v>17</v>
      </c>
      <c r="H173" s="397" t="s">
        <v>573</v>
      </c>
      <c r="I173" s="500">
        <v>44505.0</v>
      </c>
      <c r="J173" s="428">
        <v>11.0</v>
      </c>
      <c r="K173" s="428" t="s">
        <v>2854</v>
      </c>
      <c r="L173" s="428" t="s">
        <v>2860</v>
      </c>
      <c r="M173" s="529">
        <f t="shared" si="1"/>
        <v>2576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19" t="s">
        <v>3413</v>
      </c>
      <c r="B174" s="420" t="s">
        <v>3414</v>
      </c>
      <c r="C174" s="420">
        <v>2016.0</v>
      </c>
      <c r="D174" s="497">
        <v>42513.0</v>
      </c>
      <c r="E174" s="394" t="s">
        <v>3415</v>
      </c>
      <c r="F174" s="422" t="s">
        <v>874</v>
      </c>
      <c r="G174" s="422" t="s">
        <v>17</v>
      </c>
      <c r="H174" s="394" t="s">
        <v>573</v>
      </c>
      <c r="I174" s="497">
        <v>44505.0</v>
      </c>
      <c r="J174" s="422">
        <v>11.0</v>
      </c>
      <c r="K174" s="422" t="s">
        <v>2854</v>
      </c>
      <c r="L174" s="422" t="s">
        <v>2860</v>
      </c>
      <c r="M174" s="528">
        <f t="shared" si="1"/>
        <v>1992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25" t="s">
        <v>3416</v>
      </c>
      <c r="B175" s="426" t="s">
        <v>3417</v>
      </c>
      <c r="C175" s="426">
        <v>2018.0</v>
      </c>
      <c r="D175" s="500">
        <v>43384.0</v>
      </c>
      <c r="E175" s="428" t="s">
        <v>3418</v>
      </c>
      <c r="F175" s="428" t="s">
        <v>71</v>
      </c>
      <c r="G175" s="397" t="s">
        <v>17</v>
      </c>
      <c r="H175" s="397" t="s">
        <v>740</v>
      </c>
      <c r="I175" s="500">
        <v>44505.0</v>
      </c>
      <c r="J175" s="428">
        <v>11.0</v>
      </c>
      <c r="K175" s="428" t="s">
        <v>2854</v>
      </c>
      <c r="L175" s="428" t="s">
        <v>2855</v>
      </c>
      <c r="M175" s="529">
        <f t="shared" si="1"/>
        <v>1121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19" t="s">
        <v>3419</v>
      </c>
      <c r="B176" s="420" t="s">
        <v>3420</v>
      </c>
      <c r="C176" s="420">
        <v>2018.0</v>
      </c>
      <c r="D176" s="497">
        <v>43293.0</v>
      </c>
      <c r="E176" s="394" t="s">
        <v>3421</v>
      </c>
      <c r="F176" s="422" t="s">
        <v>2311</v>
      </c>
      <c r="G176" s="422" t="s">
        <v>17</v>
      </c>
      <c r="H176" s="394" t="s">
        <v>50</v>
      </c>
      <c r="I176" s="497">
        <v>44505.0</v>
      </c>
      <c r="J176" s="422">
        <v>11.0</v>
      </c>
      <c r="K176" s="422" t="s">
        <v>2854</v>
      </c>
      <c r="L176" s="422" t="s">
        <v>2855</v>
      </c>
      <c r="M176" s="528">
        <f t="shared" si="1"/>
        <v>1212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25" t="s">
        <v>3422</v>
      </c>
      <c r="B177" s="426" t="s">
        <v>3423</v>
      </c>
      <c r="C177" s="426">
        <v>2018.0</v>
      </c>
      <c r="D177" s="500">
        <v>43115.0</v>
      </c>
      <c r="E177" s="428" t="s">
        <v>3424</v>
      </c>
      <c r="F177" s="428" t="s">
        <v>874</v>
      </c>
      <c r="G177" s="397" t="s">
        <v>17</v>
      </c>
      <c r="H177" s="397" t="s">
        <v>50</v>
      </c>
      <c r="I177" s="500">
        <v>44505.0</v>
      </c>
      <c r="J177" s="428">
        <v>11.0</v>
      </c>
      <c r="K177" s="428" t="s">
        <v>2854</v>
      </c>
      <c r="L177" s="428" t="s">
        <v>2860</v>
      </c>
      <c r="M177" s="529">
        <f t="shared" si="1"/>
        <v>1390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419" t="s">
        <v>3425</v>
      </c>
      <c r="B178" s="420" t="s">
        <v>3426</v>
      </c>
      <c r="C178" s="420">
        <v>2017.0</v>
      </c>
      <c r="D178" s="497">
        <v>42921.0</v>
      </c>
      <c r="E178" s="394" t="s">
        <v>3427</v>
      </c>
      <c r="F178" s="422" t="s">
        <v>71</v>
      </c>
      <c r="G178" s="422" t="s">
        <v>17</v>
      </c>
      <c r="H178" s="394" t="s">
        <v>50</v>
      </c>
      <c r="I178" s="497">
        <v>44505.0</v>
      </c>
      <c r="J178" s="422">
        <v>11.0</v>
      </c>
      <c r="K178" s="422" t="s">
        <v>2854</v>
      </c>
      <c r="L178" s="422" t="s">
        <v>2855</v>
      </c>
      <c r="M178" s="528">
        <f t="shared" si="1"/>
        <v>1584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25" t="s">
        <v>3428</v>
      </c>
      <c r="B179" s="426" t="s">
        <v>3429</v>
      </c>
      <c r="C179" s="426">
        <v>2018.0</v>
      </c>
      <c r="D179" s="500">
        <v>43290.0</v>
      </c>
      <c r="E179" s="428" t="s">
        <v>3430</v>
      </c>
      <c r="F179" s="428" t="s">
        <v>1762</v>
      </c>
      <c r="G179" s="397" t="s">
        <v>17</v>
      </c>
      <c r="H179" s="397" t="s">
        <v>50</v>
      </c>
      <c r="I179" s="500">
        <v>44505.0</v>
      </c>
      <c r="J179" s="428">
        <v>11.0</v>
      </c>
      <c r="K179" s="428" t="s">
        <v>2854</v>
      </c>
      <c r="L179" s="428" t="s">
        <v>2860</v>
      </c>
      <c r="M179" s="529">
        <f t="shared" si="1"/>
        <v>1215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419" t="s">
        <v>3431</v>
      </c>
      <c r="B180" s="420" t="s">
        <v>3432</v>
      </c>
      <c r="C180" s="420">
        <v>2014.0</v>
      </c>
      <c r="D180" s="497">
        <v>41836.0</v>
      </c>
      <c r="E180" s="394" t="s">
        <v>3433</v>
      </c>
      <c r="F180" s="422" t="s">
        <v>186</v>
      </c>
      <c r="G180" s="422" t="s">
        <v>17</v>
      </c>
      <c r="H180" s="394" t="s">
        <v>50</v>
      </c>
      <c r="I180" s="497">
        <v>44505.0</v>
      </c>
      <c r="J180" s="422">
        <v>11.0</v>
      </c>
      <c r="K180" s="422" t="s">
        <v>2854</v>
      </c>
      <c r="L180" s="422" t="s">
        <v>2860</v>
      </c>
      <c r="M180" s="528">
        <f t="shared" si="1"/>
        <v>2669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25" t="s">
        <v>3434</v>
      </c>
      <c r="B181" s="426" t="s">
        <v>3435</v>
      </c>
      <c r="C181" s="426">
        <v>2018.0</v>
      </c>
      <c r="D181" s="500">
        <v>43206.0</v>
      </c>
      <c r="E181" s="428" t="s">
        <v>3436</v>
      </c>
      <c r="F181" s="428" t="s">
        <v>167</v>
      </c>
      <c r="G181" s="397" t="s">
        <v>17</v>
      </c>
      <c r="H181" s="397" t="s">
        <v>112</v>
      </c>
      <c r="I181" s="500">
        <v>44539.0</v>
      </c>
      <c r="J181" s="428">
        <v>12.0</v>
      </c>
      <c r="K181" s="428" t="s">
        <v>2854</v>
      </c>
      <c r="L181" s="428" t="s">
        <v>2860</v>
      </c>
      <c r="M181" s="529">
        <f t="shared" si="1"/>
        <v>1333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19" t="s">
        <v>3437</v>
      </c>
      <c r="B182" s="420" t="s">
        <v>3438</v>
      </c>
      <c r="C182" s="420">
        <v>2015.0</v>
      </c>
      <c r="D182" s="497">
        <v>42090.0</v>
      </c>
      <c r="E182" s="394" t="s">
        <v>3439</v>
      </c>
      <c r="F182" s="422" t="s">
        <v>896</v>
      </c>
      <c r="G182" s="422" t="s">
        <v>17</v>
      </c>
      <c r="H182" s="394" t="s">
        <v>583</v>
      </c>
      <c r="I182" s="497">
        <v>44539.0</v>
      </c>
      <c r="J182" s="422">
        <v>12.0</v>
      </c>
      <c r="K182" s="422" t="s">
        <v>2854</v>
      </c>
      <c r="L182" s="422" t="s">
        <v>2855</v>
      </c>
      <c r="M182" s="528">
        <f t="shared" si="1"/>
        <v>2449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25" t="s">
        <v>3440</v>
      </c>
      <c r="B183" s="426" t="s">
        <v>3441</v>
      </c>
      <c r="C183" s="426">
        <v>2012.0</v>
      </c>
      <c r="D183" s="500">
        <v>41170.0</v>
      </c>
      <c r="E183" s="428" t="s">
        <v>3442</v>
      </c>
      <c r="F183" s="428" t="s">
        <v>928</v>
      </c>
      <c r="G183" s="397" t="s">
        <v>17</v>
      </c>
      <c r="H183" s="397" t="s">
        <v>775</v>
      </c>
      <c r="I183" s="500">
        <v>44539.0</v>
      </c>
      <c r="J183" s="428">
        <v>12.0</v>
      </c>
      <c r="K183" s="428" t="s">
        <v>2854</v>
      </c>
      <c r="L183" s="428" t="s">
        <v>2860</v>
      </c>
      <c r="M183" s="529">
        <f t="shared" si="1"/>
        <v>3369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19" t="s">
        <v>3443</v>
      </c>
      <c r="B184" s="420" t="s">
        <v>3444</v>
      </c>
      <c r="C184" s="420">
        <v>2021.0</v>
      </c>
      <c r="D184" s="497">
        <v>44258.0</v>
      </c>
      <c r="E184" s="394" t="s">
        <v>3445</v>
      </c>
      <c r="F184" s="422" t="s">
        <v>1674</v>
      </c>
      <c r="G184" s="422" t="s">
        <v>17</v>
      </c>
      <c r="H184" s="394" t="s">
        <v>149</v>
      </c>
      <c r="I184" s="497">
        <v>44539.0</v>
      </c>
      <c r="J184" s="422">
        <v>12.0</v>
      </c>
      <c r="K184" s="422" t="s">
        <v>2854</v>
      </c>
      <c r="L184" s="422" t="s">
        <v>2855</v>
      </c>
      <c r="M184" s="528">
        <f t="shared" si="1"/>
        <v>281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25" t="s">
        <v>3446</v>
      </c>
      <c r="B185" s="426" t="s">
        <v>3447</v>
      </c>
      <c r="C185" s="426">
        <v>2015.0</v>
      </c>
      <c r="D185" s="500">
        <v>42234.0</v>
      </c>
      <c r="E185" s="428" t="s">
        <v>3448</v>
      </c>
      <c r="F185" s="428" t="s">
        <v>947</v>
      </c>
      <c r="G185" s="397" t="s">
        <v>17</v>
      </c>
      <c r="H185" s="397" t="s">
        <v>163</v>
      </c>
      <c r="I185" s="500">
        <v>44539.0</v>
      </c>
      <c r="J185" s="428">
        <v>12.0</v>
      </c>
      <c r="K185" s="428" t="s">
        <v>2854</v>
      </c>
      <c r="L185" s="428" t="s">
        <v>2855</v>
      </c>
      <c r="M185" s="529">
        <f t="shared" si="1"/>
        <v>2305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419" t="s">
        <v>3449</v>
      </c>
      <c r="B186" s="420" t="s">
        <v>3450</v>
      </c>
      <c r="C186" s="420">
        <v>2021.0</v>
      </c>
      <c r="D186" s="497">
        <v>44270.0</v>
      </c>
      <c r="E186" s="394" t="s">
        <v>3451</v>
      </c>
      <c r="F186" s="422" t="s">
        <v>1674</v>
      </c>
      <c r="G186" s="422" t="s">
        <v>17</v>
      </c>
      <c r="H186" s="394" t="s">
        <v>163</v>
      </c>
      <c r="I186" s="497">
        <v>44539.0</v>
      </c>
      <c r="J186" s="422">
        <v>12.0</v>
      </c>
      <c r="K186" s="422" t="s">
        <v>2854</v>
      </c>
      <c r="L186" s="422" t="s">
        <v>2855</v>
      </c>
      <c r="M186" s="528">
        <f t="shared" si="1"/>
        <v>269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425" t="s">
        <v>3452</v>
      </c>
      <c r="B187" s="426" t="s">
        <v>3453</v>
      </c>
      <c r="C187" s="426">
        <v>2014.0</v>
      </c>
      <c r="D187" s="500">
        <v>41897.0</v>
      </c>
      <c r="E187" s="428" t="s">
        <v>3454</v>
      </c>
      <c r="F187" s="428" t="s">
        <v>3455</v>
      </c>
      <c r="G187" s="397" t="s">
        <v>17</v>
      </c>
      <c r="H187" s="397" t="s">
        <v>149</v>
      </c>
      <c r="I187" s="500">
        <v>44539.0</v>
      </c>
      <c r="J187" s="428">
        <v>12.0</v>
      </c>
      <c r="K187" s="428" t="s">
        <v>2854</v>
      </c>
      <c r="L187" s="428" t="s">
        <v>2855</v>
      </c>
      <c r="M187" s="529">
        <f t="shared" si="1"/>
        <v>2642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19" t="s">
        <v>3456</v>
      </c>
      <c r="B188" s="420" t="s">
        <v>3457</v>
      </c>
      <c r="C188" s="420">
        <v>2017.0</v>
      </c>
      <c r="D188" s="497">
        <v>42790.0</v>
      </c>
      <c r="E188" s="394" t="s">
        <v>3458</v>
      </c>
      <c r="F188" s="422" t="s">
        <v>753</v>
      </c>
      <c r="G188" s="422" t="s">
        <v>17</v>
      </c>
      <c r="H188" s="394" t="s">
        <v>740</v>
      </c>
      <c r="I188" s="497">
        <v>44539.0</v>
      </c>
      <c r="J188" s="422">
        <v>12.0</v>
      </c>
      <c r="K188" s="422" t="s">
        <v>2854</v>
      </c>
      <c r="L188" s="422" t="s">
        <v>2855</v>
      </c>
      <c r="M188" s="528">
        <f t="shared" si="1"/>
        <v>1749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25" t="s">
        <v>3459</v>
      </c>
      <c r="B189" s="426" t="s">
        <v>3460</v>
      </c>
      <c r="C189" s="426">
        <v>2019.0</v>
      </c>
      <c r="D189" s="500">
        <v>43602.0</v>
      </c>
      <c r="E189" s="428" t="s">
        <v>3461</v>
      </c>
      <c r="F189" s="428" t="s">
        <v>892</v>
      </c>
      <c r="G189" s="397" t="s">
        <v>17</v>
      </c>
      <c r="H189" s="397" t="s">
        <v>596</v>
      </c>
      <c r="I189" s="500">
        <v>44539.0</v>
      </c>
      <c r="J189" s="428">
        <v>12.0</v>
      </c>
      <c r="K189" s="428" t="s">
        <v>2854</v>
      </c>
      <c r="L189" s="428" t="s">
        <v>2860</v>
      </c>
      <c r="M189" s="529">
        <f t="shared" si="1"/>
        <v>937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19" t="s">
        <v>3462</v>
      </c>
      <c r="B190" s="420" t="s">
        <v>3463</v>
      </c>
      <c r="C190" s="420">
        <v>2017.0</v>
      </c>
      <c r="D190" s="497">
        <v>43040.0</v>
      </c>
      <c r="E190" s="394" t="s">
        <v>3464</v>
      </c>
      <c r="F190" s="422" t="s">
        <v>1401</v>
      </c>
      <c r="G190" s="422" t="s">
        <v>17</v>
      </c>
      <c r="H190" s="394" t="s">
        <v>3465</v>
      </c>
      <c r="I190" s="497">
        <v>44539.0</v>
      </c>
      <c r="J190" s="422">
        <v>12.0</v>
      </c>
      <c r="K190" s="422" t="s">
        <v>2854</v>
      </c>
      <c r="L190" s="422" t="s">
        <v>2855</v>
      </c>
      <c r="M190" s="528">
        <f t="shared" si="1"/>
        <v>1499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25" t="s">
        <v>3466</v>
      </c>
      <c r="B191" s="426" t="s">
        <v>3467</v>
      </c>
      <c r="C191" s="426">
        <v>2016.0</v>
      </c>
      <c r="D191" s="500">
        <v>42725.0</v>
      </c>
      <c r="E191" s="428" t="s">
        <v>3468</v>
      </c>
      <c r="F191" s="428" t="s">
        <v>3469</v>
      </c>
      <c r="G191" s="397" t="s">
        <v>34</v>
      </c>
      <c r="H191" s="397" t="s">
        <v>651</v>
      </c>
      <c r="I191" s="500">
        <v>44539.0</v>
      </c>
      <c r="J191" s="428">
        <v>12.0</v>
      </c>
      <c r="K191" s="428" t="s">
        <v>822</v>
      </c>
      <c r="L191" s="428" t="s">
        <v>2860</v>
      </c>
      <c r="M191" s="529">
        <f t="shared" si="1"/>
        <v>1814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customHeight="1">
      <c r="A192" s="419" t="s">
        <v>3470</v>
      </c>
      <c r="B192" s="420" t="s">
        <v>3471</v>
      </c>
      <c r="C192" s="420">
        <v>2014.0</v>
      </c>
      <c r="D192" s="497">
        <v>41925.0</v>
      </c>
      <c r="E192" s="394" t="s">
        <v>3472</v>
      </c>
      <c r="F192" s="422" t="s">
        <v>896</v>
      </c>
      <c r="G192" s="422" t="s">
        <v>17</v>
      </c>
      <c r="H192" s="394" t="s">
        <v>50</v>
      </c>
      <c r="I192" s="497">
        <v>44539.0</v>
      </c>
      <c r="J192" s="422">
        <v>12.0</v>
      </c>
      <c r="K192" s="422" t="s">
        <v>2854</v>
      </c>
      <c r="L192" s="422" t="s">
        <v>2855</v>
      </c>
      <c r="M192" s="528">
        <f t="shared" si="1"/>
        <v>2614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425">
        <v>121.0</v>
      </c>
      <c r="B193" s="426" t="s">
        <v>3473</v>
      </c>
      <c r="C193" s="426">
        <v>2016.0</v>
      </c>
      <c r="D193" s="500">
        <v>42426.0</v>
      </c>
      <c r="E193" s="428" t="s">
        <v>3474</v>
      </c>
      <c r="F193" s="428" t="s">
        <v>3078</v>
      </c>
      <c r="G193" s="397" t="s">
        <v>552</v>
      </c>
      <c r="H193" s="397" t="s">
        <v>596</v>
      </c>
      <c r="I193" s="500">
        <v>44200.0</v>
      </c>
      <c r="J193" s="428">
        <v>1.0</v>
      </c>
      <c r="K193" s="531" t="s">
        <v>242</v>
      </c>
      <c r="L193" s="428" t="s">
        <v>2860</v>
      </c>
      <c r="M193" s="529">
        <f t="shared" si="1"/>
        <v>1774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19">
        <v>221.0</v>
      </c>
      <c r="B194" s="420" t="s">
        <v>3475</v>
      </c>
      <c r="C194" s="420">
        <v>2011.0</v>
      </c>
      <c r="D194" s="497">
        <v>40808.0</v>
      </c>
      <c r="E194" s="394" t="s">
        <v>3476</v>
      </c>
      <c r="F194" s="422" t="s">
        <v>134</v>
      </c>
      <c r="G194" s="422" t="s">
        <v>552</v>
      </c>
      <c r="H194" s="394" t="s">
        <v>153</v>
      </c>
      <c r="I194" s="497">
        <v>44200.0</v>
      </c>
      <c r="J194" s="422">
        <v>1.0</v>
      </c>
      <c r="K194" s="531" t="s">
        <v>242</v>
      </c>
      <c r="L194" s="422" t="s">
        <v>2855</v>
      </c>
      <c r="M194" s="528">
        <f t="shared" si="1"/>
        <v>3392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25">
        <v>321.0</v>
      </c>
      <c r="B195" s="426" t="s">
        <v>3477</v>
      </c>
      <c r="C195" s="426">
        <v>2017.0</v>
      </c>
      <c r="D195" s="500">
        <v>42944.0</v>
      </c>
      <c r="E195" s="428" t="s">
        <v>3478</v>
      </c>
      <c r="F195" s="428" t="s">
        <v>2453</v>
      </c>
      <c r="G195" s="397" t="s">
        <v>552</v>
      </c>
      <c r="H195" s="397" t="s">
        <v>138</v>
      </c>
      <c r="I195" s="500">
        <v>44200.0</v>
      </c>
      <c r="J195" s="428">
        <v>1.0</v>
      </c>
      <c r="K195" s="531" t="s">
        <v>238</v>
      </c>
      <c r="L195" s="428" t="s">
        <v>2855</v>
      </c>
      <c r="M195" s="529">
        <f t="shared" si="1"/>
        <v>1256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19">
        <v>421.0</v>
      </c>
      <c r="B196" s="420" t="s">
        <v>3479</v>
      </c>
      <c r="C196" s="420">
        <v>2014.0</v>
      </c>
      <c r="D196" s="497">
        <v>41960.0</v>
      </c>
      <c r="E196" s="394" t="s">
        <v>3480</v>
      </c>
      <c r="F196" s="422" t="s">
        <v>3481</v>
      </c>
      <c r="G196" s="422" t="s">
        <v>547</v>
      </c>
      <c r="H196" s="394" t="s">
        <v>3482</v>
      </c>
      <c r="I196" s="497">
        <v>44200.0</v>
      </c>
      <c r="J196" s="422">
        <v>1.0</v>
      </c>
      <c r="K196" s="530" t="s">
        <v>822</v>
      </c>
      <c r="L196" s="422" t="s">
        <v>2860</v>
      </c>
      <c r="M196" s="528">
        <f t="shared" si="1"/>
        <v>2240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25">
        <v>521.0</v>
      </c>
      <c r="B197" s="426" t="s">
        <v>3483</v>
      </c>
      <c r="C197" s="426">
        <v>2014.0</v>
      </c>
      <c r="D197" s="500">
        <v>41827.0</v>
      </c>
      <c r="E197" s="428" t="s">
        <v>3484</v>
      </c>
      <c r="F197" s="428" t="s">
        <v>3485</v>
      </c>
      <c r="G197" s="397" t="s">
        <v>552</v>
      </c>
      <c r="H197" s="397" t="s">
        <v>596</v>
      </c>
      <c r="I197" s="500">
        <v>44201.0</v>
      </c>
      <c r="J197" s="428">
        <v>1.0</v>
      </c>
      <c r="K197" s="531" t="s">
        <v>242</v>
      </c>
      <c r="L197" s="428" t="s">
        <v>2855</v>
      </c>
      <c r="M197" s="529">
        <f t="shared" si="1"/>
        <v>2374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419">
        <v>621.0</v>
      </c>
      <c r="B198" s="420" t="s">
        <v>3486</v>
      </c>
      <c r="C198" s="420">
        <v>2018.0</v>
      </c>
      <c r="D198" s="497">
        <v>43256.0</v>
      </c>
      <c r="E198" s="394" t="s">
        <v>3487</v>
      </c>
      <c r="F198" s="422" t="s">
        <v>1823</v>
      </c>
      <c r="G198" s="422" t="s">
        <v>552</v>
      </c>
      <c r="H198" s="394" t="s">
        <v>50</v>
      </c>
      <c r="I198" s="497">
        <v>44201.0</v>
      </c>
      <c r="J198" s="422">
        <v>1.0</v>
      </c>
      <c r="K198" s="532" t="s">
        <v>236</v>
      </c>
      <c r="L198" s="422" t="s">
        <v>2855</v>
      </c>
      <c r="M198" s="528">
        <f t="shared" si="1"/>
        <v>945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2.75" customHeight="1">
      <c r="A199" s="425">
        <v>721.0</v>
      </c>
      <c r="B199" s="426" t="s">
        <v>3488</v>
      </c>
      <c r="C199" s="426">
        <v>2010.0</v>
      </c>
      <c r="D199" s="500">
        <v>42982.0</v>
      </c>
      <c r="E199" s="428" t="s">
        <v>3489</v>
      </c>
      <c r="F199" s="428" t="s">
        <v>3490</v>
      </c>
      <c r="G199" s="397" t="s">
        <v>650</v>
      </c>
      <c r="H199" s="397" t="s">
        <v>1393</v>
      </c>
      <c r="I199" s="500">
        <v>44208.0</v>
      </c>
      <c r="J199" s="428">
        <v>1.0</v>
      </c>
      <c r="K199" s="531" t="s">
        <v>240</v>
      </c>
      <c r="L199" s="428" t="s">
        <v>2855</v>
      </c>
      <c r="M199" s="529">
        <f t="shared" si="1"/>
        <v>1226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419">
        <v>821.0</v>
      </c>
      <c r="B200" s="420" t="s">
        <v>3491</v>
      </c>
      <c r="C200" s="420">
        <v>2018.0</v>
      </c>
      <c r="D200" s="497">
        <v>43139.0</v>
      </c>
      <c r="E200" s="394" t="s">
        <v>3492</v>
      </c>
      <c r="F200" s="422" t="s">
        <v>2077</v>
      </c>
      <c r="G200" s="422" t="s">
        <v>552</v>
      </c>
      <c r="H200" s="394" t="s">
        <v>990</v>
      </c>
      <c r="I200" s="497">
        <v>44211.0</v>
      </c>
      <c r="J200" s="422">
        <v>1.0</v>
      </c>
      <c r="K200" s="533" t="s">
        <v>232</v>
      </c>
      <c r="L200" s="422" t="s">
        <v>2855</v>
      </c>
      <c r="M200" s="528">
        <f t="shared" si="1"/>
        <v>1072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2.75" customHeight="1">
      <c r="A201" s="425">
        <v>921.0</v>
      </c>
      <c r="B201" s="426" t="s">
        <v>3493</v>
      </c>
      <c r="C201" s="426">
        <v>2018.0</v>
      </c>
      <c r="D201" s="500">
        <v>43447.0</v>
      </c>
      <c r="E201" s="428" t="s">
        <v>3494</v>
      </c>
      <c r="F201" s="428" t="s">
        <v>2268</v>
      </c>
      <c r="G201" s="397" t="s">
        <v>552</v>
      </c>
      <c r="H201" s="397" t="s">
        <v>2934</v>
      </c>
      <c r="I201" s="500">
        <v>44215.0</v>
      </c>
      <c r="J201" s="428">
        <v>1.0</v>
      </c>
      <c r="K201" s="531" t="s">
        <v>242</v>
      </c>
      <c r="L201" s="428" t="s">
        <v>2855</v>
      </c>
      <c r="M201" s="529">
        <f t="shared" si="1"/>
        <v>768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4.25" customHeight="1">
      <c r="A202" s="419">
        <v>1021.0</v>
      </c>
      <c r="B202" s="420" t="s">
        <v>3495</v>
      </c>
      <c r="C202" s="420">
        <v>2014.0</v>
      </c>
      <c r="D202" s="497">
        <v>41677.0</v>
      </c>
      <c r="E202" s="394" t="s">
        <v>3496</v>
      </c>
      <c r="F202" s="422" t="s">
        <v>3497</v>
      </c>
      <c r="G202" s="422" t="s">
        <v>552</v>
      </c>
      <c r="H202" s="394" t="s">
        <v>149</v>
      </c>
      <c r="I202" s="497">
        <v>44221.0</v>
      </c>
      <c r="J202" s="422">
        <v>1.0</v>
      </c>
      <c r="K202" s="533" t="s">
        <v>232</v>
      </c>
      <c r="L202" s="422" t="s">
        <v>2860</v>
      </c>
      <c r="M202" s="528">
        <f t="shared" si="1"/>
        <v>2544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425">
        <v>1121.0</v>
      </c>
      <c r="B203" s="426" t="s">
        <v>3498</v>
      </c>
      <c r="C203" s="426">
        <v>2014.0</v>
      </c>
      <c r="D203" s="500">
        <v>41683.0</v>
      </c>
      <c r="E203" s="428" t="s">
        <v>3499</v>
      </c>
      <c r="F203" s="428" t="s">
        <v>3500</v>
      </c>
      <c r="G203" s="397" t="s">
        <v>552</v>
      </c>
      <c r="H203" s="397" t="s">
        <v>50</v>
      </c>
      <c r="I203" s="500">
        <v>44221.0</v>
      </c>
      <c r="J203" s="428">
        <v>1.0</v>
      </c>
      <c r="K203" s="531" t="s">
        <v>242</v>
      </c>
      <c r="L203" s="428" t="s">
        <v>2860</v>
      </c>
      <c r="M203" s="529">
        <f t="shared" si="1"/>
        <v>2538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19">
        <v>1221.0</v>
      </c>
      <c r="B204" s="420" t="s">
        <v>3501</v>
      </c>
      <c r="C204" s="420">
        <v>2014.0</v>
      </c>
      <c r="D204" s="497">
        <v>41729.0</v>
      </c>
      <c r="E204" s="394" t="s">
        <v>3502</v>
      </c>
      <c r="F204" s="422" t="s">
        <v>1108</v>
      </c>
      <c r="G204" s="422" t="s">
        <v>552</v>
      </c>
      <c r="H204" s="394" t="s">
        <v>149</v>
      </c>
      <c r="I204" s="497">
        <v>44221.0</v>
      </c>
      <c r="J204" s="422">
        <v>1.0</v>
      </c>
      <c r="K204" s="531" t="s">
        <v>240</v>
      </c>
      <c r="L204" s="422" t="s">
        <v>2860</v>
      </c>
      <c r="M204" s="528">
        <f t="shared" si="1"/>
        <v>2492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25">
        <v>1321.0</v>
      </c>
      <c r="B205" s="426" t="s">
        <v>3503</v>
      </c>
      <c r="C205" s="426">
        <v>2013.0</v>
      </c>
      <c r="D205" s="500">
        <v>41414.0</v>
      </c>
      <c r="E205" s="428" t="s">
        <v>3504</v>
      </c>
      <c r="F205" s="428" t="s">
        <v>3505</v>
      </c>
      <c r="G205" s="397" t="s">
        <v>552</v>
      </c>
      <c r="H205" s="397" t="s">
        <v>130</v>
      </c>
      <c r="I205" s="500">
        <v>44221.0</v>
      </c>
      <c r="J205" s="428">
        <v>1.0</v>
      </c>
      <c r="K205" s="531" t="s">
        <v>242</v>
      </c>
      <c r="L205" s="428" t="s">
        <v>2860</v>
      </c>
      <c r="M205" s="529">
        <f t="shared" si="1"/>
        <v>2807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19">
        <v>1421.0</v>
      </c>
      <c r="B206" s="420" t="s">
        <v>3506</v>
      </c>
      <c r="C206" s="420">
        <v>2013.0</v>
      </c>
      <c r="D206" s="497">
        <v>41443.0</v>
      </c>
      <c r="E206" s="394" t="s">
        <v>3507</v>
      </c>
      <c r="F206" s="422" t="s">
        <v>2071</v>
      </c>
      <c r="G206" s="422" t="s">
        <v>552</v>
      </c>
      <c r="H206" s="394" t="s">
        <v>3482</v>
      </c>
      <c r="I206" s="497">
        <v>44221.0</v>
      </c>
      <c r="J206" s="422">
        <v>1.0</v>
      </c>
      <c r="K206" s="530" t="s">
        <v>822</v>
      </c>
      <c r="L206" s="422" t="s">
        <v>2855</v>
      </c>
      <c r="M206" s="528">
        <f t="shared" si="1"/>
        <v>2778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25">
        <v>1521.0</v>
      </c>
      <c r="B207" s="426" t="s">
        <v>3508</v>
      </c>
      <c r="C207" s="426">
        <v>2013.0</v>
      </c>
      <c r="D207" s="500">
        <v>41536.0</v>
      </c>
      <c r="E207" s="428" t="s">
        <v>3509</v>
      </c>
      <c r="F207" s="428" t="s">
        <v>3510</v>
      </c>
      <c r="G207" s="397" t="s">
        <v>552</v>
      </c>
      <c r="H207" s="397" t="s">
        <v>1329</v>
      </c>
      <c r="I207" s="500">
        <v>44221.0</v>
      </c>
      <c r="J207" s="428">
        <v>1.0</v>
      </c>
      <c r="K207" s="531" t="s">
        <v>242</v>
      </c>
      <c r="L207" s="428" t="s">
        <v>2855</v>
      </c>
      <c r="M207" s="529">
        <f t="shared" si="1"/>
        <v>2685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19">
        <v>1621.0</v>
      </c>
      <c r="B208" s="420" t="s">
        <v>3511</v>
      </c>
      <c r="C208" s="420">
        <v>2013.0</v>
      </c>
      <c r="D208" s="497">
        <v>41577.0</v>
      </c>
      <c r="E208" s="394" t="s">
        <v>3512</v>
      </c>
      <c r="F208" s="422" t="s">
        <v>563</v>
      </c>
      <c r="G208" s="422" t="s">
        <v>552</v>
      </c>
      <c r="H208" s="394" t="s">
        <v>573</v>
      </c>
      <c r="I208" s="497">
        <v>44221.0</v>
      </c>
      <c r="J208" s="422">
        <v>1.0</v>
      </c>
      <c r="K208" s="532" t="s">
        <v>236</v>
      </c>
      <c r="L208" s="422" t="s">
        <v>2860</v>
      </c>
      <c r="M208" s="528">
        <f t="shared" si="1"/>
        <v>2644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25">
        <v>1721.0</v>
      </c>
      <c r="B209" s="426" t="s">
        <v>3513</v>
      </c>
      <c r="C209" s="426">
        <v>2013.0</v>
      </c>
      <c r="D209" s="500">
        <v>41606.0</v>
      </c>
      <c r="E209" s="428" t="s">
        <v>3514</v>
      </c>
      <c r="F209" s="428" t="s">
        <v>1805</v>
      </c>
      <c r="G209" s="397" t="s">
        <v>552</v>
      </c>
      <c r="H209" s="397" t="s">
        <v>573</v>
      </c>
      <c r="I209" s="500">
        <v>44221.0</v>
      </c>
      <c r="J209" s="428">
        <v>1.0</v>
      </c>
      <c r="K209" s="531" t="s">
        <v>242</v>
      </c>
      <c r="L209" s="428" t="s">
        <v>2855</v>
      </c>
      <c r="M209" s="529">
        <f t="shared" si="1"/>
        <v>2615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19">
        <v>1821.0</v>
      </c>
      <c r="B210" s="420" t="s">
        <v>3515</v>
      </c>
      <c r="C210" s="420">
        <v>2013.0</v>
      </c>
      <c r="D210" s="497">
        <v>41627.0</v>
      </c>
      <c r="E210" s="394" t="s">
        <v>3516</v>
      </c>
      <c r="F210" s="422" t="s">
        <v>1968</v>
      </c>
      <c r="G210" s="422" t="s">
        <v>552</v>
      </c>
      <c r="H210" s="394" t="s">
        <v>573</v>
      </c>
      <c r="I210" s="497">
        <v>44221.0</v>
      </c>
      <c r="J210" s="422">
        <v>1.0</v>
      </c>
      <c r="K210" s="531" t="s">
        <v>242</v>
      </c>
      <c r="L210" s="422" t="s">
        <v>2860</v>
      </c>
      <c r="M210" s="528">
        <f t="shared" si="1"/>
        <v>2594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25">
        <v>1921.0</v>
      </c>
      <c r="B211" s="426" t="s">
        <v>3517</v>
      </c>
      <c r="C211" s="426">
        <v>2016.0</v>
      </c>
      <c r="D211" s="500">
        <v>42457.0</v>
      </c>
      <c r="E211" s="428" t="s">
        <v>3518</v>
      </c>
      <c r="F211" s="428" t="s">
        <v>1846</v>
      </c>
      <c r="G211" s="397" t="s">
        <v>552</v>
      </c>
      <c r="H211" s="397" t="s">
        <v>3519</v>
      </c>
      <c r="I211" s="500">
        <v>44221.0</v>
      </c>
      <c r="J211" s="428">
        <v>1.0</v>
      </c>
      <c r="K211" s="531" t="s">
        <v>242</v>
      </c>
      <c r="L211" s="428" t="s">
        <v>2855</v>
      </c>
      <c r="M211" s="529">
        <f t="shared" si="1"/>
        <v>1764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19">
        <v>2021.0</v>
      </c>
      <c r="B212" s="420" t="s">
        <v>3520</v>
      </c>
      <c r="C212" s="420">
        <v>2019.0</v>
      </c>
      <c r="D212" s="497">
        <v>43552.0</v>
      </c>
      <c r="E212" s="394" t="s">
        <v>3521</v>
      </c>
      <c r="F212" s="422" t="s">
        <v>3522</v>
      </c>
      <c r="G212" s="422" t="s">
        <v>569</v>
      </c>
      <c r="H212" s="394" t="s">
        <v>3523</v>
      </c>
      <c r="I212" s="497">
        <v>44221.0</v>
      </c>
      <c r="J212" s="422">
        <v>1.0</v>
      </c>
      <c r="K212" s="530" t="s">
        <v>822</v>
      </c>
      <c r="L212" s="422" t="s">
        <v>260</v>
      </c>
      <c r="M212" s="528">
        <f t="shared" si="1"/>
        <v>669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25">
        <v>2121.0</v>
      </c>
      <c r="B213" s="426" t="s">
        <v>3524</v>
      </c>
      <c r="C213" s="426">
        <v>2019.0</v>
      </c>
      <c r="D213" s="500">
        <v>43556.0</v>
      </c>
      <c r="E213" s="428" t="s">
        <v>3525</v>
      </c>
      <c r="F213" s="428" t="s">
        <v>739</v>
      </c>
      <c r="G213" s="397" t="s">
        <v>552</v>
      </c>
      <c r="H213" s="397" t="s">
        <v>50</v>
      </c>
      <c r="I213" s="500">
        <v>44221.0</v>
      </c>
      <c r="J213" s="428">
        <v>1.0</v>
      </c>
      <c r="K213" s="531" t="s">
        <v>242</v>
      </c>
      <c r="L213" s="428" t="s">
        <v>2855</v>
      </c>
      <c r="M213" s="529">
        <f t="shared" si="1"/>
        <v>665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19">
        <v>2221.0</v>
      </c>
      <c r="B214" s="420" t="s">
        <v>3526</v>
      </c>
      <c r="C214" s="420">
        <v>2018.0</v>
      </c>
      <c r="D214" s="497">
        <v>43371.0</v>
      </c>
      <c r="E214" s="394" t="s">
        <v>3527</v>
      </c>
      <c r="F214" s="422" t="s">
        <v>660</v>
      </c>
      <c r="G214" s="422" t="s">
        <v>552</v>
      </c>
      <c r="H214" s="394" t="s">
        <v>990</v>
      </c>
      <c r="I214" s="497">
        <v>44221.0</v>
      </c>
      <c r="J214" s="422">
        <v>1.0</v>
      </c>
      <c r="K214" s="532" t="s">
        <v>236</v>
      </c>
      <c r="L214" s="422" t="s">
        <v>2860</v>
      </c>
      <c r="M214" s="528">
        <f t="shared" si="1"/>
        <v>850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25">
        <v>2321.0</v>
      </c>
      <c r="B215" s="426" t="s">
        <v>3528</v>
      </c>
      <c r="C215" s="426">
        <v>2018.0</v>
      </c>
      <c r="D215" s="500">
        <v>43376.0</v>
      </c>
      <c r="E215" s="428" t="s">
        <v>3529</v>
      </c>
      <c r="F215" s="428" t="s">
        <v>3078</v>
      </c>
      <c r="G215" s="397" t="s">
        <v>552</v>
      </c>
      <c r="H215" s="397" t="s">
        <v>990</v>
      </c>
      <c r="I215" s="500">
        <v>44221.0</v>
      </c>
      <c r="J215" s="428">
        <v>1.0</v>
      </c>
      <c r="K215" s="531" t="s">
        <v>242</v>
      </c>
      <c r="L215" s="428" t="s">
        <v>2860</v>
      </c>
      <c r="M215" s="529">
        <f t="shared" si="1"/>
        <v>845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19">
        <v>2421.0</v>
      </c>
      <c r="B216" s="420" t="s">
        <v>3530</v>
      </c>
      <c r="C216" s="420">
        <v>2018.0</v>
      </c>
      <c r="D216" s="497">
        <v>43391.0</v>
      </c>
      <c r="E216" s="394" t="s">
        <v>3531</v>
      </c>
      <c r="F216" s="422" t="s">
        <v>3532</v>
      </c>
      <c r="G216" s="422" t="s">
        <v>650</v>
      </c>
      <c r="H216" s="394" t="s">
        <v>3533</v>
      </c>
      <c r="I216" s="497">
        <v>44221.0</v>
      </c>
      <c r="J216" s="422">
        <v>1.0</v>
      </c>
      <c r="K216" s="531" t="s">
        <v>240</v>
      </c>
      <c r="L216" s="422" t="s">
        <v>2860</v>
      </c>
      <c r="M216" s="528">
        <f t="shared" si="1"/>
        <v>830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25">
        <v>2521.0</v>
      </c>
      <c r="B217" s="426" t="s">
        <v>3534</v>
      </c>
      <c r="C217" s="426">
        <v>2019.0</v>
      </c>
      <c r="D217" s="500">
        <v>43647.0</v>
      </c>
      <c r="E217" s="428" t="s">
        <v>3535</v>
      </c>
      <c r="F217" s="428" t="s">
        <v>3536</v>
      </c>
      <c r="G217" s="397" t="s">
        <v>552</v>
      </c>
      <c r="H217" s="397" t="s">
        <v>583</v>
      </c>
      <c r="I217" s="500">
        <v>44221.0</v>
      </c>
      <c r="J217" s="428">
        <v>1.0</v>
      </c>
      <c r="K217" s="531" t="s">
        <v>240</v>
      </c>
      <c r="L217" s="428" t="s">
        <v>2860</v>
      </c>
      <c r="M217" s="529">
        <f t="shared" si="1"/>
        <v>574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19">
        <v>2621.0</v>
      </c>
      <c r="B218" s="420" t="s">
        <v>3537</v>
      </c>
      <c r="C218" s="420">
        <v>2014.0</v>
      </c>
      <c r="D218" s="497">
        <v>41724.0</v>
      </c>
      <c r="E218" s="394" t="s">
        <v>3538</v>
      </c>
      <c r="F218" s="422" t="s">
        <v>711</v>
      </c>
      <c r="G218" s="422" t="s">
        <v>552</v>
      </c>
      <c r="H218" s="394" t="s">
        <v>3539</v>
      </c>
      <c r="I218" s="497">
        <v>44222.0</v>
      </c>
      <c r="J218" s="422">
        <v>1.0</v>
      </c>
      <c r="K218" s="531" t="s">
        <v>240</v>
      </c>
      <c r="L218" s="422" t="s">
        <v>2860</v>
      </c>
      <c r="M218" s="528">
        <f t="shared" si="1"/>
        <v>2498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25">
        <v>2721.0</v>
      </c>
      <c r="B219" s="426" t="s">
        <v>3540</v>
      </c>
      <c r="C219" s="426">
        <v>2016.0</v>
      </c>
      <c r="D219" s="500">
        <v>42438.0</v>
      </c>
      <c r="E219" s="428" t="s">
        <v>3541</v>
      </c>
      <c r="F219" s="428" t="s">
        <v>739</v>
      </c>
      <c r="G219" s="397" t="s">
        <v>552</v>
      </c>
      <c r="H219" s="397" t="s">
        <v>97</v>
      </c>
      <c r="I219" s="500">
        <v>44222.0</v>
      </c>
      <c r="J219" s="428">
        <v>1.0</v>
      </c>
      <c r="K219" s="531" t="s">
        <v>242</v>
      </c>
      <c r="L219" s="428" t="s">
        <v>2855</v>
      </c>
      <c r="M219" s="529">
        <f t="shared" si="1"/>
        <v>1784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19">
        <v>2821.0</v>
      </c>
      <c r="B220" s="420" t="s">
        <v>3542</v>
      </c>
      <c r="C220" s="420">
        <v>2020.0</v>
      </c>
      <c r="D220" s="497">
        <v>44006.0</v>
      </c>
      <c r="E220" s="394" t="s">
        <v>3543</v>
      </c>
      <c r="F220" s="422" t="s">
        <v>3544</v>
      </c>
      <c r="G220" s="422" t="s">
        <v>569</v>
      </c>
      <c r="H220" s="394" t="s">
        <v>3545</v>
      </c>
      <c r="I220" s="497">
        <v>44222.0</v>
      </c>
      <c r="J220" s="422">
        <v>1.0</v>
      </c>
      <c r="K220" s="531" t="s">
        <v>242</v>
      </c>
      <c r="L220" s="422" t="s">
        <v>260</v>
      </c>
      <c r="M220" s="528">
        <f t="shared" si="1"/>
        <v>216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25">
        <v>2921.0</v>
      </c>
      <c r="B221" s="426" t="s">
        <v>3546</v>
      </c>
      <c r="C221" s="426">
        <v>2018.0</v>
      </c>
      <c r="D221" s="500">
        <v>43165.0</v>
      </c>
      <c r="E221" s="428" t="s">
        <v>3547</v>
      </c>
      <c r="F221" s="428" t="s">
        <v>2268</v>
      </c>
      <c r="G221" s="397" t="s">
        <v>552</v>
      </c>
      <c r="H221" s="397" t="s">
        <v>66</v>
      </c>
      <c r="I221" s="500">
        <v>44222.0</v>
      </c>
      <c r="J221" s="428">
        <v>1.0</v>
      </c>
      <c r="K221" s="531" t="s">
        <v>240</v>
      </c>
      <c r="L221" s="428" t="s">
        <v>2855</v>
      </c>
      <c r="M221" s="529">
        <f t="shared" si="1"/>
        <v>1057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customHeight="1">
      <c r="A222" s="419">
        <v>3021.0</v>
      </c>
      <c r="B222" s="420" t="s">
        <v>3548</v>
      </c>
      <c r="C222" s="420">
        <v>2020.0</v>
      </c>
      <c r="D222" s="497">
        <v>44025.0</v>
      </c>
      <c r="E222" s="394" t="s">
        <v>3549</v>
      </c>
      <c r="F222" s="422" t="s">
        <v>2343</v>
      </c>
      <c r="G222" s="422" t="s">
        <v>569</v>
      </c>
      <c r="H222" s="394" t="s">
        <v>3550</v>
      </c>
      <c r="I222" s="497">
        <v>44222.0</v>
      </c>
      <c r="J222" s="422">
        <v>1.0</v>
      </c>
      <c r="K222" s="531" t="s">
        <v>242</v>
      </c>
      <c r="L222" s="422" t="s">
        <v>260</v>
      </c>
      <c r="M222" s="528">
        <f t="shared" si="1"/>
        <v>197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25">
        <v>3121.0</v>
      </c>
      <c r="B223" s="426" t="s">
        <v>3551</v>
      </c>
      <c r="C223" s="426">
        <v>2020.0</v>
      </c>
      <c r="D223" s="500">
        <v>44040.0</v>
      </c>
      <c r="E223" s="428" t="s">
        <v>3552</v>
      </c>
      <c r="F223" s="534" t="s">
        <v>3553</v>
      </c>
      <c r="G223" s="428" t="s">
        <v>565</v>
      </c>
      <c r="H223" s="397" t="s">
        <v>577</v>
      </c>
      <c r="I223" s="500">
        <v>44222.0</v>
      </c>
      <c r="J223" s="428">
        <v>1.0</v>
      </c>
      <c r="K223" s="531" t="s">
        <v>242</v>
      </c>
      <c r="L223" s="428" t="s">
        <v>260</v>
      </c>
      <c r="M223" s="529">
        <f t="shared" si="1"/>
        <v>182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419">
        <v>3221.0</v>
      </c>
      <c r="B224" s="420" t="s">
        <v>3554</v>
      </c>
      <c r="C224" s="420">
        <v>2020.0</v>
      </c>
      <c r="D224" s="497">
        <v>44042.0</v>
      </c>
      <c r="E224" s="422" t="s">
        <v>3555</v>
      </c>
      <c r="F224" s="534" t="s">
        <v>3553</v>
      </c>
      <c r="G224" s="422" t="s">
        <v>565</v>
      </c>
      <c r="H224" s="394" t="s">
        <v>577</v>
      </c>
      <c r="I224" s="497">
        <v>44222.0</v>
      </c>
      <c r="J224" s="422">
        <v>1.0</v>
      </c>
      <c r="K224" s="531" t="s">
        <v>242</v>
      </c>
      <c r="L224" s="422" t="s">
        <v>260</v>
      </c>
      <c r="M224" s="528">
        <f t="shared" si="1"/>
        <v>180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25">
        <v>3321.0</v>
      </c>
      <c r="B225" s="426" t="s">
        <v>3556</v>
      </c>
      <c r="C225" s="426">
        <v>2020.0</v>
      </c>
      <c r="D225" s="500">
        <v>44043.0</v>
      </c>
      <c r="E225" s="428" t="s">
        <v>3557</v>
      </c>
      <c r="F225" s="428" t="s">
        <v>3558</v>
      </c>
      <c r="G225" s="397" t="s">
        <v>569</v>
      </c>
      <c r="H225" s="397" t="s">
        <v>3559</v>
      </c>
      <c r="I225" s="500">
        <v>44222.0</v>
      </c>
      <c r="J225" s="428">
        <v>1.0</v>
      </c>
      <c r="K225" s="531" t="s">
        <v>242</v>
      </c>
      <c r="L225" s="428" t="s">
        <v>260</v>
      </c>
      <c r="M225" s="529">
        <f t="shared" si="1"/>
        <v>179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19">
        <v>3421.0</v>
      </c>
      <c r="B226" s="420" t="s">
        <v>3560</v>
      </c>
      <c r="C226" s="420">
        <v>2019.0</v>
      </c>
      <c r="D226" s="497">
        <v>43761.0</v>
      </c>
      <c r="E226" s="394" t="s">
        <v>3561</v>
      </c>
      <c r="F226" s="422" t="s">
        <v>2343</v>
      </c>
      <c r="G226" s="422" t="s">
        <v>569</v>
      </c>
      <c r="H226" s="394" t="s">
        <v>639</v>
      </c>
      <c r="I226" s="497">
        <v>44222.0</v>
      </c>
      <c r="J226" s="422">
        <v>1.0</v>
      </c>
      <c r="K226" s="531" t="s">
        <v>242</v>
      </c>
      <c r="L226" s="422" t="s">
        <v>260</v>
      </c>
      <c r="M226" s="528">
        <f t="shared" si="1"/>
        <v>461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25">
        <v>3521.0</v>
      </c>
      <c r="B227" s="426" t="s">
        <v>3562</v>
      </c>
      <c r="C227" s="426">
        <v>2011.0</v>
      </c>
      <c r="D227" s="500">
        <v>40575.0</v>
      </c>
      <c r="E227" s="428" t="s">
        <v>3563</v>
      </c>
      <c r="F227" s="428" t="s">
        <v>1170</v>
      </c>
      <c r="G227" s="397" t="s">
        <v>552</v>
      </c>
      <c r="H227" s="397" t="s">
        <v>1091</v>
      </c>
      <c r="I227" s="500">
        <v>44222.0</v>
      </c>
      <c r="J227" s="428">
        <v>1.0</v>
      </c>
      <c r="K227" s="531" t="s">
        <v>240</v>
      </c>
      <c r="L227" s="428" t="s">
        <v>2860</v>
      </c>
      <c r="M227" s="529">
        <f t="shared" si="1"/>
        <v>3647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19">
        <v>3621.0</v>
      </c>
      <c r="B228" s="420" t="s">
        <v>3564</v>
      </c>
      <c r="C228" s="420">
        <v>2019.0</v>
      </c>
      <c r="D228" s="497">
        <v>43496.0</v>
      </c>
      <c r="E228" s="394" t="s">
        <v>3565</v>
      </c>
      <c r="F228" s="422" t="s">
        <v>2748</v>
      </c>
      <c r="G228" s="422" t="s">
        <v>552</v>
      </c>
      <c r="H228" s="394" t="s">
        <v>1091</v>
      </c>
      <c r="I228" s="497">
        <v>44222.0</v>
      </c>
      <c r="J228" s="422">
        <v>1.0</v>
      </c>
      <c r="K228" s="531" t="s">
        <v>242</v>
      </c>
      <c r="L228" s="422" t="s">
        <v>2855</v>
      </c>
      <c r="M228" s="528">
        <f t="shared" si="1"/>
        <v>726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customHeight="1">
      <c r="A229" s="425">
        <v>3721.0</v>
      </c>
      <c r="B229" s="426" t="s">
        <v>3566</v>
      </c>
      <c r="C229" s="426">
        <v>2010.0</v>
      </c>
      <c r="D229" s="500">
        <v>40193.0</v>
      </c>
      <c r="E229" s="428" t="s">
        <v>3567</v>
      </c>
      <c r="F229" s="428" t="s">
        <v>1108</v>
      </c>
      <c r="G229" s="397" t="s">
        <v>552</v>
      </c>
      <c r="H229" s="397" t="s">
        <v>1178</v>
      </c>
      <c r="I229" s="500">
        <v>44222.0</v>
      </c>
      <c r="J229" s="428">
        <v>1.0</v>
      </c>
      <c r="K229" s="531" t="s">
        <v>242</v>
      </c>
      <c r="L229" s="428" t="s">
        <v>2860</v>
      </c>
      <c r="M229" s="529">
        <f t="shared" si="1"/>
        <v>4029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419">
        <v>3821.0</v>
      </c>
      <c r="B230" s="420" t="s">
        <v>3568</v>
      </c>
      <c r="C230" s="420">
        <v>2018.0</v>
      </c>
      <c r="D230" s="497">
        <v>43165.0</v>
      </c>
      <c r="E230" s="394" t="s">
        <v>3569</v>
      </c>
      <c r="F230" s="422" t="s">
        <v>1177</v>
      </c>
      <c r="G230" s="422" t="s">
        <v>552</v>
      </c>
      <c r="H230" s="394" t="s">
        <v>66</v>
      </c>
      <c r="I230" s="497">
        <v>44222.0</v>
      </c>
      <c r="J230" s="422">
        <v>1.0</v>
      </c>
      <c r="K230" s="531" t="s">
        <v>240</v>
      </c>
      <c r="L230" s="422" t="s">
        <v>2855</v>
      </c>
      <c r="M230" s="528">
        <f t="shared" si="1"/>
        <v>1057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25">
        <v>3921.0</v>
      </c>
      <c r="B231" s="426" t="s">
        <v>3570</v>
      </c>
      <c r="C231" s="426">
        <v>2018.0</v>
      </c>
      <c r="D231" s="500">
        <v>43217.0</v>
      </c>
      <c r="E231" s="428" t="s">
        <v>3571</v>
      </c>
      <c r="F231" s="428" t="s">
        <v>3572</v>
      </c>
      <c r="G231" s="397" t="s">
        <v>552</v>
      </c>
      <c r="H231" s="397" t="s">
        <v>1091</v>
      </c>
      <c r="I231" s="500">
        <v>44222.0</v>
      </c>
      <c r="J231" s="428">
        <v>1.0</v>
      </c>
      <c r="K231" s="531" t="s">
        <v>238</v>
      </c>
      <c r="L231" s="428" t="s">
        <v>2860</v>
      </c>
      <c r="M231" s="529">
        <f t="shared" si="1"/>
        <v>1005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19">
        <v>4021.0</v>
      </c>
      <c r="B232" s="420" t="s">
        <v>3573</v>
      </c>
      <c r="C232" s="420">
        <v>2019.0</v>
      </c>
      <c r="D232" s="497">
        <v>43551.0</v>
      </c>
      <c r="E232" s="394" t="s">
        <v>3574</v>
      </c>
      <c r="F232" s="422" t="s">
        <v>660</v>
      </c>
      <c r="G232" s="422" t="s">
        <v>650</v>
      </c>
      <c r="H232" s="394" t="s">
        <v>158</v>
      </c>
      <c r="I232" s="497">
        <v>44222.0</v>
      </c>
      <c r="J232" s="422">
        <v>1.0</v>
      </c>
      <c r="K232" s="533" t="s">
        <v>228</v>
      </c>
      <c r="L232" s="422" t="s">
        <v>2860</v>
      </c>
      <c r="M232" s="528">
        <f t="shared" si="1"/>
        <v>671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25">
        <v>4121.0</v>
      </c>
      <c r="B233" s="426" t="s">
        <v>3575</v>
      </c>
      <c r="C233" s="426">
        <v>2018.0</v>
      </c>
      <c r="D233" s="500">
        <v>43250.0</v>
      </c>
      <c r="E233" s="428" t="s">
        <v>3576</v>
      </c>
      <c r="F233" s="428" t="s">
        <v>3572</v>
      </c>
      <c r="G233" s="397" t="s">
        <v>552</v>
      </c>
      <c r="H233" s="397" t="s">
        <v>1091</v>
      </c>
      <c r="I233" s="500">
        <v>44222.0</v>
      </c>
      <c r="J233" s="428">
        <v>1.0</v>
      </c>
      <c r="K233" s="531" t="s">
        <v>238</v>
      </c>
      <c r="L233" s="428" t="s">
        <v>2860</v>
      </c>
      <c r="M233" s="529">
        <f t="shared" si="1"/>
        <v>972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19">
        <v>4221.0</v>
      </c>
      <c r="B234" s="420" t="s">
        <v>3577</v>
      </c>
      <c r="C234" s="420">
        <v>2018.0</v>
      </c>
      <c r="D234" s="497">
        <v>43250.0</v>
      </c>
      <c r="E234" s="394" t="s">
        <v>3578</v>
      </c>
      <c r="F234" s="422" t="s">
        <v>3579</v>
      </c>
      <c r="G234" s="422" t="s">
        <v>552</v>
      </c>
      <c r="H234" s="394" t="s">
        <v>1091</v>
      </c>
      <c r="I234" s="497">
        <v>44222.0</v>
      </c>
      <c r="J234" s="422">
        <v>1.0</v>
      </c>
      <c r="K234" s="533" t="s">
        <v>228</v>
      </c>
      <c r="L234" s="422" t="s">
        <v>2855</v>
      </c>
      <c r="M234" s="528">
        <f t="shared" si="1"/>
        <v>972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25">
        <v>4321.0</v>
      </c>
      <c r="B235" s="426" t="s">
        <v>3580</v>
      </c>
      <c r="C235" s="426">
        <v>2018.0</v>
      </c>
      <c r="D235" s="500">
        <v>43371.0</v>
      </c>
      <c r="E235" s="428" t="s">
        <v>3581</v>
      </c>
      <c r="F235" s="428" t="s">
        <v>1464</v>
      </c>
      <c r="G235" s="397" t="s">
        <v>552</v>
      </c>
      <c r="H235" s="397" t="s">
        <v>990</v>
      </c>
      <c r="I235" s="500">
        <v>44222.0</v>
      </c>
      <c r="J235" s="428">
        <v>1.0</v>
      </c>
      <c r="K235" s="531" t="s">
        <v>240</v>
      </c>
      <c r="L235" s="428" t="s">
        <v>2860</v>
      </c>
      <c r="M235" s="529">
        <f t="shared" si="1"/>
        <v>851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19">
        <v>4421.0</v>
      </c>
      <c r="B236" s="420" t="s">
        <v>3582</v>
      </c>
      <c r="C236" s="420">
        <v>2018.0</v>
      </c>
      <c r="D236" s="497">
        <v>43402.0</v>
      </c>
      <c r="E236" s="394" t="s">
        <v>3583</v>
      </c>
      <c r="F236" s="422" t="s">
        <v>739</v>
      </c>
      <c r="G236" s="422" t="s">
        <v>552</v>
      </c>
      <c r="H236" s="394" t="s">
        <v>3584</v>
      </c>
      <c r="I236" s="497">
        <v>44222.0</v>
      </c>
      <c r="J236" s="422">
        <v>1.0</v>
      </c>
      <c r="K236" s="531" t="s">
        <v>242</v>
      </c>
      <c r="L236" s="422" t="s">
        <v>2855</v>
      </c>
      <c r="M236" s="528">
        <f t="shared" si="1"/>
        <v>820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25">
        <v>4521.0</v>
      </c>
      <c r="B237" s="426" t="s">
        <v>3585</v>
      </c>
      <c r="C237" s="426">
        <v>2018.0</v>
      </c>
      <c r="D237" s="500">
        <v>43437.0</v>
      </c>
      <c r="E237" s="428" t="s">
        <v>3586</v>
      </c>
      <c r="F237" s="428" t="s">
        <v>3587</v>
      </c>
      <c r="G237" s="397" t="s">
        <v>650</v>
      </c>
      <c r="H237" s="397" t="s">
        <v>18</v>
      </c>
      <c r="I237" s="500">
        <v>44222.0</v>
      </c>
      <c r="J237" s="428">
        <v>1.0</v>
      </c>
      <c r="K237" s="532" t="s">
        <v>236</v>
      </c>
      <c r="L237" s="428" t="s">
        <v>2860</v>
      </c>
      <c r="M237" s="529">
        <f t="shared" si="1"/>
        <v>785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19">
        <v>4621.0</v>
      </c>
      <c r="B238" s="420" t="s">
        <v>3588</v>
      </c>
      <c r="C238" s="420">
        <v>2020.0</v>
      </c>
      <c r="D238" s="497">
        <v>44055.0</v>
      </c>
      <c r="E238" s="394" t="s">
        <v>3589</v>
      </c>
      <c r="F238" s="422" t="s">
        <v>3590</v>
      </c>
      <c r="G238" s="422" t="s">
        <v>565</v>
      </c>
      <c r="H238" s="394" t="s">
        <v>577</v>
      </c>
      <c r="I238" s="497">
        <v>44222.0</v>
      </c>
      <c r="J238" s="422">
        <v>1.0</v>
      </c>
      <c r="K238" s="531" t="s">
        <v>242</v>
      </c>
      <c r="L238" s="422" t="s">
        <v>260</v>
      </c>
      <c r="M238" s="528">
        <f t="shared" si="1"/>
        <v>167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25">
        <v>4721.0</v>
      </c>
      <c r="B239" s="426" t="s">
        <v>3591</v>
      </c>
      <c r="C239" s="426">
        <v>2020.0</v>
      </c>
      <c r="D239" s="500">
        <v>44060.0</v>
      </c>
      <c r="E239" s="428" t="s">
        <v>3592</v>
      </c>
      <c r="F239" s="428" t="s">
        <v>3590</v>
      </c>
      <c r="G239" s="397" t="s">
        <v>565</v>
      </c>
      <c r="H239" s="397" t="s">
        <v>577</v>
      </c>
      <c r="I239" s="500">
        <v>44222.0</v>
      </c>
      <c r="J239" s="428">
        <v>1.0</v>
      </c>
      <c r="K239" s="531" t="s">
        <v>242</v>
      </c>
      <c r="L239" s="428" t="s">
        <v>260</v>
      </c>
      <c r="M239" s="529">
        <f t="shared" si="1"/>
        <v>162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19">
        <v>4821.0</v>
      </c>
      <c r="B240" s="420" t="s">
        <v>3593</v>
      </c>
      <c r="C240" s="420">
        <v>2018.0</v>
      </c>
      <c r="D240" s="497">
        <v>43455.0</v>
      </c>
      <c r="E240" s="394" t="s">
        <v>3594</v>
      </c>
      <c r="F240" s="422" t="s">
        <v>654</v>
      </c>
      <c r="G240" s="422" t="s">
        <v>650</v>
      </c>
      <c r="H240" s="394" t="s">
        <v>923</v>
      </c>
      <c r="I240" s="497">
        <v>44222.0</v>
      </c>
      <c r="J240" s="422">
        <v>1.0</v>
      </c>
      <c r="K240" s="533" t="s">
        <v>228</v>
      </c>
      <c r="L240" s="422" t="s">
        <v>2855</v>
      </c>
      <c r="M240" s="528">
        <f t="shared" si="1"/>
        <v>767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25">
        <v>4921.0</v>
      </c>
      <c r="B241" s="426" t="s">
        <v>3595</v>
      </c>
      <c r="C241" s="426">
        <v>2020.0</v>
      </c>
      <c r="D241" s="500">
        <v>44099.0</v>
      </c>
      <c r="E241" s="428" t="s">
        <v>3596</v>
      </c>
      <c r="F241" s="428" t="s">
        <v>3597</v>
      </c>
      <c r="G241" s="397" t="s">
        <v>569</v>
      </c>
      <c r="H241" s="397" t="s">
        <v>1880</v>
      </c>
      <c r="I241" s="500">
        <v>44222.0</v>
      </c>
      <c r="J241" s="428">
        <v>1.0</v>
      </c>
      <c r="K241" s="530" t="s">
        <v>822</v>
      </c>
      <c r="L241" s="428" t="s">
        <v>260</v>
      </c>
      <c r="M241" s="529">
        <f t="shared" si="1"/>
        <v>123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19">
        <v>5021.0</v>
      </c>
      <c r="B242" s="420" t="s">
        <v>3598</v>
      </c>
      <c r="C242" s="420">
        <v>2008.0</v>
      </c>
      <c r="D242" s="497">
        <v>39798.0</v>
      </c>
      <c r="E242" s="394" t="s">
        <v>3599</v>
      </c>
      <c r="F242" s="422" t="s">
        <v>3600</v>
      </c>
      <c r="G242" s="422" t="s">
        <v>650</v>
      </c>
      <c r="H242" s="394" t="s">
        <v>158</v>
      </c>
      <c r="I242" s="497">
        <v>44230.0</v>
      </c>
      <c r="J242" s="422">
        <v>2.0</v>
      </c>
      <c r="K242" s="531" t="s">
        <v>242</v>
      </c>
      <c r="L242" s="422" t="s">
        <v>2860</v>
      </c>
      <c r="M242" s="528">
        <f t="shared" si="1"/>
        <v>4432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25">
        <v>5121.0</v>
      </c>
      <c r="B243" s="426" t="s">
        <v>3601</v>
      </c>
      <c r="C243" s="426">
        <v>2012.0</v>
      </c>
      <c r="D243" s="500">
        <v>40987.0</v>
      </c>
      <c r="E243" s="428" t="s">
        <v>3602</v>
      </c>
      <c r="F243" s="428" t="s">
        <v>3603</v>
      </c>
      <c r="G243" s="397" t="s">
        <v>650</v>
      </c>
      <c r="H243" s="397" t="s">
        <v>18</v>
      </c>
      <c r="I243" s="500">
        <v>44235.0</v>
      </c>
      <c r="J243" s="428">
        <v>2.0</v>
      </c>
      <c r="K243" s="531" t="s">
        <v>240</v>
      </c>
      <c r="L243" s="428" t="s">
        <v>2860</v>
      </c>
      <c r="M243" s="529">
        <f t="shared" si="1"/>
        <v>3248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19">
        <v>5221.0</v>
      </c>
      <c r="B244" s="420" t="s">
        <v>3604</v>
      </c>
      <c r="C244" s="420">
        <v>2015.0</v>
      </c>
      <c r="D244" s="497">
        <v>42143.0</v>
      </c>
      <c r="E244" s="394" t="s">
        <v>3605</v>
      </c>
      <c r="F244" s="422" t="s">
        <v>2183</v>
      </c>
      <c r="G244" s="422" t="s">
        <v>552</v>
      </c>
      <c r="H244" s="394" t="s">
        <v>138</v>
      </c>
      <c r="I244" s="497">
        <v>44235.0</v>
      </c>
      <c r="J244" s="422">
        <v>2.0</v>
      </c>
      <c r="K244" s="532" t="s">
        <v>236</v>
      </c>
      <c r="L244" s="422" t="s">
        <v>2860</v>
      </c>
      <c r="M244" s="528">
        <f t="shared" si="1"/>
        <v>2092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25">
        <v>5321.0</v>
      </c>
      <c r="B245" s="426" t="s">
        <v>3606</v>
      </c>
      <c r="C245" s="426">
        <v>2013.0</v>
      </c>
      <c r="D245" s="500">
        <v>41453.0</v>
      </c>
      <c r="E245" s="428" t="s">
        <v>3607</v>
      </c>
      <c r="F245" s="428" t="s">
        <v>1968</v>
      </c>
      <c r="G245" s="397" t="s">
        <v>552</v>
      </c>
      <c r="H245" s="397" t="s">
        <v>153</v>
      </c>
      <c r="I245" s="500">
        <v>44235.0</v>
      </c>
      <c r="J245" s="428">
        <v>2.0</v>
      </c>
      <c r="K245" s="531" t="s">
        <v>242</v>
      </c>
      <c r="L245" s="428" t="s">
        <v>2860</v>
      </c>
      <c r="M245" s="529">
        <f t="shared" si="1"/>
        <v>2782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19">
        <v>5421.0</v>
      </c>
      <c r="B246" s="420" t="s">
        <v>3608</v>
      </c>
      <c r="C246" s="420">
        <v>2018.0</v>
      </c>
      <c r="D246" s="497">
        <v>43154.0</v>
      </c>
      <c r="E246" s="394" t="s">
        <v>3609</v>
      </c>
      <c r="F246" s="422" t="s">
        <v>3610</v>
      </c>
      <c r="G246" s="422" t="s">
        <v>552</v>
      </c>
      <c r="H246" s="394" t="s">
        <v>3611</v>
      </c>
      <c r="I246" s="497">
        <v>44246.0</v>
      </c>
      <c r="J246" s="422">
        <v>2.0</v>
      </c>
      <c r="K246" s="531" t="s">
        <v>242</v>
      </c>
      <c r="L246" s="422" t="s">
        <v>2860</v>
      </c>
      <c r="M246" s="528">
        <f t="shared" si="1"/>
        <v>1092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25">
        <v>5521.0</v>
      </c>
      <c r="B247" s="426" t="s">
        <v>3612</v>
      </c>
      <c r="C247" s="426">
        <v>2013.0</v>
      </c>
      <c r="D247" s="500">
        <v>41543.0</v>
      </c>
      <c r="E247" s="428" t="s">
        <v>3613</v>
      </c>
      <c r="F247" s="428" t="s">
        <v>31</v>
      </c>
      <c r="G247" s="397" t="s">
        <v>552</v>
      </c>
      <c r="H247" s="397" t="s">
        <v>3614</v>
      </c>
      <c r="I247" s="500">
        <v>44246.0</v>
      </c>
      <c r="J247" s="428">
        <v>2.0</v>
      </c>
      <c r="K247" s="531" t="s">
        <v>240</v>
      </c>
      <c r="L247" s="428" t="s">
        <v>2855</v>
      </c>
      <c r="M247" s="529">
        <f t="shared" si="1"/>
        <v>2703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19">
        <v>5621.0</v>
      </c>
      <c r="B248" s="420" t="s">
        <v>3615</v>
      </c>
      <c r="C248" s="420">
        <v>2016.0</v>
      </c>
      <c r="D248" s="497">
        <v>42489.0</v>
      </c>
      <c r="E248" s="394" t="s">
        <v>3616</v>
      </c>
      <c r="F248" s="422" t="s">
        <v>649</v>
      </c>
      <c r="G248" s="422" t="s">
        <v>650</v>
      </c>
      <c r="H248" s="394" t="s">
        <v>705</v>
      </c>
      <c r="I248" s="497">
        <v>44246.0</v>
      </c>
      <c r="J248" s="422">
        <v>2.0</v>
      </c>
      <c r="K248" s="531" t="s">
        <v>240</v>
      </c>
      <c r="L248" s="422" t="s">
        <v>2860</v>
      </c>
      <c r="M248" s="528">
        <f t="shared" si="1"/>
        <v>1757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25">
        <v>5721.0</v>
      </c>
      <c r="B249" s="426" t="s">
        <v>3617</v>
      </c>
      <c r="C249" s="426">
        <v>2016.0</v>
      </c>
      <c r="D249" s="500">
        <v>42489.0</v>
      </c>
      <c r="E249" s="428" t="s">
        <v>3618</v>
      </c>
      <c r="F249" s="428" t="s">
        <v>649</v>
      </c>
      <c r="G249" s="397" t="s">
        <v>650</v>
      </c>
      <c r="H249" s="397" t="s">
        <v>705</v>
      </c>
      <c r="I249" s="500">
        <v>44246.0</v>
      </c>
      <c r="J249" s="428">
        <v>2.0</v>
      </c>
      <c r="K249" s="531" t="s">
        <v>240</v>
      </c>
      <c r="L249" s="428" t="s">
        <v>2860</v>
      </c>
      <c r="M249" s="529">
        <f t="shared" si="1"/>
        <v>1757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19">
        <v>5821.0</v>
      </c>
      <c r="B250" s="420" t="s">
        <v>3619</v>
      </c>
      <c r="C250" s="420">
        <v>2016.0</v>
      </c>
      <c r="D250" s="497">
        <v>42522.0</v>
      </c>
      <c r="E250" s="394" t="s">
        <v>3620</v>
      </c>
      <c r="F250" s="422" t="s">
        <v>2307</v>
      </c>
      <c r="G250" s="422" t="s">
        <v>552</v>
      </c>
      <c r="H250" s="394" t="s">
        <v>50</v>
      </c>
      <c r="I250" s="497">
        <v>44246.0</v>
      </c>
      <c r="J250" s="422">
        <v>2.0</v>
      </c>
      <c r="K250" s="531" t="s">
        <v>240</v>
      </c>
      <c r="L250" s="422" t="s">
        <v>2860</v>
      </c>
      <c r="M250" s="528">
        <f t="shared" si="1"/>
        <v>1724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25">
        <v>5921.0</v>
      </c>
      <c r="B251" s="426" t="s">
        <v>3621</v>
      </c>
      <c r="C251" s="426">
        <v>2016.0</v>
      </c>
      <c r="D251" s="500">
        <v>42580.0</v>
      </c>
      <c r="E251" s="428" t="s">
        <v>3622</v>
      </c>
      <c r="F251" s="428" t="s">
        <v>3623</v>
      </c>
      <c r="G251" s="397" t="s">
        <v>552</v>
      </c>
      <c r="H251" s="397" t="s">
        <v>3624</v>
      </c>
      <c r="I251" s="500">
        <v>44246.0</v>
      </c>
      <c r="J251" s="428">
        <v>2.0</v>
      </c>
      <c r="K251" s="531" t="s">
        <v>242</v>
      </c>
      <c r="L251" s="428" t="s">
        <v>2855</v>
      </c>
      <c r="M251" s="529">
        <f t="shared" si="1"/>
        <v>1666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19">
        <v>6021.0</v>
      </c>
      <c r="B252" s="420" t="s">
        <v>3625</v>
      </c>
      <c r="C252" s="420">
        <v>2020.0</v>
      </c>
      <c r="D252" s="497">
        <v>44120.0</v>
      </c>
      <c r="E252" s="394" t="s">
        <v>3626</v>
      </c>
      <c r="F252" s="422" t="s">
        <v>3627</v>
      </c>
      <c r="G252" s="422" t="s">
        <v>565</v>
      </c>
      <c r="H252" s="394" t="s">
        <v>3628</v>
      </c>
      <c r="I252" s="497">
        <v>44246.0</v>
      </c>
      <c r="J252" s="422">
        <v>2.0</v>
      </c>
      <c r="K252" s="530" t="s">
        <v>822</v>
      </c>
      <c r="L252" s="422" t="s">
        <v>260</v>
      </c>
      <c r="M252" s="528">
        <f t="shared" si="1"/>
        <v>126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25">
        <v>6121.0</v>
      </c>
      <c r="B253" s="426" t="s">
        <v>3629</v>
      </c>
      <c r="C253" s="426">
        <v>2014.0</v>
      </c>
      <c r="D253" s="500">
        <v>41718.0</v>
      </c>
      <c r="E253" s="428" t="s">
        <v>3630</v>
      </c>
      <c r="F253" s="428" t="s">
        <v>711</v>
      </c>
      <c r="G253" s="397" t="s">
        <v>552</v>
      </c>
      <c r="H253" s="397" t="s">
        <v>583</v>
      </c>
      <c r="I253" s="500">
        <v>44246.0</v>
      </c>
      <c r="J253" s="428">
        <v>2.0</v>
      </c>
      <c r="K253" s="531" t="s">
        <v>242</v>
      </c>
      <c r="L253" s="428" t="s">
        <v>2855</v>
      </c>
      <c r="M253" s="529">
        <f t="shared" si="1"/>
        <v>2528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19">
        <v>6221.0</v>
      </c>
      <c r="B254" s="420" t="s">
        <v>3631</v>
      </c>
      <c r="C254" s="420">
        <v>2018.0</v>
      </c>
      <c r="D254" s="497">
        <v>43152.0</v>
      </c>
      <c r="E254" s="394" t="s">
        <v>3632</v>
      </c>
      <c r="F254" s="422" t="s">
        <v>687</v>
      </c>
      <c r="G254" s="422" t="s">
        <v>650</v>
      </c>
      <c r="H254" s="394" t="s">
        <v>158</v>
      </c>
      <c r="I254" s="497">
        <v>44246.0</v>
      </c>
      <c r="J254" s="422">
        <v>2.0</v>
      </c>
      <c r="K254" s="531" t="s">
        <v>240</v>
      </c>
      <c r="L254" s="422" t="s">
        <v>2860</v>
      </c>
      <c r="M254" s="528">
        <f t="shared" si="1"/>
        <v>1094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25">
        <v>6321.0</v>
      </c>
      <c r="B255" s="426" t="s">
        <v>3633</v>
      </c>
      <c r="C255" s="426">
        <v>2018.0</v>
      </c>
      <c r="D255" s="500">
        <v>43376.0</v>
      </c>
      <c r="E255" s="428" t="s">
        <v>3634</v>
      </c>
      <c r="F255" s="428" t="s">
        <v>3635</v>
      </c>
      <c r="G255" s="397" t="s">
        <v>650</v>
      </c>
      <c r="H255" s="397" t="s">
        <v>573</v>
      </c>
      <c r="I255" s="500">
        <v>44246.0</v>
      </c>
      <c r="J255" s="428">
        <v>2.0</v>
      </c>
      <c r="K255" s="533" t="s">
        <v>228</v>
      </c>
      <c r="L255" s="428" t="s">
        <v>2860</v>
      </c>
      <c r="M255" s="529">
        <f t="shared" si="1"/>
        <v>870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19">
        <v>6421.0</v>
      </c>
      <c r="B256" s="420" t="s">
        <v>3636</v>
      </c>
      <c r="C256" s="420">
        <v>2018.0</v>
      </c>
      <c r="D256" s="497">
        <v>43103.0</v>
      </c>
      <c r="E256" s="394" t="s">
        <v>3637</v>
      </c>
      <c r="F256" s="422" t="s">
        <v>2054</v>
      </c>
      <c r="G256" s="422" t="s">
        <v>552</v>
      </c>
      <c r="H256" s="394" t="s">
        <v>130</v>
      </c>
      <c r="I256" s="497">
        <v>44246.0</v>
      </c>
      <c r="J256" s="422">
        <v>2.0</v>
      </c>
      <c r="K256" s="531" t="s">
        <v>240</v>
      </c>
      <c r="L256" s="422" t="s">
        <v>2860</v>
      </c>
      <c r="M256" s="528">
        <f t="shared" si="1"/>
        <v>1143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25">
        <v>6521.0</v>
      </c>
      <c r="B257" s="426" t="s">
        <v>3638</v>
      </c>
      <c r="C257" s="426">
        <v>2017.0</v>
      </c>
      <c r="D257" s="500">
        <v>42919.0</v>
      </c>
      <c r="E257" s="428" t="s">
        <v>3639</v>
      </c>
      <c r="F257" s="428" t="s">
        <v>3640</v>
      </c>
      <c r="G257" s="397" t="s">
        <v>552</v>
      </c>
      <c r="H257" s="397" t="s">
        <v>3641</v>
      </c>
      <c r="I257" s="500">
        <v>44246.0</v>
      </c>
      <c r="J257" s="428">
        <v>2.0</v>
      </c>
      <c r="K257" s="531" t="s">
        <v>242</v>
      </c>
      <c r="L257" s="428" t="s">
        <v>2860</v>
      </c>
      <c r="M257" s="529">
        <f t="shared" si="1"/>
        <v>1327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19">
        <v>6621.0</v>
      </c>
      <c r="B258" s="420" t="s">
        <v>3642</v>
      </c>
      <c r="C258" s="420">
        <v>2020.0</v>
      </c>
      <c r="D258" s="497">
        <v>44124.0</v>
      </c>
      <c r="E258" s="394" t="s">
        <v>3643</v>
      </c>
      <c r="F258" s="422" t="s">
        <v>3644</v>
      </c>
      <c r="G258" s="422" t="s">
        <v>569</v>
      </c>
      <c r="H258" s="394" t="s">
        <v>2384</v>
      </c>
      <c r="I258" s="497">
        <v>44246.0</v>
      </c>
      <c r="J258" s="422">
        <v>2.0</v>
      </c>
      <c r="K258" s="530" t="s">
        <v>822</v>
      </c>
      <c r="L258" s="422" t="s">
        <v>260</v>
      </c>
      <c r="M258" s="528">
        <f t="shared" si="1"/>
        <v>122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25">
        <v>6721.0</v>
      </c>
      <c r="B259" s="426" t="s">
        <v>3645</v>
      </c>
      <c r="C259" s="426">
        <v>2020.0</v>
      </c>
      <c r="D259" s="500">
        <v>44162.0</v>
      </c>
      <c r="E259" s="428" t="s">
        <v>3646</v>
      </c>
      <c r="F259" s="428" t="s">
        <v>3647</v>
      </c>
      <c r="G259" s="397" t="s">
        <v>569</v>
      </c>
      <c r="H259" s="397" t="s">
        <v>2502</v>
      </c>
      <c r="I259" s="500">
        <v>44246.0</v>
      </c>
      <c r="J259" s="428">
        <v>2.0</v>
      </c>
      <c r="K259" s="531" t="s">
        <v>242</v>
      </c>
      <c r="L259" s="428" t="s">
        <v>260</v>
      </c>
      <c r="M259" s="529">
        <f t="shared" si="1"/>
        <v>84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19">
        <v>6821.0</v>
      </c>
      <c r="B260" s="420" t="s">
        <v>3648</v>
      </c>
      <c r="C260" s="420">
        <v>2013.0</v>
      </c>
      <c r="D260" s="497">
        <v>41320.0</v>
      </c>
      <c r="E260" s="394" t="s">
        <v>3649</v>
      </c>
      <c r="F260" s="422" t="s">
        <v>3650</v>
      </c>
      <c r="G260" s="422" t="s">
        <v>552</v>
      </c>
      <c r="H260" s="394" t="s">
        <v>153</v>
      </c>
      <c r="I260" s="497">
        <v>44267.0</v>
      </c>
      <c r="J260" s="422">
        <v>3.0</v>
      </c>
      <c r="K260" s="532" t="s">
        <v>236</v>
      </c>
      <c r="L260" s="422" t="s">
        <v>2860</v>
      </c>
      <c r="M260" s="528">
        <f t="shared" si="1"/>
        <v>2947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25">
        <v>6921.0</v>
      </c>
      <c r="B261" s="426" t="s">
        <v>3651</v>
      </c>
      <c r="C261" s="426">
        <v>2016.0</v>
      </c>
      <c r="D261" s="500">
        <v>42424.0</v>
      </c>
      <c r="E261" s="428" t="s">
        <v>3652</v>
      </c>
      <c r="F261" s="428" t="s">
        <v>3078</v>
      </c>
      <c r="G261" s="397" t="s">
        <v>552</v>
      </c>
      <c r="H261" s="397" t="s">
        <v>1091</v>
      </c>
      <c r="I261" s="500">
        <v>44267.0</v>
      </c>
      <c r="J261" s="428">
        <v>3.0</v>
      </c>
      <c r="K261" s="531" t="s">
        <v>242</v>
      </c>
      <c r="L261" s="428" t="s">
        <v>2860</v>
      </c>
      <c r="M261" s="529">
        <f t="shared" si="1"/>
        <v>1843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19">
        <v>7021.0</v>
      </c>
      <c r="B262" s="420" t="s">
        <v>3653</v>
      </c>
      <c r="C262" s="420">
        <v>2012.0</v>
      </c>
      <c r="D262" s="497">
        <v>41255.0</v>
      </c>
      <c r="E262" s="394" t="s">
        <v>3654</v>
      </c>
      <c r="F262" s="422" t="s">
        <v>1006</v>
      </c>
      <c r="G262" s="422" t="s">
        <v>552</v>
      </c>
      <c r="H262" s="394" t="s">
        <v>596</v>
      </c>
      <c r="I262" s="497">
        <v>44267.0</v>
      </c>
      <c r="J262" s="422">
        <v>3.0</v>
      </c>
      <c r="K262" s="531" t="s">
        <v>242</v>
      </c>
      <c r="L262" s="422" t="s">
        <v>2855</v>
      </c>
      <c r="M262" s="528">
        <f t="shared" si="1"/>
        <v>3012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25">
        <v>7121.0</v>
      </c>
      <c r="B263" s="426" t="s">
        <v>3655</v>
      </c>
      <c r="C263" s="426">
        <v>2013.0</v>
      </c>
      <c r="D263" s="500">
        <v>41631.0</v>
      </c>
      <c r="E263" s="428" t="s">
        <v>3656</v>
      </c>
      <c r="F263" s="428" t="s">
        <v>719</v>
      </c>
      <c r="G263" s="397" t="s">
        <v>552</v>
      </c>
      <c r="H263" s="397" t="s">
        <v>153</v>
      </c>
      <c r="I263" s="500">
        <v>44267.0</v>
      </c>
      <c r="J263" s="428">
        <v>3.0</v>
      </c>
      <c r="K263" s="531" t="s">
        <v>240</v>
      </c>
      <c r="L263" s="428" t="s">
        <v>2860</v>
      </c>
      <c r="M263" s="529">
        <f t="shared" si="1"/>
        <v>2636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19">
        <v>7221.0</v>
      </c>
      <c r="B264" s="420" t="s">
        <v>3657</v>
      </c>
      <c r="C264" s="420">
        <v>2020.0</v>
      </c>
      <c r="D264" s="497">
        <v>43928.0</v>
      </c>
      <c r="E264" s="394" t="s">
        <v>3658</v>
      </c>
      <c r="F264" s="422" t="s">
        <v>3659</v>
      </c>
      <c r="G264" s="422" t="s">
        <v>565</v>
      </c>
      <c r="H264" s="394" t="s">
        <v>18</v>
      </c>
      <c r="I264" s="497">
        <v>44267.0</v>
      </c>
      <c r="J264" s="422">
        <v>3.0</v>
      </c>
      <c r="K264" s="530" t="s">
        <v>822</v>
      </c>
      <c r="L264" s="422" t="s">
        <v>260</v>
      </c>
      <c r="M264" s="528">
        <f t="shared" si="1"/>
        <v>339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25">
        <v>7321.0</v>
      </c>
      <c r="B265" s="426" t="s">
        <v>3660</v>
      </c>
      <c r="C265" s="426">
        <v>2020.0</v>
      </c>
      <c r="D265" s="500">
        <v>44120.0</v>
      </c>
      <c r="E265" s="428" t="s">
        <v>3661</v>
      </c>
      <c r="F265" s="428" t="s">
        <v>3627</v>
      </c>
      <c r="G265" s="397" t="s">
        <v>565</v>
      </c>
      <c r="H265" s="397" t="s">
        <v>3662</v>
      </c>
      <c r="I265" s="500">
        <v>44270.0</v>
      </c>
      <c r="J265" s="428">
        <v>3.0</v>
      </c>
      <c r="K265" s="530" t="s">
        <v>822</v>
      </c>
      <c r="L265" s="428" t="s">
        <v>260</v>
      </c>
      <c r="M265" s="529">
        <f t="shared" si="1"/>
        <v>150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19">
        <v>7421.0</v>
      </c>
      <c r="B266" s="420" t="s">
        <v>3663</v>
      </c>
      <c r="C266" s="420">
        <v>2020.0</v>
      </c>
      <c r="D266" s="497">
        <v>44119.0</v>
      </c>
      <c r="E266" s="394" t="s">
        <v>3664</v>
      </c>
      <c r="F266" s="422" t="s">
        <v>3665</v>
      </c>
      <c r="G266" s="422" t="s">
        <v>569</v>
      </c>
      <c r="H266" s="394" t="s">
        <v>2150</v>
      </c>
      <c r="I266" s="497">
        <v>44270.0</v>
      </c>
      <c r="J266" s="422">
        <v>3.0</v>
      </c>
      <c r="K266" s="530" t="s">
        <v>822</v>
      </c>
      <c r="L266" s="422" t="s">
        <v>260</v>
      </c>
      <c r="M266" s="528">
        <f t="shared" si="1"/>
        <v>151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25">
        <v>7521.0</v>
      </c>
      <c r="B267" s="426" t="s">
        <v>3666</v>
      </c>
      <c r="C267" s="426">
        <v>2019.0</v>
      </c>
      <c r="D267" s="500">
        <v>43738.0</v>
      </c>
      <c r="E267" s="428" t="s">
        <v>3667</v>
      </c>
      <c r="F267" s="428" t="s">
        <v>3668</v>
      </c>
      <c r="G267" s="397" t="s">
        <v>650</v>
      </c>
      <c r="H267" s="397" t="s">
        <v>158</v>
      </c>
      <c r="I267" s="500">
        <v>44270.0</v>
      </c>
      <c r="J267" s="428">
        <v>3.0</v>
      </c>
      <c r="K267" s="531" t="s">
        <v>240</v>
      </c>
      <c r="L267" s="428" t="s">
        <v>2860</v>
      </c>
      <c r="M267" s="529">
        <f t="shared" si="1"/>
        <v>532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25">
        <v>7621.0</v>
      </c>
      <c r="B268" s="426" t="s">
        <v>3669</v>
      </c>
      <c r="C268" s="426">
        <v>2019.0</v>
      </c>
      <c r="D268" s="500">
        <v>43731.0</v>
      </c>
      <c r="E268" s="428" t="s">
        <v>3670</v>
      </c>
      <c r="F268" s="428" t="s">
        <v>3671</v>
      </c>
      <c r="G268" s="397" t="s">
        <v>650</v>
      </c>
      <c r="H268" s="397" t="s">
        <v>158</v>
      </c>
      <c r="I268" s="500">
        <v>44270.0</v>
      </c>
      <c r="J268" s="428">
        <v>3.0</v>
      </c>
      <c r="K268" s="531" t="s">
        <v>242</v>
      </c>
      <c r="L268" s="422" t="s">
        <v>2860</v>
      </c>
      <c r="M268" s="528">
        <f t="shared" si="1"/>
        <v>539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customHeight="1">
      <c r="A269" s="419">
        <v>7721.0</v>
      </c>
      <c r="B269" s="420" t="s">
        <v>3672</v>
      </c>
      <c r="C269" s="420">
        <v>2020.0</v>
      </c>
      <c r="D269" s="497">
        <v>44105.0</v>
      </c>
      <c r="E269" s="394" t="s">
        <v>3673</v>
      </c>
      <c r="F269" s="422" t="s">
        <v>3674</v>
      </c>
      <c r="G269" s="422" t="s">
        <v>565</v>
      </c>
      <c r="H269" s="394" t="s">
        <v>77</v>
      </c>
      <c r="I269" s="497">
        <v>44270.0</v>
      </c>
      <c r="J269" s="422">
        <v>3.0</v>
      </c>
      <c r="K269" s="531" t="s">
        <v>242</v>
      </c>
      <c r="L269" s="428" t="s">
        <v>260</v>
      </c>
      <c r="M269" s="529">
        <f t="shared" si="1"/>
        <v>165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419">
        <v>7821.0</v>
      </c>
      <c r="B270" s="420" t="s">
        <v>3675</v>
      </c>
      <c r="C270" s="420">
        <v>2020.0</v>
      </c>
      <c r="D270" s="497">
        <v>44085.0</v>
      </c>
      <c r="E270" s="394" t="s">
        <v>3676</v>
      </c>
      <c r="F270" s="422" t="s">
        <v>3522</v>
      </c>
      <c r="G270" s="422" t="s">
        <v>565</v>
      </c>
      <c r="H270" s="394" t="s">
        <v>629</v>
      </c>
      <c r="I270" s="497">
        <v>44270.0</v>
      </c>
      <c r="J270" s="422">
        <v>3.0</v>
      </c>
      <c r="K270" s="530" t="s">
        <v>822</v>
      </c>
      <c r="L270" s="422" t="s">
        <v>260</v>
      </c>
      <c r="M270" s="528">
        <f t="shared" si="1"/>
        <v>185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25">
        <v>7921.0</v>
      </c>
      <c r="B271" s="426" t="s">
        <v>3677</v>
      </c>
      <c r="C271" s="426">
        <v>2020.0</v>
      </c>
      <c r="D271" s="500">
        <v>44041.0</v>
      </c>
      <c r="E271" s="428" t="s">
        <v>3678</v>
      </c>
      <c r="F271" s="428" t="s">
        <v>3679</v>
      </c>
      <c r="G271" s="397" t="s">
        <v>569</v>
      </c>
      <c r="H271" s="397" t="s">
        <v>3680</v>
      </c>
      <c r="I271" s="500">
        <v>44270.0</v>
      </c>
      <c r="J271" s="428">
        <v>3.0</v>
      </c>
      <c r="K271" s="530" t="s">
        <v>822</v>
      </c>
      <c r="L271" s="428" t="s">
        <v>260</v>
      </c>
      <c r="M271" s="529">
        <f t="shared" si="1"/>
        <v>229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19">
        <v>8021.0</v>
      </c>
      <c r="B272" s="420" t="s">
        <v>3681</v>
      </c>
      <c r="C272" s="420">
        <v>2018.0</v>
      </c>
      <c r="D272" s="497">
        <v>43455.0</v>
      </c>
      <c r="E272" s="394" t="s">
        <v>3682</v>
      </c>
      <c r="F272" s="422" t="s">
        <v>1255</v>
      </c>
      <c r="G272" s="422" t="s">
        <v>552</v>
      </c>
      <c r="H272" s="394" t="s">
        <v>1588</v>
      </c>
      <c r="I272" s="497">
        <v>44270.0</v>
      </c>
      <c r="J272" s="422">
        <v>3.0</v>
      </c>
      <c r="K272" s="531" t="s">
        <v>242</v>
      </c>
      <c r="L272" s="422" t="s">
        <v>2860</v>
      </c>
      <c r="M272" s="528">
        <f t="shared" si="1"/>
        <v>815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25">
        <v>8121.0</v>
      </c>
      <c r="B273" s="426" t="s">
        <v>3683</v>
      </c>
      <c r="C273" s="426">
        <v>2020.0</v>
      </c>
      <c r="D273" s="500">
        <v>43980.0</v>
      </c>
      <c r="E273" s="428" t="s">
        <v>3684</v>
      </c>
      <c r="F273" s="534" t="s">
        <v>3685</v>
      </c>
      <c r="G273" s="428" t="s">
        <v>565</v>
      </c>
      <c r="H273" s="397" t="s">
        <v>601</v>
      </c>
      <c r="I273" s="500">
        <v>44270.0</v>
      </c>
      <c r="J273" s="428">
        <v>3.0</v>
      </c>
      <c r="K273" s="531" t="s">
        <v>242</v>
      </c>
      <c r="L273" s="428" t="s">
        <v>260</v>
      </c>
      <c r="M273" s="529">
        <f t="shared" si="1"/>
        <v>290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25">
        <v>8221.0</v>
      </c>
      <c r="B274" s="426" t="s">
        <v>3686</v>
      </c>
      <c r="C274" s="426">
        <v>2019.0</v>
      </c>
      <c r="D274" s="500">
        <v>43606.0</v>
      </c>
      <c r="E274" s="428" t="s">
        <v>3687</v>
      </c>
      <c r="F274" s="428" t="s">
        <v>3688</v>
      </c>
      <c r="G274" s="397" t="s">
        <v>565</v>
      </c>
      <c r="H274" s="397" t="s">
        <v>3689</v>
      </c>
      <c r="I274" s="500">
        <v>44270.0</v>
      </c>
      <c r="J274" s="428">
        <v>3.0</v>
      </c>
      <c r="K274" s="530" t="s">
        <v>822</v>
      </c>
      <c r="L274" s="422" t="s">
        <v>260</v>
      </c>
      <c r="M274" s="528">
        <f t="shared" si="1"/>
        <v>664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customHeight="1">
      <c r="A275" s="419">
        <v>8321.0</v>
      </c>
      <c r="B275" s="420" t="s">
        <v>3690</v>
      </c>
      <c r="C275" s="420">
        <v>2018.0</v>
      </c>
      <c r="D275" s="497">
        <v>43206.0</v>
      </c>
      <c r="E275" s="394" t="s">
        <v>3691</v>
      </c>
      <c r="F275" s="422" t="s">
        <v>1108</v>
      </c>
      <c r="G275" s="422" t="s">
        <v>552</v>
      </c>
      <c r="H275" s="394" t="s">
        <v>596</v>
      </c>
      <c r="I275" s="497">
        <v>44270.0</v>
      </c>
      <c r="J275" s="422">
        <v>3.0</v>
      </c>
      <c r="K275" s="531" t="s">
        <v>240</v>
      </c>
      <c r="L275" s="428" t="s">
        <v>2860</v>
      </c>
      <c r="M275" s="529">
        <f t="shared" si="1"/>
        <v>1064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425">
        <v>8421.0</v>
      </c>
      <c r="B276" s="426" t="s">
        <v>3692</v>
      </c>
      <c r="C276" s="426">
        <v>2011.0</v>
      </c>
      <c r="D276" s="500">
        <v>40834.0</v>
      </c>
      <c r="E276" s="428" t="s">
        <v>3693</v>
      </c>
      <c r="F276" s="428" t="s">
        <v>3694</v>
      </c>
      <c r="G276" s="397" t="s">
        <v>650</v>
      </c>
      <c r="H276" s="397" t="s">
        <v>3695</v>
      </c>
      <c r="I276" s="500">
        <v>44270.0</v>
      </c>
      <c r="J276" s="428">
        <v>3.0</v>
      </c>
      <c r="K276" s="531" t="s">
        <v>242</v>
      </c>
      <c r="L276" s="422" t="s">
        <v>2855</v>
      </c>
      <c r="M276" s="528">
        <f t="shared" si="1"/>
        <v>3436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19">
        <v>8521.0</v>
      </c>
      <c r="B277" s="420" t="s">
        <v>3696</v>
      </c>
      <c r="C277" s="420">
        <v>2014.0</v>
      </c>
      <c r="D277" s="497">
        <v>41893.0</v>
      </c>
      <c r="E277" s="394" t="s">
        <v>3697</v>
      </c>
      <c r="F277" s="422" t="s">
        <v>3698</v>
      </c>
      <c r="G277" s="422" t="s">
        <v>650</v>
      </c>
      <c r="H277" s="394" t="s">
        <v>651</v>
      </c>
      <c r="I277" s="497">
        <v>44270.0</v>
      </c>
      <c r="J277" s="422">
        <v>3.0</v>
      </c>
      <c r="K277" s="531" t="s">
        <v>242</v>
      </c>
      <c r="L277" s="428" t="s">
        <v>2855</v>
      </c>
      <c r="M277" s="529">
        <f t="shared" si="1"/>
        <v>2377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25">
        <v>8621.0</v>
      </c>
      <c r="B278" s="426" t="s">
        <v>3699</v>
      </c>
      <c r="C278" s="426">
        <v>2020.0</v>
      </c>
      <c r="D278" s="500">
        <v>43959.0</v>
      </c>
      <c r="E278" s="428" t="s">
        <v>3700</v>
      </c>
      <c r="F278" s="428" t="s">
        <v>3701</v>
      </c>
      <c r="G278" s="397" t="s">
        <v>569</v>
      </c>
      <c r="H278" s="397" t="s">
        <v>3702</v>
      </c>
      <c r="I278" s="500">
        <v>44272.0</v>
      </c>
      <c r="J278" s="428">
        <v>3.0</v>
      </c>
      <c r="K278" s="531" t="s">
        <v>242</v>
      </c>
      <c r="L278" s="422" t="s">
        <v>260</v>
      </c>
      <c r="M278" s="528">
        <f t="shared" si="1"/>
        <v>313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19">
        <v>8721.0</v>
      </c>
      <c r="B279" s="420" t="s">
        <v>3703</v>
      </c>
      <c r="C279" s="420">
        <v>2015.0</v>
      </c>
      <c r="D279" s="497">
        <v>42356.0</v>
      </c>
      <c r="E279" s="394" t="s">
        <v>3704</v>
      </c>
      <c r="F279" s="422" t="s">
        <v>3705</v>
      </c>
      <c r="G279" s="422" t="s">
        <v>552</v>
      </c>
      <c r="H279" s="394" t="s">
        <v>138</v>
      </c>
      <c r="I279" s="497">
        <v>44272.0</v>
      </c>
      <c r="J279" s="422">
        <v>3.0</v>
      </c>
      <c r="K279" s="531" t="s">
        <v>242</v>
      </c>
      <c r="L279" s="428" t="s">
        <v>2855</v>
      </c>
      <c r="M279" s="529">
        <f t="shared" si="1"/>
        <v>1916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25">
        <v>8821.0</v>
      </c>
      <c r="B280" s="426" t="s">
        <v>3706</v>
      </c>
      <c r="C280" s="426">
        <v>2019.0</v>
      </c>
      <c r="D280" s="500">
        <v>43601.0</v>
      </c>
      <c r="E280" s="428" t="s">
        <v>3707</v>
      </c>
      <c r="F280" s="428" t="s">
        <v>1846</v>
      </c>
      <c r="G280" s="397" t="s">
        <v>552</v>
      </c>
      <c r="H280" s="397" t="s">
        <v>1143</v>
      </c>
      <c r="I280" s="500">
        <v>44272.0</v>
      </c>
      <c r="J280" s="428">
        <v>3.0</v>
      </c>
      <c r="K280" s="533" t="s">
        <v>228</v>
      </c>
      <c r="L280" s="422" t="s">
        <v>2855</v>
      </c>
      <c r="M280" s="528">
        <f t="shared" si="1"/>
        <v>671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19">
        <v>8921.0</v>
      </c>
      <c r="B281" s="420" t="s">
        <v>3708</v>
      </c>
      <c r="C281" s="420">
        <v>2014.0</v>
      </c>
      <c r="D281" s="497">
        <v>41680.0</v>
      </c>
      <c r="E281" s="394" t="s">
        <v>3709</v>
      </c>
      <c r="F281" s="422" t="s">
        <v>3710</v>
      </c>
      <c r="G281" s="422" t="s">
        <v>650</v>
      </c>
      <c r="H281" s="394" t="s">
        <v>740</v>
      </c>
      <c r="I281" s="497">
        <v>44280.0</v>
      </c>
      <c r="J281" s="422">
        <v>3.0</v>
      </c>
      <c r="K281" s="531" t="s">
        <v>242</v>
      </c>
      <c r="L281" s="428" t="s">
        <v>2860</v>
      </c>
      <c r="M281" s="529">
        <f t="shared" si="1"/>
        <v>2600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25">
        <v>9021.0</v>
      </c>
      <c r="B282" s="426" t="s">
        <v>3711</v>
      </c>
      <c r="C282" s="426">
        <v>2015.0</v>
      </c>
      <c r="D282" s="500">
        <v>42193.0</v>
      </c>
      <c r="E282" s="428" t="s">
        <v>3712</v>
      </c>
      <c r="F282" s="428" t="s">
        <v>3713</v>
      </c>
      <c r="G282" s="397" t="s">
        <v>552</v>
      </c>
      <c r="H282" s="397" t="s">
        <v>3714</v>
      </c>
      <c r="I282" s="500">
        <v>44280.0</v>
      </c>
      <c r="J282" s="428">
        <v>3.0</v>
      </c>
      <c r="K282" s="531" t="s">
        <v>242</v>
      </c>
      <c r="L282" s="422" t="s">
        <v>2855</v>
      </c>
      <c r="M282" s="528">
        <f t="shared" si="1"/>
        <v>2087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19">
        <v>9121.0</v>
      </c>
      <c r="B283" s="420" t="s">
        <v>3715</v>
      </c>
      <c r="C283" s="420">
        <v>2020.0</v>
      </c>
      <c r="D283" s="497">
        <v>44064.0</v>
      </c>
      <c r="E283" s="394" t="s">
        <v>3716</v>
      </c>
      <c r="F283" s="422" t="s">
        <v>3544</v>
      </c>
      <c r="G283" s="422" t="s">
        <v>569</v>
      </c>
      <c r="H283" s="394" t="s">
        <v>3717</v>
      </c>
      <c r="I283" s="497">
        <v>44280.0</v>
      </c>
      <c r="J283" s="422">
        <v>3.0</v>
      </c>
      <c r="K283" s="531" t="s">
        <v>242</v>
      </c>
      <c r="L283" s="428" t="s">
        <v>260</v>
      </c>
      <c r="M283" s="529">
        <f t="shared" si="1"/>
        <v>216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25">
        <v>9221.0</v>
      </c>
      <c r="B284" s="426" t="s">
        <v>3718</v>
      </c>
      <c r="C284" s="426">
        <v>2020.0</v>
      </c>
      <c r="D284" s="500">
        <v>44155.0</v>
      </c>
      <c r="E284" s="428" t="s">
        <v>3719</v>
      </c>
      <c r="F284" s="428" t="s">
        <v>3720</v>
      </c>
      <c r="G284" s="397" t="s">
        <v>565</v>
      </c>
      <c r="H284" s="397" t="s">
        <v>1143</v>
      </c>
      <c r="I284" s="500">
        <v>44280.0</v>
      </c>
      <c r="J284" s="428">
        <v>3.0</v>
      </c>
      <c r="K284" s="530" t="s">
        <v>822</v>
      </c>
      <c r="L284" s="422" t="s">
        <v>260</v>
      </c>
      <c r="M284" s="528">
        <f t="shared" si="1"/>
        <v>125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19">
        <v>9321.0</v>
      </c>
      <c r="B285" s="420" t="s">
        <v>3721</v>
      </c>
      <c r="C285" s="420">
        <v>2020.0</v>
      </c>
      <c r="D285" s="497">
        <v>44160.0</v>
      </c>
      <c r="E285" s="394" t="s">
        <v>3722</v>
      </c>
      <c r="F285" s="422" t="s">
        <v>3720</v>
      </c>
      <c r="G285" s="422" t="s">
        <v>565</v>
      </c>
      <c r="H285" s="394" t="s">
        <v>1143</v>
      </c>
      <c r="I285" s="497">
        <v>44280.0</v>
      </c>
      <c r="J285" s="422">
        <v>3.0</v>
      </c>
      <c r="K285" s="530" t="s">
        <v>822</v>
      </c>
      <c r="L285" s="428" t="s">
        <v>260</v>
      </c>
      <c r="M285" s="529">
        <f t="shared" si="1"/>
        <v>120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25">
        <v>9421.0</v>
      </c>
      <c r="B286" s="426" t="s">
        <v>3723</v>
      </c>
      <c r="C286" s="426">
        <v>2020.0</v>
      </c>
      <c r="D286" s="500">
        <v>44089.0</v>
      </c>
      <c r="E286" s="428" t="s">
        <v>3724</v>
      </c>
      <c r="F286" s="428" t="s">
        <v>3725</v>
      </c>
      <c r="G286" s="397" t="s">
        <v>565</v>
      </c>
      <c r="H286" s="397" t="s">
        <v>3726</v>
      </c>
      <c r="I286" s="500">
        <v>44292.0</v>
      </c>
      <c r="J286" s="428">
        <v>4.0</v>
      </c>
      <c r="K286" s="531" t="s">
        <v>242</v>
      </c>
      <c r="L286" s="422" t="s">
        <v>260</v>
      </c>
      <c r="M286" s="528">
        <f t="shared" si="1"/>
        <v>203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19">
        <v>9521.0</v>
      </c>
      <c r="B287" s="420" t="s">
        <v>3727</v>
      </c>
      <c r="C287" s="420">
        <v>2016.0</v>
      </c>
      <c r="D287" s="497">
        <v>42643.0</v>
      </c>
      <c r="E287" s="394" t="s">
        <v>3728</v>
      </c>
      <c r="F287" s="422" t="s">
        <v>1762</v>
      </c>
      <c r="G287" s="422" t="s">
        <v>552</v>
      </c>
      <c r="H287" s="394" t="s">
        <v>1091</v>
      </c>
      <c r="I287" s="497">
        <v>44292.0</v>
      </c>
      <c r="J287" s="422">
        <v>4.0</v>
      </c>
      <c r="K287" s="531" t="s">
        <v>242</v>
      </c>
      <c r="L287" s="428" t="s">
        <v>2860</v>
      </c>
      <c r="M287" s="529">
        <f t="shared" si="1"/>
        <v>1649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25">
        <v>9621.0</v>
      </c>
      <c r="B288" s="426" t="s">
        <v>3729</v>
      </c>
      <c r="C288" s="426">
        <v>2020.0</v>
      </c>
      <c r="D288" s="500">
        <v>43882.0</v>
      </c>
      <c r="E288" s="428" t="s">
        <v>3730</v>
      </c>
      <c r="F288" s="428" t="s">
        <v>963</v>
      </c>
      <c r="G288" s="397" t="s">
        <v>552</v>
      </c>
      <c r="H288" s="397" t="s">
        <v>149</v>
      </c>
      <c r="I288" s="500">
        <v>44292.0</v>
      </c>
      <c r="J288" s="428">
        <v>4.0</v>
      </c>
      <c r="K288" s="531" t="s">
        <v>242</v>
      </c>
      <c r="L288" s="422" t="s">
        <v>2855</v>
      </c>
      <c r="M288" s="528">
        <f t="shared" si="1"/>
        <v>410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19">
        <v>9721.0</v>
      </c>
      <c r="B289" s="420" t="s">
        <v>3731</v>
      </c>
      <c r="C289" s="420">
        <v>2012.0</v>
      </c>
      <c r="D289" s="497">
        <v>41278.0</v>
      </c>
      <c r="E289" s="394" t="s">
        <v>3732</v>
      </c>
      <c r="F289" s="422" t="s">
        <v>3733</v>
      </c>
      <c r="G289" s="422" t="s">
        <v>552</v>
      </c>
      <c r="H289" s="394" t="s">
        <v>596</v>
      </c>
      <c r="I289" s="497">
        <v>44292.0</v>
      </c>
      <c r="J289" s="422">
        <v>4.0</v>
      </c>
      <c r="K289" s="531" t="s">
        <v>242</v>
      </c>
      <c r="L289" s="428" t="s">
        <v>2860</v>
      </c>
      <c r="M289" s="529">
        <f t="shared" si="1"/>
        <v>3014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25">
        <v>9821.0</v>
      </c>
      <c r="B290" s="426" t="s">
        <v>3734</v>
      </c>
      <c r="C290" s="426">
        <v>2014.0</v>
      </c>
      <c r="D290" s="500">
        <v>41934.0</v>
      </c>
      <c r="E290" s="428" t="s">
        <v>3735</v>
      </c>
      <c r="F290" s="428" t="s">
        <v>3736</v>
      </c>
      <c r="G290" s="397" t="s">
        <v>552</v>
      </c>
      <c r="H290" s="397" t="s">
        <v>3736</v>
      </c>
      <c r="I290" s="500">
        <v>44292.0</v>
      </c>
      <c r="J290" s="428">
        <v>4.0</v>
      </c>
      <c r="K290" s="531" t="s">
        <v>242</v>
      </c>
      <c r="L290" s="422" t="s">
        <v>2855</v>
      </c>
      <c r="M290" s="528">
        <f t="shared" si="1"/>
        <v>2358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19">
        <v>9921.0</v>
      </c>
      <c r="B291" s="420" t="s">
        <v>3737</v>
      </c>
      <c r="C291" s="420">
        <v>2020.0</v>
      </c>
      <c r="D291" s="497">
        <v>44182.0</v>
      </c>
      <c r="E291" s="394" t="s">
        <v>3738</v>
      </c>
      <c r="F291" s="422" t="s">
        <v>2614</v>
      </c>
      <c r="G291" s="422" t="s">
        <v>565</v>
      </c>
      <c r="H291" s="394" t="s">
        <v>2093</v>
      </c>
      <c r="I291" s="497">
        <v>44292.0</v>
      </c>
      <c r="J291" s="422">
        <v>4.0</v>
      </c>
      <c r="K291" s="531" t="s">
        <v>242</v>
      </c>
      <c r="L291" s="428" t="s">
        <v>260</v>
      </c>
      <c r="M291" s="529">
        <f t="shared" si="1"/>
        <v>110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25">
        <v>10021.0</v>
      </c>
      <c r="B292" s="426" t="s">
        <v>3739</v>
      </c>
      <c r="C292" s="426">
        <v>2018.0</v>
      </c>
      <c r="D292" s="500">
        <v>43354.0</v>
      </c>
      <c r="E292" s="428" t="s">
        <v>3740</v>
      </c>
      <c r="F292" s="428" t="s">
        <v>3741</v>
      </c>
      <c r="G292" s="397" t="s">
        <v>552</v>
      </c>
      <c r="H292" s="397" t="s">
        <v>3742</v>
      </c>
      <c r="I292" s="500">
        <v>44292.0</v>
      </c>
      <c r="J292" s="428">
        <v>4.0</v>
      </c>
      <c r="K292" s="533" t="s">
        <v>228</v>
      </c>
      <c r="L292" s="422" t="s">
        <v>2855</v>
      </c>
      <c r="M292" s="528">
        <f t="shared" si="1"/>
        <v>938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19">
        <v>10121.0</v>
      </c>
      <c r="B293" s="420" t="s">
        <v>3743</v>
      </c>
      <c r="C293" s="420">
        <v>2018.0</v>
      </c>
      <c r="D293" s="497">
        <v>43354.0</v>
      </c>
      <c r="E293" s="394" t="s">
        <v>3744</v>
      </c>
      <c r="F293" s="422" t="s">
        <v>3741</v>
      </c>
      <c r="G293" s="422" t="s">
        <v>552</v>
      </c>
      <c r="H293" s="394" t="s">
        <v>3742</v>
      </c>
      <c r="I293" s="497">
        <v>44292.0</v>
      </c>
      <c r="J293" s="422">
        <v>4.0</v>
      </c>
      <c r="K293" s="535" t="s">
        <v>228</v>
      </c>
      <c r="L293" s="428" t="s">
        <v>2855</v>
      </c>
      <c r="M293" s="529">
        <f t="shared" si="1"/>
        <v>938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25">
        <v>10221.0</v>
      </c>
      <c r="B294" s="426" t="s">
        <v>3745</v>
      </c>
      <c r="C294" s="426">
        <v>2018.0</v>
      </c>
      <c r="D294" s="500">
        <v>43312.0</v>
      </c>
      <c r="E294" s="428" t="s">
        <v>3746</v>
      </c>
      <c r="F294" s="428" t="s">
        <v>3747</v>
      </c>
      <c r="G294" s="397" t="s">
        <v>552</v>
      </c>
      <c r="H294" s="397" t="s">
        <v>596</v>
      </c>
      <c r="I294" s="500">
        <v>44292.0</v>
      </c>
      <c r="J294" s="428">
        <v>4.0</v>
      </c>
      <c r="K294" s="531" t="s">
        <v>242</v>
      </c>
      <c r="L294" s="422" t="s">
        <v>2860</v>
      </c>
      <c r="M294" s="528">
        <f t="shared" si="1"/>
        <v>980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19">
        <v>10321.0</v>
      </c>
      <c r="B295" s="420" t="s">
        <v>3748</v>
      </c>
      <c r="C295" s="420">
        <v>2016.0</v>
      </c>
      <c r="D295" s="497">
        <v>42508.0</v>
      </c>
      <c r="E295" s="394" t="s">
        <v>3749</v>
      </c>
      <c r="F295" s="422" t="s">
        <v>3750</v>
      </c>
      <c r="G295" s="422" t="s">
        <v>650</v>
      </c>
      <c r="H295" s="394" t="s">
        <v>3695</v>
      </c>
      <c r="I295" s="497">
        <v>44292.0</v>
      </c>
      <c r="J295" s="422">
        <v>4.0</v>
      </c>
      <c r="K295" s="531" t="s">
        <v>240</v>
      </c>
      <c r="L295" s="428" t="s">
        <v>2855</v>
      </c>
      <c r="M295" s="529">
        <f t="shared" si="1"/>
        <v>1784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25">
        <v>10421.0</v>
      </c>
      <c r="B296" s="426" t="s">
        <v>3751</v>
      </c>
      <c r="C296" s="426">
        <v>2015.0</v>
      </c>
      <c r="D296" s="500">
        <v>42339.0</v>
      </c>
      <c r="E296" s="428" t="s">
        <v>3752</v>
      </c>
      <c r="F296" s="428" t="s">
        <v>563</v>
      </c>
      <c r="G296" s="397" t="s">
        <v>552</v>
      </c>
      <c r="H296" s="397" t="s">
        <v>3624</v>
      </c>
      <c r="I296" s="500">
        <v>44292.0</v>
      </c>
      <c r="J296" s="428">
        <v>4.0</v>
      </c>
      <c r="K296" s="533" t="s">
        <v>232</v>
      </c>
      <c r="L296" s="422" t="s">
        <v>2860</v>
      </c>
      <c r="M296" s="528">
        <f t="shared" si="1"/>
        <v>1953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19">
        <v>10521.0</v>
      </c>
      <c r="B297" s="420" t="s">
        <v>3753</v>
      </c>
      <c r="C297" s="420">
        <v>2014.0</v>
      </c>
      <c r="D297" s="497">
        <v>41862.0</v>
      </c>
      <c r="E297" s="394" t="s">
        <v>3754</v>
      </c>
      <c r="F297" s="422" t="s">
        <v>3755</v>
      </c>
      <c r="G297" s="422" t="s">
        <v>552</v>
      </c>
      <c r="H297" s="394" t="s">
        <v>2441</v>
      </c>
      <c r="I297" s="497">
        <v>44292.0</v>
      </c>
      <c r="J297" s="422">
        <v>4.0</v>
      </c>
      <c r="K297" s="531" t="s">
        <v>240</v>
      </c>
      <c r="L297" s="428" t="s">
        <v>2855</v>
      </c>
      <c r="M297" s="529">
        <f t="shared" si="1"/>
        <v>2430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25">
        <v>10621.0</v>
      </c>
      <c r="B298" s="426" t="s">
        <v>3756</v>
      </c>
      <c r="C298" s="426">
        <v>2013.0</v>
      </c>
      <c r="D298" s="500">
        <v>41331.0</v>
      </c>
      <c r="E298" s="428" t="s">
        <v>3757</v>
      </c>
      <c r="F298" s="428" t="s">
        <v>563</v>
      </c>
      <c r="G298" s="397" t="s">
        <v>552</v>
      </c>
      <c r="H298" s="397" t="s">
        <v>3758</v>
      </c>
      <c r="I298" s="500">
        <v>44292.0</v>
      </c>
      <c r="J298" s="428">
        <v>4.0</v>
      </c>
      <c r="K298" s="532" t="s">
        <v>236</v>
      </c>
      <c r="L298" s="422" t="s">
        <v>2860</v>
      </c>
      <c r="M298" s="528">
        <f t="shared" si="1"/>
        <v>2961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19">
        <v>10721.0</v>
      </c>
      <c r="B299" s="420" t="s">
        <v>3759</v>
      </c>
      <c r="C299" s="420">
        <v>2020.0</v>
      </c>
      <c r="D299" s="497">
        <v>44183.0</v>
      </c>
      <c r="E299" s="394" t="s">
        <v>3760</v>
      </c>
      <c r="F299" s="422" t="s">
        <v>3761</v>
      </c>
      <c r="G299" s="422" t="s">
        <v>565</v>
      </c>
      <c r="H299" s="394" t="s">
        <v>3762</v>
      </c>
      <c r="I299" s="497">
        <v>44312.0</v>
      </c>
      <c r="J299" s="422">
        <v>4.0</v>
      </c>
      <c r="K299" s="530" t="s">
        <v>822</v>
      </c>
      <c r="L299" s="428" t="s">
        <v>260</v>
      </c>
      <c r="M299" s="529">
        <f t="shared" si="1"/>
        <v>129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0" customHeight="1">
      <c r="A300" s="425">
        <v>10821.0</v>
      </c>
      <c r="B300" s="426" t="s">
        <v>3763</v>
      </c>
      <c r="C300" s="426">
        <v>2014.0</v>
      </c>
      <c r="D300" s="500">
        <v>41941.0</v>
      </c>
      <c r="E300" s="428" t="s">
        <v>3764</v>
      </c>
      <c r="F300" s="428" t="s">
        <v>711</v>
      </c>
      <c r="G300" s="397" t="s">
        <v>552</v>
      </c>
      <c r="H300" s="397" t="s">
        <v>149</v>
      </c>
      <c r="I300" s="500">
        <v>44312.0</v>
      </c>
      <c r="J300" s="428">
        <v>4.0</v>
      </c>
      <c r="K300" s="531" t="s">
        <v>240</v>
      </c>
      <c r="L300" s="422" t="s">
        <v>2860</v>
      </c>
      <c r="M300" s="528">
        <f t="shared" si="1"/>
        <v>2371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419">
        <v>10921.0</v>
      </c>
      <c r="B301" s="420" t="s">
        <v>3765</v>
      </c>
      <c r="C301" s="420">
        <v>2015.0</v>
      </c>
      <c r="D301" s="497">
        <v>42199.0</v>
      </c>
      <c r="E301" s="394" t="s">
        <v>3766</v>
      </c>
      <c r="F301" s="422" t="s">
        <v>3750</v>
      </c>
      <c r="G301" s="422" t="s">
        <v>650</v>
      </c>
      <c r="H301" s="394" t="s">
        <v>3695</v>
      </c>
      <c r="I301" s="497">
        <v>44312.0</v>
      </c>
      <c r="J301" s="422">
        <v>4.0</v>
      </c>
      <c r="K301" s="531" t="s">
        <v>240</v>
      </c>
      <c r="L301" s="428" t="s">
        <v>2855</v>
      </c>
      <c r="M301" s="529">
        <f t="shared" si="1"/>
        <v>2113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25">
        <v>11021.0</v>
      </c>
      <c r="B302" s="426" t="s">
        <v>3767</v>
      </c>
      <c r="C302" s="426">
        <v>2015.0</v>
      </c>
      <c r="D302" s="500">
        <v>42023.0</v>
      </c>
      <c r="E302" s="428" t="s">
        <v>3768</v>
      </c>
      <c r="F302" s="428" t="s">
        <v>563</v>
      </c>
      <c r="G302" s="397" t="s">
        <v>552</v>
      </c>
      <c r="H302" s="397" t="s">
        <v>50</v>
      </c>
      <c r="I302" s="500">
        <v>44312.0</v>
      </c>
      <c r="J302" s="428">
        <v>4.0</v>
      </c>
      <c r="K302" s="532" t="s">
        <v>236</v>
      </c>
      <c r="L302" s="422" t="s">
        <v>2860</v>
      </c>
      <c r="M302" s="528">
        <f t="shared" si="1"/>
        <v>2289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19">
        <v>11121.0</v>
      </c>
      <c r="B303" s="420" t="s">
        <v>3769</v>
      </c>
      <c r="C303" s="420">
        <v>2015.0</v>
      </c>
      <c r="D303" s="497">
        <v>42037.0</v>
      </c>
      <c r="E303" s="394" t="s">
        <v>3770</v>
      </c>
      <c r="F303" s="422" t="s">
        <v>3755</v>
      </c>
      <c r="G303" s="422" t="s">
        <v>552</v>
      </c>
      <c r="H303" s="394" t="s">
        <v>97</v>
      </c>
      <c r="I303" s="497">
        <v>44312.0</v>
      </c>
      <c r="J303" s="422">
        <v>4.0</v>
      </c>
      <c r="K303" s="531" t="s">
        <v>240</v>
      </c>
      <c r="L303" s="428" t="s">
        <v>2860</v>
      </c>
      <c r="M303" s="529">
        <f t="shared" si="1"/>
        <v>2275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25">
        <v>11221.0</v>
      </c>
      <c r="B304" s="426" t="s">
        <v>3771</v>
      </c>
      <c r="C304" s="426">
        <v>2014.0</v>
      </c>
      <c r="D304" s="500">
        <v>41743.0</v>
      </c>
      <c r="E304" s="428" t="s">
        <v>3772</v>
      </c>
      <c r="F304" s="428" t="s">
        <v>3773</v>
      </c>
      <c r="G304" s="397" t="s">
        <v>650</v>
      </c>
      <c r="H304" s="397" t="s">
        <v>651</v>
      </c>
      <c r="I304" s="500">
        <v>44314.0</v>
      </c>
      <c r="J304" s="428">
        <v>4.0</v>
      </c>
      <c r="K304" s="531" t="s">
        <v>240</v>
      </c>
      <c r="L304" s="422" t="s">
        <v>2860</v>
      </c>
      <c r="M304" s="528">
        <f t="shared" si="1"/>
        <v>2571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19">
        <v>11321.0</v>
      </c>
      <c r="B305" s="420" t="s">
        <v>3774</v>
      </c>
      <c r="C305" s="420">
        <v>2013.0</v>
      </c>
      <c r="D305" s="497">
        <v>41492.0</v>
      </c>
      <c r="E305" s="394" t="s">
        <v>3775</v>
      </c>
      <c r="F305" s="422" t="s">
        <v>3776</v>
      </c>
      <c r="G305" s="422" t="s">
        <v>552</v>
      </c>
      <c r="H305" s="394" t="s">
        <v>3614</v>
      </c>
      <c r="I305" s="497">
        <v>44314.0</v>
      </c>
      <c r="J305" s="422">
        <v>4.0</v>
      </c>
      <c r="K305" s="531" t="s">
        <v>242</v>
      </c>
      <c r="L305" s="428" t="s">
        <v>2855</v>
      </c>
      <c r="M305" s="529">
        <f t="shared" si="1"/>
        <v>2822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25">
        <v>11421.0</v>
      </c>
      <c r="B306" s="426" t="s">
        <v>3777</v>
      </c>
      <c r="C306" s="426">
        <v>2012.0</v>
      </c>
      <c r="D306" s="500">
        <v>41264.0</v>
      </c>
      <c r="E306" s="428" t="s">
        <v>3778</v>
      </c>
      <c r="F306" s="428" t="s">
        <v>3779</v>
      </c>
      <c r="G306" s="397" t="s">
        <v>552</v>
      </c>
      <c r="H306" s="397" t="s">
        <v>1091</v>
      </c>
      <c r="I306" s="500">
        <v>44314.0</v>
      </c>
      <c r="J306" s="428">
        <v>4.0</v>
      </c>
      <c r="K306" s="531" t="s">
        <v>242</v>
      </c>
      <c r="L306" s="422" t="s">
        <v>2860</v>
      </c>
      <c r="M306" s="528">
        <f t="shared" si="1"/>
        <v>3050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19">
        <v>11521.0</v>
      </c>
      <c r="B307" s="420" t="s">
        <v>3780</v>
      </c>
      <c r="C307" s="420">
        <v>2018.0</v>
      </c>
      <c r="D307" s="497">
        <v>43319.0</v>
      </c>
      <c r="E307" s="394" t="s">
        <v>3781</v>
      </c>
      <c r="F307" s="422" t="s">
        <v>1846</v>
      </c>
      <c r="G307" s="422" t="s">
        <v>552</v>
      </c>
      <c r="H307" s="394" t="s">
        <v>3782</v>
      </c>
      <c r="I307" s="497">
        <v>44314.0</v>
      </c>
      <c r="J307" s="422">
        <v>4.0</v>
      </c>
      <c r="K307" s="531" t="s">
        <v>238</v>
      </c>
      <c r="L307" s="428" t="s">
        <v>2855</v>
      </c>
      <c r="M307" s="529">
        <f t="shared" si="1"/>
        <v>995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25">
        <v>11621.0</v>
      </c>
      <c r="B308" s="426" t="s">
        <v>3783</v>
      </c>
      <c r="C308" s="426">
        <v>2016.0</v>
      </c>
      <c r="D308" s="500">
        <v>42486.0</v>
      </c>
      <c r="E308" s="428" t="s">
        <v>3784</v>
      </c>
      <c r="F308" s="428" t="s">
        <v>900</v>
      </c>
      <c r="G308" s="397" t="s">
        <v>552</v>
      </c>
      <c r="H308" s="397" t="s">
        <v>1091</v>
      </c>
      <c r="I308" s="500">
        <v>44314.0</v>
      </c>
      <c r="J308" s="428">
        <v>4.0</v>
      </c>
      <c r="K308" s="531" t="s">
        <v>240</v>
      </c>
      <c r="L308" s="422" t="s">
        <v>2855</v>
      </c>
      <c r="M308" s="528">
        <f t="shared" si="1"/>
        <v>1828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19">
        <v>11721.0</v>
      </c>
      <c r="B309" s="420" t="s">
        <v>3785</v>
      </c>
      <c r="C309" s="420">
        <v>2011.0</v>
      </c>
      <c r="D309" s="497">
        <v>40571.0</v>
      </c>
      <c r="E309" s="394" t="s">
        <v>3786</v>
      </c>
      <c r="F309" s="422" t="s">
        <v>3787</v>
      </c>
      <c r="G309" s="422" t="s">
        <v>650</v>
      </c>
      <c r="H309" s="394" t="s">
        <v>3788</v>
      </c>
      <c r="I309" s="497">
        <v>44314.0</v>
      </c>
      <c r="J309" s="422">
        <v>4.0</v>
      </c>
      <c r="K309" s="531" t="s">
        <v>242</v>
      </c>
      <c r="L309" s="428" t="s">
        <v>2855</v>
      </c>
      <c r="M309" s="529">
        <f t="shared" si="1"/>
        <v>3743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25">
        <v>11821.0</v>
      </c>
      <c r="B310" s="426" t="s">
        <v>3789</v>
      </c>
      <c r="C310" s="426">
        <v>2013.0</v>
      </c>
      <c r="D310" s="500">
        <v>41390.0</v>
      </c>
      <c r="E310" s="428" t="s">
        <v>3790</v>
      </c>
      <c r="F310" s="428" t="s">
        <v>563</v>
      </c>
      <c r="G310" s="397" t="s">
        <v>552</v>
      </c>
      <c r="H310" s="397" t="s">
        <v>153</v>
      </c>
      <c r="I310" s="500">
        <v>44315.0</v>
      </c>
      <c r="J310" s="428">
        <v>4.0</v>
      </c>
      <c r="K310" s="532" t="s">
        <v>236</v>
      </c>
      <c r="L310" s="422" t="s">
        <v>2860</v>
      </c>
      <c r="M310" s="528">
        <f t="shared" si="1"/>
        <v>2925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19">
        <v>11921.0</v>
      </c>
      <c r="B311" s="420" t="s">
        <v>3791</v>
      </c>
      <c r="C311" s="420">
        <v>2013.0</v>
      </c>
      <c r="D311" s="497">
        <v>41323.0</v>
      </c>
      <c r="E311" s="394" t="s">
        <v>3792</v>
      </c>
      <c r="F311" s="422" t="s">
        <v>563</v>
      </c>
      <c r="G311" s="422" t="s">
        <v>552</v>
      </c>
      <c r="H311" s="394" t="s">
        <v>153</v>
      </c>
      <c r="I311" s="497">
        <v>44315.0</v>
      </c>
      <c r="J311" s="422">
        <v>4.0</v>
      </c>
      <c r="K311" s="532" t="s">
        <v>236</v>
      </c>
      <c r="L311" s="428" t="s">
        <v>2860</v>
      </c>
      <c r="M311" s="529">
        <f t="shared" si="1"/>
        <v>2992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25">
        <v>12021.0</v>
      </c>
      <c r="B312" s="426" t="s">
        <v>3793</v>
      </c>
      <c r="C312" s="426">
        <v>2013.0</v>
      </c>
      <c r="D312" s="500">
        <v>41374.0</v>
      </c>
      <c r="E312" s="428" t="s">
        <v>3794</v>
      </c>
      <c r="F312" s="428" t="s">
        <v>563</v>
      </c>
      <c r="G312" s="397" t="s">
        <v>552</v>
      </c>
      <c r="H312" s="397" t="s">
        <v>153</v>
      </c>
      <c r="I312" s="500">
        <v>44315.0</v>
      </c>
      <c r="J312" s="428">
        <v>4.0</v>
      </c>
      <c r="K312" s="532" t="s">
        <v>236</v>
      </c>
      <c r="L312" s="422" t="s">
        <v>2860</v>
      </c>
      <c r="M312" s="528">
        <f t="shared" si="1"/>
        <v>2941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19">
        <v>12121.0</v>
      </c>
      <c r="B313" s="420" t="s">
        <v>3795</v>
      </c>
      <c r="C313" s="420">
        <v>2020.0</v>
      </c>
      <c r="D313" s="497">
        <v>44109.0</v>
      </c>
      <c r="E313" s="394" t="s">
        <v>3796</v>
      </c>
      <c r="F313" s="422" t="s">
        <v>3797</v>
      </c>
      <c r="G313" s="422" t="s">
        <v>565</v>
      </c>
      <c r="H313" s="394" t="s">
        <v>3533</v>
      </c>
      <c r="I313" s="497">
        <v>44322.0</v>
      </c>
      <c r="J313" s="422">
        <v>5.0</v>
      </c>
      <c r="K313" s="531" t="s">
        <v>242</v>
      </c>
      <c r="L313" s="428" t="s">
        <v>260</v>
      </c>
      <c r="M313" s="529">
        <f t="shared" si="1"/>
        <v>213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25">
        <v>12221.0</v>
      </c>
      <c r="B314" s="426" t="s">
        <v>3798</v>
      </c>
      <c r="C314" s="426">
        <v>2018.0</v>
      </c>
      <c r="D314" s="500">
        <v>43235.0</v>
      </c>
      <c r="E314" s="428" t="s">
        <v>3799</v>
      </c>
      <c r="F314" s="428" t="s">
        <v>3544</v>
      </c>
      <c r="G314" s="397" t="s">
        <v>565</v>
      </c>
      <c r="H314" s="397" t="s">
        <v>3800</v>
      </c>
      <c r="I314" s="500">
        <v>44322.0</v>
      </c>
      <c r="J314" s="428">
        <v>5.0</v>
      </c>
      <c r="K314" s="530" t="s">
        <v>244</v>
      </c>
      <c r="L314" s="422" t="s">
        <v>260</v>
      </c>
      <c r="M314" s="528">
        <f t="shared" si="1"/>
        <v>1087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19">
        <v>12321.0</v>
      </c>
      <c r="B315" s="420" t="s">
        <v>3801</v>
      </c>
      <c r="C315" s="420">
        <v>2012.0</v>
      </c>
      <c r="D315" s="497">
        <v>41270.0</v>
      </c>
      <c r="E315" s="394" t="s">
        <v>3802</v>
      </c>
      <c r="F315" s="422" t="s">
        <v>963</v>
      </c>
      <c r="G315" s="422" t="s">
        <v>552</v>
      </c>
      <c r="H315" s="394" t="s">
        <v>50</v>
      </c>
      <c r="I315" s="497">
        <v>44322.0</v>
      </c>
      <c r="J315" s="422">
        <v>5.0</v>
      </c>
      <c r="K315" s="531" t="s">
        <v>242</v>
      </c>
      <c r="L315" s="428" t="s">
        <v>2855</v>
      </c>
      <c r="M315" s="529">
        <f t="shared" si="1"/>
        <v>3052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0" customHeight="1">
      <c r="A316" s="425">
        <v>12421.0</v>
      </c>
      <c r="B316" s="426" t="s">
        <v>3803</v>
      </c>
      <c r="C316" s="426">
        <v>2021.0</v>
      </c>
      <c r="D316" s="500">
        <v>44229.0</v>
      </c>
      <c r="E316" s="428" t="s">
        <v>3804</v>
      </c>
      <c r="F316" s="428" t="s">
        <v>3665</v>
      </c>
      <c r="G316" s="397" t="s">
        <v>569</v>
      </c>
      <c r="H316" s="397" t="s">
        <v>639</v>
      </c>
      <c r="I316" s="500">
        <v>44322.0</v>
      </c>
      <c r="J316" s="428">
        <v>5.0</v>
      </c>
      <c r="K316" s="530" t="s">
        <v>822</v>
      </c>
      <c r="L316" s="422" t="s">
        <v>260</v>
      </c>
      <c r="M316" s="528">
        <f t="shared" si="1"/>
        <v>93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419">
        <v>12521.0</v>
      </c>
      <c r="B317" s="420" t="s">
        <v>3805</v>
      </c>
      <c r="C317" s="420">
        <v>2013.0</v>
      </c>
      <c r="D317" s="497">
        <v>41502.0</v>
      </c>
      <c r="E317" s="394" t="s">
        <v>3806</v>
      </c>
      <c r="F317" s="422" t="s">
        <v>3807</v>
      </c>
      <c r="G317" s="422" t="s">
        <v>552</v>
      </c>
      <c r="H317" s="394" t="s">
        <v>596</v>
      </c>
      <c r="I317" s="497">
        <v>44322.0</v>
      </c>
      <c r="J317" s="422">
        <v>5.0</v>
      </c>
      <c r="K317" s="531" t="s">
        <v>240</v>
      </c>
      <c r="L317" s="428" t="s">
        <v>2860</v>
      </c>
      <c r="M317" s="529">
        <f t="shared" si="1"/>
        <v>2820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25">
        <v>12621.0</v>
      </c>
      <c r="B318" s="426" t="s">
        <v>3808</v>
      </c>
      <c r="C318" s="426">
        <v>2014.0</v>
      </c>
      <c r="D318" s="500">
        <v>41887.0</v>
      </c>
      <c r="E318" s="428" t="s">
        <v>3809</v>
      </c>
      <c r="F318" s="428" t="s">
        <v>3810</v>
      </c>
      <c r="G318" s="397" t="s">
        <v>552</v>
      </c>
      <c r="H318" s="397" t="s">
        <v>3811</v>
      </c>
      <c r="I318" s="500">
        <v>44322.0</v>
      </c>
      <c r="J318" s="428">
        <v>5.0</v>
      </c>
      <c r="K318" s="531" t="s">
        <v>242</v>
      </c>
      <c r="L318" s="422" t="s">
        <v>2860</v>
      </c>
      <c r="M318" s="528">
        <f t="shared" si="1"/>
        <v>2435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19">
        <v>12721.0</v>
      </c>
      <c r="B319" s="420" t="s">
        <v>3812</v>
      </c>
      <c r="C319" s="420">
        <v>2011.0</v>
      </c>
      <c r="D319" s="497">
        <v>40659.0</v>
      </c>
      <c r="E319" s="394" t="s">
        <v>3813</v>
      </c>
      <c r="F319" s="422" t="s">
        <v>3814</v>
      </c>
      <c r="G319" s="422" t="s">
        <v>552</v>
      </c>
      <c r="H319" s="394" t="s">
        <v>56</v>
      </c>
      <c r="I319" s="497">
        <v>44322.0</v>
      </c>
      <c r="J319" s="422">
        <v>5.0</v>
      </c>
      <c r="K319" s="531" t="s">
        <v>242</v>
      </c>
      <c r="L319" s="428" t="s">
        <v>2855</v>
      </c>
      <c r="M319" s="529">
        <f t="shared" si="1"/>
        <v>3663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25">
        <v>12821.0</v>
      </c>
      <c r="B320" s="426" t="s">
        <v>3815</v>
      </c>
      <c r="C320" s="426">
        <v>2014.0</v>
      </c>
      <c r="D320" s="500">
        <v>41694.0</v>
      </c>
      <c r="E320" s="428" t="s">
        <v>3816</v>
      </c>
      <c r="F320" s="428" t="s">
        <v>3817</v>
      </c>
      <c r="G320" s="397" t="s">
        <v>650</v>
      </c>
      <c r="H320" s="397" t="s">
        <v>651</v>
      </c>
      <c r="I320" s="500">
        <v>44322.0</v>
      </c>
      <c r="J320" s="428">
        <v>5.0</v>
      </c>
      <c r="K320" s="531" t="s">
        <v>240</v>
      </c>
      <c r="L320" s="422" t="s">
        <v>2860</v>
      </c>
      <c r="M320" s="528">
        <f t="shared" si="1"/>
        <v>2628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0" customHeight="1">
      <c r="A321" s="419">
        <v>12921.0</v>
      </c>
      <c r="B321" s="420" t="s">
        <v>3818</v>
      </c>
      <c r="C321" s="420">
        <v>2021.0</v>
      </c>
      <c r="D321" s="497">
        <v>44209.0</v>
      </c>
      <c r="E321" s="394" t="s">
        <v>3819</v>
      </c>
      <c r="F321" s="422" t="s">
        <v>3820</v>
      </c>
      <c r="G321" s="422" t="s">
        <v>569</v>
      </c>
      <c r="H321" s="394" t="s">
        <v>2126</v>
      </c>
      <c r="I321" s="497">
        <v>44322.0</v>
      </c>
      <c r="J321" s="422">
        <v>5.0</v>
      </c>
      <c r="K321" s="531" t="s">
        <v>242</v>
      </c>
      <c r="L321" s="428" t="s">
        <v>260</v>
      </c>
      <c r="M321" s="529">
        <f t="shared" si="1"/>
        <v>113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425">
        <v>13021.0</v>
      </c>
      <c r="B322" s="426" t="s">
        <v>3821</v>
      </c>
      <c r="C322" s="426">
        <v>2020.0</v>
      </c>
      <c r="D322" s="500">
        <v>44186.0</v>
      </c>
      <c r="E322" s="428" t="s">
        <v>3822</v>
      </c>
      <c r="F322" s="428" t="s">
        <v>3823</v>
      </c>
      <c r="G322" s="397" t="s">
        <v>569</v>
      </c>
      <c r="H322" s="397" t="s">
        <v>629</v>
      </c>
      <c r="I322" s="500">
        <v>44326.0</v>
      </c>
      <c r="J322" s="428">
        <v>5.0</v>
      </c>
      <c r="K322" s="530" t="s">
        <v>822</v>
      </c>
      <c r="L322" s="422" t="s">
        <v>260</v>
      </c>
      <c r="M322" s="528">
        <f t="shared" si="1"/>
        <v>140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19">
        <v>13121.0</v>
      </c>
      <c r="B323" s="420" t="s">
        <v>3824</v>
      </c>
      <c r="C323" s="420">
        <v>2018.0</v>
      </c>
      <c r="D323" s="497">
        <v>43231.0</v>
      </c>
      <c r="E323" s="394" t="s">
        <v>3825</v>
      </c>
      <c r="F323" s="422" t="s">
        <v>148</v>
      </c>
      <c r="G323" s="422" t="s">
        <v>552</v>
      </c>
      <c r="H323" s="394" t="s">
        <v>775</v>
      </c>
      <c r="I323" s="497">
        <v>44326.0</v>
      </c>
      <c r="J323" s="422">
        <v>5.0</v>
      </c>
      <c r="K323" s="531" t="s">
        <v>242</v>
      </c>
      <c r="L323" s="428" t="s">
        <v>2855</v>
      </c>
      <c r="M323" s="529">
        <f t="shared" si="1"/>
        <v>1095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25">
        <v>13221.0</v>
      </c>
      <c r="B324" s="426" t="s">
        <v>3826</v>
      </c>
      <c r="C324" s="426">
        <v>2019.0</v>
      </c>
      <c r="D324" s="500">
        <v>43543.0</v>
      </c>
      <c r="E324" s="428" t="s">
        <v>3827</v>
      </c>
      <c r="F324" s="428" t="s">
        <v>2268</v>
      </c>
      <c r="G324" s="397" t="s">
        <v>552</v>
      </c>
      <c r="H324" s="397" t="s">
        <v>3828</v>
      </c>
      <c r="I324" s="500">
        <v>44326.0</v>
      </c>
      <c r="J324" s="428">
        <v>5.0</v>
      </c>
      <c r="K324" s="531" t="s">
        <v>242</v>
      </c>
      <c r="L324" s="422" t="s">
        <v>2855</v>
      </c>
      <c r="M324" s="528">
        <f t="shared" si="1"/>
        <v>783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19">
        <v>13321.0</v>
      </c>
      <c r="B325" s="420" t="s">
        <v>3829</v>
      </c>
      <c r="C325" s="420">
        <v>2016.0</v>
      </c>
      <c r="D325" s="497">
        <v>42460.0</v>
      </c>
      <c r="E325" s="394" t="s">
        <v>3830</v>
      </c>
      <c r="F325" s="422" t="s">
        <v>3831</v>
      </c>
      <c r="G325" s="422" t="s">
        <v>552</v>
      </c>
      <c r="H325" s="394" t="s">
        <v>3832</v>
      </c>
      <c r="I325" s="497">
        <v>44326.0</v>
      </c>
      <c r="J325" s="422">
        <v>5.0</v>
      </c>
      <c r="K325" s="531" t="s">
        <v>242</v>
      </c>
      <c r="L325" s="428" t="s">
        <v>2855</v>
      </c>
      <c r="M325" s="529">
        <f t="shared" si="1"/>
        <v>1866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25">
        <v>13421.0</v>
      </c>
      <c r="B326" s="426" t="s">
        <v>3833</v>
      </c>
      <c r="C326" s="426">
        <v>2015.0</v>
      </c>
      <c r="D326" s="500">
        <v>42253.0</v>
      </c>
      <c r="E326" s="428" t="s">
        <v>3834</v>
      </c>
      <c r="F326" s="428" t="s">
        <v>65</v>
      </c>
      <c r="G326" s="397" t="s">
        <v>552</v>
      </c>
      <c r="H326" s="397" t="s">
        <v>3835</v>
      </c>
      <c r="I326" s="500">
        <v>44326.0</v>
      </c>
      <c r="J326" s="428">
        <v>5.0</v>
      </c>
      <c r="K326" s="531" t="s">
        <v>240</v>
      </c>
      <c r="L326" s="422" t="s">
        <v>2860</v>
      </c>
      <c r="M326" s="528">
        <f t="shared" si="1"/>
        <v>2073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19">
        <v>13521.0</v>
      </c>
      <c r="B327" s="420" t="s">
        <v>3836</v>
      </c>
      <c r="C327" s="420">
        <v>2013.0</v>
      </c>
      <c r="D327" s="497">
        <v>41382.0</v>
      </c>
      <c r="E327" s="394" t="s">
        <v>3837</v>
      </c>
      <c r="F327" s="422" t="s">
        <v>2063</v>
      </c>
      <c r="G327" s="422" t="s">
        <v>552</v>
      </c>
      <c r="H327" s="394" t="s">
        <v>153</v>
      </c>
      <c r="I327" s="497">
        <v>44326.0</v>
      </c>
      <c r="J327" s="422">
        <v>5.0</v>
      </c>
      <c r="K327" s="532" t="s">
        <v>236</v>
      </c>
      <c r="L327" s="428" t="s">
        <v>2860</v>
      </c>
      <c r="M327" s="529">
        <f t="shared" si="1"/>
        <v>2944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25">
        <v>13621.0</v>
      </c>
      <c r="B328" s="426" t="s">
        <v>3838</v>
      </c>
      <c r="C328" s="426">
        <v>2015.0</v>
      </c>
      <c r="D328" s="500">
        <v>43158.0</v>
      </c>
      <c r="E328" s="428" t="s">
        <v>3839</v>
      </c>
      <c r="F328" s="428" t="s">
        <v>2268</v>
      </c>
      <c r="G328" s="397" t="s">
        <v>552</v>
      </c>
      <c r="H328" s="397" t="s">
        <v>149</v>
      </c>
      <c r="I328" s="500">
        <v>44326.0</v>
      </c>
      <c r="J328" s="428">
        <v>5.0</v>
      </c>
      <c r="K328" s="531" t="s">
        <v>242</v>
      </c>
      <c r="L328" s="422" t="s">
        <v>2855</v>
      </c>
      <c r="M328" s="528">
        <f t="shared" si="1"/>
        <v>1168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19">
        <v>13721.0</v>
      </c>
      <c r="B329" s="420" t="s">
        <v>3840</v>
      </c>
      <c r="C329" s="420">
        <v>2014.0</v>
      </c>
      <c r="D329" s="497">
        <v>41696.0</v>
      </c>
      <c r="E329" s="394" t="s">
        <v>3841</v>
      </c>
      <c r="F329" s="422" t="s">
        <v>963</v>
      </c>
      <c r="G329" s="422" t="s">
        <v>552</v>
      </c>
      <c r="H329" s="394" t="s">
        <v>3584</v>
      </c>
      <c r="I329" s="497">
        <v>44326.0</v>
      </c>
      <c r="J329" s="422">
        <v>5.0</v>
      </c>
      <c r="K329" s="531" t="s">
        <v>240</v>
      </c>
      <c r="L329" s="428" t="s">
        <v>2855</v>
      </c>
      <c r="M329" s="529">
        <f t="shared" si="1"/>
        <v>2630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25">
        <v>13821.0</v>
      </c>
      <c r="B330" s="426" t="s">
        <v>3842</v>
      </c>
      <c r="C330" s="426">
        <v>2014.0</v>
      </c>
      <c r="D330" s="500">
        <v>41674.0</v>
      </c>
      <c r="E330" s="428" t="s">
        <v>3843</v>
      </c>
      <c r="F330" s="428" t="s">
        <v>148</v>
      </c>
      <c r="G330" s="397" t="s">
        <v>552</v>
      </c>
      <c r="H330" s="397" t="s">
        <v>775</v>
      </c>
      <c r="I330" s="500">
        <v>44326.0</v>
      </c>
      <c r="J330" s="428">
        <v>5.0</v>
      </c>
      <c r="K330" s="531" t="s">
        <v>242</v>
      </c>
      <c r="L330" s="422" t="s">
        <v>2855</v>
      </c>
      <c r="M330" s="528">
        <f t="shared" si="1"/>
        <v>2652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19">
        <v>13921.0</v>
      </c>
      <c r="B331" s="420" t="s">
        <v>3844</v>
      </c>
      <c r="C331" s="420">
        <v>2014.0</v>
      </c>
      <c r="D331" s="497">
        <v>41649.0</v>
      </c>
      <c r="E331" s="394" t="s">
        <v>3845</v>
      </c>
      <c r="F331" s="422" t="s">
        <v>3846</v>
      </c>
      <c r="G331" s="422" t="s">
        <v>552</v>
      </c>
      <c r="H331" s="394" t="s">
        <v>130</v>
      </c>
      <c r="I331" s="497">
        <v>44326.0</v>
      </c>
      <c r="J331" s="422">
        <v>5.0</v>
      </c>
      <c r="K331" s="531" t="s">
        <v>242</v>
      </c>
      <c r="L331" s="428" t="s">
        <v>2855</v>
      </c>
      <c r="M331" s="529">
        <f t="shared" si="1"/>
        <v>2677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25">
        <v>14021.0</v>
      </c>
      <c r="B332" s="426" t="s">
        <v>3847</v>
      </c>
      <c r="C332" s="426">
        <v>2018.0</v>
      </c>
      <c r="D332" s="500">
        <v>43371.0</v>
      </c>
      <c r="E332" s="428" t="s">
        <v>3848</v>
      </c>
      <c r="F332" s="428" t="s">
        <v>3849</v>
      </c>
      <c r="G332" s="397" t="s">
        <v>552</v>
      </c>
      <c r="H332" s="397" t="s">
        <v>3850</v>
      </c>
      <c r="I332" s="500">
        <v>44328.0</v>
      </c>
      <c r="J332" s="428">
        <v>5.0</v>
      </c>
      <c r="K332" s="531" t="s">
        <v>242</v>
      </c>
      <c r="L332" s="422" t="s">
        <v>2855</v>
      </c>
      <c r="M332" s="528">
        <f t="shared" si="1"/>
        <v>957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19">
        <v>14121.0</v>
      </c>
      <c r="B333" s="420" t="s">
        <v>3851</v>
      </c>
      <c r="C333" s="420">
        <v>2014.0</v>
      </c>
      <c r="D333" s="497">
        <v>41743.0</v>
      </c>
      <c r="E333" s="394" t="s">
        <v>3852</v>
      </c>
      <c r="F333" s="422" t="s">
        <v>3853</v>
      </c>
      <c r="G333" s="422" t="s">
        <v>650</v>
      </c>
      <c r="H333" s="394" t="s">
        <v>651</v>
      </c>
      <c r="I333" s="497">
        <v>44334.0</v>
      </c>
      <c r="J333" s="422">
        <v>5.0</v>
      </c>
      <c r="K333" s="531" t="s">
        <v>240</v>
      </c>
      <c r="L333" s="428" t="s">
        <v>2860</v>
      </c>
      <c r="M333" s="529">
        <f t="shared" si="1"/>
        <v>2591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25">
        <v>14221.0</v>
      </c>
      <c r="B334" s="426" t="s">
        <v>3854</v>
      </c>
      <c r="C334" s="426">
        <v>2014.0</v>
      </c>
      <c r="D334" s="500">
        <v>41892.0</v>
      </c>
      <c r="E334" s="428" t="s">
        <v>3855</v>
      </c>
      <c r="F334" s="428" t="s">
        <v>556</v>
      </c>
      <c r="G334" s="397" t="s">
        <v>552</v>
      </c>
      <c r="H334" s="397" t="s">
        <v>573</v>
      </c>
      <c r="I334" s="500">
        <v>44334.0</v>
      </c>
      <c r="J334" s="428">
        <v>5.0</v>
      </c>
      <c r="K334" s="531" t="s">
        <v>242</v>
      </c>
      <c r="L334" s="422" t="s">
        <v>2855</v>
      </c>
      <c r="M334" s="528">
        <f t="shared" si="1"/>
        <v>2442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19">
        <v>14321.0</v>
      </c>
      <c r="B335" s="420" t="s">
        <v>3856</v>
      </c>
      <c r="C335" s="420">
        <v>2014.0</v>
      </c>
      <c r="D335" s="497">
        <v>41900.0</v>
      </c>
      <c r="E335" s="394" t="s">
        <v>3857</v>
      </c>
      <c r="F335" s="422" t="s">
        <v>563</v>
      </c>
      <c r="G335" s="422" t="s">
        <v>552</v>
      </c>
      <c r="H335" s="394" t="s">
        <v>153</v>
      </c>
      <c r="I335" s="497">
        <v>44334.0</v>
      </c>
      <c r="J335" s="422">
        <v>5.0</v>
      </c>
      <c r="K335" s="532" t="s">
        <v>236</v>
      </c>
      <c r="L335" s="428" t="s">
        <v>2860</v>
      </c>
      <c r="M335" s="529">
        <f t="shared" si="1"/>
        <v>2434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25">
        <v>14421.0</v>
      </c>
      <c r="B336" s="426" t="s">
        <v>3858</v>
      </c>
      <c r="C336" s="426">
        <v>2014.0</v>
      </c>
      <c r="D336" s="500">
        <v>41905.0</v>
      </c>
      <c r="E336" s="428" t="s">
        <v>3859</v>
      </c>
      <c r="F336" s="428" t="s">
        <v>563</v>
      </c>
      <c r="G336" s="397" t="s">
        <v>552</v>
      </c>
      <c r="H336" s="397" t="s">
        <v>153</v>
      </c>
      <c r="I336" s="500">
        <v>44334.0</v>
      </c>
      <c r="J336" s="428">
        <v>5.0</v>
      </c>
      <c r="K336" s="532" t="s">
        <v>236</v>
      </c>
      <c r="L336" s="422" t="s">
        <v>2860</v>
      </c>
      <c r="M336" s="528">
        <f t="shared" si="1"/>
        <v>2429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19">
        <v>14521.0</v>
      </c>
      <c r="B337" s="420" t="s">
        <v>3860</v>
      </c>
      <c r="C337" s="420">
        <v>2014.0</v>
      </c>
      <c r="D337" s="497">
        <v>41978.0</v>
      </c>
      <c r="E337" s="394" t="s">
        <v>3861</v>
      </c>
      <c r="F337" s="422" t="s">
        <v>171</v>
      </c>
      <c r="G337" s="422" t="s">
        <v>650</v>
      </c>
      <c r="H337" s="394" t="s">
        <v>1002</v>
      </c>
      <c r="I337" s="497">
        <v>44334.0</v>
      </c>
      <c r="J337" s="422">
        <v>5.0</v>
      </c>
      <c r="K337" s="532" t="s">
        <v>236</v>
      </c>
      <c r="L337" s="428" t="s">
        <v>2860</v>
      </c>
      <c r="M337" s="529">
        <f t="shared" si="1"/>
        <v>2356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25">
        <v>14621.0</v>
      </c>
      <c r="B338" s="426" t="s">
        <v>3862</v>
      </c>
      <c r="C338" s="426">
        <v>2013.0</v>
      </c>
      <c r="D338" s="500">
        <v>41315.0</v>
      </c>
      <c r="E338" s="428" t="s">
        <v>3863</v>
      </c>
      <c r="F338" s="428" t="s">
        <v>3078</v>
      </c>
      <c r="G338" s="397" t="s">
        <v>552</v>
      </c>
      <c r="H338" s="397" t="s">
        <v>125</v>
      </c>
      <c r="I338" s="500">
        <v>44334.0</v>
      </c>
      <c r="J338" s="428">
        <v>5.0</v>
      </c>
      <c r="K338" s="531" t="s">
        <v>242</v>
      </c>
      <c r="L338" s="422" t="s">
        <v>2860</v>
      </c>
      <c r="M338" s="528">
        <f t="shared" si="1"/>
        <v>3019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0" customHeight="1">
      <c r="A339" s="419">
        <v>14721.0</v>
      </c>
      <c r="B339" s="420" t="s">
        <v>3864</v>
      </c>
      <c r="C339" s="420">
        <v>2018.0</v>
      </c>
      <c r="D339" s="497">
        <v>43231.0</v>
      </c>
      <c r="E339" s="394" t="s">
        <v>3865</v>
      </c>
      <c r="F339" s="422" t="s">
        <v>3866</v>
      </c>
      <c r="G339" s="422" t="s">
        <v>552</v>
      </c>
      <c r="H339" s="394" t="s">
        <v>775</v>
      </c>
      <c r="I339" s="497">
        <v>44334.0</v>
      </c>
      <c r="J339" s="422">
        <v>5.0</v>
      </c>
      <c r="K339" s="531" t="s">
        <v>242</v>
      </c>
      <c r="L339" s="428" t="s">
        <v>2855</v>
      </c>
      <c r="M339" s="529">
        <f t="shared" si="1"/>
        <v>1103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425">
        <v>14821.0</v>
      </c>
      <c r="B340" s="426" t="s">
        <v>3867</v>
      </c>
      <c r="C340" s="426">
        <v>2017.0</v>
      </c>
      <c r="D340" s="500">
        <v>42912.0</v>
      </c>
      <c r="E340" s="428" t="s">
        <v>3868</v>
      </c>
      <c r="F340" s="428" t="s">
        <v>1255</v>
      </c>
      <c r="G340" s="397" t="s">
        <v>552</v>
      </c>
      <c r="H340" s="397" t="s">
        <v>3742</v>
      </c>
      <c r="I340" s="500">
        <v>44334.0</v>
      </c>
      <c r="J340" s="428">
        <v>5.0</v>
      </c>
      <c r="K340" s="531" t="s">
        <v>242</v>
      </c>
      <c r="L340" s="422" t="s">
        <v>2860</v>
      </c>
      <c r="M340" s="528">
        <f t="shared" si="1"/>
        <v>1422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19">
        <v>14921.0</v>
      </c>
      <c r="B341" s="420" t="s">
        <v>3869</v>
      </c>
      <c r="C341" s="420">
        <v>2017.0</v>
      </c>
      <c r="D341" s="497">
        <v>42912.0</v>
      </c>
      <c r="E341" s="394" t="s">
        <v>3870</v>
      </c>
      <c r="F341" s="422" t="s">
        <v>1255</v>
      </c>
      <c r="G341" s="422" t="s">
        <v>552</v>
      </c>
      <c r="H341" s="394" t="s">
        <v>3742</v>
      </c>
      <c r="I341" s="497">
        <v>44334.0</v>
      </c>
      <c r="J341" s="422">
        <v>5.0</v>
      </c>
      <c r="K341" s="531" t="s">
        <v>242</v>
      </c>
      <c r="L341" s="428" t="s">
        <v>2860</v>
      </c>
      <c r="M341" s="529">
        <f t="shared" si="1"/>
        <v>1422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25">
        <v>15021.0</v>
      </c>
      <c r="B342" s="426" t="s">
        <v>3871</v>
      </c>
      <c r="C342" s="426">
        <v>2017.0</v>
      </c>
      <c r="D342" s="500">
        <v>42912.0</v>
      </c>
      <c r="E342" s="428" t="s">
        <v>3872</v>
      </c>
      <c r="F342" s="428" t="s">
        <v>1255</v>
      </c>
      <c r="G342" s="397" t="s">
        <v>552</v>
      </c>
      <c r="H342" s="397" t="s">
        <v>3742</v>
      </c>
      <c r="I342" s="500">
        <v>44334.0</v>
      </c>
      <c r="J342" s="428">
        <v>5.0</v>
      </c>
      <c r="K342" s="531" t="s">
        <v>242</v>
      </c>
      <c r="L342" s="422" t="s">
        <v>2860</v>
      </c>
      <c r="M342" s="528">
        <f t="shared" si="1"/>
        <v>1422</v>
      </c>
      <c r="N342" s="25"/>
      <c r="O342" s="133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19">
        <v>15121.0</v>
      </c>
      <c r="B343" s="420" t="s">
        <v>3873</v>
      </c>
      <c r="C343" s="420">
        <v>2017.0</v>
      </c>
      <c r="D343" s="497">
        <v>42912.0</v>
      </c>
      <c r="E343" s="394" t="s">
        <v>3874</v>
      </c>
      <c r="F343" s="422" t="s">
        <v>1255</v>
      </c>
      <c r="G343" s="422" t="s">
        <v>552</v>
      </c>
      <c r="H343" s="394" t="s">
        <v>3742</v>
      </c>
      <c r="I343" s="497">
        <v>44334.0</v>
      </c>
      <c r="J343" s="422">
        <v>5.0</v>
      </c>
      <c r="K343" s="531" t="s">
        <v>242</v>
      </c>
      <c r="L343" s="428" t="s">
        <v>2860</v>
      </c>
      <c r="M343" s="529">
        <f t="shared" si="1"/>
        <v>1422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25">
        <v>15221.0</v>
      </c>
      <c r="B344" s="426" t="s">
        <v>3875</v>
      </c>
      <c r="C344" s="426">
        <v>2018.0</v>
      </c>
      <c r="D344" s="500">
        <v>43354.0</v>
      </c>
      <c r="E344" s="428" t="s">
        <v>3876</v>
      </c>
      <c r="F344" s="428" t="s">
        <v>3741</v>
      </c>
      <c r="G344" s="397" t="s">
        <v>552</v>
      </c>
      <c r="H344" s="397" t="s">
        <v>3742</v>
      </c>
      <c r="I344" s="500">
        <v>44334.0</v>
      </c>
      <c r="J344" s="428">
        <v>5.0</v>
      </c>
      <c r="K344" s="533" t="s">
        <v>228</v>
      </c>
      <c r="L344" s="422" t="s">
        <v>2855</v>
      </c>
      <c r="M344" s="528">
        <f t="shared" si="1"/>
        <v>980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419">
        <v>15321.0</v>
      </c>
      <c r="B345" s="420" t="s">
        <v>3877</v>
      </c>
      <c r="C345" s="420">
        <v>2017.0</v>
      </c>
      <c r="D345" s="497">
        <v>43095.0</v>
      </c>
      <c r="E345" s="394" t="s">
        <v>3878</v>
      </c>
      <c r="F345" s="422" t="s">
        <v>3879</v>
      </c>
      <c r="G345" s="422" t="s">
        <v>552</v>
      </c>
      <c r="H345" s="394" t="s">
        <v>3880</v>
      </c>
      <c r="I345" s="497">
        <v>44337.0</v>
      </c>
      <c r="J345" s="422">
        <v>5.0</v>
      </c>
      <c r="K345" s="531" t="s">
        <v>242</v>
      </c>
      <c r="L345" s="428" t="s">
        <v>2860</v>
      </c>
      <c r="M345" s="529">
        <f t="shared" si="1"/>
        <v>1242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25">
        <v>15421.0</v>
      </c>
      <c r="B346" s="426" t="s">
        <v>3881</v>
      </c>
      <c r="C346" s="426">
        <v>2013.0</v>
      </c>
      <c r="D346" s="500">
        <v>41418.0</v>
      </c>
      <c r="E346" s="428" t="s">
        <v>3882</v>
      </c>
      <c r="F346" s="428" t="s">
        <v>3883</v>
      </c>
      <c r="G346" s="397" t="s">
        <v>552</v>
      </c>
      <c r="H346" s="397" t="s">
        <v>1675</v>
      </c>
      <c r="I346" s="500">
        <v>44337.0</v>
      </c>
      <c r="J346" s="428">
        <v>5.0</v>
      </c>
      <c r="K346" s="531" t="s">
        <v>242</v>
      </c>
      <c r="L346" s="422" t="s">
        <v>2855</v>
      </c>
      <c r="M346" s="528">
        <f t="shared" si="1"/>
        <v>2919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19">
        <v>15521.0</v>
      </c>
      <c r="B347" s="420" t="s">
        <v>3884</v>
      </c>
      <c r="C347" s="420">
        <v>2017.0</v>
      </c>
      <c r="D347" s="497">
        <v>42895.0</v>
      </c>
      <c r="E347" s="394" t="s">
        <v>3885</v>
      </c>
      <c r="F347" s="422" t="s">
        <v>1108</v>
      </c>
      <c r="G347" s="422" t="s">
        <v>552</v>
      </c>
      <c r="H347" s="394" t="s">
        <v>3742</v>
      </c>
      <c r="I347" s="497">
        <v>44337.0</v>
      </c>
      <c r="J347" s="422">
        <v>5.0</v>
      </c>
      <c r="K347" s="531" t="s">
        <v>242</v>
      </c>
      <c r="L347" s="428" t="s">
        <v>2860</v>
      </c>
      <c r="M347" s="529">
        <f t="shared" si="1"/>
        <v>1442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25">
        <v>15621.0</v>
      </c>
      <c r="B348" s="426" t="s">
        <v>3886</v>
      </c>
      <c r="C348" s="426">
        <v>2013.0</v>
      </c>
      <c r="D348" s="500">
        <v>41456.0</v>
      </c>
      <c r="E348" s="428" t="s">
        <v>3887</v>
      </c>
      <c r="F348" s="428" t="s">
        <v>3888</v>
      </c>
      <c r="G348" s="397" t="s">
        <v>552</v>
      </c>
      <c r="H348" s="397" t="s">
        <v>1143</v>
      </c>
      <c r="I348" s="500">
        <v>44342.0</v>
      </c>
      <c r="J348" s="428">
        <v>5.0</v>
      </c>
      <c r="K348" s="531" t="s">
        <v>240</v>
      </c>
      <c r="L348" s="422" t="s">
        <v>2855</v>
      </c>
      <c r="M348" s="528" t="s">
        <v>3889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419">
        <v>15721.0</v>
      </c>
      <c r="B349" s="420" t="s">
        <v>3890</v>
      </c>
      <c r="C349" s="420">
        <v>2020.0</v>
      </c>
      <c r="D349" s="497">
        <v>44173.0</v>
      </c>
      <c r="E349" s="394" t="s">
        <v>3891</v>
      </c>
      <c r="F349" s="422" t="s">
        <v>2606</v>
      </c>
      <c r="G349" s="422" t="s">
        <v>569</v>
      </c>
      <c r="H349" s="394" t="s">
        <v>3892</v>
      </c>
      <c r="I349" s="497">
        <v>44342.0</v>
      </c>
      <c r="J349" s="422">
        <v>5.0</v>
      </c>
      <c r="K349" s="531" t="s">
        <v>242</v>
      </c>
      <c r="L349" s="428" t="s">
        <v>260</v>
      </c>
      <c r="M349" s="529">
        <f t="shared" ref="M349:M495" si="2">I349-D349</f>
        <v>169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25">
        <v>15821.0</v>
      </c>
      <c r="B350" s="426" t="s">
        <v>3893</v>
      </c>
      <c r="C350" s="426">
        <v>2020.0</v>
      </c>
      <c r="D350" s="500">
        <v>43954.0</v>
      </c>
      <c r="E350" s="428" t="s">
        <v>3894</v>
      </c>
      <c r="F350" s="536" t="s">
        <v>3895</v>
      </c>
      <c r="G350" s="397" t="s">
        <v>565</v>
      </c>
      <c r="H350" s="397" t="s">
        <v>3800</v>
      </c>
      <c r="I350" s="500">
        <v>44342.0</v>
      </c>
      <c r="J350" s="428">
        <v>5.0</v>
      </c>
      <c r="K350" s="531" t="s">
        <v>242</v>
      </c>
      <c r="L350" s="422" t="s">
        <v>260</v>
      </c>
      <c r="M350" s="528">
        <f t="shared" si="2"/>
        <v>388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19">
        <v>15921.0</v>
      </c>
      <c r="B351" s="420" t="s">
        <v>3896</v>
      </c>
      <c r="C351" s="420">
        <v>2020.0</v>
      </c>
      <c r="D351" s="497">
        <v>43953.0</v>
      </c>
      <c r="E351" s="394" t="s">
        <v>3897</v>
      </c>
      <c r="F351" s="537" t="s">
        <v>3895</v>
      </c>
      <c r="G351" s="422" t="s">
        <v>565</v>
      </c>
      <c r="H351" s="394" t="s">
        <v>3800</v>
      </c>
      <c r="I351" s="497">
        <v>44342.0</v>
      </c>
      <c r="J351" s="422">
        <v>5.0</v>
      </c>
      <c r="K351" s="531" t="s">
        <v>242</v>
      </c>
      <c r="L351" s="428" t="s">
        <v>260</v>
      </c>
      <c r="M351" s="529">
        <f t="shared" si="2"/>
        <v>389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25">
        <v>16021.0</v>
      </c>
      <c r="B352" s="426" t="s">
        <v>3898</v>
      </c>
      <c r="C352" s="426">
        <v>2021.0</v>
      </c>
      <c r="D352" s="500">
        <v>44244.0</v>
      </c>
      <c r="E352" s="428" t="s">
        <v>3899</v>
      </c>
      <c r="F352" s="536" t="s">
        <v>3895</v>
      </c>
      <c r="G352" s="397" t="s">
        <v>569</v>
      </c>
      <c r="H352" s="397" t="s">
        <v>2502</v>
      </c>
      <c r="I352" s="500">
        <v>44342.0</v>
      </c>
      <c r="J352" s="428">
        <v>5.0</v>
      </c>
      <c r="K352" s="531" t="s">
        <v>242</v>
      </c>
      <c r="L352" s="422" t="s">
        <v>260</v>
      </c>
      <c r="M352" s="528">
        <f t="shared" si="2"/>
        <v>98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19">
        <v>16121.0</v>
      </c>
      <c r="B353" s="420" t="s">
        <v>3900</v>
      </c>
      <c r="C353" s="420">
        <v>2021.0</v>
      </c>
      <c r="D353" s="497">
        <v>44200.0</v>
      </c>
      <c r="E353" s="394" t="s">
        <v>3901</v>
      </c>
      <c r="F353" s="537" t="s">
        <v>3902</v>
      </c>
      <c r="G353" s="422" t="s">
        <v>569</v>
      </c>
      <c r="H353" s="394" t="s">
        <v>3903</v>
      </c>
      <c r="I353" s="497">
        <v>44342.0</v>
      </c>
      <c r="J353" s="422">
        <v>5.0</v>
      </c>
      <c r="K353" s="531" t="s">
        <v>242</v>
      </c>
      <c r="L353" s="428" t="s">
        <v>260</v>
      </c>
      <c r="M353" s="529">
        <f t="shared" si="2"/>
        <v>142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25">
        <v>16221.0</v>
      </c>
      <c r="B354" s="426" t="s">
        <v>3904</v>
      </c>
      <c r="C354" s="426">
        <v>2019.0</v>
      </c>
      <c r="D354" s="500">
        <v>43494.0</v>
      </c>
      <c r="E354" s="428" t="s">
        <v>3905</v>
      </c>
      <c r="F354" s="428" t="s">
        <v>3906</v>
      </c>
      <c r="G354" s="397" t="s">
        <v>650</v>
      </c>
      <c r="H354" s="397" t="s">
        <v>3695</v>
      </c>
      <c r="I354" s="500">
        <v>44342.0</v>
      </c>
      <c r="J354" s="428">
        <v>5.0</v>
      </c>
      <c r="K354" s="531" t="s">
        <v>242</v>
      </c>
      <c r="L354" s="422" t="s">
        <v>2855</v>
      </c>
      <c r="M354" s="528">
        <f t="shared" si="2"/>
        <v>848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19">
        <v>16321.0</v>
      </c>
      <c r="B355" s="420" t="s">
        <v>3907</v>
      </c>
      <c r="C355" s="420">
        <v>2012.0</v>
      </c>
      <c r="D355" s="497">
        <v>41107.0</v>
      </c>
      <c r="E355" s="394" t="s">
        <v>3908</v>
      </c>
      <c r="F355" s="422" t="s">
        <v>1203</v>
      </c>
      <c r="G355" s="422" t="s">
        <v>552</v>
      </c>
      <c r="H355" s="394" t="s">
        <v>130</v>
      </c>
      <c r="I355" s="497">
        <v>44342.0</v>
      </c>
      <c r="J355" s="422">
        <v>5.0</v>
      </c>
      <c r="K355" s="531" t="s">
        <v>242</v>
      </c>
      <c r="L355" s="428" t="s">
        <v>2860</v>
      </c>
      <c r="M355" s="529">
        <f t="shared" si="2"/>
        <v>3235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25">
        <v>16421.0</v>
      </c>
      <c r="B356" s="426" t="s">
        <v>3909</v>
      </c>
      <c r="C356" s="426">
        <v>2012.0</v>
      </c>
      <c r="D356" s="500">
        <v>41107.0</v>
      </c>
      <c r="E356" s="428" t="s">
        <v>3910</v>
      </c>
      <c r="F356" s="428" t="s">
        <v>1203</v>
      </c>
      <c r="G356" s="397" t="s">
        <v>552</v>
      </c>
      <c r="H356" s="397" t="s">
        <v>130</v>
      </c>
      <c r="I356" s="500">
        <v>44342.0</v>
      </c>
      <c r="J356" s="428">
        <v>5.0</v>
      </c>
      <c r="K356" s="531" t="s">
        <v>242</v>
      </c>
      <c r="L356" s="422" t="s">
        <v>2860</v>
      </c>
      <c r="M356" s="528">
        <f t="shared" si="2"/>
        <v>3235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0" customHeight="1">
      <c r="A357" s="419">
        <v>16521.0</v>
      </c>
      <c r="B357" s="420" t="s">
        <v>3911</v>
      </c>
      <c r="C357" s="420">
        <v>2014.0</v>
      </c>
      <c r="D357" s="497">
        <v>41970.0</v>
      </c>
      <c r="E357" s="394" t="s">
        <v>3912</v>
      </c>
      <c r="F357" s="422" t="s">
        <v>3913</v>
      </c>
      <c r="G357" s="422" t="s">
        <v>650</v>
      </c>
      <c r="H357" s="394" t="s">
        <v>695</v>
      </c>
      <c r="I357" s="497">
        <v>44342.0</v>
      </c>
      <c r="J357" s="422">
        <v>5.0</v>
      </c>
      <c r="K357" s="531" t="s">
        <v>240</v>
      </c>
      <c r="L357" s="428" t="s">
        <v>2860</v>
      </c>
      <c r="M357" s="529">
        <f t="shared" si="2"/>
        <v>2372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425">
        <v>16621.0</v>
      </c>
      <c r="B358" s="426" t="s">
        <v>3914</v>
      </c>
      <c r="C358" s="426">
        <v>2021.0</v>
      </c>
      <c r="D358" s="500">
        <v>44245.0</v>
      </c>
      <c r="E358" s="428" t="s">
        <v>3915</v>
      </c>
      <c r="F358" s="428" t="s">
        <v>2343</v>
      </c>
      <c r="G358" s="397" t="s">
        <v>569</v>
      </c>
      <c r="H358" s="397" t="s">
        <v>2502</v>
      </c>
      <c r="I358" s="500">
        <v>44342.0</v>
      </c>
      <c r="J358" s="428">
        <v>5.0</v>
      </c>
      <c r="K358" s="531" t="s">
        <v>242</v>
      </c>
      <c r="L358" s="422" t="s">
        <v>260</v>
      </c>
      <c r="M358" s="528">
        <f t="shared" si="2"/>
        <v>97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19">
        <v>16721.0</v>
      </c>
      <c r="B359" s="420" t="s">
        <v>3916</v>
      </c>
      <c r="C359" s="420">
        <v>2014.0</v>
      </c>
      <c r="D359" s="497">
        <v>41991.0</v>
      </c>
      <c r="E359" s="394" t="s">
        <v>3917</v>
      </c>
      <c r="F359" s="422" t="s">
        <v>3918</v>
      </c>
      <c r="G359" s="422" t="s">
        <v>552</v>
      </c>
      <c r="H359" s="394" t="s">
        <v>740</v>
      </c>
      <c r="I359" s="497">
        <v>44342.0</v>
      </c>
      <c r="J359" s="422">
        <v>5.0</v>
      </c>
      <c r="K359" s="531" t="s">
        <v>242</v>
      </c>
      <c r="L359" s="428" t="s">
        <v>2855</v>
      </c>
      <c r="M359" s="529">
        <f t="shared" si="2"/>
        <v>2351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25">
        <v>16821.0</v>
      </c>
      <c r="B360" s="426" t="s">
        <v>3919</v>
      </c>
      <c r="C360" s="426">
        <v>2014.0</v>
      </c>
      <c r="D360" s="500">
        <v>41726.0</v>
      </c>
      <c r="E360" s="428" t="s">
        <v>3920</v>
      </c>
      <c r="F360" s="428" t="s">
        <v>3921</v>
      </c>
      <c r="G360" s="397" t="s">
        <v>552</v>
      </c>
      <c r="H360" s="397" t="s">
        <v>583</v>
      </c>
      <c r="I360" s="500">
        <v>44344.0</v>
      </c>
      <c r="J360" s="428">
        <v>5.0</v>
      </c>
      <c r="K360" s="531" t="s">
        <v>240</v>
      </c>
      <c r="L360" s="422" t="s">
        <v>2855</v>
      </c>
      <c r="M360" s="528">
        <f t="shared" si="2"/>
        <v>2618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0" customHeight="1">
      <c r="A361" s="419">
        <v>16921.0</v>
      </c>
      <c r="B361" s="420" t="s">
        <v>3922</v>
      </c>
      <c r="C361" s="420">
        <v>2013.0</v>
      </c>
      <c r="D361" s="497">
        <v>41549.0</v>
      </c>
      <c r="E361" s="394" t="s">
        <v>3923</v>
      </c>
      <c r="F361" s="422" t="s">
        <v>563</v>
      </c>
      <c r="G361" s="422" t="s">
        <v>552</v>
      </c>
      <c r="H361" s="394" t="s">
        <v>56</v>
      </c>
      <c r="I361" s="497">
        <v>44344.0</v>
      </c>
      <c r="J361" s="422">
        <v>5.0</v>
      </c>
      <c r="K361" s="532" t="s">
        <v>236</v>
      </c>
      <c r="L361" s="428" t="s">
        <v>2860</v>
      </c>
      <c r="M361" s="529">
        <f t="shared" si="2"/>
        <v>2795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425">
        <v>17021.0</v>
      </c>
      <c r="B362" s="426" t="s">
        <v>3924</v>
      </c>
      <c r="C362" s="426">
        <v>2013.0</v>
      </c>
      <c r="D362" s="500">
        <v>41361.0</v>
      </c>
      <c r="E362" s="428" t="s">
        <v>3925</v>
      </c>
      <c r="F362" s="428" t="s">
        <v>3926</v>
      </c>
      <c r="G362" s="397" t="s">
        <v>547</v>
      </c>
      <c r="H362" s="397" t="s">
        <v>3927</v>
      </c>
      <c r="I362" s="500">
        <v>44347.0</v>
      </c>
      <c r="J362" s="428">
        <v>5.0</v>
      </c>
      <c r="K362" s="531" t="s">
        <v>242</v>
      </c>
      <c r="L362" s="422" t="s">
        <v>2860</v>
      </c>
      <c r="M362" s="528">
        <f t="shared" si="2"/>
        <v>2986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19">
        <v>17121.0</v>
      </c>
      <c r="B363" s="420" t="s">
        <v>3928</v>
      </c>
      <c r="C363" s="420">
        <v>2014.0</v>
      </c>
      <c r="D363" s="497">
        <v>41880.0</v>
      </c>
      <c r="E363" s="394" t="s">
        <v>3929</v>
      </c>
      <c r="F363" s="422" t="s">
        <v>3930</v>
      </c>
      <c r="G363" s="422" t="s">
        <v>547</v>
      </c>
      <c r="H363" s="394" t="s">
        <v>3931</v>
      </c>
      <c r="I363" s="497">
        <v>44358.0</v>
      </c>
      <c r="J363" s="422">
        <v>6.0</v>
      </c>
      <c r="K363" s="530" t="s">
        <v>822</v>
      </c>
      <c r="L363" s="428" t="s">
        <v>2860</v>
      </c>
      <c r="M363" s="529">
        <f t="shared" si="2"/>
        <v>2478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25">
        <v>17221.0</v>
      </c>
      <c r="B364" s="426" t="s">
        <v>3932</v>
      </c>
      <c r="C364" s="426">
        <v>2017.0</v>
      </c>
      <c r="D364" s="500">
        <v>42928.0</v>
      </c>
      <c r="E364" s="428" t="s">
        <v>3933</v>
      </c>
      <c r="F364" s="428" t="s">
        <v>3934</v>
      </c>
      <c r="G364" s="397" t="s">
        <v>552</v>
      </c>
      <c r="H364" s="397" t="s">
        <v>138</v>
      </c>
      <c r="I364" s="500">
        <v>44358.0</v>
      </c>
      <c r="J364" s="428">
        <v>6.0</v>
      </c>
      <c r="K364" s="531" t="s">
        <v>242</v>
      </c>
      <c r="L364" s="422" t="s">
        <v>2860</v>
      </c>
      <c r="M364" s="528">
        <f t="shared" si="2"/>
        <v>1430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19">
        <v>17321.0</v>
      </c>
      <c r="B365" s="420" t="s">
        <v>3935</v>
      </c>
      <c r="C365" s="420">
        <v>2014.0</v>
      </c>
      <c r="D365" s="497">
        <v>41806.0</v>
      </c>
      <c r="E365" s="394" t="s">
        <v>3936</v>
      </c>
      <c r="F365" s="422" t="s">
        <v>1203</v>
      </c>
      <c r="G365" s="422" t="s">
        <v>552</v>
      </c>
      <c r="H365" s="394" t="s">
        <v>596</v>
      </c>
      <c r="I365" s="497">
        <v>44358.0</v>
      </c>
      <c r="J365" s="422">
        <v>6.0</v>
      </c>
      <c r="K365" s="531" t="s">
        <v>242</v>
      </c>
      <c r="L365" s="428" t="s">
        <v>2860</v>
      </c>
      <c r="M365" s="529">
        <f t="shared" si="2"/>
        <v>2552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25">
        <v>17421.0</v>
      </c>
      <c r="B366" s="426" t="s">
        <v>3937</v>
      </c>
      <c r="C366" s="426">
        <v>2015.0</v>
      </c>
      <c r="D366" s="500">
        <v>42146.0</v>
      </c>
      <c r="E366" s="428" t="s">
        <v>3938</v>
      </c>
      <c r="F366" s="428" t="s">
        <v>3939</v>
      </c>
      <c r="G366" s="397" t="s">
        <v>552</v>
      </c>
      <c r="H366" s="397" t="s">
        <v>125</v>
      </c>
      <c r="I366" s="500">
        <v>44358.0</v>
      </c>
      <c r="J366" s="428">
        <v>6.0</v>
      </c>
      <c r="K366" s="531" t="s">
        <v>242</v>
      </c>
      <c r="L366" s="422" t="s">
        <v>2860</v>
      </c>
      <c r="M366" s="528">
        <f t="shared" si="2"/>
        <v>2212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19">
        <v>17521.0</v>
      </c>
      <c r="B367" s="420" t="s">
        <v>3940</v>
      </c>
      <c r="C367" s="420">
        <v>2011.0</v>
      </c>
      <c r="D367" s="497">
        <v>40584.0</v>
      </c>
      <c r="E367" s="394" t="s">
        <v>3941</v>
      </c>
      <c r="F367" s="422" t="s">
        <v>1170</v>
      </c>
      <c r="G367" s="422" t="s">
        <v>552</v>
      </c>
      <c r="H367" s="394" t="s">
        <v>596</v>
      </c>
      <c r="I367" s="497">
        <v>44362.0</v>
      </c>
      <c r="J367" s="422">
        <v>6.0</v>
      </c>
      <c r="K367" s="531" t="s">
        <v>240</v>
      </c>
      <c r="L367" s="428" t="s">
        <v>2860</v>
      </c>
      <c r="M367" s="529">
        <f t="shared" si="2"/>
        <v>3778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25">
        <v>17621.0</v>
      </c>
      <c r="B368" s="426" t="s">
        <v>3942</v>
      </c>
      <c r="C368" s="426">
        <v>2015.0</v>
      </c>
      <c r="D368" s="500">
        <v>42041.0</v>
      </c>
      <c r="E368" s="428" t="s">
        <v>3943</v>
      </c>
      <c r="F368" s="428" t="s">
        <v>3944</v>
      </c>
      <c r="G368" s="397" t="s">
        <v>650</v>
      </c>
      <c r="H368" s="397" t="s">
        <v>158</v>
      </c>
      <c r="I368" s="500">
        <v>44371.0</v>
      </c>
      <c r="J368" s="428">
        <v>6.0</v>
      </c>
      <c r="K368" s="531" t="s">
        <v>242</v>
      </c>
      <c r="L368" s="422" t="s">
        <v>2855</v>
      </c>
      <c r="M368" s="528">
        <f t="shared" si="2"/>
        <v>2330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19">
        <v>17721.0</v>
      </c>
      <c r="B369" s="420" t="s">
        <v>3945</v>
      </c>
      <c r="C369" s="420">
        <v>2020.0</v>
      </c>
      <c r="D369" s="497">
        <v>44188.0</v>
      </c>
      <c r="E369" s="422" t="s">
        <v>3946</v>
      </c>
      <c r="F369" s="534" t="s">
        <v>3947</v>
      </c>
      <c r="G369" s="422" t="s">
        <v>569</v>
      </c>
      <c r="H369" s="394" t="s">
        <v>1850</v>
      </c>
      <c r="I369" s="497">
        <v>44371.0</v>
      </c>
      <c r="J369" s="422">
        <v>6.0</v>
      </c>
      <c r="K369" s="530" t="s">
        <v>822</v>
      </c>
      <c r="L369" s="428" t="s">
        <v>260</v>
      </c>
      <c r="M369" s="529">
        <f t="shared" si="2"/>
        <v>183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25">
        <v>17821.0</v>
      </c>
      <c r="B370" s="426" t="s">
        <v>3948</v>
      </c>
      <c r="C370" s="426">
        <v>2014.0</v>
      </c>
      <c r="D370" s="500">
        <v>41708.0</v>
      </c>
      <c r="E370" s="428" t="s">
        <v>3949</v>
      </c>
      <c r="F370" s="397" t="s">
        <v>2873</v>
      </c>
      <c r="G370" s="428" t="s">
        <v>552</v>
      </c>
      <c r="H370" s="397" t="s">
        <v>3950</v>
      </c>
      <c r="I370" s="500">
        <v>44371.0</v>
      </c>
      <c r="J370" s="428">
        <v>6.0</v>
      </c>
      <c r="K370" s="531" t="s">
        <v>240</v>
      </c>
      <c r="L370" s="422" t="s">
        <v>2860</v>
      </c>
      <c r="M370" s="528">
        <f t="shared" si="2"/>
        <v>2663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19">
        <v>17921.0</v>
      </c>
      <c r="B371" s="420" t="s">
        <v>3951</v>
      </c>
      <c r="C371" s="420">
        <v>2014.0</v>
      </c>
      <c r="D371" s="497">
        <v>41807.0</v>
      </c>
      <c r="E371" s="422" t="s">
        <v>3952</v>
      </c>
      <c r="F371" s="394" t="s">
        <v>2453</v>
      </c>
      <c r="G371" s="422" t="s">
        <v>552</v>
      </c>
      <c r="H371" s="394" t="s">
        <v>97</v>
      </c>
      <c r="I371" s="497">
        <v>44371.0</v>
      </c>
      <c r="J371" s="422">
        <v>6.0</v>
      </c>
      <c r="K371" s="531" t="s">
        <v>240</v>
      </c>
      <c r="L371" s="428" t="s">
        <v>2855</v>
      </c>
      <c r="M371" s="529">
        <f t="shared" si="2"/>
        <v>2564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25">
        <v>18021.0</v>
      </c>
      <c r="B372" s="426" t="s">
        <v>3953</v>
      </c>
      <c r="C372" s="426">
        <v>2014.0</v>
      </c>
      <c r="D372" s="500">
        <v>41977.0</v>
      </c>
      <c r="E372" s="428" t="s">
        <v>3954</v>
      </c>
      <c r="F372" s="397" t="s">
        <v>947</v>
      </c>
      <c r="G372" s="428" t="s">
        <v>552</v>
      </c>
      <c r="H372" s="397" t="s">
        <v>153</v>
      </c>
      <c r="I372" s="500">
        <v>44371.0</v>
      </c>
      <c r="J372" s="428">
        <v>6.0</v>
      </c>
      <c r="K372" s="531" t="s">
        <v>242</v>
      </c>
      <c r="L372" s="422" t="s">
        <v>2855</v>
      </c>
      <c r="M372" s="528">
        <f t="shared" si="2"/>
        <v>2394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0" customHeight="1">
      <c r="A373" s="419">
        <v>18121.0</v>
      </c>
      <c r="B373" s="420" t="s">
        <v>3955</v>
      </c>
      <c r="C373" s="420">
        <v>2015.0</v>
      </c>
      <c r="D373" s="497">
        <v>42359.0</v>
      </c>
      <c r="E373" s="422" t="s">
        <v>3956</v>
      </c>
      <c r="F373" s="394" t="s">
        <v>2268</v>
      </c>
      <c r="G373" s="422" t="s">
        <v>552</v>
      </c>
      <c r="H373" s="394" t="s">
        <v>3880</v>
      </c>
      <c r="I373" s="497">
        <v>44371.0</v>
      </c>
      <c r="J373" s="422">
        <v>6.0</v>
      </c>
      <c r="K373" s="531" t="s">
        <v>240</v>
      </c>
      <c r="L373" s="428" t="s">
        <v>2855</v>
      </c>
      <c r="M373" s="529">
        <f t="shared" si="2"/>
        <v>2012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425">
        <v>18221.0</v>
      </c>
      <c r="B374" s="426" t="s">
        <v>3957</v>
      </c>
      <c r="C374" s="426">
        <v>2013.0</v>
      </c>
      <c r="D374" s="500">
        <v>41604.0</v>
      </c>
      <c r="E374" s="428" t="s">
        <v>3958</v>
      </c>
      <c r="F374" s="397" t="s">
        <v>1544</v>
      </c>
      <c r="G374" s="428" t="s">
        <v>552</v>
      </c>
      <c r="H374" s="397" t="s">
        <v>3303</v>
      </c>
      <c r="I374" s="500">
        <v>44371.0</v>
      </c>
      <c r="J374" s="428">
        <v>6.0</v>
      </c>
      <c r="K374" s="532" t="s">
        <v>236</v>
      </c>
      <c r="L374" s="422" t="s">
        <v>2860</v>
      </c>
      <c r="M374" s="528">
        <f t="shared" si="2"/>
        <v>2767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19">
        <v>18321.0</v>
      </c>
      <c r="B375" s="420" t="s">
        <v>3959</v>
      </c>
      <c r="C375" s="420">
        <v>2011.0</v>
      </c>
      <c r="D375" s="497">
        <v>40798.0</v>
      </c>
      <c r="E375" s="422" t="s">
        <v>3960</v>
      </c>
      <c r="F375" s="394" t="s">
        <v>3961</v>
      </c>
      <c r="G375" s="422" t="s">
        <v>650</v>
      </c>
      <c r="H375" s="394" t="s">
        <v>3962</v>
      </c>
      <c r="I375" s="497">
        <v>44371.0</v>
      </c>
      <c r="J375" s="422">
        <v>6.0</v>
      </c>
      <c r="K375" s="531" t="s">
        <v>240</v>
      </c>
      <c r="L375" s="428" t="s">
        <v>2860</v>
      </c>
      <c r="M375" s="529">
        <f t="shared" si="2"/>
        <v>3573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25">
        <v>18421.0</v>
      </c>
      <c r="B376" s="426" t="s">
        <v>3963</v>
      </c>
      <c r="C376" s="426">
        <v>2016.0</v>
      </c>
      <c r="D376" s="500">
        <v>42576.0</v>
      </c>
      <c r="E376" s="428" t="s">
        <v>3964</v>
      </c>
      <c r="F376" s="397" t="s">
        <v>3965</v>
      </c>
      <c r="G376" s="428" t="s">
        <v>552</v>
      </c>
      <c r="H376" s="397" t="s">
        <v>3966</v>
      </c>
      <c r="I376" s="500">
        <v>44371.0</v>
      </c>
      <c r="J376" s="428">
        <v>6.0</v>
      </c>
      <c r="K376" s="531" t="s">
        <v>242</v>
      </c>
      <c r="L376" s="422" t="s">
        <v>2855</v>
      </c>
      <c r="M376" s="528">
        <f t="shared" si="2"/>
        <v>1795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19">
        <v>18521.0</v>
      </c>
      <c r="B377" s="420" t="s">
        <v>3967</v>
      </c>
      <c r="C377" s="420">
        <v>2018.0</v>
      </c>
      <c r="D377" s="497">
        <v>43409.0</v>
      </c>
      <c r="E377" s="422" t="s">
        <v>3968</v>
      </c>
      <c r="F377" s="394" t="s">
        <v>1440</v>
      </c>
      <c r="G377" s="422" t="s">
        <v>552</v>
      </c>
      <c r="H377" s="394" t="s">
        <v>3969</v>
      </c>
      <c r="I377" s="497">
        <v>44371.0</v>
      </c>
      <c r="J377" s="422">
        <v>6.0</v>
      </c>
      <c r="K377" s="533" t="s">
        <v>228</v>
      </c>
      <c r="L377" s="428" t="s">
        <v>2860</v>
      </c>
      <c r="M377" s="529">
        <f t="shared" si="2"/>
        <v>962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25">
        <v>18621.0</v>
      </c>
      <c r="B378" s="426" t="s">
        <v>3970</v>
      </c>
      <c r="C378" s="426">
        <v>2014.0</v>
      </c>
      <c r="D378" s="500">
        <v>41901.0</v>
      </c>
      <c r="E378" s="428" t="s">
        <v>3971</v>
      </c>
      <c r="F378" s="397" t="s">
        <v>3972</v>
      </c>
      <c r="G378" s="428" t="s">
        <v>650</v>
      </c>
      <c r="H378" s="397" t="s">
        <v>695</v>
      </c>
      <c r="I378" s="500">
        <v>44371.0</v>
      </c>
      <c r="J378" s="428">
        <v>6.0</v>
      </c>
      <c r="K378" s="530" t="s">
        <v>822</v>
      </c>
      <c r="L378" s="422" t="s">
        <v>2860</v>
      </c>
      <c r="M378" s="528">
        <f t="shared" si="2"/>
        <v>2470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19">
        <v>18721.0</v>
      </c>
      <c r="B379" s="420" t="s">
        <v>3973</v>
      </c>
      <c r="C379" s="420">
        <v>2014.0</v>
      </c>
      <c r="D379" s="497">
        <v>41901.0</v>
      </c>
      <c r="E379" s="422" t="s">
        <v>3974</v>
      </c>
      <c r="F379" s="394" t="s">
        <v>3972</v>
      </c>
      <c r="G379" s="422" t="s">
        <v>650</v>
      </c>
      <c r="H379" s="394" t="s">
        <v>695</v>
      </c>
      <c r="I379" s="497">
        <v>44371.0</v>
      </c>
      <c r="J379" s="422">
        <v>6.0</v>
      </c>
      <c r="K379" s="530" t="s">
        <v>822</v>
      </c>
      <c r="L379" s="428" t="s">
        <v>2860</v>
      </c>
      <c r="M379" s="529">
        <f t="shared" si="2"/>
        <v>2470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25">
        <v>18821.0</v>
      </c>
      <c r="B380" s="426" t="s">
        <v>3975</v>
      </c>
      <c r="C380" s="426">
        <v>2020.0</v>
      </c>
      <c r="D380" s="500">
        <v>44050.0</v>
      </c>
      <c r="E380" s="428" t="s">
        <v>3976</v>
      </c>
      <c r="F380" s="505" t="s">
        <v>2383</v>
      </c>
      <c r="G380" s="428" t="s">
        <v>569</v>
      </c>
      <c r="H380" s="397" t="s">
        <v>3977</v>
      </c>
      <c r="I380" s="500">
        <v>44386.0</v>
      </c>
      <c r="J380" s="428">
        <v>7.0</v>
      </c>
      <c r="K380" s="530" t="s">
        <v>822</v>
      </c>
      <c r="L380" s="422" t="s">
        <v>260</v>
      </c>
      <c r="M380" s="528">
        <f t="shared" si="2"/>
        <v>336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19">
        <v>18921.0</v>
      </c>
      <c r="B381" s="420" t="s">
        <v>3978</v>
      </c>
      <c r="C381" s="420">
        <v>2020.0</v>
      </c>
      <c r="D381" s="497">
        <v>44188.0</v>
      </c>
      <c r="E381" s="422" t="s">
        <v>3979</v>
      </c>
      <c r="F381" s="534" t="s">
        <v>3980</v>
      </c>
      <c r="G381" s="422" t="s">
        <v>569</v>
      </c>
      <c r="H381" s="394" t="s">
        <v>3981</v>
      </c>
      <c r="I381" s="497">
        <v>44386.0</v>
      </c>
      <c r="J381" s="422">
        <v>7.0</v>
      </c>
      <c r="K381" s="530" t="s">
        <v>822</v>
      </c>
      <c r="L381" s="428" t="s">
        <v>260</v>
      </c>
      <c r="M381" s="529">
        <f t="shared" si="2"/>
        <v>198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25">
        <v>19021.0</v>
      </c>
      <c r="B382" s="426" t="s">
        <v>3982</v>
      </c>
      <c r="C382" s="426">
        <v>2021.0</v>
      </c>
      <c r="D382" s="500">
        <v>44292.0</v>
      </c>
      <c r="E382" s="428" t="s">
        <v>3983</v>
      </c>
      <c r="F382" s="397" t="s">
        <v>3820</v>
      </c>
      <c r="G382" s="428" t="s">
        <v>569</v>
      </c>
      <c r="H382" s="397" t="s">
        <v>3717</v>
      </c>
      <c r="I382" s="500">
        <v>44386.0</v>
      </c>
      <c r="J382" s="428">
        <v>7.0</v>
      </c>
      <c r="K382" s="531" t="s">
        <v>242</v>
      </c>
      <c r="L382" s="422" t="s">
        <v>260</v>
      </c>
      <c r="M382" s="528">
        <f t="shared" si="2"/>
        <v>94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19">
        <v>19121.0</v>
      </c>
      <c r="B383" s="420" t="s">
        <v>3984</v>
      </c>
      <c r="C383" s="420">
        <v>2019.0</v>
      </c>
      <c r="D383" s="497">
        <v>43775.0</v>
      </c>
      <c r="E383" s="422" t="s">
        <v>3985</v>
      </c>
      <c r="F383" s="503" t="s">
        <v>3725</v>
      </c>
      <c r="G383" s="422" t="s">
        <v>565</v>
      </c>
      <c r="H383" s="394" t="s">
        <v>1588</v>
      </c>
      <c r="I383" s="497">
        <v>44386.0</v>
      </c>
      <c r="J383" s="422">
        <v>7.0</v>
      </c>
      <c r="K383" s="530" t="s">
        <v>822</v>
      </c>
      <c r="L383" s="428" t="s">
        <v>260</v>
      </c>
      <c r="M383" s="529">
        <f t="shared" si="2"/>
        <v>611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25">
        <v>19221.0</v>
      </c>
      <c r="B384" s="426" t="s">
        <v>3986</v>
      </c>
      <c r="C384" s="426">
        <v>2021.0</v>
      </c>
      <c r="D384" s="500">
        <v>44258.0</v>
      </c>
      <c r="E384" s="428" t="s">
        <v>3987</v>
      </c>
      <c r="F384" s="505" t="s">
        <v>2614</v>
      </c>
      <c r="G384" s="428" t="s">
        <v>569</v>
      </c>
      <c r="H384" s="397" t="s">
        <v>3717</v>
      </c>
      <c r="I384" s="500">
        <v>44386.0</v>
      </c>
      <c r="J384" s="428">
        <v>7.0</v>
      </c>
      <c r="K384" s="531" t="s">
        <v>242</v>
      </c>
      <c r="L384" s="422" t="s">
        <v>260</v>
      </c>
      <c r="M384" s="528">
        <f t="shared" si="2"/>
        <v>128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0" customHeight="1">
      <c r="A385" s="419">
        <v>19321.0</v>
      </c>
      <c r="B385" s="420" t="s">
        <v>3988</v>
      </c>
      <c r="C385" s="420">
        <v>2014.0</v>
      </c>
      <c r="D385" s="497">
        <v>41745.0</v>
      </c>
      <c r="E385" s="422" t="s">
        <v>3989</v>
      </c>
      <c r="F385" s="394" t="s">
        <v>3990</v>
      </c>
      <c r="G385" s="422" t="s">
        <v>552</v>
      </c>
      <c r="H385" s="394" t="s">
        <v>130</v>
      </c>
      <c r="I385" s="497">
        <v>44386.0</v>
      </c>
      <c r="J385" s="422">
        <v>7.0</v>
      </c>
      <c r="K385" s="531" t="s">
        <v>242</v>
      </c>
      <c r="L385" s="428" t="s">
        <v>2855</v>
      </c>
      <c r="M385" s="529">
        <f t="shared" si="2"/>
        <v>2641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25">
        <v>19421.0</v>
      </c>
      <c r="B386" s="426" t="s">
        <v>3991</v>
      </c>
      <c r="C386" s="426">
        <v>2014.0</v>
      </c>
      <c r="D386" s="500">
        <v>41752.0</v>
      </c>
      <c r="E386" s="428" t="s">
        <v>3992</v>
      </c>
      <c r="F386" s="397" t="s">
        <v>3993</v>
      </c>
      <c r="G386" s="428" t="s">
        <v>650</v>
      </c>
      <c r="H386" s="397" t="s">
        <v>158</v>
      </c>
      <c r="I386" s="500">
        <v>44386.0</v>
      </c>
      <c r="J386" s="428">
        <v>7.0</v>
      </c>
      <c r="K386" s="532" t="s">
        <v>236</v>
      </c>
      <c r="L386" s="422" t="s">
        <v>2860</v>
      </c>
      <c r="M386" s="528">
        <f t="shared" si="2"/>
        <v>2634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419">
        <v>19521.0</v>
      </c>
      <c r="B387" s="420" t="s">
        <v>3994</v>
      </c>
      <c r="C387" s="420">
        <v>2021.0</v>
      </c>
      <c r="D387" s="497">
        <v>44210.0</v>
      </c>
      <c r="E387" s="422" t="s">
        <v>3995</v>
      </c>
      <c r="F387" s="394" t="s">
        <v>2831</v>
      </c>
      <c r="G387" s="422" t="s">
        <v>565</v>
      </c>
      <c r="H387" s="394" t="s">
        <v>3996</v>
      </c>
      <c r="I387" s="497">
        <v>44386.0</v>
      </c>
      <c r="J387" s="422">
        <v>7.0</v>
      </c>
      <c r="K387" s="530" t="s">
        <v>822</v>
      </c>
      <c r="L387" s="428" t="s">
        <v>260</v>
      </c>
      <c r="M387" s="529">
        <f t="shared" si="2"/>
        <v>176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25">
        <v>19621.0</v>
      </c>
      <c r="B388" s="426" t="s">
        <v>3997</v>
      </c>
      <c r="C388" s="426">
        <v>2014.0</v>
      </c>
      <c r="D388" s="500">
        <v>41919.0</v>
      </c>
      <c r="E388" s="428" t="s">
        <v>3998</v>
      </c>
      <c r="F388" s="397" t="s">
        <v>167</v>
      </c>
      <c r="G388" s="428" t="s">
        <v>650</v>
      </c>
      <c r="H388" s="397" t="s">
        <v>651</v>
      </c>
      <c r="I388" s="500">
        <v>44386.0</v>
      </c>
      <c r="J388" s="428">
        <v>7.0</v>
      </c>
      <c r="K388" s="531" t="s">
        <v>240</v>
      </c>
      <c r="L388" s="422" t="s">
        <v>2860</v>
      </c>
      <c r="M388" s="528">
        <f t="shared" si="2"/>
        <v>2467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19">
        <v>19721.0</v>
      </c>
      <c r="B389" s="420" t="s">
        <v>3999</v>
      </c>
      <c r="C389" s="420">
        <v>2021.0</v>
      </c>
      <c r="D389" s="497">
        <v>44251.0</v>
      </c>
      <c r="E389" s="422" t="s">
        <v>4000</v>
      </c>
      <c r="F389" s="503" t="s">
        <v>3544</v>
      </c>
      <c r="G389" s="422" t="s">
        <v>569</v>
      </c>
      <c r="H389" s="394" t="s">
        <v>3717</v>
      </c>
      <c r="I389" s="497">
        <v>44386.0</v>
      </c>
      <c r="J389" s="422">
        <v>7.0</v>
      </c>
      <c r="K389" s="531" t="s">
        <v>242</v>
      </c>
      <c r="L389" s="428" t="s">
        <v>260</v>
      </c>
      <c r="M389" s="529">
        <f t="shared" si="2"/>
        <v>135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25">
        <v>19821.0</v>
      </c>
      <c r="B390" s="426" t="s">
        <v>4001</v>
      </c>
      <c r="C390" s="426">
        <v>2021.0</v>
      </c>
      <c r="D390" s="500">
        <v>44312.0</v>
      </c>
      <c r="E390" s="428" t="s">
        <v>4002</v>
      </c>
      <c r="F390" s="505" t="s">
        <v>3820</v>
      </c>
      <c r="G390" s="428" t="s">
        <v>569</v>
      </c>
      <c r="H390" s="397" t="s">
        <v>3717</v>
      </c>
      <c r="I390" s="500">
        <v>44386.0</v>
      </c>
      <c r="J390" s="428">
        <v>7.0</v>
      </c>
      <c r="K390" s="531" t="s">
        <v>242</v>
      </c>
      <c r="L390" s="422" t="s">
        <v>260</v>
      </c>
      <c r="M390" s="528">
        <f t="shared" si="2"/>
        <v>74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19">
        <v>19921.0</v>
      </c>
      <c r="B391" s="420" t="s">
        <v>4003</v>
      </c>
      <c r="C391" s="420">
        <v>2021.0</v>
      </c>
      <c r="D391" s="497">
        <v>44229.0</v>
      </c>
      <c r="E391" s="422" t="s">
        <v>4004</v>
      </c>
      <c r="F391" s="503" t="s">
        <v>4005</v>
      </c>
      <c r="G391" s="422" t="s">
        <v>569</v>
      </c>
      <c r="H391" s="394" t="s">
        <v>639</v>
      </c>
      <c r="I391" s="497">
        <v>44386.0</v>
      </c>
      <c r="J391" s="422">
        <v>7.0</v>
      </c>
      <c r="K391" s="530" t="s">
        <v>822</v>
      </c>
      <c r="L391" s="428" t="s">
        <v>260</v>
      </c>
      <c r="M391" s="529">
        <f t="shared" si="2"/>
        <v>157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25">
        <v>20021.0</v>
      </c>
      <c r="B392" s="426" t="s">
        <v>4006</v>
      </c>
      <c r="C392" s="426">
        <v>2014.0</v>
      </c>
      <c r="D392" s="500">
        <v>41745.0</v>
      </c>
      <c r="E392" s="428" t="s">
        <v>4007</v>
      </c>
      <c r="F392" s="397" t="s">
        <v>3990</v>
      </c>
      <c r="G392" s="428" t="s">
        <v>552</v>
      </c>
      <c r="H392" s="397" t="s">
        <v>130</v>
      </c>
      <c r="I392" s="500">
        <v>44386.0</v>
      </c>
      <c r="J392" s="428">
        <v>7.0</v>
      </c>
      <c r="K392" s="531" t="s">
        <v>242</v>
      </c>
      <c r="L392" s="422" t="s">
        <v>2855</v>
      </c>
      <c r="M392" s="528">
        <f t="shared" si="2"/>
        <v>2641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19">
        <v>20121.0</v>
      </c>
      <c r="B393" s="420" t="s">
        <v>4008</v>
      </c>
      <c r="C393" s="420">
        <v>2014.0</v>
      </c>
      <c r="D393" s="497">
        <v>41736.0</v>
      </c>
      <c r="E393" s="422" t="s">
        <v>4009</v>
      </c>
      <c r="F393" s="394" t="s">
        <v>3993</v>
      </c>
      <c r="G393" s="422" t="s">
        <v>650</v>
      </c>
      <c r="H393" s="394" t="s">
        <v>158</v>
      </c>
      <c r="I393" s="497">
        <v>44386.0</v>
      </c>
      <c r="J393" s="422">
        <v>7.0</v>
      </c>
      <c r="K393" s="532" t="s">
        <v>236</v>
      </c>
      <c r="L393" s="428" t="s">
        <v>2860</v>
      </c>
      <c r="M393" s="529">
        <f t="shared" si="2"/>
        <v>2650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25">
        <v>20221.0</v>
      </c>
      <c r="B394" s="426" t="s">
        <v>4010</v>
      </c>
      <c r="C394" s="426">
        <v>2020.0</v>
      </c>
      <c r="D394" s="500">
        <v>43951.0</v>
      </c>
      <c r="E394" s="428" t="s">
        <v>4011</v>
      </c>
      <c r="F394" s="397" t="s">
        <v>148</v>
      </c>
      <c r="G394" s="428" t="s">
        <v>552</v>
      </c>
      <c r="H394" s="397" t="s">
        <v>149</v>
      </c>
      <c r="I394" s="500">
        <v>44386.0</v>
      </c>
      <c r="J394" s="428">
        <v>7.0</v>
      </c>
      <c r="K394" s="531" t="s">
        <v>242</v>
      </c>
      <c r="L394" s="422" t="s">
        <v>2860</v>
      </c>
      <c r="M394" s="528">
        <f t="shared" si="2"/>
        <v>435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19">
        <v>20321.0</v>
      </c>
      <c r="B395" s="420" t="s">
        <v>4012</v>
      </c>
      <c r="C395" s="420">
        <v>2021.0</v>
      </c>
      <c r="D395" s="497">
        <v>44252.0</v>
      </c>
      <c r="E395" s="422" t="s">
        <v>4013</v>
      </c>
      <c r="F395" s="503" t="s">
        <v>4014</v>
      </c>
      <c r="G395" s="422" t="s">
        <v>569</v>
      </c>
      <c r="H395" s="394" t="s">
        <v>3523</v>
      </c>
      <c r="I395" s="497">
        <v>44386.0</v>
      </c>
      <c r="J395" s="422">
        <v>7.0</v>
      </c>
      <c r="K395" s="530" t="s">
        <v>822</v>
      </c>
      <c r="L395" s="428" t="s">
        <v>260</v>
      </c>
      <c r="M395" s="529">
        <f t="shared" si="2"/>
        <v>134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25">
        <v>20421.0</v>
      </c>
      <c r="B396" s="426" t="s">
        <v>4015</v>
      </c>
      <c r="C396" s="426">
        <v>2020.0</v>
      </c>
      <c r="D396" s="500">
        <v>44182.0</v>
      </c>
      <c r="E396" s="428" t="s">
        <v>4016</v>
      </c>
      <c r="F396" s="505" t="s">
        <v>4017</v>
      </c>
      <c r="G396" s="428" t="s">
        <v>565</v>
      </c>
      <c r="H396" s="397" t="s">
        <v>2093</v>
      </c>
      <c r="I396" s="500">
        <v>44389.0</v>
      </c>
      <c r="J396" s="428">
        <v>7.0</v>
      </c>
      <c r="K396" s="531" t="s">
        <v>242</v>
      </c>
      <c r="L396" s="422" t="s">
        <v>260</v>
      </c>
      <c r="M396" s="528">
        <f t="shared" si="2"/>
        <v>207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19">
        <v>20521.0</v>
      </c>
      <c r="B397" s="420" t="s">
        <v>4018</v>
      </c>
      <c r="C397" s="420">
        <v>2013.0</v>
      </c>
      <c r="D397" s="497">
        <v>41397.0</v>
      </c>
      <c r="E397" s="422" t="s">
        <v>4019</v>
      </c>
      <c r="F397" s="394" t="s">
        <v>3078</v>
      </c>
      <c r="G397" s="422" t="s">
        <v>650</v>
      </c>
      <c r="H397" s="394" t="s">
        <v>601</v>
      </c>
      <c r="I397" s="497">
        <v>44389.0</v>
      </c>
      <c r="J397" s="422">
        <v>7.0</v>
      </c>
      <c r="K397" s="531" t="s">
        <v>242</v>
      </c>
      <c r="L397" s="428" t="s">
        <v>2855</v>
      </c>
      <c r="M397" s="529">
        <f t="shared" si="2"/>
        <v>2992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25">
        <v>20621.0</v>
      </c>
      <c r="B398" s="426" t="s">
        <v>4020</v>
      </c>
      <c r="C398" s="426">
        <v>2013.0</v>
      </c>
      <c r="D398" s="500">
        <v>41620.0</v>
      </c>
      <c r="E398" s="428" t="s">
        <v>4021</v>
      </c>
      <c r="F398" s="397" t="s">
        <v>1108</v>
      </c>
      <c r="G398" s="428" t="s">
        <v>552</v>
      </c>
      <c r="H398" s="397" t="s">
        <v>149</v>
      </c>
      <c r="I398" s="500">
        <v>44389.0</v>
      </c>
      <c r="J398" s="428">
        <v>7.0</v>
      </c>
      <c r="K398" s="531" t="s">
        <v>242</v>
      </c>
      <c r="L398" s="422" t="s">
        <v>2855</v>
      </c>
      <c r="M398" s="528">
        <f t="shared" si="2"/>
        <v>2769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19">
        <v>20721.0</v>
      </c>
      <c r="B399" s="420" t="s">
        <v>4022</v>
      </c>
      <c r="C399" s="420">
        <v>2013.0</v>
      </c>
      <c r="D399" s="497">
        <v>41620.0</v>
      </c>
      <c r="E399" s="422" t="s">
        <v>4023</v>
      </c>
      <c r="F399" s="394" t="s">
        <v>2077</v>
      </c>
      <c r="G399" s="422" t="s">
        <v>552</v>
      </c>
      <c r="H399" s="394" t="s">
        <v>149</v>
      </c>
      <c r="I399" s="497">
        <v>44389.0</v>
      </c>
      <c r="J399" s="422">
        <v>7.0</v>
      </c>
      <c r="K399" s="531" t="s">
        <v>240</v>
      </c>
      <c r="L399" s="428" t="s">
        <v>2855</v>
      </c>
      <c r="M399" s="529">
        <f t="shared" si="2"/>
        <v>2769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25">
        <v>20821.0</v>
      </c>
      <c r="B400" s="426" t="s">
        <v>4024</v>
      </c>
      <c r="C400" s="426">
        <v>2017.0</v>
      </c>
      <c r="D400" s="500">
        <v>43091.0</v>
      </c>
      <c r="E400" s="428" t="s">
        <v>4025</v>
      </c>
      <c r="F400" s="397" t="s">
        <v>4026</v>
      </c>
      <c r="G400" s="428" t="s">
        <v>552</v>
      </c>
      <c r="H400" s="397" t="s">
        <v>163</v>
      </c>
      <c r="I400" s="500">
        <v>44389.0</v>
      </c>
      <c r="J400" s="428">
        <v>7.0</v>
      </c>
      <c r="K400" s="532" t="s">
        <v>236</v>
      </c>
      <c r="L400" s="422" t="s">
        <v>2860</v>
      </c>
      <c r="M400" s="528">
        <f t="shared" si="2"/>
        <v>1298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19">
        <v>20921.0</v>
      </c>
      <c r="B401" s="420" t="s">
        <v>4027</v>
      </c>
      <c r="C401" s="420">
        <v>2015.0</v>
      </c>
      <c r="D401" s="497">
        <v>42041.0</v>
      </c>
      <c r="E401" s="422" t="s">
        <v>4028</v>
      </c>
      <c r="F401" s="394" t="s">
        <v>4029</v>
      </c>
      <c r="G401" s="422" t="s">
        <v>552</v>
      </c>
      <c r="H401" s="394" t="s">
        <v>125</v>
      </c>
      <c r="I401" s="497">
        <v>44389.0</v>
      </c>
      <c r="J401" s="422">
        <v>7.0</v>
      </c>
      <c r="K401" s="531" t="s">
        <v>240</v>
      </c>
      <c r="L401" s="428" t="s">
        <v>2860</v>
      </c>
      <c r="M401" s="529">
        <f t="shared" si="2"/>
        <v>2348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25">
        <v>21021.0</v>
      </c>
      <c r="B402" s="426" t="s">
        <v>4030</v>
      </c>
      <c r="C402" s="426">
        <v>2021.0</v>
      </c>
      <c r="D402" s="500">
        <v>44263.0</v>
      </c>
      <c r="E402" s="428" t="s">
        <v>4031</v>
      </c>
      <c r="F402" s="505" t="s">
        <v>3647</v>
      </c>
      <c r="G402" s="428" t="s">
        <v>569</v>
      </c>
      <c r="H402" s="397" t="s">
        <v>3702</v>
      </c>
      <c r="I402" s="500">
        <v>44389.0</v>
      </c>
      <c r="J402" s="428">
        <v>7.0</v>
      </c>
      <c r="K402" s="531" t="s">
        <v>242</v>
      </c>
      <c r="L402" s="422" t="s">
        <v>260</v>
      </c>
      <c r="M402" s="528">
        <f t="shared" si="2"/>
        <v>126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19">
        <v>21121.0</v>
      </c>
      <c r="B403" s="420" t="s">
        <v>4032</v>
      </c>
      <c r="C403" s="420">
        <v>2017.0</v>
      </c>
      <c r="D403" s="497">
        <v>42944.0</v>
      </c>
      <c r="E403" s="422" t="s">
        <v>4033</v>
      </c>
      <c r="F403" s="394" t="s">
        <v>1895</v>
      </c>
      <c r="G403" s="422" t="s">
        <v>552</v>
      </c>
      <c r="H403" s="394" t="s">
        <v>138</v>
      </c>
      <c r="I403" s="497">
        <v>44389.0</v>
      </c>
      <c r="J403" s="422">
        <v>7.0</v>
      </c>
      <c r="K403" s="531" t="s">
        <v>242</v>
      </c>
      <c r="L403" s="428" t="s">
        <v>2860</v>
      </c>
      <c r="M403" s="529">
        <f t="shared" si="2"/>
        <v>1445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25">
        <v>21221.0</v>
      </c>
      <c r="B404" s="426" t="s">
        <v>4034</v>
      </c>
      <c r="C404" s="426">
        <v>2014.0</v>
      </c>
      <c r="D404" s="500">
        <v>41880.0</v>
      </c>
      <c r="E404" s="428" t="s">
        <v>4035</v>
      </c>
      <c r="F404" s="397" t="s">
        <v>3088</v>
      </c>
      <c r="G404" s="428" t="s">
        <v>547</v>
      </c>
      <c r="H404" s="397" t="s">
        <v>4036</v>
      </c>
      <c r="I404" s="500">
        <v>44389.0</v>
      </c>
      <c r="J404" s="428">
        <v>7.0</v>
      </c>
      <c r="K404" s="530" t="s">
        <v>822</v>
      </c>
      <c r="L404" s="422" t="s">
        <v>2860</v>
      </c>
      <c r="M404" s="528">
        <f t="shared" si="2"/>
        <v>2509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19">
        <v>21321.0</v>
      </c>
      <c r="B405" s="420" t="s">
        <v>4037</v>
      </c>
      <c r="C405" s="420">
        <v>2020.0</v>
      </c>
      <c r="D405" s="497">
        <v>44187.0</v>
      </c>
      <c r="E405" s="422" t="s">
        <v>4038</v>
      </c>
      <c r="F405" s="503" t="s">
        <v>4039</v>
      </c>
      <c r="G405" s="422" t="s">
        <v>565</v>
      </c>
      <c r="H405" s="394" t="s">
        <v>2093</v>
      </c>
      <c r="I405" s="497">
        <v>44389.0</v>
      </c>
      <c r="J405" s="422">
        <v>7.0</v>
      </c>
      <c r="K405" s="531" t="s">
        <v>242</v>
      </c>
      <c r="L405" s="428" t="s">
        <v>260</v>
      </c>
      <c r="M405" s="529">
        <f t="shared" si="2"/>
        <v>202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0" customHeight="1">
      <c r="A406" s="425">
        <v>21421.0</v>
      </c>
      <c r="B406" s="426" t="s">
        <v>4040</v>
      </c>
      <c r="C406" s="426">
        <v>2013.0</v>
      </c>
      <c r="D406" s="500">
        <v>41609.0</v>
      </c>
      <c r="E406" s="428" t="s">
        <v>4041</v>
      </c>
      <c r="F406" s="397" t="s">
        <v>1108</v>
      </c>
      <c r="G406" s="428" t="s">
        <v>552</v>
      </c>
      <c r="H406" s="397" t="s">
        <v>149</v>
      </c>
      <c r="I406" s="500">
        <v>44389.0</v>
      </c>
      <c r="J406" s="428">
        <v>7.0</v>
      </c>
      <c r="K406" s="531" t="s">
        <v>242</v>
      </c>
      <c r="L406" s="422" t="s">
        <v>2855</v>
      </c>
      <c r="M406" s="528">
        <f t="shared" si="2"/>
        <v>2780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19">
        <v>21521.0</v>
      </c>
      <c r="B407" s="420" t="s">
        <v>4042</v>
      </c>
      <c r="C407" s="420">
        <v>2021.0</v>
      </c>
      <c r="D407" s="497">
        <v>44252.0</v>
      </c>
      <c r="E407" s="422" t="s">
        <v>4043</v>
      </c>
      <c r="F407" s="503" t="s">
        <v>4044</v>
      </c>
      <c r="G407" s="422" t="s">
        <v>565</v>
      </c>
      <c r="H407" s="394" t="s">
        <v>3717</v>
      </c>
      <c r="I407" s="497">
        <v>44391.0</v>
      </c>
      <c r="J407" s="422">
        <v>7.0</v>
      </c>
      <c r="K407" s="531" t="s">
        <v>242</v>
      </c>
      <c r="L407" s="428" t="s">
        <v>260</v>
      </c>
      <c r="M407" s="529">
        <f t="shared" si="2"/>
        <v>139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25">
        <v>21621.0</v>
      </c>
      <c r="B408" s="426" t="s">
        <v>4045</v>
      </c>
      <c r="C408" s="426">
        <v>2020.0</v>
      </c>
      <c r="D408" s="500">
        <v>44188.0</v>
      </c>
      <c r="E408" s="428" t="s">
        <v>4046</v>
      </c>
      <c r="F408" s="534" t="s">
        <v>4047</v>
      </c>
      <c r="G408" s="428" t="s">
        <v>569</v>
      </c>
      <c r="H408" s="397" t="s">
        <v>1850</v>
      </c>
      <c r="I408" s="500">
        <v>44391.0</v>
      </c>
      <c r="J408" s="428">
        <v>7.0</v>
      </c>
      <c r="K408" s="530" t="s">
        <v>822</v>
      </c>
      <c r="L408" s="422" t="s">
        <v>260</v>
      </c>
      <c r="M408" s="528">
        <f t="shared" si="2"/>
        <v>203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19">
        <v>21721.0</v>
      </c>
      <c r="B409" s="420" t="s">
        <v>4048</v>
      </c>
      <c r="C409" s="420">
        <v>2021.0</v>
      </c>
      <c r="D409" s="497">
        <v>44306.0</v>
      </c>
      <c r="E409" s="422" t="s">
        <v>4049</v>
      </c>
      <c r="F409" s="503" t="s">
        <v>3647</v>
      </c>
      <c r="G409" s="422" t="s">
        <v>569</v>
      </c>
      <c r="H409" s="394" t="s">
        <v>3762</v>
      </c>
      <c r="I409" s="497">
        <v>44391.0</v>
      </c>
      <c r="J409" s="422">
        <v>7.0</v>
      </c>
      <c r="K409" s="531" t="s">
        <v>242</v>
      </c>
      <c r="L409" s="428" t="s">
        <v>260</v>
      </c>
      <c r="M409" s="529">
        <f t="shared" si="2"/>
        <v>85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425">
        <v>21821.0</v>
      </c>
      <c r="B410" s="426" t="s">
        <v>4050</v>
      </c>
      <c r="C410" s="426">
        <v>2013.0</v>
      </c>
      <c r="D410" s="500">
        <v>41620.0</v>
      </c>
      <c r="E410" s="428" t="s">
        <v>4051</v>
      </c>
      <c r="F410" s="397" t="s">
        <v>4052</v>
      </c>
      <c r="G410" s="428" t="s">
        <v>552</v>
      </c>
      <c r="H410" s="397" t="s">
        <v>149</v>
      </c>
      <c r="I410" s="500">
        <v>44391.0</v>
      </c>
      <c r="J410" s="428">
        <v>7.0</v>
      </c>
      <c r="K410" s="531" t="s">
        <v>240</v>
      </c>
      <c r="L410" s="422" t="s">
        <v>2855</v>
      </c>
      <c r="M410" s="528">
        <f t="shared" si="2"/>
        <v>2771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19">
        <v>21921.0</v>
      </c>
      <c r="B411" s="420" t="s">
        <v>4053</v>
      </c>
      <c r="C411" s="420">
        <v>2013.0</v>
      </c>
      <c r="D411" s="497">
        <v>43901.0</v>
      </c>
      <c r="E411" s="422" t="s">
        <v>4054</v>
      </c>
      <c r="F411" s="394" t="s">
        <v>1968</v>
      </c>
      <c r="G411" s="422" t="s">
        <v>552</v>
      </c>
      <c r="H411" s="394" t="s">
        <v>1329</v>
      </c>
      <c r="I411" s="497">
        <v>44391.0</v>
      </c>
      <c r="J411" s="422">
        <v>7.0</v>
      </c>
      <c r="K411" s="531" t="s">
        <v>242</v>
      </c>
      <c r="L411" s="428" t="s">
        <v>2860</v>
      </c>
      <c r="M411" s="529">
        <f t="shared" si="2"/>
        <v>490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25">
        <v>22021.0</v>
      </c>
      <c r="B412" s="426" t="s">
        <v>4055</v>
      </c>
      <c r="C412" s="426">
        <v>2018.0</v>
      </c>
      <c r="D412" s="500">
        <v>43392.0</v>
      </c>
      <c r="E412" s="428" t="s">
        <v>4056</v>
      </c>
      <c r="F412" s="397" t="s">
        <v>4057</v>
      </c>
      <c r="G412" s="428" t="s">
        <v>650</v>
      </c>
      <c r="H412" s="397" t="s">
        <v>573</v>
      </c>
      <c r="I412" s="500">
        <v>44393.0</v>
      </c>
      <c r="J412" s="428">
        <v>7.0</v>
      </c>
      <c r="K412" s="531" t="s">
        <v>240</v>
      </c>
      <c r="L412" s="422" t="s">
        <v>2860</v>
      </c>
      <c r="M412" s="528">
        <f t="shared" si="2"/>
        <v>1001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19">
        <v>22121.0</v>
      </c>
      <c r="B413" s="420" t="s">
        <v>4058</v>
      </c>
      <c r="C413" s="420">
        <v>2017.0</v>
      </c>
      <c r="D413" s="497">
        <v>42984.0</v>
      </c>
      <c r="E413" s="422" t="s">
        <v>4059</v>
      </c>
      <c r="F413" s="394" t="s">
        <v>4060</v>
      </c>
      <c r="G413" s="422" t="s">
        <v>650</v>
      </c>
      <c r="H413" s="394" t="s">
        <v>740</v>
      </c>
      <c r="I413" s="497">
        <v>44393.0</v>
      </c>
      <c r="J413" s="422">
        <v>7.0</v>
      </c>
      <c r="K413" s="531" t="s">
        <v>242</v>
      </c>
      <c r="L413" s="428" t="s">
        <v>2860</v>
      </c>
      <c r="M413" s="529">
        <f t="shared" si="2"/>
        <v>1409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25">
        <v>22221.0</v>
      </c>
      <c r="B414" s="426" t="s">
        <v>4061</v>
      </c>
      <c r="C414" s="426">
        <v>2014.0</v>
      </c>
      <c r="D414" s="500">
        <v>41985.0</v>
      </c>
      <c r="E414" s="428" t="s">
        <v>4062</v>
      </c>
      <c r="F414" s="397" t="s">
        <v>739</v>
      </c>
      <c r="G414" s="428" t="s">
        <v>552</v>
      </c>
      <c r="H414" s="397" t="s">
        <v>130</v>
      </c>
      <c r="I414" s="500">
        <v>44399.0</v>
      </c>
      <c r="J414" s="428">
        <v>7.0</v>
      </c>
      <c r="K414" s="531" t="s">
        <v>242</v>
      </c>
      <c r="L414" s="422" t="s">
        <v>2855</v>
      </c>
      <c r="M414" s="528">
        <f t="shared" si="2"/>
        <v>2414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19">
        <v>22321.0</v>
      </c>
      <c r="B415" s="420" t="s">
        <v>4063</v>
      </c>
      <c r="C415" s="420">
        <v>2015.0</v>
      </c>
      <c r="D415" s="497">
        <v>42047.0</v>
      </c>
      <c r="E415" s="422" t="s">
        <v>4064</v>
      </c>
      <c r="F415" s="394" t="s">
        <v>1544</v>
      </c>
      <c r="G415" s="422" t="s">
        <v>552</v>
      </c>
      <c r="H415" s="394" t="s">
        <v>153</v>
      </c>
      <c r="I415" s="497">
        <v>44399.0</v>
      </c>
      <c r="J415" s="422">
        <v>7.0</v>
      </c>
      <c r="K415" s="533" t="s">
        <v>232</v>
      </c>
      <c r="L415" s="428" t="s">
        <v>2860</v>
      </c>
      <c r="M415" s="529">
        <f t="shared" si="2"/>
        <v>2352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25">
        <v>22421.0</v>
      </c>
      <c r="B416" s="426" t="s">
        <v>4065</v>
      </c>
      <c r="C416" s="426">
        <v>2011.0</v>
      </c>
      <c r="D416" s="500">
        <v>40759.0</v>
      </c>
      <c r="E416" s="428" t="s">
        <v>4066</v>
      </c>
      <c r="F416" s="397" t="s">
        <v>711</v>
      </c>
      <c r="G416" s="428" t="s">
        <v>552</v>
      </c>
      <c r="H416" s="397" t="s">
        <v>56</v>
      </c>
      <c r="I416" s="500">
        <v>44399.0</v>
      </c>
      <c r="J416" s="428">
        <v>7.0</v>
      </c>
      <c r="K416" s="531" t="s">
        <v>240</v>
      </c>
      <c r="L416" s="422" t="s">
        <v>2855</v>
      </c>
      <c r="M416" s="528">
        <f t="shared" si="2"/>
        <v>3640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19">
        <v>22521.0</v>
      </c>
      <c r="B417" s="420" t="s">
        <v>4067</v>
      </c>
      <c r="C417" s="420">
        <v>2021.0</v>
      </c>
      <c r="D417" s="497">
        <v>44230.0</v>
      </c>
      <c r="E417" s="422" t="s">
        <v>4068</v>
      </c>
      <c r="F417" s="503" t="s">
        <v>4069</v>
      </c>
      <c r="G417" s="422" t="s">
        <v>569</v>
      </c>
      <c r="H417" s="394" t="s">
        <v>3523</v>
      </c>
      <c r="I417" s="497">
        <v>44399.0</v>
      </c>
      <c r="J417" s="422">
        <v>7.0</v>
      </c>
      <c r="K417" s="530" t="s">
        <v>822</v>
      </c>
      <c r="L417" s="428" t="s">
        <v>260</v>
      </c>
      <c r="M417" s="529">
        <f t="shared" si="2"/>
        <v>169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25">
        <v>22621.0</v>
      </c>
      <c r="B418" s="426" t="s">
        <v>4070</v>
      </c>
      <c r="C418" s="426">
        <v>2016.0</v>
      </c>
      <c r="D418" s="500">
        <v>42432.0</v>
      </c>
      <c r="E418" s="428" t="s">
        <v>4071</v>
      </c>
      <c r="F418" s="397" t="s">
        <v>963</v>
      </c>
      <c r="G418" s="428" t="s">
        <v>552</v>
      </c>
      <c r="H418" s="397" t="s">
        <v>3624</v>
      </c>
      <c r="I418" s="500">
        <v>44399.0</v>
      </c>
      <c r="J418" s="428">
        <v>7.0</v>
      </c>
      <c r="K418" s="531" t="s">
        <v>242</v>
      </c>
      <c r="L418" s="422" t="s">
        <v>2855</v>
      </c>
      <c r="M418" s="528">
        <f t="shared" si="2"/>
        <v>1967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19">
        <v>22721.0</v>
      </c>
      <c r="B419" s="420" t="s">
        <v>4072</v>
      </c>
      <c r="C419" s="420">
        <v>2014.0</v>
      </c>
      <c r="D419" s="497">
        <v>41717.0</v>
      </c>
      <c r="E419" s="422" t="s">
        <v>4073</v>
      </c>
      <c r="F419" s="394" t="s">
        <v>4074</v>
      </c>
      <c r="G419" s="422" t="s">
        <v>650</v>
      </c>
      <c r="H419" s="394" t="s">
        <v>158</v>
      </c>
      <c r="I419" s="497">
        <v>44399.0</v>
      </c>
      <c r="J419" s="422">
        <v>7.0</v>
      </c>
      <c r="K419" s="531" t="s">
        <v>240</v>
      </c>
      <c r="L419" s="428" t="s">
        <v>2860</v>
      </c>
      <c r="M419" s="529">
        <f t="shared" si="2"/>
        <v>2682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25">
        <v>22821.0</v>
      </c>
      <c r="B420" s="426" t="s">
        <v>4075</v>
      </c>
      <c r="C420" s="426">
        <v>2014.0</v>
      </c>
      <c r="D420" s="500">
        <v>41648.0</v>
      </c>
      <c r="E420" s="428" t="s">
        <v>4076</v>
      </c>
      <c r="F420" s="397" t="s">
        <v>4077</v>
      </c>
      <c r="G420" s="428" t="s">
        <v>552</v>
      </c>
      <c r="H420" s="397" t="s">
        <v>130</v>
      </c>
      <c r="I420" s="500">
        <v>44399.0</v>
      </c>
      <c r="J420" s="428">
        <v>7.0</v>
      </c>
      <c r="K420" s="531" t="s">
        <v>242</v>
      </c>
      <c r="L420" s="422" t="s">
        <v>2855</v>
      </c>
      <c r="M420" s="528">
        <f t="shared" si="2"/>
        <v>2751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19">
        <v>22921.0</v>
      </c>
      <c r="B421" s="420" t="s">
        <v>4078</v>
      </c>
      <c r="C421" s="420">
        <v>2013.0</v>
      </c>
      <c r="D421" s="497">
        <v>41528.0</v>
      </c>
      <c r="E421" s="422" t="s">
        <v>4079</v>
      </c>
      <c r="F421" s="394" t="s">
        <v>3078</v>
      </c>
      <c r="G421" s="422" t="s">
        <v>552</v>
      </c>
      <c r="H421" s="394" t="s">
        <v>50</v>
      </c>
      <c r="I421" s="497">
        <v>44399.0</v>
      </c>
      <c r="J421" s="422">
        <v>7.0</v>
      </c>
      <c r="K421" s="531" t="s">
        <v>242</v>
      </c>
      <c r="L421" s="428" t="s">
        <v>2860</v>
      </c>
      <c r="M421" s="529">
        <f t="shared" si="2"/>
        <v>2871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25">
        <v>23021.0</v>
      </c>
      <c r="B422" s="426" t="s">
        <v>4080</v>
      </c>
      <c r="C422" s="426">
        <v>2014.0</v>
      </c>
      <c r="D422" s="500">
        <v>41851.0</v>
      </c>
      <c r="E422" s="428" t="s">
        <v>4081</v>
      </c>
      <c r="F422" s="397" t="s">
        <v>55</v>
      </c>
      <c r="G422" s="428" t="s">
        <v>552</v>
      </c>
      <c r="H422" s="397" t="s">
        <v>596</v>
      </c>
      <c r="I422" s="500">
        <v>44399.0</v>
      </c>
      <c r="J422" s="428">
        <v>7.0</v>
      </c>
      <c r="K422" s="531" t="s">
        <v>242</v>
      </c>
      <c r="L422" s="422" t="s">
        <v>2860</v>
      </c>
      <c r="M422" s="528">
        <f t="shared" si="2"/>
        <v>2548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19">
        <v>23121.0</v>
      </c>
      <c r="B423" s="420" t="s">
        <v>4082</v>
      </c>
      <c r="C423" s="420">
        <v>2017.0</v>
      </c>
      <c r="D423" s="497">
        <v>43096.0</v>
      </c>
      <c r="E423" s="422" t="s">
        <v>4083</v>
      </c>
      <c r="F423" s="394" t="s">
        <v>1814</v>
      </c>
      <c r="G423" s="422" t="s">
        <v>552</v>
      </c>
      <c r="H423" s="394" t="s">
        <v>138</v>
      </c>
      <c r="I423" s="497">
        <v>44407.0</v>
      </c>
      <c r="J423" s="422">
        <v>7.0</v>
      </c>
      <c r="K423" s="531" t="s">
        <v>240</v>
      </c>
      <c r="L423" s="428" t="s">
        <v>840</v>
      </c>
      <c r="M423" s="529">
        <f t="shared" si="2"/>
        <v>1311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25">
        <v>23221.0</v>
      </c>
      <c r="B424" s="426" t="s">
        <v>4084</v>
      </c>
      <c r="C424" s="426">
        <v>2017.0</v>
      </c>
      <c r="D424" s="500">
        <v>42907.0</v>
      </c>
      <c r="E424" s="428" t="s">
        <v>4085</v>
      </c>
      <c r="F424" s="397" t="s">
        <v>71</v>
      </c>
      <c r="G424" s="428" t="s">
        <v>552</v>
      </c>
      <c r="H424" s="397" t="s">
        <v>138</v>
      </c>
      <c r="I424" s="500">
        <v>44407.0</v>
      </c>
      <c r="J424" s="428">
        <v>7.0</v>
      </c>
      <c r="K424" s="531" t="s">
        <v>242</v>
      </c>
      <c r="L424" s="422" t="s">
        <v>260</v>
      </c>
      <c r="M424" s="528">
        <f t="shared" si="2"/>
        <v>1500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19">
        <v>23321.0</v>
      </c>
      <c r="B425" s="420" t="s">
        <v>4086</v>
      </c>
      <c r="C425" s="420">
        <v>2017.0</v>
      </c>
      <c r="D425" s="497">
        <v>42940.0</v>
      </c>
      <c r="E425" s="422" t="s">
        <v>4087</v>
      </c>
      <c r="F425" s="394" t="s">
        <v>2196</v>
      </c>
      <c r="G425" s="422" t="s">
        <v>650</v>
      </c>
      <c r="H425" s="394" t="s">
        <v>158</v>
      </c>
      <c r="I425" s="497">
        <v>44426.0</v>
      </c>
      <c r="J425" s="422">
        <v>8.0</v>
      </c>
      <c r="K425" s="531" t="s">
        <v>242</v>
      </c>
      <c r="L425" s="428" t="s">
        <v>2860</v>
      </c>
      <c r="M425" s="529">
        <f t="shared" si="2"/>
        <v>1486</v>
      </c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2.75" customHeight="1">
      <c r="A426" s="425">
        <v>23421.0</v>
      </c>
      <c r="B426" s="426" t="s">
        <v>4088</v>
      </c>
      <c r="C426" s="426">
        <v>2013.0</v>
      </c>
      <c r="D426" s="500">
        <v>41388.0</v>
      </c>
      <c r="E426" s="428" t="s">
        <v>4089</v>
      </c>
      <c r="F426" s="397" t="s">
        <v>4090</v>
      </c>
      <c r="G426" s="428" t="s">
        <v>547</v>
      </c>
      <c r="H426" s="397" t="s">
        <v>18</v>
      </c>
      <c r="I426" s="500">
        <v>44426.0</v>
      </c>
      <c r="J426" s="428">
        <v>8.0</v>
      </c>
      <c r="K426" s="531" t="s">
        <v>242</v>
      </c>
      <c r="L426" s="422" t="s">
        <v>2860</v>
      </c>
      <c r="M426" s="528">
        <f t="shared" si="2"/>
        <v>3038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customHeight="1">
      <c r="A427" s="419">
        <v>23521.0</v>
      </c>
      <c r="B427" s="420" t="s">
        <v>4091</v>
      </c>
      <c r="C427" s="420">
        <v>2016.0</v>
      </c>
      <c r="D427" s="497">
        <v>42674.0</v>
      </c>
      <c r="E427" s="422" t="s">
        <v>4092</v>
      </c>
      <c r="F427" s="394" t="s">
        <v>595</v>
      </c>
      <c r="G427" s="422" t="s">
        <v>552</v>
      </c>
      <c r="H427" s="394" t="s">
        <v>3624</v>
      </c>
      <c r="I427" s="497">
        <v>44426.0</v>
      </c>
      <c r="J427" s="422">
        <v>8.0</v>
      </c>
      <c r="K427" s="531" t="s">
        <v>242</v>
      </c>
      <c r="L427" s="428" t="s">
        <v>2860</v>
      </c>
      <c r="M427" s="529">
        <f t="shared" si="2"/>
        <v>1752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customHeight="1">
      <c r="A428" s="425">
        <v>23621.0</v>
      </c>
      <c r="B428" s="426" t="s">
        <v>4093</v>
      </c>
      <c r="C428" s="426">
        <v>2013.0</v>
      </c>
      <c r="D428" s="500">
        <v>44015.0</v>
      </c>
      <c r="E428" s="428" t="s">
        <v>4094</v>
      </c>
      <c r="F428" s="397" t="s">
        <v>4095</v>
      </c>
      <c r="G428" s="428" t="s">
        <v>650</v>
      </c>
      <c r="H428" s="397" t="s">
        <v>573</v>
      </c>
      <c r="I428" s="500">
        <v>44426.0</v>
      </c>
      <c r="J428" s="428">
        <v>8.0</v>
      </c>
      <c r="K428" s="531" t="s">
        <v>242</v>
      </c>
      <c r="L428" s="422" t="s">
        <v>2860</v>
      </c>
      <c r="M428" s="528">
        <f t="shared" si="2"/>
        <v>411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customHeight="1">
      <c r="A429" s="419">
        <v>23721.0</v>
      </c>
      <c r="B429" s="420" t="s">
        <v>4096</v>
      </c>
      <c r="C429" s="420">
        <v>2016.0</v>
      </c>
      <c r="D429" s="497">
        <v>42667.0</v>
      </c>
      <c r="E429" s="422" t="s">
        <v>4097</v>
      </c>
      <c r="F429" s="394" t="s">
        <v>4098</v>
      </c>
      <c r="G429" s="422" t="s">
        <v>552</v>
      </c>
      <c r="H429" s="394" t="s">
        <v>4099</v>
      </c>
      <c r="I429" s="497">
        <v>44426.0</v>
      </c>
      <c r="J429" s="422">
        <v>8.0</v>
      </c>
      <c r="K429" s="531" t="s">
        <v>240</v>
      </c>
      <c r="L429" s="428" t="s">
        <v>2860</v>
      </c>
      <c r="M429" s="529">
        <f t="shared" si="2"/>
        <v>1759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customHeight="1">
      <c r="A430" s="425">
        <v>23821.0</v>
      </c>
      <c r="B430" s="426" t="s">
        <v>4100</v>
      </c>
      <c r="C430" s="426">
        <v>2016.0</v>
      </c>
      <c r="D430" s="500">
        <v>42507.0</v>
      </c>
      <c r="E430" s="428" t="s">
        <v>4101</v>
      </c>
      <c r="F430" s="397" t="s">
        <v>4102</v>
      </c>
      <c r="G430" s="428" t="s">
        <v>552</v>
      </c>
      <c r="H430" s="397" t="s">
        <v>740</v>
      </c>
      <c r="I430" s="500">
        <v>44426.0</v>
      </c>
      <c r="J430" s="428">
        <v>8.0</v>
      </c>
      <c r="K430" s="532" t="s">
        <v>236</v>
      </c>
      <c r="L430" s="422" t="s">
        <v>840</v>
      </c>
      <c r="M430" s="528">
        <f t="shared" si="2"/>
        <v>1919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customHeight="1">
      <c r="A431" s="419">
        <v>23921.0</v>
      </c>
      <c r="B431" s="420" t="s">
        <v>4103</v>
      </c>
      <c r="C431" s="420">
        <v>2012.0</v>
      </c>
      <c r="D431" s="497">
        <v>41277.0</v>
      </c>
      <c r="E431" s="422" t="s">
        <v>4104</v>
      </c>
      <c r="F431" s="394" t="s">
        <v>4105</v>
      </c>
      <c r="G431" s="422" t="s">
        <v>552</v>
      </c>
      <c r="H431" s="394" t="s">
        <v>573</v>
      </c>
      <c r="I431" s="497">
        <v>44426.0</v>
      </c>
      <c r="J431" s="422">
        <v>8.0</v>
      </c>
      <c r="K431" s="531" t="s">
        <v>242</v>
      </c>
      <c r="L431" s="428" t="s">
        <v>2860</v>
      </c>
      <c r="M431" s="529">
        <f t="shared" si="2"/>
        <v>3149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customHeight="1">
      <c r="A432" s="425">
        <v>24021.0</v>
      </c>
      <c r="B432" s="426" t="s">
        <v>4106</v>
      </c>
      <c r="C432" s="426">
        <v>2013.0</v>
      </c>
      <c r="D432" s="500">
        <v>41513.0</v>
      </c>
      <c r="E432" s="428" t="s">
        <v>4107</v>
      </c>
      <c r="F432" s="397" t="s">
        <v>3510</v>
      </c>
      <c r="G432" s="428" t="s">
        <v>552</v>
      </c>
      <c r="H432" s="397" t="s">
        <v>4108</v>
      </c>
      <c r="I432" s="500">
        <v>44428.0</v>
      </c>
      <c r="J432" s="428">
        <v>8.0</v>
      </c>
      <c r="K432" s="531" t="s">
        <v>242</v>
      </c>
      <c r="L432" s="422" t="s">
        <v>2855</v>
      </c>
      <c r="M432" s="528">
        <f t="shared" si="2"/>
        <v>2915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customHeight="1">
      <c r="A433" s="419">
        <v>24121.0</v>
      </c>
      <c r="B433" s="420" t="s">
        <v>4109</v>
      </c>
      <c r="C433" s="420">
        <v>2016.0</v>
      </c>
      <c r="D433" s="497">
        <v>42704.0</v>
      </c>
      <c r="E433" s="422" t="s">
        <v>4110</v>
      </c>
      <c r="F433" s="394" t="s">
        <v>4111</v>
      </c>
      <c r="G433" s="422" t="s">
        <v>552</v>
      </c>
      <c r="H433" s="394" t="s">
        <v>596</v>
      </c>
      <c r="I433" s="497">
        <v>44428.0</v>
      </c>
      <c r="J433" s="422">
        <v>8.0</v>
      </c>
      <c r="K433" s="531" t="s">
        <v>242</v>
      </c>
      <c r="L433" s="428" t="s">
        <v>2855</v>
      </c>
      <c r="M433" s="529">
        <f t="shared" si="2"/>
        <v>1724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customHeight="1">
      <c r="A434" s="425">
        <v>24221.0</v>
      </c>
      <c r="B434" s="426" t="s">
        <v>4112</v>
      </c>
      <c r="C434" s="426">
        <v>2020.0</v>
      </c>
      <c r="D434" s="500">
        <v>43910.0</v>
      </c>
      <c r="E434" s="428" t="s">
        <v>4113</v>
      </c>
      <c r="F434" s="397" t="s">
        <v>4114</v>
      </c>
      <c r="G434" s="428" t="s">
        <v>547</v>
      </c>
      <c r="H434" s="397" t="s">
        <v>4036</v>
      </c>
      <c r="I434" s="500">
        <v>44428.0</v>
      </c>
      <c r="J434" s="428">
        <v>8.0</v>
      </c>
      <c r="K434" s="530" t="s">
        <v>822</v>
      </c>
      <c r="L434" s="422" t="s">
        <v>2860</v>
      </c>
      <c r="M434" s="528">
        <f t="shared" si="2"/>
        <v>518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customHeight="1">
      <c r="A435" s="419">
        <v>24321.0</v>
      </c>
      <c r="B435" s="420" t="s">
        <v>4115</v>
      </c>
      <c r="C435" s="420">
        <v>2013.0</v>
      </c>
      <c r="D435" s="497">
        <v>41389.0</v>
      </c>
      <c r="E435" s="422" t="s">
        <v>4116</v>
      </c>
      <c r="F435" s="394" t="s">
        <v>563</v>
      </c>
      <c r="G435" s="422" t="s">
        <v>552</v>
      </c>
      <c r="H435" s="394" t="s">
        <v>153</v>
      </c>
      <c r="I435" s="497">
        <v>44433.0</v>
      </c>
      <c r="J435" s="422">
        <v>8.0</v>
      </c>
      <c r="K435" s="532" t="s">
        <v>236</v>
      </c>
      <c r="L435" s="428" t="s">
        <v>2860</v>
      </c>
      <c r="M435" s="529">
        <f t="shared" si="2"/>
        <v>3044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customHeight="1">
      <c r="A436" s="425">
        <v>24421.0</v>
      </c>
      <c r="B436" s="426" t="s">
        <v>4117</v>
      </c>
      <c r="C436" s="426">
        <v>2015.0</v>
      </c>
      <c r="D436" s="500">
        <v>42073.0</v>
      </c>
      <c r="E436" s="428" t="s">
        <v>4118</v>
      </c>
      <c r="F436" s="397" t="s">
        <v>3088</v>
      </c>
      <c r="G436" s="428" t="s">
        <v>547</v>
      </c>
      <c r="H436" s="397" t="s">
        <v>4036</v>
      </c>
      <c r="I436" s="500">
        <v>44433.0</v>
      </c>
      <c r="J436" s="428">
        <v>8.0</v>
      </c>
      <c r="K436" s="530" t="s">
        <v>822</v>
      </c>
      <c r="L436" s="422" t="s">
        <v>2860</v>
      </c>
      <c r="M436" s="528">
        <f t="shared" si="2"/>
        <v>2360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customHeight="1">
      <c r="A437" s="419">
        <v>24521.0</v>
      </c>
      <c r="B437" s="420" t="s">
        <v>4119</v>
      </c>
      <c r="C437" s="420">
        <v>2015.0</v>
      </c>
      <c r="D437" s="497">
        <v>42068.0</v>
      </c>
      <c r="E437" s="422" t="s">
        <v>4120</v>
      </c>
      <c r="F437" s="394" t="s">
        <v>4121</v>
      </c>
      <c r="G437" s="422" t="s">
        <v>547</v>
      </c>
      <c r="H437" s="394" t="s">
        <v>3931</v>
      </c>
      <c r="I437" s="497">
        <v>44433.0</v>
      </c>
      <c r="J437" s="422">
        <v>8.0</v>
      </c>
      <c r="K437" s="530" t="s">
        <v>822</v>
      </c>
      <c r="L437" s="428" t="s">
        <v>2860</v>
      </c>
      <c r="M437" s="529">
        <f t="shared" si="2"/>
        <v>2365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customHeight="1">
      <c r="A438" s="425">
        <v>24621.0</v>
      </c>
      <c r="B438" s="426" t="s">
        <v>4122</v>
      </c>
      <c r="C438" s="426">
        <v>2014.0</v>
      </c>
      <c r="D438" s="500">
        <v>41792.0</v>
      </c>
      <c r="E438" s="428" t="s">
        <v>4123</v>
      </c>
      <c r="F438" s="397" t="s">
        <v>4124</v>
      </c>
      <c r="G438" s="428" t="s">
        <v>650</v>
      </c>
      <c r="H438" s="397" t="s">
        <v>4036</v>
      </c>
      <c r="I438" s="500">
        <v>44433.0</v>
      </c>
      <c r="J438" s="428">
        <v>8.0</v>
      </c>
      <c r="K438" s="531" t="s">
        <v>242</v>
      </c>
      <c r="L438" s="422" t="s">
        <v>2855</v>
      </c>
      <c r="M438" s="528">
        <f t="shared" si="2"/>
        <v>2641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customHeight="1">
      <c r="A439" s="419">
        <v>24721.0</v>
      </c>
      <c r="B439" s="420" t="s">
        <v>4125</v>
      </c>
      <c r="C439" s="420">
        <v>2018.0</v>
      </c>
      <c r="D439" s="497">
        <v>43308.0</v>
      </c>
      <c r="E439" s="422" t="s">
        <v>4126</v>
      </c>
      <c r="F439" s="394" t="s">
        <v>4127</v>
      </c>
      <c r="G439" s="422" t="s">
        <v>552</v>
      </c>
      <c r="H439" s="394" t="s">
        <v>163</v>
      </c>
      <c r="I439" s="497">
        <v>44433.0</v>
      </c>
      <c r="J439" s="422">
        <v>8.0</v>
      </c>
      <c r="K439" s="531" t="s">
        <v>242</v>
      </c>
      <c r="L439" s="428" t="s">
        <v>2855</v>
      </c>
      <c r="M439" s="529">
        <f t="shared" si="2"/>
        <v>1125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customHeight="1">
      <c r="A440" s="425">
        <v>24821.0</v>
      </c>
      <c r="B440" s="426" t="s">
        <v>4128</v>
      </c>
      <c r="C440" s="426">
        <v>2015.0</v>
      </c>
      <c r="D440" s="500">
        <v>42087.0</v>
      </c>
      <c r="E440" s="428" t="s">
        <v>4129</v>
      </c>
      <c r="F440" s="397" t="s">
        <v>4130</v>
      </c>
      <c r="G440" s="428" t="s">
        <v>552</v>
      </c>
      <c r="H440" s="397" t="s">
        <v>50</v>
      </c>
      <c r="I440" s="500">
        <v>44438.0</v>
      </c>
      <c r="J440" s="428">
        <v>8.0</v>
      </c>
      <c r="K440" s="531" t="s">
        <v>242</v>
      </c>
      <c r="L440" s="422" t="s">
        <v>2860</v>
      </c>
      <c r="M440" s="528">
        <f t="shared" si="2"/>
        <v>2351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customHeight="1">
      <c r="A441" s="419">
        <v>24921.0</v>
      </c>
      <c r="B441" s="420" t="s">
        <v>4131</v>
      </c>
      <c r="C441" s="420">
        <v>2014.0</v>
      </c>
      <c r="D441" s="497">
        <v>41992.0</v>
      </c>
      <c r="E441" s="422" t="s">
        <v>4132</v>
      </c>
      <c r="F441" s="394" t="s">
        <v>739</v>
      </c>
      <c r="G441" s="422" t="s">
        <v>552</v>
      </c>
      <c r="H441" s="394" t="s">
        <v>130</v>
      </c>
      <c r="I441" s="497">
        <v>44453.0</v>
      </c>
      <c r="J441" s="422">
        <v>9.0</v>
      </c>
      <c r="K441" s="531" t="s">
        <v>242</v>
      </c>
      <c r="L441" s="428" t="s">
        <v>2855</v>
      </c>
      <c r="M441" s="529">
        <f t="shared" si="2"/>
        <v>2461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customHeight="1">
      <c r="A442" s="425">
        <v>25021.0</v>
      </c>
      <c r="B442" s="426" t="s">
        <v>4133</v>
      </c>
      <c r="C442" s="426">
        <v>2015.0</v>
      </c>
      <c r="D442" s="500">
        <v>42124.0</v>
      </c>
      <c r="E442" s="428" t="s">
        <v>4134</v>
      </c>
      <c r="F442" s="397" t="s">
        <v>1108</v>
      </c>
      <c r="G442" s="428" t="s">
        <v>552</v>
      </c>
      <c r="H442" s="397" t="s">
        <v>1002</v>
      </c>
      <c r="I442" s="500">
        <v>44453.0</v>
      </c>
      <c r="J442" s="428">
        <v>9.0</v>
      </c>
      <c r="K442" s="531" t="s">
        <v>242</v>
      </c>
      <c r="L442" s="422" t="s">
        <v>2860</v>
      </c>
      <c r="M442" s="528">
        <f t="shared" si="2"/>
        <v>2329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customHeight="1">
      <c r="A443" s="419">
        <v>25121.0</v>
      </c>
      <c r="B443" s="420" t="s">
        <v>4135</v>
      </c>
      <c r="C443" s="420">
        <v>2021.0</v>
      </c>
      <c r="D443" s="497">
        <v>44364.0</v>
      </c>
      <c r="E443" s="422" t="s">
        <v>4136</v>
      </c>
      <c r="F443" s="503" t="s">
        <v>2343</v>
      </c>
      <c r="G443" s="422" t="s">
        <v>569</v>
      </c>
      <c r="H443" s="394" t="s">
        <v>577</v>
      </c>
      <c r="I443" s="497">
        <v>44453.0</v>
      </c>
      <c r="J443" s="422">
        <v>9.0</v>
      </c>
      <c r="K443" s="531" t="s">
        <v>242</v>
      </c>
      <c r="L443" s="428" t="s">
        <v>260</v>
      </c>
      <c r="M443" s="529">
        <f t="shared" si="2"/>
        <v>89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0" customHeight="1">
      <c r="A444" s="425">
        <v>25221.0</v>
      </c>
      <c r="B444" s="426" t="s">
        <v>4137</v>
      </c>
      <c r="C444" s="426">
        <v>2020.0</v>
      </c>
      <c r="D444" s="500">
        <v>43907.0</v>
      </c>
      <c r="E444" s="428" t="s">
        <v>4138</v>
      </c>
      <c r="F444" s="397" t="s">
        <v>3088</v>
      </c>
      <c r="G444" s="428" t="s">
        <v>547</v>
      </c>
      <c r="H444" s="397" t="s">
        <v>4036</v>
      </c>
      <c r="I444" s="500">
        <v>44453.0</v>
      </c>
      <c r="J444" s="428">
        <v>9.0</v>
      </c>
      <c r="K444" s="530" t="s">
        <v>822</v>
      </c>
      <c r="L444" s="422" t="s">
        <v>2860</v>
      </c>
      <c r="M444" s="528">
        <f t="shared" si="2"/>
        <v>546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2.75" customHeight="1">
      <c r="A445" s="419">
        <v>25321.0</v>
      </c>
      <c r="B445" s="420" t="s">
        <v>4139</v>
      </c>
      <c r="C445" s="420">
        <v>2017.0</v>
      </c>
      <c r="D445" s="497">
        <v>43042.0</v>
      </c>
      <c r="E445" s="422" t="s">
        <v>4140</v>
      </c>
      <c r="F445" s="394" t="s">
        <v>2905</v>
      </c>
      <c r="G445" s="422" t="s">
        <v>552</v>
      </c>
      <c r="H445" s="394" t="s">
        <v>4141</v>
      </c>
      <c r="I445" s="497">
        <v>44453.0</v>
      </c>
      <c r="J445" s="422">
        <v>9.0</v>
      </c>
      <c r="K445" s="531" t="s">
        <v>240</v>
      </c>
      <c r="L445" s="428" t="s">
        <v>2855</v>
      </c>
      <c r="M445" s="529">
        <f t="shared" si="2"/>
        <v>1411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customHeight="1">
      <c r="A446" s="425">
        <v>25421.0</v>
      </c>
      <c r="B446" s="426" t="s">
        <v>4142</v>
      </c>
      <c r="C446" s="426">
        <v>2014.0</v>
      </c>
      <c r="D446" s="500">
        <v>41911.0</v>
      </c>
      <c r="E446" s="428" t="s">
        <v>4143</v>
      </c>
      <c r="F446" s="397" t="s">
        <v>3510</v>
      </c>
      <c r="G446" s="428" t="s">
        <v>552</v>
      </c>
      <c r="H446" s="397" t="s">
        <v>50</v>
      </c>
      <c r="I446" s="500">
        <v>44453.0</v>
      </c>
      <c r="J446" s="428">
        <v>9.0</v>
      </c>
      <c r="K446" s="531" t="s">
        <v>242</v>
      </c>
      <c r="L446" s="422" t="s">
        <v>2855</v>
      </c>
      <c r="M446" s="528">
        <f t="shared" si="2"/>
        <v>2542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customHeight="1">
      <c r="A447" s="419">
        <v>25521.0</v>
      </c>
      <c r="B447" s="420" t="s">
        <v>4144</v>
      </c>
      <c r="C447" s="420">
        <v>2014.0</v>
      </c>
      <c r="D447" s="497">
        <v>41654.0</v>
      </c>
      <c r="E447" s="422" t="s">
        <v>4145</v>
      </c>
      <c r="F447" s="394" t="s">
        <v>4146</v>
      </c>
      <c r="G447" s="422" t="s">
        <v>650</v>
      </c>
      <c r="H447" s="394" t="s">
        <v>3931</v>
      </c>
      <c r="I447" s="497">
        <v>44454.0</v>
      </c>
      <c r="J447" s="422">
        <v>9.0</v>
      </c>
      <c r="K447" s="531" t="s">
        <v>242</v>
      </c>
      <c r="L447" s="428" t="s">
        <v>2855</v>
      </c>
      <c r="M447" s="529">
        <f t="shared" si="2"/>
        <v>2800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0" customHeight="1">
      <c r="A448" s="425">
        <v>25621.0</v>
      </c>
      <c r="B448" s="426" t="s">
        <v>4147</v>
      </c>
      <c r="C448" s="426">
        <v>2021.0</v>
      </c>
      <c r="D448" s="500">
        <v>44314.0</v>
      </c>
      <c r="E448" s="428" t="s">
        <v>4148</v>
      </c>
      <c r="F448" s="505" t="s">
        <v>4149</v>
      </c>
      <c r="G448" s="428" t="s">
        <v>565</v>
      </c>
      <c r="H448" s="397" t="s">
        <v>3702</v>
      </c>
      <c r="I448" s="500">
        <v>44454.0</v>
      </c>
      <c r="J448" s="428">
        <v>9.0</v>
      </c>
      <c r="K448" s="531" t="s">
        <v>242</v>
      </c>
      <c r="L448" s="422" t="s">
        <v>260</v>
      </c>
      <c r="M448" s="528">
        <f t="shared" si="2"/>
        <v>140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2.75" customHeight="1">
      <c r="A449" s="419">
        <v>25721.0</v>
      </c>
      <c r="B449" s="420" t="s">
        <v>4150</v>
      </c>
      <c r="C449" s="420">
        <v>2018.0</v>
      </c>
      <c r="D449" s="497">
        <v>43315.0</v>
      </c>
      <c r="E449" s="422" t="s">
        <v>4151</v>
      </c>
      <c r="F449" s="394" t="s">
        <v>4152</v>
      </c>
      <c r="G449" s="422" t="s">
        <v>650</v>
      </c>
      <c r="H449" s="394" t="s">
        <v>651</v>
      </c>
      <c r="I449" s="497">
        <v>44454.0</v>
      </c>
      <c r="J449" s="422">
        <v>9.0</v>
      </c>
      <c r="K449" s="531" t="s">
        <v>238</v>
      </c>
      <c r="L449" s="428" t="s">
        <v>2860</v>
      </c>
      <c r="M449" s="529">
        <f t="shared" si="2"/>
        <v>1139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customHeight="1">
      <c r="A450" s="425">
        <v>25821.0</v>
      </c>
      <c r="B450" s="426" t="s">
        <v>4153</v>
      </c>
      <c r="C450" s="426">
        <v>2014.0</v>
      </c>
      <c r="D450" s="500">
        <v>41926.0</v>
      </c>
      <c r="E450" s="428" t="s">
        <v>4154</v>
      </c>
      <c r="F450" s="397" t="s">
        <v>167</v>
      </c>
      <c r="G450" s="428" t="s">
        <v>650</v>
      </c>
      <c r="H450" s="397" t="s">
        <v>651</v>
      </c>
      <c r="I450" s="500">
        <v>44454.0</v>
      </c>
      <c r="J450" s="428">
        <v>9.0</v>
      </c>
      <c r="K450" s="531" t="s">
        <v>240</v>
      </c>
      <c r="L450" s="422" t="s">
        <v>2860</v>
      </c>
      <c r="M450" s="528">
        <f t="shared" si="2"/>
        <v>2528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customHeight="1">
      <c r="A451" s="419">
        <v>25921.0</v>
      </c>
      <c r="B451" s="420" t="s">
        <v>4155</v>
      </c>
      <c r="C451" s="420">
        <v>2013.0</v>
      </c>
      <c r="D451" s="497">
        <v>41431.0</v>
      </c>
      <c r="E451" s="422" t="s">
        <v>4156</v>
      </c>
      <c r="F451" s="394" t="s">
        <v>4157</v>
      </c>
      <c r="G451" s="422" t="s">
        <v>552</v>
      </c>
      <c r="H451" s="394" t="s">
        <v>130</v>
      </c>
      <c r="I451" s="497">
        <v>44454.0</v>
      </c>
      <c r="J451" s="422">
        <v>9.0</v>
      </c>
      <c r="K451" s="531" t="s">
        <v>242</v>
      </c>
      <c r="L451" s="428" t="s">
        <v>2860</v>
      </c>
      <c r="M451" s="529">
        <f t="shared" si="2"/>
        <v>3023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customHeight="1">
      <c r="A452" s="425">
        <v>26021.0</v>
      </c>
      <c r="B452" s="426" t="s">
        <v>4158</v>
      </c>
      <c r="C452" s="426">
        <v>2015.0</v>
      </c>
      <c r="D452" s="500">
        <v>42255.0</v>
      </c>
      <c r="E452" s="428" t="s">
        <v>4159</v>
      </c>
      <c r="F452" s="397" t="s">
        <v>4160</v>
      </c>
      <c r="G452" s="428" t="s">
        <v>552</v>
      </c>
      <c r="H452" s="397" t="s">
        <v>130</v>
      </c>
      <c r="I452" s="500">
        <v>44454.0</v>
      </c>
      <c r="J452" s="428">
        <v>9.0</v>
      </c>
      <c r="K452" s="531" t="s">
        <v>240</v>
      </c>
      <c r="L452" s="422" t="s">
        <v>2855</v>
      </c>
      <c r="M452" s="528">
        <f t="shared" si="2"/>
        <v>2199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customHeight="1">
      <c r="A453" s="419">
        <v>26121.0</v>
      </c>
      <c r="B453" s="420" t="s">
        <v>4161</v>
      </c>
      <c r="C453" s="420">
        <v>2013.0</v>
      </c>
      <c r="D453" s="497">
        <v>41569.0</v>
      </c>
      <c r="E453" s="422" t="s">
        <v>4162</v>
      </c>
      <c r="F453" s="394" t="s">
        <v>1762</v>
      </c>
      <c r="G453" s="422" t="s">
        <v>552</v>
      </c>
      <c r="H453" s="394" t="s">
        <v>775</v>
      </c>
      <c r="I453" s="497">
        <v>44454.0</v>
      </c>
      <c r="J453" s="422">
        <v>9.0</v>
      </c>
      <c r="K453" s="532" t="s">
        <v>236</v>
      </c>
      <c r="L453" s="428" t="s">
        <v>2860</v>
      </c>
      <c r="M453" s="529">
        <f t="shared" si="2"/>
        <v>2885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customHeight="1">
      <c r="A454" s="425">
        <v>26221.0</v>
      </c>
      <c r="B454" s="426" t="s">
        <v>4163</v>
      </c>
      <c r="C454" s="426">
        <v>2017.0</v>
      </c>
      <c r="D454" s="500">
        <v>43055.0</v>
      </c>
      <c r="E454" s="428" t="s">
        <v>4164</v>
      </c>
      <c r="F454" s="397" t="s">
        <v>1544</v>
      </c>
      <c r="G454" s="428" t="s">
        <v>552</v>
      </c>
      <c r="H454" s="397" t="s">
        <v>153</v>
      </c>
      <c r="I454" s="500">
        <v>44454.0</v>
      </c>
      <c r="J454" s="428">
        <v>9.0</v>
      </c>
      <c r="K454" s="533" t="s">
        <v>232</v>
      </c>
      <c r="L454" s="422" t="s">
        <v>2860</v>
      </c>
      <c r="M454" s="528">
        <f t="shared" si="2"/>
        <v>1399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customHeight="1">
      <c r="A455" s="419">
        <v>26321.0</v>
      </c>
      <c r="B455" s="420" t="s">
        <v>4165</v>
      </c>
      <c r="C455" s="420">
        <v>2017.0</v>
      </c>
      <c r="D455" s="497">
        <v>42867.0</v>
      </c>
      <c r="E455" s="422" t="s">
        <v>4166</v>
      </c>
      <c r="F455" s="394" t="s">
        <v>1823</v>
      </c>
      <c r="G455" s="422" t="s">
        <v>552</v>
      </c>
      <c r="H455" s="394" t="s">
        <v>4167</v>
      </c>
      <c r="I455" s="497">
        <v>44454.0</v>
      </c>
      <c r="J455" s="422">
        <v>9.0</v>
      </c>
      <c r="K455" s="531" t="s">
        <v>242</v>
      </c>
      <c r="L455" s="428" t="s">
        <v>2855</v>
      </c>
      <c r="M455" s="529">
        <f t="shared" si="2"/>
        <v>1587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customHeight="1">
      <c r="A456" s="425">
        <v>26421.0</v>
      </c>
      <c r="B456" s="426" t="s">
        <v>4168</v>
      </c>
      <c r="C456" s="426">
        <v>2012.0</v>
      </c>
      <c r="D456" s="500">
        <v>41129.0</v>
      </c>
      <c r="E456" s="428" t="s">
        <v>4169</v>
      </c>
      <c r="F456" s="397" t="s">
        <v>4170</v>
      </c>
      <c r="G456" s="428" t="s">
        <v>552</v>
      </c>
      <c r="H456" s="397" t="s">
        <v>130</v>
      </c>
      <c r="I456" s="500">
        <v>44454.0</v>
      </c>
      <c r="J456" s="428">
        <v>9.0</v>
      </c>
      <c r="K456" s="531" t="s">
        <v>242</v>
      </c>
      <c r="L456" s="422" t="s">
        <v>2855</v>
      </c>
      <c r="M456" s="528">
        <f t="shared" si="2"/>
        <v>3325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customHeight="1">
      <c r="A457" s="419">
        <v>26521.0</v>
      </c>
      <c r="B457" s="420" t="s">
        <v>4171</v>
      </c>
      <c r="C457" s="420">
        <v>2015.0</v>
      </c>
      <c r="D457" s="497">
        <v>42255.0</v>
      </c>
      <c r="E457" s="422" t="s">
        <v>4172</v>
      </c>
      <c r="F457" s="394" t="s">
        <v>4160</v>
      </c>
      <c r="G457" s="422" t="s">
        <v>552</v>
      </c>
      <c r="H457" s="394" t="s">
        <v>130</v>
      </c>
      <c r="I457" s="497">
        <v>44454.0</v>
      </c>
      <c r="J457" s="422">
        <v>9.0</v>
      </c>
      <c r="K457" s="531" t="s">
        <v>240</v>
      </c>
      <c r="L457" s="428" t="s">
        <v>2855</v>
      </c>
      <c r="M457" s="529">
        <f t="shared" si="2"/>
        <v>2199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customHeight="1">
      <c r="A458" s="425">
        <v>26621.0</v>
      </c>
      <c r="B458" s="426" t="s">
        <v>4173</v>
      </c>
      <c r="C458" s="426">
        <v>2015.0</v>
      </c>
      <c r="D458" s="500">
        <v>42128.0</v>
      </c>
      <c r="E458" s="428" t="s">
        <v>4174</v>
      </c>
      <c r="F458" s="397" t="s">
        <v>3705</v>
      </c>
      <c r="G458" s="428" t="s">
        <v>552</v>
      </c>
      <c r="H458" s="397" t="s">
        <v>50</v>
      </c>
      <c r="I458" s="500">
        <v>44454.0</v>
      </c>
      <c r="J458" s="428">
        <v>9.0</v>
      </c>
      <c r="K458" s="531" t="s">
        <v>242</v>
      </c>
      <c r="L458" s="422" t="s">
        <v>2855</v>
      </c>
      <c r="M458" s="528">
        <f t="shared" si="2"/>
        <v>2326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customHeight="1">
      <c r="A459" s="419">
        <v>26721.0</v>
      </c>
      <c r="B459" s="420" t="s">
        <v>4175</v>
      </c>
      <c r="C459" s="420">
        <v>2018.0</v>
      </c>
      <c r="D459" s="497">
        <v>43453.0</v>
      </c>
      <c r="E459" s="422" t="s">
        <v>4176</v>
      </c>
      <c r="F459" s="532" t="s">
        <v>4177</v>
      </c>
      <c r="G459" s="422" t="s">
        <v>565</v>
      </c>
      <c r="H459" s="394" t="s">
        <v>4178</v>
      </c>
      <c r="I459" s="497">
        <v>44454.0</v>
      </c>
      <c r="J459" s="422">
        <v>9.0</v>
      </c>
      <c r="K459" s="531" t="s">
        <v>240</v>
      </c>
      <c r="L459" s="428" t="s">
        <v>260</v>
      </c>
      <c r="M459" s="529">
        <f t="shared" si="2"/>
        <v>1001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customHeight="1">
      <c r="A460" s="425">
        <v>26821.0</v>
      </c>
      <c r="B460" s="426" t="s">
        <v>4179</v>
      </c>
      <c r="C460" s="426">
        <v>2021.0</v>
      </c>
      <c r="D460" s="500">
        <v>44250.0</v>
      </c>
      <c r="E460" s="428" t="s">
        <v>4180</v>
      </c>
      <c r="F460" s="505" t="s">
        <v>4181</v>
      </c>
      <c r="G460" s="428" t="s">
        <v>565</v>
      </c>
      <c r="H460" s="397" t="s">
        <v>2093</v>
      </c>
      <c r="I460" s="500">
        <v>44454.0</v>
      </c>
      <c r="J460" s="428">
        <v>9.0</v>
      </c>
      <c r="K460" s="530" t="s">
        <v>822</v>
      </c>
      <c r="L460" s="422" t="s">
        <v>260</v>
      </c>
      <c r="M460" s="528">
        <f t="shared" si="2"/>
        <v>204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customHeight="1">
      <c r="A461" s="419">
        <v>26921.0</v>
      </c>
      <c r="B461" s="420" t="s">
        <v>4182</v>
      </c>
      <c r="C461" s="420">
        <v>2020.0</v>
      </c>
      <c r="D461" s="497">
        <v>44138.0</v>
      </c>
      <c r="E461" s="422" t="s">
        <v>4183</v>
      </c>
      <c r="F461" s="534" t="s">
        <v>4184</v>
      </c>
      <c r="G461" s="422" t="s">
        <v>565</v>
      </c>
      <c r="H461" s="394" t="s">
        <v>3533</v>
      </c>
      <c r="I461" s="497">
        <v>44454.0</v>
      </c>
      <c r="J461" s="422">
        <v>9.0</v>
      </c>
      <c r="K461" s="531" t="s">
        <v>242</v>
      </c>
      <c r="L461" s="428" t="s">
        <v>260</v>
      </c>
      <c r="M461" s="529">
        <f t="shared" si="2"/>
        <v>316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customHeight="1">
      <c r="A462" s="425">
        <v>27021.0</v>
      </c>
      <c r="B462" s="426" t="s">
        <v>4185</v>
      </c>
      <c r="C462" s="426">
        <v>2020.0</v>
      </c>
      <c r="D462" s="500">
        <v>44180.0</v>
      </c>
      <c r="E462" s="428" t="s">
        <v>4186</v>
      </c>
      <c r="F462" s="505" t="s">
        <v>3647</v>
      </c>
      <c r="G462" s="428" t="s">
        <v>565</v>
      </c>
      <c r="H462" s="397" t="s">
        <v>3533</v>
      </c>
      <c r="I462" s="500">
        <v>44454.0</v>
      </c>
      <c r="J462" s="428">
        <v>9.0</v>
      </c>
      <c r="K462" s="531" t="s">
        <v>242</v>
      </c>
      <c r="L462" s="422" t="s">
        <v>260</v>
      </c>
      <c r="M462" s="528">
        <f t="shared" si="2"/>
        <v>274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customHeight="1">
      <c r="A463" s="419">
        <v>27121.0</v>
      </c>
      <c r="B463" s="420" t="s">
        <v>4187</v>
      </c>
      <c r="C463" s="420">
        <v>2014.0</v>
      </c>
      <c r="D463" s="497">
        <v>41843.0</v>
      </c>
      <c r="E463" s="422" t="s">
        <v>4188</v>
      </c>
      <c r="F463" s="394" t="s">
        <v>947</v>
      </c>
      <c r="G463" s="422" t="s">
        <v>552</v>
      </c>
      <c r="H463" s="394" t="s">
        <v>153</v>
      </c>
      <c r="I463" s="497">
        <v>44454.0</v>
      </c>
      <c r="J463" s="422">
        <v>9.0</v>
      </c>
      <c r="K463" s="531" t="s">
        <v>242</v>
      </c>
      <c r="L463" s="428" t="s">
        <v>2855</v>
      </c>
      <c r="M463" s="529">
        <f t="shared" si="2"/>
        <v>2611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customHeight="1">
      <c r="A464" s="425">
        <v>27221.0</v>
      </c>
      <c r="B464" s="426" t="s">
        <v>4189</v>
      </c>
      <c r="C464" s="426">
        <v>2020.0</v>
      </c>
      <c r="D464" s="500">
        <v>44028.0</v>
      </c>
      <c r="E464" s="428" t="s">
        <v>4190</v>
      </c>
      <c r="F464" s="534" t="s">
        <v>4191</v>
      </c>
      <c r="G464" s="428" t="s">
        <v>565</v>
      </c>
      <c r="H464" s="397" t="s">
        <v>577</v>
      </c>
      <c r="I464" s="500">
        <v>44454.0</v>
      </c>
      <c r="J464" s="428">
        <v>9.0</v>
      </c>
      <c r="K464" s="531" t="s">
        <v>242</v>
      </c>
      <c r="L464" s="422" t="s">
        <v>260</v>
      </c>
      <c r="M464" s="528">
        <f t="shared" si="2"/>
        <v>426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customHeight="1">
      <c r="A465" s="419">
        <v>27321.0</v>
      </c>
      <c r="B465" s="420" t="s">
        <v>4192</v>
      </c>
      <c r="C465" s="420">
        <v>2020.0</v>
      </c>
      <c r="D465" s="497">
        <v>44027.0</v>
      </c>
      <c r="E465" s="422" t="s">
        <v>4193</v>
      </c>
      <c r="F465" s="532" t="s">
        <v>4191</v>
      </c>
      <c r="G465" s="422" t="s">
        <v>565</v>
      </c>
      <c r="H465" s="394" t="s">
        <v>577</v>
      </c>
      <c r="I465" s="497">
        <v>44454.0</v>
      </c>
      <c r="J465" s="422">
        <v>9.0</v>
      </c>
      <c r="K465" s="531" t="s">
        <v>242</v>
      </c>
      <c r="L465" s="428" t="s">
        <v>260</v>
      </c>
      <c r="M465" s="529">
        <f t="shared" si="2"/>
        <v>427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customHeight="1">
      <c r="A466" s="425">
        <v>27421.0</v>
      </c>
      <c r="B466" s="426" t="s">
        <v>4194</v>
      </c>
      <c r="C466" s="426">
        <v>2018.0</v>
      </c>
      <c r="D466" s="500">
        <v>43448.0</v>
      </c>
      <c r="E466" s="428" t="s">
        <v>4195</v>
      </c>
      <c r="F466" s="397" t="s">
        <v>3640</v>
      </c>
      <c r="G466" s="428" t="s">
        <v>552</v>
      </c>
      <c r="H466" s="397" t="s">
        <v>4196</v>
      </c>
      <c r="I466" s="500">
        <v>44455.0</v>
      </c>
      <c r="J466" s="428">
        <v>9.0</v>
      </c>
      <c r="K466" s="531" t="s">
        <v>242</v>
      </c>
      <c r="L466" s="422" t="s">
        <v>2860</v>
      </c>
      <c r="M466" s="528">
        <f t="shared" si="2"/>
        <v>1007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customHeight="1">
      <c r="A467" s="419">
        <v>27521.0</v>
      </c>
      <c r="B467" s="420" t="s">
        <v>4197</v>
      </c>
      <c r="C467" s="420">
        <v>2012.0</v>
      </c>
      <c r="D467" s="497">
        <v>41219.0</v>
      </c>
      <c r="E467" s="422" t="s">
        <v>4198</v>
      </c>
      <c r="F467" s="394" t="s">
        <v>1203</v>
      </c>
      <c r="G467" s="422" t="s">
        <v>552</v>
      </c>
      <c r="H467" s="394" t="s">
        <v>775</v>
      </c>
      <c r="I467" s="497">
        <v>44466.0</v>
      </c>
      <c r="J467" s="422">
        <v>9.0</v>
      </c>
      <c r="K467" s="531" t="s">
        <v>242</v>
      </c>
      <c r="L467" s="428" t="s">
        <v>2860</v>
      </c>
      <c r="M467" s="529">
        <f t="shared" si="2"/>
        <v>3247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customHeight="1">
      <c r="A468" s="425">
        <v>27621.0</v>
      </c>
      <c r="B468" s="426" t="s">
        <v>4199</v>
      </c>
      <c r="C468" s="426">
        <v>2017.0</v>
      </c>
      <c r="D468" s="500">
        <v>43098.0</v>
      </c>
      <c r="E468" s="428" t="s">
        <v>4200</v>
      </c>
      <c r="F468" s="397" t="s">
        <v>1544</v>
      </c>
      <c r="G468" s="428" t="s">
        <v>552</v>
      </c>
      <c r="H468" s="397" t="s">
        <v>2934</v>
      </c>
      <c r="I468" s="500">
        <v>44466.0</v>
      </c>
      <c r="J468" s="428">
        <v>9.0</v>
      </c>
      <c r="K468" s="533" t="s">
        <v>232</v>
      </c>
      <c r="L468" s="422" t="s">
        <v>2860</v>
      </c>
      <c r="M468" s="528">
        <f t="shared" si="2"/>
        <v>1368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customHeight="1">
      <c r="A469" s="419">
        <v>27721.0</v>
      </c>
      <c r="B469" s="420" t="s">
        <v>4201</v>
      </c>
      <c r="C469" s="420">
        <v>2018.0</v>
      </c>
      <c r="D469" s="497">
        <v>43217.0</v>
      </c>
      <c r="E469" s="422" t="s">
        <v>4202</v>
      </c>
      <c r="F469" s="394" t="s">
        <v>171</v>
      </c>
      <c r="G469" s="422" t="s">
        <v>552</v>
      </c>
      <c r="H469" s="394" t="s">
        <v>4203</v>
      </c>
      <c r="I469" s="497">
        <v>44466.0</v>
      </c>
      <c r="J469" s="422">
        <v>9.0</v>
      </c>
      <c r="K469" s="531" t="s">
        <v>240</v>
      </c>
      <c r="L469" s="428" t="s">
        <v>2860</v>
      </c>
      <c r="M469" s="529">
        <f t="shared" si="2"/>
        <v>1249</v>
      </c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2.75" customHeight="1">
      <c r="A470" s="425">
        <v>27821.0</v>
      </c>
      <c r="B470" s="426" t="s">
        <v>4204</v>
      </c>
      <c r="C470" s="426">
        <v>2019.0</v>
      </c>
      <c r="D470" s="500">
        <v>43599.0</v>
      </c>
      <c r="E470" s="428" t="s">
        <v>4205</v>
      </c>
      <c r="F470" s="397" t="s">
        <v>4206</v>
      </c>
      <c r="G470" s="428" t="s">
        <v>552</v>
      </c>
      <c r="H470" s="397" t="s">
        <v>66</v>
      </c>
      <c r="I470" s="500">
        <v>44467.0</v>
      </c>
      <c r="J470" s="428">
        <v>9.0</v>
      </c>
      <c r="K470" s="531" t="s">
        <v>240</v>
      </c>
      <c r="L470" s="422" t="s">
        <v>2860</v>
      </c>
      <c r="M470" s="528">
        <f t="shared" si="2"/>
        <v>868</v>
      </c>
      <c r="N470" s="512"/>
      <c r="O470" s="512"/>
      <c r="P470" s="512"/>
      <c r="Q470" s="512"/>
      <c r="R470" s="512"/>
      <c r="S470" s="512"/>
      <c r="T470" s="512"/>
      <c r="U470" s="512"/>
      <c r="V470" s="512"/>
      <c r="W470" s="512"/>
      <c r="X470" s="512"/>
      <c r="Y470" s="512"/>
      <c r="Z470" s="512"/>
    </row>
    <row r="471" ht="12.75" customHeight="1">
      <c r="A471" s="419">
        <v>27921.0</v>
      </c>
      <c r="B471" s="420" t="s">
        <v>4207</v>
      </c>
      <c r="C471" s="420">
        <v>2013.0</v>
      </c>
      <c r="D471" s="497">
        <v>41614.0</v>
      </c>
      <c r="E471" s="422" t="s">
        <v>4208</v>
      </c>
      <c r="F471" s="394" t="s">
        <v>2060</v>
      </c>
      <c r="G471" s="422" t="s">
        <v>552</v>
      </c>
      <c r="H471" s="394" t="s">
        <v>125</v>
      </c>
      <c r="I471" s="497">
        <v>44467.0</v>
      </c>
      <c r="J471" s="422">
        <v>9.0</v>
      </c>
      <c r="K471" s="531" t="s">
        <v>242</v>
      </c>
      <c r="L471" s="428" t="s">
        <v>2860</v>
      </c>
      <c r="M471" s="529">
        <f t="shared" si="2"/>
        <v>2853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2.75" customHeight="1">
      <c r="A472" s="425">
        <v>28021.0</v>
      </c>
      <c r="B472" s="426" t="s">
        <v>4209</v>
      </c>
      <c r="C472" s="426">
        <v>2015.0</v>
      </c>
      <c r="D472" s="500">
        <v>42334.0</v>
      </c>
      <c r="E472" s="428" t="s">
        <v>4210</v>
      </c>
      <c r="F472" s="397" t="s">
        <v>4211</v>
      </c>
      <c r="G472" s="428" t="s">
        <v>547</v>
      </c>
      <c r="H472" s="397" t="s">
        <v>3695</v>
      </c>
      <c r="I472" s="500">
        <v>44477.0</v>
      </c>
      <c r="J472" s="428">
        <v>10.0</v>
      </c>
      <c r="K472" s="530" t="s">
        <v>822</v>
      </c>
      <c r="L472" s="422" t="s">
        <v>2860</v>
      </c>
      <c r="M472" s="528">
        <f t="shared" si="2"/>
        <v>2143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customHeight="1">
      <c r="A473" s="419">
        <v>28121.0</v>
      </c>
      <c r="B473" s="420" t="s">
        <v>4212</v>
      </c>
      <c r="C473" s="420">
        <v>2013.0</v>
      </c>
      <c r="D473" s="497">
        <v>41334.0</v>
      </c>
      <c r="E473" s="422" t="s">
        <v>4213</v>
      </c>
      <c r="F473" s="394" t="s">
        <v>4214</v>
      </c>
      <c r="G473" s="422" t="s">
        <v>650</v>
      </c>
      <c r="H473" s="394" t="s">
        <v>923</v>
      </c>
      <c r="I473" s="497">
        <v>44490.0</v>
      </c>
      <c r="J473" s="422">
        <v>10.0</v>
      </c>
      <c r="K473" s="531" t="s">
        <v>242</v>
      </c>
      <c r="L473" s="428" t="s">
        <v>2855</v>
      </c>
      <c r="M473" s="529">
        <f t="shared" si="2"/>
        <v>3156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customHeight="1">
      <c r="A474" s="425">
        <v>28221.0</v>
      </c>
      <c r="B474" s="426" t="s">
        <v>4215</v>
      </c>
      <c r="C474" s="426">
        <v>2014.0</v>
      </c>
      <c r="D474" s="500">
        <v>41726.0</v>
      </c>
      <c r="E474" s="428" t="s">
        <v>4216</v>
      </c>
      <c r="F474" s="397" t="s">
        <v>4217</v>
      </c>
      <c r="G474" s="428" t="s">
        <v>650</v>
      </c>
      <c r="H474" s="397" t="s">
        <v>3695</v>
      </c>
      <c r="I474" s="500">
        <v>44490.0</v>
      </c>
      <c r="J474" s="428">
        <v>10.0</v>
      </c>
      <c r="K474" s="531" t="s">
        <v>242</v>
      </c>
      <c r="L474" s="422" t="s">
        <v>2855</v>
      </c>
      <c r="M474" s="528">
        <f t="shared" si="2"/>
        <v>2764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customHeight="1">
      <c r="A475" s="419">
        <v>28321.0</v>
      </c>
      <c r="B475" s="420" t="s">
        <v>4218</v>
      </c>
      <c r="C475" s="420">
        <v>2014.0</v>
      </c>
      <c r="D475" s="497">
        <v>41751.0</v>
      </c>
      <c r="E475" s="422" t="s">
        <v>4219</v>
      </c>
      <c r="F475" s="394" t="s">
        <v>1926</v>
      </c>
      <c r="G475" s="422" t="s">
        <v>650</v>
      </c>
      <c r="H475" s="394" t="s">
        <v>3788</v>
      </c>
      <c r="I475" s="497">
        <v>44490.0</v>
      </c>
      <c r="J475" s="422">
        <v>10.0</v>
      </c>
      <c r="K475" s="531" t="s">
        <v>242</v>
      </c>
      <c r="L475" s="428" t="s">
        <v>2855</v>
      </c>
      <c r="M475" s="529">
        <f t="shared" si="2"/>
        <v>2739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customHeight="1">
      <c r="A476" s="425">
        <v>28421.0</v>
      </c>
      <c r="B476" s="426" t="s">
        <v>4220</v>
      </c>
      <c r="C476" s="426">
        <v>2015.0</v>
      </c>
      <c r="D476" s="500">
        <v>42335.0</v>
      </c>
      <c r="E476" s="428" t="s">
        <v>4221</v>
      </c>
      <c r="F476" s="397" t="s">
        <v>3934</v>
      </c>
      <c r="G476" s="428" t="s">
        <v>552</v>
      </c>
      <c r="H476" s="397" t="s">
        <v>596</v>
      </c>
      <c r="I476" s="500">
        <v>44490.0</v>
      </c>
      <c r="J476" s="428">
        <v>10.0</v>
      </c>
      <c r="K476" s="531" t="s">
        <v>242</v>
      </c>
      <c r="L476" s="422" t="s">
        <v>2860</v>
      </c>
      <c r="M476" s="528">
        <f t="shared" si="2"/>
        <v>2155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customHeight="1">
      <c r="A477" s="419">
        <v>28521.0</v>
      </c>
      <c r="B477" s="420" t="s">
        <v>4222</v>
      </c>
      <c r="C477" s="420">
        <v>2014.0</v>
      </c>
      <c r="D477" s="497">
        <v>41970.0</v>
      </c>
      <c r="E477" s="422" t="s">
        <v>4223</v>
      </c>
      <c r="F477" s="394" t="s">
        <v>719</v>
      </c>
      <c r="G477" s="422" t="s">
        <v>552</v>
      </c>
      <c r="H477" s="394" t="s">
        <v>929</v>
      </c>
      <c r="I477" s="497">
        <v>44490.0</v>
      </c>
      <c r="J477" s="422">
        <v>10.0</v>
      </c>
      <c r="K477" s="531" t="s">
        <v>240</v>
      </c>
      <c r="L477" s="428" t="s">
        <v>2855</v>
      </c>
      <c r="M477" s="529">
        <f t="shared" si="2"/>
        <v>2520</v>
      </c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customHeight="1">
      <c r="A478" s="425">
        <v>28621.0</v>
      </c>
      <c r="B478" s="426" t="s">
        <v>4224</v>
      </c>
      <c r="C478" s="426">
        <v>2015.0</v>
      </c>
      <c r="D478" s="500">
        <v>42347.0</v>
      </c>
      <c r="E478" s="428" t="s">
        <v>4225</v>
      </c>
      <c r="F478" s="397" t="s">
        <v>4226</v>
      </c>
      <c r="G478" s="428" t="s">
        <v>650</v>
      </c>
      <c r="H478" s="397" t="s">
        <v>573</v>
      </c>
      <c r="I478" s="500">
        <v>44490.0</v>
      </c>
      <c r="J478" s="428">
        <v>10.0</v>
      </c>
      <c r="K478" s="531" t="s">
        <v>242</v>
      </c>
      <c r="L478" s="422" t="s">
        <v>2855</v>
      </c>
      <c r="M478" s="528">
        <f t="shared" si="2"/>
        <v>2143</v>
      </c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customHeight="1">
      <c r="A479" s="419">
        <v>28721.0</v>
      </c>
      <c r="B479" s="420" t="s">
        <v>4227</v>
      </c>
      <c r="C479" s="420">
        <v>2013.0</v>
      </c>
      <c r="D479" s="497">
        <v>41579.0</v>
      </c>
      <c r="E479" s="422" t="s">
        <v>4228</v>
      </c>
      <c r="F479" s="394" t="s">
        <v>3078</v>
      </c>
      <c r="G479" s="422" t="s">
        <v>552</v>
      </c>
      <c r="H479" s="394" t="s">
        <v>50</v>
      </c>
      <c r="I479" s="497">
        <v>44490.0</v>
      </c>
      <c r="J479" s="422">
        <v>10.0</v>
      </c>
      <c r="K479" s="531" t="s">
        <v>242</v>
      </c>
      <c r="L479" s="428" t="s">
        <v>2860</v>
      </c>
      <c r="M479" s="529">
        <f t="shared" si="2"/>
        <v>2911</v>
      </c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customHeight="1">
      <c r="A480" s="425">
        <v>28821.0</v>
      </c>
      <c r="B480" s="426" t="s">
        <v>4229</v>
      </c>
      <c r="C480" s="426">
        <v>2013.0</v>
      </c>
      <c r="D480" s="500">
        <v>41631.0</v>
      </c>
      <c r="E480" s="428" t="s">
        <v>4230</v>
      </c>
      <c r="F480" s="397" t="s">
        <v>947</v>
      </c>
      <c r="G480" s="428" t="s">
        <v>552</v>
      </c>
      <c r="H480" s="397" t="s">
        <v>18</v>
      </c>
      <c r="I480" s="500">
        <v>44490.0</v>
      </c>
      <c r="J480" s="428">
        <v>10.0</v>
      </c>
      <c r="K480" s="531" t="s">
        <v>242</v>
      </c>
      <c r="L480" s="422" t="s">
        <v>2855</v>
      </c>
      <c r="M480" s="528">
        <f t="shared" si="2"/>
        <v>2859</v>
      </c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customHeight="1">
      <c r="A481" s="419">
        <v>28921.0</v>
      </c>
      <c r="B481" s="420" t="s">
        <v>4231</v>
      </c>
      <c r="C481" s="420">
        <v>2016.0</v>
      </c>
      <c r="D481" s="497">
        <v>42464.0</v>
      </c>
      <c r="E481" s="422" t="s">
        <v>4232</v>
      </c>
      <c r="F481" s="394" t="s">
        <v>4233</v>
      </c>
      <c r="G481" s="422" t="s">
        <v>650</v>
      </c>
      <c r="H481" s="394" t="s">
        <v>2272</v>
      </c>
      <c r="I481" s="497">
        <v>44490.0</v>
      </c>
      <c r="J481" s="422">
        <v>10.0</v>
      </c>
      <c r="K481" s="531" t="s">
        <v>242</v>
      </c>
      <c r="L481" s="428" t="s">
        <v>2860</v>
      </c>
      <c r="M481" s="529">
        <f t="shared" si="2"/>
        <v>2026</v>
      </c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customHeight="1">
      <c r="A482" s="425">
        <v>29021.0</v>
      </c>
      <c r="B482" s="426" t="s">
        <v>4234</v>
      </c>
      <c r="C482" s="426">
        <v>2018.0</v>
      </c>
      <c r="D482" s="500">
        <v>43250.0</v>
      </c>
      <c r="E482" s="428" t="s">
        <v>4235</v>
      </c>
      <c r="F482" s="397" t="s">
        <v>739</v>
      </c>
      <c r="G482" s="428" t="s">
        <v>552</v>
      </c>
      <c r="H482" s="397" t="s">
        <v>1091</v>
      </c>
      <c r="I482" s="500">
        <v>44490.0</v>
      </c>
      <c r="J482" s="428">
        <v>10.0</v>
      </c>
      <c r="K482" s="538" t="s">
        <v>228</v>
      </c>
      <c r="L482" s="422" t="s">
        <v>2855</v>
      </c>
      <c r="M482" s="528">
        <f t="shared" si="2"/>
        <v>1240</v>
      </c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customHeight="1">
      <c r="A483" s="419">
        <v>29121.0</v>
      </c>
      <c r="B483" s="420" t="s">
        <v>4236</v>
      </c>
      <c r="C483" s="420">
        <v>2018.0</v>
      </c>
      <c r="D483" s="497">
        <v>43250.0</v>
      </c>
      <c r="E483" s="422" t="s">
        <v>4237</v>
      </c>
      <c r="F483" s="394" t="s">
        <v>739</v>
      </c>
      <c r="G483" s="422" t="s">
        <v>552</v>
      </c>
      <c r="H483" s="394" t="s">
        <v>1091</v>
      </c>
      <c r="I483" s="497">
        <v>44490.0</v>
      </c>
      <c r="J483" s="422">
        <v>10.0</v>
      </c>
      <c r="K483" s="533" t="s">
        <v>228</v>
      </c>
      <c r="L483" s="428" t="s">
        <v>2855</v>
      </c>
      <c r="M483" s="529">
        <f t="shared" si="2"/>
        <v>1240</v>
      </c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customHeight="1">
      <c r="A484" s="425">
        <v>29221.0</v>
      </c>
      <c r="B484" s="426" t="s">
        <v>4238</v>
      </c>
      <c r="C484" s="426">
        <v>2018.0</v>
      </c>
      <c r="D484" s="500">
        <v>43252.0</v>
      </c>
      <c r="E484" s="428" t="s">
        <v>4239</v>
      </c>
      <c r="F484" s="397" t="s">
        <v>739</v>
      </c>
      <c r="G484" s="428" t="s">
        <v>552</v>
      </c>
      <c r="H484" s="397" t="s">
        <v>1091</v>
      </c>
      <c r="I484" s="500">
        <v>44490.0</v>
      </c>
      <c r="J484" s="428">
        <v>10.0</v>
      </c>
      <c r="K484" s="538" t="s">
        <v>228</v>
      </c>
      <c r="L484" s="422" t="s">
        <v>2855</v>
      </c>
      <c r="M484" s="528">
        <f t="shared" si="2"/>
        <v>1238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customHeight="1">
      <c r="A485" s="419">
        <v>29321.0</v>
      </c>
      <c r="B485" s="420" t="s">
        <v>4240</v>
      </c>
      <c r="C485" s="420">
        <v>2018.0</v>
      </c>
      <c r="D485" s="497">
        <v>43453.0</v>
      </c>
      <c r="E485" s="422" t="s">
        <v>4241</v>
      </c>
      <c r="F485" s="394" t="s">
        <v>2337</v>
      </c>
      <c r="G485" s="422" t="s">
        <v>552</v>
      </c>
      <c r="H485" s="394" t="s">
        <v>1091</v>
      </c>
      <c r="I485" s="497">
        <v>44490.0</v>
      </c>
      <c r="J485" s="422">
        <v>10.0</v>
      </c>
      <c r="K485" s="531" t="s">
        <v>240</v>
      </c>
      <c r="L485" s="428" t="s">
        <v>2860</v>
      </c>
      <c r="M485" s="529">
        <f t="shared" si="2"/>
        <v>1037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customHeight="1">
      <c r="A486" s="425">
        <v>29421.0</v>
      </c>
      <c r="B486" s="426" t="s">
        <v>4242</v>
      </c>
      <c r="C486" s="426">
        <v>2021.0</v>
      </c>
      <c r="D486" s="500">
        <v>44312.0</v>
      </c>
      <c r="E486" s="428" t="s">
        <v>4243</v>
      </c>
      <c r="F486" s="534" t="s">
        <v>4244</v>
      </c>
      <c r="G486" s="428" t="s">
        <v>565</v>
      </c>
      <c r="H486" s="397" t="s">
        <v>4245</v>
      </c>
      <c r="I486" s="500">
        <v>44490.0</v>
      </c>
      <c r="J486" s="428">
        <v>10.0</v>
      </c>
      <c r="K486" s="530" t="s">
        <v>822</v>
      </c>
      <c r="L486" s="422" t="s">
        <v>260</v>
      </c>
      <c r="M486" s="528">
        <f t="shared" si="2"/>
        <v>178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customHeight="1">
      <c r="A487" s="419">
        <v>29521.0</v>
      </c>
      <c r="B487" s="420" t="s">
        <v>4246</v>
      </c>
      <c r="C487" s="420">
        <v>2015.0</v>
      </c>
      <c r="D487" s="497">
        <v>42016.0</v>
      </c>
      <c r="E487" s="422" t="s">
        <v>4247</v>
      </c>
      <c r="F487" s="394" t="s">
        <v>1150</v>
      </c>
      <c r="G487" s="422" t="s">
        <v>552</v>
      </c>
      <c r="H487" s="394" t="s">
        <v>50</v>
      </c>
      <c r="I487" s="497">
        <v>44491.0</v>
      </c>
      <c r="J487" s="422">
        <v>10.0</v>
      </c>
      <c r="K487" s="533" t="s">
        <v>232</v>
      </c>
      <c r="L487" s="428" t="s">
        <v>2860</v>
      </c>
      <c r="M487" s="529">
        <f t="shared" si="2"/>
        <v>2475</v>
      </c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customHeight="1">
      <c r="A488" s="425">
        <v>29621.0</v>
      </c>
      <c r="B488" s="426" t="s">
        <v>4248</v>
      </c>
      <c r="C488" s="426">
        <v>2015.0</v>
      </c>
      <c r="D488" s="500">
        <v>44412.0</v>
      </c>
      <c r="E488" s="428" t="s">
        <v>4249</v>
      </c>
      <c r="F488" s="397" t="s">
        <v>4250</v>
      </c>
      <c r="G488" s="428" t="s">
        <v>650</v>
      </c>
      <c r="H488" s="397" t="s">
        <v>705</v>
      </c>
      <c r="I488" s="500">
        <v>44491.0</v>
      </c>
      <c r="J488" s="428">
        <v>10.0</v>
      </c>
      <c r="K488" s="531" t="s">
        <v>240</v>
      </c>
      <c r="L488" s="422" t="s">
        <v>2860</v>
      </c>
      <c r="M488" s="528">
        <f t="shared" si="2"/>
        <v>79</v>
      </c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customHeight="1">
      <c r="A489" s="419">
        <v>29721.0</v>
      </c>
      <c r="B489" s="420" t="s">
        <v>4251</v>
      </c>
      <c r="C489" s="420">
        <v>2013.0</v>
      </c>
      <c r="D489" s="497">
        <v>41387.0</v>
      </c>
      <c r="E489" s="422" t="s">
        <v>4252</v>
      </c>
      <c r="F489" s="394" t="s">
        <v>563</v>
      </c>
      <c r="G489" s="422" t="s">
        <v>552</v>
      </c>
      <c r="H489" s="394" t="s">
        <v>153</v>
      </c>
      <c r="I489" s="497">
        <v>44491.0</v>
      </c>
      <c r="J489" s="422">
        <v>10.0</v>
      </c>
      <c r="K489" s="539" t="s">
        <v>236</v>
      </c>
      <c r="L489" s="428" t="s">
        <v>2860</v>
      </c>
      <c r="M489" s="529">
        <f t="shared" si="2"/>
        <v>3104</v>
      </c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customHeight="1">
      <c r="A490" s="425">
        <v>29821.0</v>
      </c>
      <c r="B490" s="426" t="s">
        <v>4253</v>
      </c>
      <c r="C490" s="426">
        <v>2018.0</v>
      </c>
      <c r="D490" s="500">
        <v>43131.0</v>
      </c>
      <c r="E490" s="428" t="s">
        <v>4254</v>
      </c>
      <c r="F490" s="397" t="s">
        <v>71</v>
      </c>
      <c r="G490" s="428" t="s">
        <v>552</v>
      </c>
      <c r="H490" s="397" t="s">
        <v>26</v>
      </c>
      <c r="I490" s="500">
        <v>44491.0</v>
      </c>
      <c r="J490" s="428">
        <v>10.0</v>
      </c>
      <c r="K490" s="531" t="s">
        <v>242</v>
      </c>
      <c r="L490" s="422" t="s">
        <v>260</v>
      </c>
      <c r="M490" s="528">
        <f t="shared" si="2"/>
        <v>1360</v>
      </c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customHeight="1">
      <c r="A491" s="419">
        <v>29921.0</v>
      </c>
      <c r="B491" s="420" t="s">
        <v>4255</v>
      </c>
      <c r="C491" s="420">
        <v>2014.0</v>
      </c>
      <c r="D491" s="497">
        <v>41792.0</v>
      </c>
      <c r="E491" s="422" t="s">
        <v>4256</v>
      </c>
      <c r="F491" s="394" t="s">
        <v>4257</v>
      </c>
      <c r="G491" s="422" t="s">
        <v>650</v>
      </c>
      <c r="H491" s="394" t="s">
        <v>26</v>
      </c>
      <c r="I491" s="497">
        <v>44491.0</v>
      </c>
      <c r="J491" s="422">
        <v>10.0</v>
      </c>
      <c r="K491" s="535" t="s">
        <v>228</v>
      </c>
      <c r="L491" s="428" t="s">
        <v>2855</v>
      </c>
      <c r="M491" s="529">
        <f t="shared" si="2"/>
        <v>2699</v>
      </c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customHeight="1">
      <c r="A492" s="425">
        <v>30021.0</v>
      </c>
      <c r="B492" s="426" t="s">
        <v>4258</v>
      </c>
      <c r="C492" s="426">
        <v>2015.0</v>
      </c>
      <c r="D492" s="500">
        <v>42185.0</v>
      </c>
      <c r="E492" s="428" t="s">
        <v>4259</v>
      </c>
      <c r="F492" s="397" t="s">
        <v>4260</v>
      </c>
      <c r="G492" s="428" t="s">
        <v>650</v>
      </c>
      <c r="H492" s="397" t="s">
        <v>158</v>
      </c>
      <c r="I492" s="500">
        <v>44491.0</v>
      </c>
      <c r="J492" s="428">
        <v>10.0</v>
      </c>
      <c r="K492" s="531" t="s">
        <v>242</v>
      </c>
      <c r="L492" s="422" t="s">
        <v>2855</v>
      </c>
      <c r="M492" s="528">
        <f t="shared" si="2"/>
        <v>2306</v>
      </c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customHeight="1">
      <c r="A493" s="419">
        <v>30121.0</v>
      </c>
      <c r="B493" s="420" t="s">
        <v>4261</v>
      </c>
      <c r="C493" s="420">
        <v>2015.0</v>
      </c>
      <c r="D493" s="497">
        <v>42346.0</v>
      </c>
      <c r="E493" s="422" t="s">
        <v>4262</v>
      </c>
      <c r="F493" s="394" t="s">
        <v>4263</v>
      </c>
      <c r="G493" s="422" t="s">
        <v>552</v>
      </c>
      <c r="H493" s="394" t="s">
        <v>929</v>
      </c>
      <c r="I493" s="497">
        <v>44491.0</v>
      </c>
      <c r="J493" s="422">
        <v>10.0</v>
      </c>
      <c r="K493" s="531" t="s">
        <v>240</v>
      </c>
      <c r="L493" s="428" t="s">
        <v>2860</v>
      </c>
      <c r="M493" s="529">
        <f t="shared" si="2"/>
        <v>2145</v>
      </c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customHeight="1">
      <c r="A494" s="425">
        <v>30221.0</v>
      </c>
      <c r="B494" s="426" t="s">
        <v>4264</v>
      </c>
      <c r="C494" s="426">
        <v>2014.0</v>
      </c>
      <c r="D494" s="500">
        <v>41988.0</v>
      </c>
      <c r="E494" s="428" t="s">
        <v>4265</v>
      </c>
      <c r="F494" s="397" t="s">
        <v>4266</v>
      </c>
      <c r="G494" s="428" t="s">
        <v>552</v>
      </c>
      <c r="H494" s="397" t="s">
        <v>720</v>
      </c>
      <c r="I494" s="500">
        <v>44491.0</v>
      </c>
      <c r="J494" s="428">
        <v>10.0</v>
      </c>
      <c r="K494" s="531" t="s">
        <v>242</v>
      </c>
      <c r="L494" s="422" t="s">
        <v>2860</v>
      </c>
      <c r="M494" s="528">
        <f t="shared" si="2"/>
        <v>2503</v>
      </c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customHeight="1">
      <c r="A495" s="419">
        <v>30321.0</v>
      </c>
      <c r="B495" s="420" t="s">
        <v>4267</v>
      </c>
      <c r="C495" s="420">
        <v>2017.0</v>
      </c>
      <c r="D495" s="497">
        <v>42993.0</v>
      </c>
      <c r="E495" s="422" t="s">
        <v>4268</v>
      </c>
      <c r="F495" s="394" t="s">
        <v>2905</v>
      </c>
      <c r="G495" s="422" t="s">
        <v>552</v>
      </c>
      <c r="H495" s="394" t="s">
        <v>564</v>
      </c>
      <c r="I495" s="497">
        <v>44491.0</v>
      </c>
      <c r="J495" s="422">
        <v>10.0</v>
      </c>
      <c r="K495" s="531" t="s">
        <v>240</v>
      </c>
      <c r="L495" s="428" t="s">
        <v>2855</v>
      </c>
      <c r="M495" s="529">
        <f t="shared" si="2"/>
        <v>1498</v>
      </c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customHeight="1">
      <c r="A496" s="425">
        <v>30421.0</v>
      </c>
      <c r="B496" s="321" t="s">
        <v>3889</v>
      </c>
      <c r="C496" s="321" t="s">
        <v>3889</v>
      </c>
      <c r="D496" s="540" t="s">
        <v>3889</v>
      </c>
      <c r="E496" s="321" t="s">
        <v>3889</v>
      </c>
      <c r="F496" s="321" t="s">
        <v>3889</v>
      </c>
      <c r="G496" s="321" t="s">
        <v>3889</v>
      </c>
      <c r="H496" s="321" t="s">
        <v>3889</v>
      </c>
      <c r="I496" s="540" t="s">
        <v>3889</v>
      </c>
      <c r="J496" s="321" t="s">
        <v>3889</v>
      </c>
      <c r="K496" s="321" t="s">
        <v>3889</v>
      </c>
      <c r="L496" s="322" t="s">
        <v>3889</v>
      </c>
      <c r="M496" s="322" t="s">
        <v>3889</v>
      </c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customHeight="1">
      <c r="A497" s="419">
        <v>30521.0</v>
      </c>
      <c r="B497" s="420" t="s">
        <v>4269</v>
      </c>
      <c r="C497" s="420">
        <v>2014.0</v>
      </c>
      <c r="D497" s="497">
        <v>41751.0</v>
      </c>
      <c r="E497" s="422" t="s">
        <v>4270</v>
      </c>
      <c r="F497" s="394" t="s">
        <v>1926</v>
      </c>
      <c r="G497" s="422" t="s">
        <v>650</v>
      </c>
      <c r="H497" s="394" t="s">
        <v>4271</v>
      </c>
      <c r="I497" s="497">
        <v>44498.0</v>
      </c>
      <c r="J497" s="422">
        <v>10.0</v>
      </c>
      <c r="K497" s="531" t="s">
        <v>242</v>
      </c>
      <c r="L497" s="428" t="s">
        <v>2855</v>
      </c>
      <c r="M497" s="529">
        <f t="shared" ref="M497:M564" si="3">I497-D497</f>
        <v>2747</v>
      </c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customHeight="1">
      <c r="A498" s="425">
        <v>30621.0</v>
      </c>
      <c r="B498" s="426" t="s">
        <v>4272</v>
      </c>
      <c r="C498" s="426">
        <v>2018.0</v>
      </c>
      <c r="D498" s="500">
        <v>43343.0</v>
      </c>
      <c r="E498" s="428" t="s">
        <v>4273</v>
      </c>
      <c r="F498" s="397" t="s">
        <v>1762</v>
      </c>
      <c r="G498" s="428" t="s">
        <v>552</v>
      </c>
      <c r="H498" s="397" t="s">
        <v>2934</v>
      </c>
      <c r="I498" s="500">
        <v>44498.0</v>
      </c>
      <c r="J498" s="428">
        <v>10.0</v>
      </c>
      <c r="K498" s="530" t="s">
        <v>822</v>
      </c>
      <c r="L498" s="422" t="s">
        <v>2860</v>
      </c>
      <c r="M498" s="528">
        <f t="shared" si="3"/>
        <v>1155</v>
      </c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customHeight="1">
      <c r="A499" s="419">
        <v>30721.0</v>
      </c>
      <c r="B499" s="420" t="s">
        <v>4274</v>
      </c>
      <c r="C499" s="420">
        <v>2020.0</v>
      </c>
      <c r="D499" s="497">
        <v>43973.0</v>
      </c>
      <c r="E499" s="422" t="s">
        <v>4275</v>
      </c>
      <c r="F499" s="534" t="s">
        <v>4276</v>
      </c>
      <c r="G499" s="422" t="s">
        <v>569</v>
      </c>
      <c r="H499" s="394" t="s">
        <v>1880</v>
      </c>
      <c r="I499" s="497">
        <v>44498.0</v>
      </c>
      <c r="J499" s="422">
        <v>10.0</v>
      </c>
      <c r="K499" s="530" t="s">
        <v>822</v>
      </c>
      <c r="L499" s="428" t="s">
        <v>260</v>
      </c>
      <c r="M499" s="529">
        <f t="shared" si="3"/>
        <v>525</v>
      </c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customHeight="1">
      <c r="A500" s="425">
        <v>30821.0</v>
      </c>
      <c r="B500" s="426" t="s">
        <v>4277</v>
      </c>
      <c r="C500" s="426">
        <v>2019.0</v>
      </c>
      <c r="D500" s="500">
        <v>43623.0</v>
      </c>
      <c r="E500" s="428" t="s">
        <v>4278</v>
      </c>
      <c r="F500" s="397" t="s">
        <v>4279</v>
      </c>
      <c r="G500" s="428" t="s">
        <v>552</v>
      </c>
      <c r="H500" s="397" t="s">
        <v>720</v>
      </c>
      <c r="I500" s="500">
        <v>44498.0</v>
      </c>
      <c r="J500" s="428">
        <v>10.0</v>
      </c>
      <c r="K500" s="531" t="s">
        <v>240</v>
      </c>
      <c r="L500" s="422" t="s">
        <v>2855</v>
      </c>
      <c r="M500" s="528">
        <f t="shared" si="3"/>
        <v>875</v>
      </c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0" customHeight="1">
      <c r="A501" s="419">
        <v>30921.0</v>
      </c>
      <c r="B501" s="420" t="s">
        <v>4280</v>
      </c>
      <c r="C501" s="420">
        <v>2020.0</v>
      </c>
      <c r="D501" s="497">
        <v>43997.0</v>
      </c>
      <c r="E501" s="422" t="s">
        <v>4281</v>
      </c>
      <c r="F501" s="503" t="s">
        <v>1817</v>
      </c>
      <c r="G501" s="422" t="s">
        <v>569</v>
      </c>
      <c r="H501" s="394" t="s">
        <v>4282</v>
      </c>
      <c r="I501" s="497">
        <v>44498.0</v>
      </c>
      <c r="J501" s="422">
        <v>10.0</v>
      </c>
      <c r="K501" s="530" t="s">
        <v>822</v>
      </c>
      <c r="L501" s="428" t="s">
        <v>260</v>
      </c>
      <c r="M501" s="529">
        <f t="shared" si="3"/>
        <v>501</v>
      </c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2.75" customHeight="1">
      <c r="A502" s="425">
        <v>31021.0</v>
      </c>
      <c r="B502" s="426" t="s">
        <v>4283</v>
      </c>
      <c r="C502" s="426">
        <v>2020.0</v>
      </c>
      <c r="D502" s="500">
        <v>43997.0</v>
      </c>
      <c r="E502" s="428" t="s">
        <v>4284</v>
      </c>
      <c r="F502" s="505" t="s">
        <v>3665</v>
      </c>
      <c r="G502" s="428" t="s">
        <v>569</v>
      </c>
      <c r="H502" s="428" t="s">
        <v>4282</v>
      </c>
      <c r="I502" s="500">
        <v>44498.0</v>
      </c>
      <c r="J502" s="428">
        <v>10.0</v>
      </c>
      <c r="K502" s="530" t="s">
        <v>822</v>
      </c>
      <c r="L502" s="422" t="s">
        <v>260</v>
      </c>
      <c r="M502" s="528">
        <f t="shared" si="3"/>
        <v>501</v>
      </c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customHeight="1">
      <c r="A503" s="419">
        <v>31121.0</v>
      </c>
      <c r="B503" s="420" t="s">
        <v>4285</v>
      </c>
      <c r="C503" s="420">
        <v>2016.0</v>
      </c>
      <c r="D503" s="497">
        <v>42636.0</v>
      </c>
      <c r="E503" s="422" t="s">
        <v>4286</v>
      </c>
      <c r="F503" s="394" t="s">
        <v>1895</v>
      </c>
      <c r="G503" s="422" t="s">
        <v>552</v>
      </c>
      <c r="H503" s="394" t="s">
        <v>1896</v>
      </c>
      <c r="I503" s="497">
        <v>44498.0</v>
      </c>
      <c r="J503" s="422">
        <v>10.0</v>
      </c>
      <c r="K503" s="531" t="s">
        <v>242</v>
      </c>
      <c r="L503" s="428" t="s">
        <v>2860</v>
      </c>
      <c r="M503" s="529">
        <f t="shared" si="3"/>
        <v>1862</v>
      </c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customHeight="1">
      <c r="A504" s="425">
        <v>31221.0</v>
      </c>
      <c r="B504" s="426" t="s">
        <v>4287</v>
      </c>
      <c r="C504" s="426">
        <v>2020.0</v>
      </c>
      <c r="D504" s="500">
        <v>44043.0</v>
      </c>
      <c r="E504" s="428" t="s">
        <v>4288</v>
      </c>
      <c r="F504" s="428" t="s">
        <v>563</v>
      </c>
      <c r="G504" s="428" t="s">
        <v>552</v>
      </c>
      <c r="H504" s="397" t="s">
        <v>149</v>
      </c>
      <c r="I504" s="500">
        <v>44498.0</v>
      </c>
      <c r="J504" s="428">
        <v>10.0</v>
      </c>
      <c r="K504" s="531" t="s">
        <v>240</v>
      </c>
      <c r="L504" s="422" t="s">
        <v>2860</v>
      </c>
      <c r="M504" s="528">
        <f t="shared" si="3"/>
        <v>455</v>
      </c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customHeight="1">
      <c r="A505" s="419">
        <v>31321.0</v>
      </c>
      <c r="B505" s="420" t="s">
        <v>4289</v>
      </c>
      <c r="C505" s="420">
        <v>2019.0</v>
      </c>
      <c r="D505" s="497">
        <v>43728.0</v>
      </c>
      <c r="E505" s="422" t="s">
        <v>4290</v>
      </c>
      <c r="F505" s="534" t="s">
        <v>1859</v>
      </c>
      <c r="G505" s="422" t="s">
        <v>569</v>
      </c>
      <c r="H505" s="394" t="s">
        <v>2245</v>
      </c>
      <c r="I505" s="497">
        <v>44498.0</v>
      </c>
      <c r="J505" s="422">
        <v>10.0</v>
      </c>
      <c r="K505" s="530" t="s">
        <v>822</v>
      </c>
      <c r="L505" s="428" t="s">
        <v>260</v>
      </c>
      <c r="M505" s="529">
        <f t="shared" si="3"/>
        <v>770</v>
      </c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customHeight="1">
      <c r="A506" s="425">
        <v>31421.0</v>
      </c>
      <c r="B506" s="426" t="s">
        <v>4291</v>
      </c>
      <c r="C506" s="426">
        <v>2021.0</v>
      </c>
      <c r="D506" s="500">
        <v>44313.0</v>
      </c>
      <c r="E506" s="428" t="s">
        <v>4292</v>
      </c>
      <c r="F506" s="505" t="s">
        <v>2611</v>
      </c>
      <c r="G506" s="428" t="s">
        <v>569</v>
      </c>
      <c r="H506" s="397" t="s">
        <v>639</v>
      </c>
      <c r="I506" s="500">
        <v>44498.0</v>
      </c>
      <c r="J506" s="428">
        <v>10.0</v>
      </c>
      <c r="K506" s="531" t="s">
        <v>242</v>
      </c>
      <c r="L506" s="422" t="s">
        <v>260</v>
      </c>
      <c r="M506" s="528">
        <f t="shared" si="3"/>
        <v>185</v>
      </c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customHeight="1">
      <c r="A507" s="419">
        <v>31521.0</v>
      </c>
      <c r="B507" s="420" t="s">
        <v>4293</v>
      </c>
      <c r="C507" s="420">
        <v>2021.0</v>
      </c>
      <c r="D507" s="497">
        <v>44319.0</v>
      </c>
      <c r="E507" s="422" t="s">
        <v>4294</v>
      </c>
      <c r="F507" s="503" t="s">
        <v>3761</v>
      </c>
      <c r="G507" s="422" t="s">
        <v>569</v>
      </c>
      <c r="H507" s="394" t="s">
        <v>4295</v>
      </c>
      <c r="I507" s="497">
        <v>44498.0</v>
      </c>
      <c r="J507" s="422">
        <v>10.0</v>
      </c>
      <c r="K507" s="530" t="s">
        <v>822</v>
      </c>
      <c r="L507" s="428" t="s">
        <v>260</v>
      </c>
      <c r="M507" s="529">
        <f t="shared" si="3"/>
        <v>179</v>
      </c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customHeight="1">
      <c r="A508" s="425">
        <v>31621.0</v>
      </c>
      <c r="B508" s="426" t="s">
        <v>4296</v>
      </c>
      <c r="C508" s="426">
        <v>2021.0</v>
      </c>
      <c r="D508" s="500">
        <v>44342.0</v>
      </c>
      <c r="E508" s="428" t="s">
        <v>4297</v>
      </c>
      <c r="F508" s="505" t="s">
        <v>3761</v>
      </c>
      <c r="G508" s="428" t="s">
        <v>565</v>
      </c>
      <c r="H508" s="397" t="s">
        <v>2457</v>
      </c>
      <c r="I508" s="500">
        <v>44498.0</v>
      </c>
      <c r="J508" s="428">
        <v>10.0</v>
      </c>
      <c r="K508" s="530" t="s">
        <v>822</v>
      </c>
      <c r="L508" s="422" t="s">
        <v>260</v>
      </c>
      <c r="M508" s="528">
        <f t="shared" si="3"/>
        <v>156</v>
      </c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customHeight="1">
      <c r="A509" s="419">
        <v>31721.0</v>
      </c>
      <c r="B509" s="420" t="s">
        <v>4298</v>
      </c>
      <c r="C509" s="420">
        <v>2021.0</v>
      </c>
      <c r="D509" s="497">
        <v>44372.0</v>
      </c>
      <c r="E509" s="422" t="s">
        <v>4299</v>
      </c>
      <c r="F509" s="503" t="s">
        <v>4300</v>
      </c>
      <c r="G509" s="422" t="s">
        <v>569</v>
      </c>
      <c r="H509" s="394" t="s">
        <v>577</v>
      </c>
      <c r="I509" s="497">
        <v>44498.0</v>
      </c>
      <c r="J509" s="422">
        <v>10.0</v>
      </c>
      <c r="K509" s="531" t="s">
        <v>242</v>
      </c>
      <c r="L509" s="428" t="s">
        <v>260</v>
      </c>
      <c r="M509" s="529">
        <f t="shared" si="3"/>
        <v>126</v>
      </c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customHeight="1">
      <c r="A510" s="425">
        <v>31821.0</v>
      </c>
      <c r="B510" s="426" t="s">
        <v>4301</v>
      </c>
      <c r="C510" s="426">
        <v>2021.0</v>
      </c>
      <c r="D510" s="500">
        <v>44372.0</v>
      </c>
      <c r="E510" s="428" t="s">
        <v>4302</v>
      </c>
      <c r="F510" s="536" t="s">
        <v>4300</v>
      </c>
      <c r="G510" s="428" t="s">
        <v>569</v>
      </c>
      <c r="H510" s="428" t="s">
        <v>577</v>
      </c>
      <c r="I510" s="500">
        <v>44498.0</v>
      </c>
      <c r="J510" s="428">
        <v>10.0</v>
      </c>
      <c r="K510" s="531" t="s">
        <v>242</v>
      </c>
      <c r="L510" s="422" t="s">
        <v>260</v>
      </c>
      <c r="M510" s="528">
        <f t="shared" si="3"/>
        <v>126</v>
      </c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customHeight="1">
      <c r="A511" s="419">
        <v>31921.0</v>
      </c>
      <c r="B511" s="420" t="s">
        <v>4303</v>
      </c>
      <c r="C511" s="420">
        <v>2021.0</v>
      </c>
      <c r="D511" s="497">
        <v>44378.0</v>
      </c>
      <c r="E511" s="422" t="s">
        <v>4304</v>
      </c>
      <c r="F511" s="503" t="s">
        <v>2343</v>
      </c>
      <c r="G511" s="422" t="s">
        <v>569</v>
      </c>
      <c r="H511" s="394" t="s">
        <v>1876</v>
      </c>
      <c r="I511" s="497">
        <v>44498.0</v>
      </c>
      <c r="J511" s="422">
        <v>10.0</v>
      </c>
      <c r="K511" s="531" t="s">
        <v>242</v>
      </c>
      <c r="L511" s="428" t="s">
        <v>260</v>
      </c>
      <c r="M511" s="529">
        <f t="shared" si="3"/>
        <v>120</v>
      </c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customHeight="1">
      <c r="A512" s="425">
        <v>32021.0</v>
      </c>
      <c r="B512" s="426" t="s">
        <v>4305</v>
      </c>
      <c r="C512" s="426">
        <v>2011.0</v>
      </c>
      <c r="D512" s="500">
        <v>40717.0</v>
      </c>
      <c r="E512" s="428" t="s">
        <v>4306</v>
      </c>
      <c r="F512" s="397" t="s">
        <v>4307</v>
      </c>
      <c r="G512" s="428" t="s">
        <v>552</v>
      </c>
      <c r="H512" s="397" t="s">
        <v>149</v>
      </c>
      <c r="I512" s="500">
        <v>44498.0</v>
      </c>
      <c r="J512" s="428">
        <v>10.0</v>
      </c>
      <c r="K512" s="531" t="s">
        <v>242</v>
      </c>
      <c r="L512" s="422" t="s">
        <v>2855</v>
      </c>
      <c r="M512" s="528">
        <f t="shared" si="3"/>
        <v>3781</v>
      </c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customHeight="1">
      <c r="A513" s="419">
        <v>32121.0</v>
      </c>
      <c r="B513" s="420" t="s">
        <v>4308</v>
      </c>
      <c r="C513" s="420">
        <v>2021.0</v>
      </c>
      <c r="D513" s="497">
        <v>44362.0</v>
      </c>
      <c r="E513" s="422" t="s">
        <v>4309</v>
      </c>
      <c r="F513" s="503" t="s">
        <v>2614</v>
      </c>
      <c r="G513" s="422" t="s">
        <v>569</v>
      </c>
      <c r="H513" s="394" t="s">
        <v>2600</v>
      </c>
      <c r="I513" s="497">
        <v>44508.0</v>
      </c>
      <c r="J513" s="422">
        <v>11.0</v>
      </c>
      <c r="K513" s="531" t="s">
        <v>242</v>
      </c>
      <c r="L513" s="428" t="s">
        <v>260</v>
      </c>
      <c r="M513" s="529">
        <f t="shared" si="3"/>
        <v>146</v>
      </c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customHeight="1">
      <c r="A514" s="425">
        <v>32221.0</v>
      </c>
      <c r="B514" s="426" t="s">
        <v>4310</v>
      </c>
      <c r="C514" s="426">
        <v>2013.0</v>
      </c>
      <c r="D514" s="500">
        <v>41614.0</v>
      </c>
      <c r="E514" s="428" t="s">
        <v>4311</v>
      </c>
      <c r="F514" s="428" t="s">
        <v>178</v>
      </c>
      <c r="G514" s="428" t="s">
        <v>552</v>
      </c>
      <c r="H514" s="428" t="s">
        <v>775</v>
      </c>
      <c r="I514" s="500">
        <v>44526.0</v>
      </c>
      <c r="J514" s="428">
        <v>11.0</v>
      </c>
      <c r="K514" s="531" t="s">
        <v>240</v>
      </c>
      <c r="L514" s="422" t="s">
        <v>2855</v>
      </c>
      <c r="M514" s="528">
        <f t="shared" si="3"/>
        <v>2912</v>
      </c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customHeight="1">
      <c r="A515" s="419">
        <v>32321.0</v>
      </c>
      <c r="B515" s="420" t="s">
        <v>4312</v>
      </c>
      <c r="C515" s="420">
        <v>2015.0</v>
      </c>
      <c r="D515" s="497">
        <v>42199.0</v>
      </c>
      <c r="E515" s="422" t="s">
        <v>4313</v>
      </c>
      <c r="F515" s="394" t="s">
        <v>4314</v>
      </c>
      <c r="G515" s="422" t="s">
        <v>565</v>
      </c>
      <c r="H515" s="394" t="s">
        <v>1393</v>
      </c>
      <c r="I515" s="497">
        <v>44526.0</v>
      </c>
      <c r="J515" s="422">
        <v>11.0</v>
      </c>
      <c r="K515" s="530" t="s">
        <v>822</v>
      </c>
      <c r="L515" s="428" t="s">
        <v>260</v>
      </c>
      <c r="M515" s="529">
        <f t="shared" si="3"/>
        <v>2327</v>
      </c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customHeight="1">
      <c r="A516" s="425">
        <v>32421.0</v>
      </c>
      <c r="B516" s="426" t="s">
        <v>4315</v>
      </c>
      <c r="C516" s="426">
        <v>2016.0</v>
      </c>
      <c r="D516" s="500">
        <v>42649.0</v>
      </c>
      <c r="E516" s="428" t="s">
        <v>4316</v>
      </c>
      <c r="F516" s="397" t="s">
        <v>1514</v>
      </c>
      <c r="G516" s="428" t="s">
        <v>552</v>
      </c>
      <c r="H516" s="397" t="s">
        <v>583</v>
      </c>
      <c r="I516" s="500">
        <v>44526.0</v>
      </c>
      <c r="J516" s="428">
        <v>11.0</v>
      </c>
      <c r="K516" s="531" t="s">
        <v>240</v>
      </c>
      <c r="L516" s="422" t="s">
        <v>2860</v>
      </c>
      <c r="M516" s="528">
        <f t="shared" si="3"/>
        <v>1877</v>
      </c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customHeight="1">
      <c r="A517" s="419">
        <v>32521.0</v>
      </c>
      <c r="B517" s="420" t="s">
        <v>4317</v>
      </c>
      <c r="C517" s="420">
        <v>2014.0</v>
      </c>
      <c r="D517" s="497">
        <v>41992.0</v>
      </c>
      <c r="E517" s="422" t="s">
        <v>4318</v>
      </c>
      <c r="F517" s="394" t="s">
        <v>739</v>
      </c>
      <c r="G517" s="422" t="s">
        <v>552</v>
      </c>
      <c r="H517" s="394" t="s">
        <v>130</v>
      </c>
      <c r="I517" s="497">
        <v>44526.0</v>
      </c>
      <c r="J517" s="422">
        <v>11.0</v>
      </c>
      <c r="K517" s="531" t="s">
        <v>242</v>
      </c>
      <c r="L517" s="428" t="s">
        <v>2855</v>
      </c>
      <c r="M517" s="529">
        <f t="shared" si="3"/>
        <v>2534</v>
      </c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customHeight="1">
      <c r="A518" s="425">
        <v>32621.0</v>
      </c>
      <c r="B518" s="426" t="s">
        <v>4319</v>
      </c>
      <c r="C518" s="426">
        <v>2021.0</v>
      </c>
      <c r="D518" s="500">
        <v>44237.0</v>
      </c>
      <c r="E518" s="428" t="s">
        <v>4320</v>
      </c>
      <c r="F518" s="536" t="s">
        <v>2383</v>
      </c>
      <c r="G518" s="428" t="s">
        <v>569</v>
      </c>
      <c r="H518" s="428" t="s">
        <v>4321</v>
      </c>
      <c r="I518" s="500">
        <v>44526.0</v>
      </c>
      <c r="J518" s="428">
        <v>11.0</v>
      </c>
      <c r="K518" s="530" t="s">
        <v>822</v>
      </c>
      <c r="L518" s="422" t="s">
        <v>260</v>
      </c>
      <c r="M518" s="528">
        <f t="shared" si="3"/>
        <v>289</v>
      </c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customHeight="1">
      <c r="A519" s="419">
        <v>32721.0</v>
      </c>
      <c r="B519" s="420" t="s">
        <v>4322</v>
      </c>
      <c r="C519" s="420">
        <v>2015.0</v>
      </c>
      <c r="D519" s="497">
        <v>42311.0</v>
      </c>
      <c r="E519" s="422" t="s">
        <v>4323</v>
      </c>
      <c r="F519" s="394" t="s">
        <v>4324</v>
      </c>
      <c r="G519" s="422" t="s">
        <v>547</v>
      </c>
      <c r="H519" s="394" t="s">
        <v>695</v>
      </c>
      <c r="I519" s="497">
        <v>44526.0</v>
      </c>
      <c r="J519" s="422">
        <v>11.0</v>
      </c>
      <c r="K519" s="531" t="s">
        <v>242</v>
      </c>
      <c r="L519" s="428" t="s">
        <v>2860</v>
      </c>
      <c r="M519" s="529">
        <f t="shared" si="3"/>
        <v>2215</v>
      </c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customHeight="1">
      <c r="A520" s="425">
        <v>32821.0</v>
      </c>
      <c r="B520" s="426" t="s">
        <v>4325</v>
      </c>
      <c r="C520" s="426">
        <v>2015.0</v>
      </c>
      <c r="D520" s="500">
        <v>42360.0</v>
      </c>
      <c r="E520" s="428" t="s">
        <v>4326</v>
      </c>
      <c r="F520" s="397" t="s">
        <v>3078</v>
      </c>
      <c r="G520" s="428" t="s">
        <v>552</v>
      </c>
      <c r="H520" s="428" t="s">
        <v>125</v>
      </c>
      <c r="I520" s="500">
        <v>44526.0</v>
      </c>
      <c r="J520" s="428">
        <v>11.0</v>
      </c>
      <c r="K520" s="531" t="s">
        <v>242</v>
      </c>
      <c r="L520" s="422" t="s">
        <v>2855</v>
      </c>
      <c r="M520" s="528">
        <f t="shared" si="3"/>
        <v>2166</v>
      </c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customHeight="1">
      <c r="A521" s="419">
        <v>32921.0</v>
      </c>
      <c r="B521" s="420" t="s">
        <v>4327</v>
      </c>
      <c r="C521" s="420">
        <v>2013.0</v>
      </c>
      <c r="D521" s="497">
        <v>41631.0</v>
      </c>
      <c r="E521" s="422" t="s">
        <v>4328</v>
      </c>
      <c r="F521" s="394" t="s">
        <v>4257</v>
      </c>
      <c r="G521" s="422" t="s">
        <v>650</v>
      </c>
      <c r="H521" s="394" t="s">
        <v>26</v>
      </c>
      <c r="I521" s="497">
        <v>44526.0</v>
      </c>
      <c r="J521" s="422">
        <v>11.0</v>
      </c>
      <c r="K521" s="535" t="s">
        <v>228</v>
      </c>
      <c r="L521" s="428" t="s">
        <v>2855</v>
      </c>
      <c r="M521" s="529">
        <f t="shared" si="3"/>
        <v>2895</v>
      </c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customHeight="1">
      <c r="A522" s="425">
        <v>33021.0</v>
      </c>
      <c r="B522" s="426" t="s">
        <v>4329</v>
      </c>
      <c r="C522" s="426">
        <v>2016.0</v>
      </c>
      <c r="D522" s="500">
        <v>42489.0</v>
      </c>
      <c r="E522" s="428" t="s">
        <v>4330</v>
      </c>
      <c r="F522" s="428" t="s">
        <v>4331</v>
      </c>
      <c r="G522" s="428" t="s">
        <v>547</v>
      </c>
      <c r="H522" s="428" t="s">
        <v>2187</v>
      </c>
      <c r="I522" s="500">
        <v>44526.0</v>
      </c>
      <c r="J522" s="428">
        <v>11.0</v>
      </c>
      <c r="K522" s="531" t="s">
        <v>240</v>
      </c>
      <c r="L522" s="422" t="s">
        <v>2860</v>
      </c>
      <c r="M522" s="528">
        <f t="shared" si="3"/>
        <v>2037</v>
      </c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customHeight="1">
      <c r="A523" s="419">
        <v>33121.0</v>
      </c>
      <c r="B523" s="420" t="s">
        <v>4332</v>
      </c>
      <c r="C523" s="420">
        <v>2015.0</v>
      </c>
      <c r="D523" s="497">
        <v>42326.0</v>
      </c>
      <c r="E523" s="422" t="s">
        <v>4333</v>
      </c>
      <c r="F523" s="394" t="s">
        <v>1762</v>
      </c>
      <c r="G523" s="422" t="s">
        <v>552</v>
      </c>
      <c r="H523" s="394" t="s">
        <v>97</v>
      </c>
      <c r="I523" s="497">
        <v>44545.0</v>
      </c>
      <c r="J523" s="422">
        <v>12.0</v>
      </c>
      <c r="K523" s="531" t="s">
        <v>242</v>
      </c>
      <c r="L523" s="428" t="s">
        <v>2860</v>
      </c>
      <c r="M523" s="529">
        <f t="shared" si="3"/>
        <v>2219</v>
      </c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customHeight="1">
      <c r="A524" s="425">
        <v>33221.0</v>
      </c>
      <c r="B524" s="426" t="s">
        <v>4334</v>
      </c>
      <c r="C524" s="426">
        <v>2021.0</v>
      </c>
      <c r="D524" s="500">
        <v>44272.0</v>
      </c>
      <c r="E524" s="397" t="s">
        <v>4335</v>
      </c>
      <c r="F524" s="505" t="s">
        <v>4336</v>
      </c>
      <c r="G524" s="428" t="s">
        <v>569</v>
      </c>
      <c r="H524" s="397" t="s">
        <v>4337</v>
      </c>
      <c r="I524" s="500">
        <v>44545.0</v>
      </c>
      <c r="J524" s="428">
        <v>12.0</v>
      </c>
      <c r="K524" s="530" t="s">
        <v>822</v>
      </c>
      <c r="L524" s="422" t="s">
        <v>260</v>
      </c>
      <c r="M524" s="528">
        <f t="shared" si="3"/>
        <v>273</v>
      </c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customHeight="1">
      <c r="A525" s="419">
        <v>33321.0</v>
      </c>
      <c r="B525" s="420" t="s">
        <v>4338</v>
      </c>
      <c r="C525" s="420">
        <v>2021.0</v>
      </c>
      <c r="D525" s="497">
        <v>44273.0</v>
      </c>
      <c r="E525" s="422" t="s">
        <v>4339</v>
      </c>
      <c r="F525" s="503" t="s">
        <v>4340</v>
      </c>
      <c r="G525" s="422" t="s">
        <v>569</v>
      </c>
      <c r="H525" s="394" t="s">
        <v>2331</v>
      </c>
      <c r="I525" s="497">
        <v>44545.0</v>
      </c>
      <c r="J525" s="422">
        <v>12.0</v>
      </c>
      <c r="K525" s="530" t="s">
        <v>822</v>
      </c>
      <c r="L525" s="428" t="s">
        <v>260</v>
      </c>
      <c r="M525" s="529">
        <f t="shared" si="3"/>
        <v>272</v>
      </c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customHeight="1">
      <c r="A526" s="425">
        <v>33421.0</v>
      </c>
      <c r="B526" s="426" t="s">
        <v>4341</v>
      </c>
      <c r="C526" s="426">
        <v>2021.0</v>
      </c>
      <c r="D526" s="500">
        <v>44364.0</v>
      </c>
      <c r="E526" s="428" t="s">
        <v>4342</v>
      </c>
      <c r="F526" s="536" t="s">
        <v>2614</v>
      </c>
      <c r="G526" s="428" t="s">
        <v>569</v>
      </c>
      <c r="H526" s="428" t="s">
        <v>577</v>
      </c>
      <c r="I526" s="500">
        <v>44545.0</v>
      </c>
      <c r="J526" s="428">
        <v>12.0</v>
      </c>
      <c r="K526" s="531" t="s">
        <v>242</v>
      </c>
      <c r="L526" s="422" t="s">
        <v>260</v>
      </c>
      <c r="M526" s="528">
        <f t="shared" si="3"/>
        <v>181</v>
      </c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customHeight="1">
      <c r="A527" s="419">
        <v>33521.0</v>
      </c>
      <c r="B527" s="420" t="s">
        <v>4343</v>
      </c>
      <c r="C527" s="420">
        <v>2021.0</v>
      </c>
      <c r="D527" s="497">
        <v>44385.0</v>
      </c>
      <c r="E527" s="422" t="s">
        <v>4344</v>
      </c>
      <c r="F527" s="503" t="s">
        <v>4345</v>
      </c>
      <c r="G527" s="422" t="s">
        <v>569</v>
      </c>
      <c r="H527" s="394" t="s">
        <v>2600</v>
      </c>
      <c r="I527" s="497">
        <v>44545.0</v>
      </c>
      <c r="J527" s="422">
        <v>12.0</v>
      </c>
      <c r="K527" s="530" t="s">
        <v>244</v>
      </c>
      <c r="L527" s="428" t="s">
        <v>260</v>
      </c>
      <c r="M527" s="529">
        <f t="shared" si="3"/>
        <v>160</v>
      </c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customHeight="1">
      <c r="A528" s="425">
        <v>33621.0</v>
      </c>
      <c r="B528" s="426" t="s">
        <v>4346</v>
      </c>
      <c r="C528" s="426">
        <v>2021.0</v>
      </c>
      <c r="D528" s="500">
        <v>44385.0</v>
      </c>
      <c r="E528" s="397" t="s">
        <v>4347</v>
      </c>
      <c r="F528" s="505" t="s">
        <v>2614</v>
      </c>
      <c r="G528" s="428" t="s">
        <v>569</v>
      </c>
      <c r="H528" s="397" t="s">
        <v>2600</v>
      </c>
      <c r="I528" s="500">
        <v>44545.0</v>
      </c>
      <c r="J528" s="428">
        <v>12.0</v>
      </c>
      <c r="K528" s="531" t="s">
        <v>242</v>
      </c>
      <c r="L528" s="422" t="s">
        <v>260</v>
      </c>
      <c r="M528" s="528">
        <f t="shared" si="3"/>
        <v>160</v>
      </c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customHeight="1">
      <c r="A529" s="419">
        <v>33721.0</v>
      </c>
      <c r="B529" s="420" t="s">
        <v>4348</v>
      </c>
      <c r="C529" s="420">
        <v>2016.0</v>
      </c>
      <c r="D529" s="497">
        <v>42438.0</v>
      </c>
      <c r="E529" s="422" t="s">
        <v>4349</v>
      </c>
      <c r="F529" s="394" t="s">
        <v>4350</v>
      </c>
      <c r="G529" s="422" t="s">
        <v>552</v>
      </c>
      <c r="H529" s="394" t="s">
        <v>2509</v>
      </c>
      <c r="I529" s="497">
        <v>44545.0</v>
      </c>
      <c r="J529" s="422">
        <v>12.0</v>
      </c>
      <c r="K529" s="531" t="s">
        <v>242</v>
      </c>
      <c r="L529" s="428" t="s">
        <v>2855</v>
      </c>
      <c r="M529" s="529">
        <f t="shared" si="3"/>
        <v>2107</v>
      </c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customHeight="1">
      <c r="A530" s="425">
        <v>33821.0</v>
      </c>
      <c r="B530" s="426" t="s">
        <v>4351</v>
      </c>
      <c r="C530" s="426">
        <v>2021.0</v>
      </c>
      <c r="D530" s="500">
        <v>44368.0</v>
      </c>
      <c r="E530" s="428" t="s">
        <v>4352</v>
      </c>
      <c r="F530" s="536" t="s">
        <v>2343</v>
      </c>
      <c r="G530" s="428" t="s">
        <v>569</v>
      </c>
      <c r="H530" s="428" t="s">
        <v>577</v>
      </c>
      <c r="I530" s="500">
        <v>44545.0</v>
      </c>
      <c r="J530" s="428">
        <v>12.0</v>
      </c>
      <c r="K530" s="531" t="s">
        <v>242</v>
      </c>
      <c r="L530" s="422" t="s">
        <v>260</v>
      </c>
      <c r="M530" s="528">
        <f t="shared" si="3"/>
        <v>177</v>
      </c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customHeight="1">
      <c r="A531" s="419">
        <v>33921.0</v>
      </c>
      <c r="B531" s="420" t="s">
        <v>4353</v>
      </c>
      <c r="C531" s="420">
        <v>2016.0</v>
      </c>
      <c r="D531" s="497">
        <v>42457.0</v>
      </c>
      <c r="E531" s="422" t="s">
        <v>4354</v>
      </c>
      <c r="F531" s="394" t="s">
        <v>4355</v>
      </c>
      <c r="G531" s="422" t="s">
        <v>650</v>
      </c>
      <c r="H531" s="394" t="s">
        <v>18</v>
      </c>
      <c r="I531" s="497">
        <v>44545.0</v>
      </c>
      <c r="J531" s="422">
        <v>12.0</v>
      </c>
      <c r="K531" s="531" t="s">
        <v>242</v>
      </c>
      <c r="L531" s="428" t="s">
        <v>2860</v>
      </c>
      <c r="M531" s="529">
        <f t="shared" si="3"/>
        <v>2088</v>
      </c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customHeight="1">
      <c r="A532" s="425">
        <v>34021.0</v>
      </c>
      <c r="B532" s="426" t="s">
        <v>4356</v>
      </c>
      <c r="C532" s="426">
        <v>2016.0</v>
      </c>
      <c r="D532" s="500">
        <v>42465.0</v>
      </c>
      <c r="E532" s="397" t="s">
        <v>4357</v>
      </c>
      <c r="F532" s="397" t="s">
        <v>4358</v>
      </c>
      <c r="G532" s="428" t="s">
        <v>650</v>
      </c>
      <c r="H532" s="397" t="s">
        <v>158</v>
      </c>
      <c r="I532" s="500">
        <v>44545.0</v>
      </c>
      <c r="J532" s="428">
        <v>12.0</v>
      </c>
      <c r="K532" s="530" t="s">
        <v>822</v>
      </c>
      <c r="L532" s="422" t="s">
        <v>2855</v>
      </c>
      <c r="M532" s="528">
        <f t="shared" si="3"/>
        <v>2080</v>
      </c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customHeight="1">
      <c r="A533" s="419">
        <v>34121.0</v>
      </c>
      <c r="B533" s="420" t="s">
        <v>4359</v>
      </c>
      <c r="C533" s="420">
        <v>2018.0</v>
      </c>
      <c r="D533" s="497">
        <v>43179.0</v>
      </c>
      <c r="E533" s="422" t="s">
        <v>4360</v>
      </c>
      <c r="F533" s="394" t="s">
        <v>2557</v>
      </c>
      <c r="G533" s="422" t="s">
        <v>552</v>
      </c>
      <c r="H533" s="394" t="s">
        <v>1588</v>
      </c>
      <c r="I533" s="497">
        <v>44545.0</v>
      </c>
      <c r="J533" s="422">
        <v>12.0</v>
      </c>
      <c r="K533" s="531" t="s">
        <v>242</v>
      </c>
      <c r="L533" s="428" t="s">
        <v>2855</v>
      </c>
      <c r="M533" s="529">
        <f t="shared" si="3"/>
        <v>1366</v>
      </c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customHeight="1">
      <c r="A534" s="425">
        <v>34221.0</v>
      </c>
      <c r="B534" s="426" t="s">
        <v>4361</v>
      </c>
      <c r="C534" s="426">
        <v>2020.0</v>
      </c>
      <c r="D534" s="500">
        <v>44141.0</v>
      </c>
      <c r="E534" s="428" t="s">
        <v>4362</v>
      </c>
      <c r="F534" s="428" t="s">
        <v>4363</v>
      </c>
      <c r="G534" s="428" t="s">
        <v>552</v>
      </c>
      <c r="H534" s="428" t="s">
        <v>583</v>
      </c>
      <c r="I534" s="500">
        <v>44545.0</v>
      </c>
      <c r="J534" s="428">
        <v>12.0</v>
      </c>
      <c r="K534" s="531" t="s">
        <v>240</v>
      </c>
      <c r="L534" s="422" t="s">
        <v>2855</v>
      </c>
      <c r="M534" s="528">
        <f t="shared" si="3"/>
        <v>404</v>
      </c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customHeight="1">
      <c r="A535" s="419">
        <v>34321.0</v>
      </c>
      <c r="B535" s="420" t="s">
        <v>4364</v>
      </c>
      <c r="C535" s="420">
        <v>2021.0</v>
      </c>
      <c r="D535" s="497">
        <v>44349.0</v>
      </c>
      <c r="E535" s="422" t="s">
        <v>4365</v>
      </c>
      <c r="F535" s="503" t="s">
        <v>3647</v>
      </c>
      <c r="G535" s="422" t="s">
        <v>565</v>
      </c>
      <c r="H535" s="394" t="s">
        <v>2502</v>
      </c>
      <c r="I535" s="497">
        <v>44546.0</v>
      </c>
      <c r="J535" s="422">
        <v>12.0</v>
      </c>
      <c r="K535" s="531" t="s">
        <v>242</v>
      </c>
      <c r="L535" s="428" t="s">
        <v>260</v>
      </c>
      <c r="M535" s="529">
        <f t="shared" si="3"/>
        <v>197</v>
      </c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customHeight="1">
      <c r="A536" s="425">
        <v>34421.0</v>
      </c>
      <c r="B536" s="426" t="s">
        <v>4366</v>
      </c>
      <c r="C536" s="426">
        <v>2021.0</v>
      </c>
      <c r="D536" s="500">
        <v>44368.0</v>
      </c>
      <c r="E536" s="397" t="s">
        <v>4367</v>
      </c>
      <c r="F536" s="505" t="s">
        <v>2614</v>
      </c>
      <c r="G536" s="428" t="s">
        <v>569</v>
      </c>
      <c r="H536" s="397" t="s">
        <v>577</v>
      </c>
      <c r="I536" s="500">
        <v>44546.0</v>
      </c>
      <c r="J536" s="428">
        <v>12.0</v>
      </c>
      <c r="K536" s="531" t="s">
        <v>242</v>
      </c>
      <c r="L536" s="422" t="s">
        <v>260</v>
      </c>
      <c r="M536" s="528">
        <f t="shared" si="3"/>
        <v>178</v>
      </c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customHeight="1">
      <c r="A537" s="419">
        <v>34521.0</v>
      </c>
      <c r="B537" s="420" t="s">
        <v>4368</v>
      </c>
      <c r="C537" s="420">
        <v>2021.0</v>
      </c>
      <c r="D537" s="497">
        <v>44263.0</v>
      </c>
      <c r="E537" s="394" t="s">
        <v>4369</v>
      </c>
      <c r="F537" s="394" t="s">
        <v>4370</v>
      </c>
      <c r="G537" s="422" t="s">
        <v>565</v>
      </c>
      <c r="H537" s="394" t="s">
        <v>4371</v>
      </c>
      <c r="I537" s="497">
        <v>44546.0</v>
      </c>
      <c r="J537" s="422">
        <v>12.0</v>
      </c>
      <c r="K537" s="530" t="s">
        <v>822</v>
      </c>
      <c r="L537" s="428" t="s">
        <v>260</v>
      </c>
      <c r="M537" s="529">
        <f t="shared" si="3"/>
        <v>283</v>
      </c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customHeight="1">
      <c r="A538" s="425">
        <v>34621.0</v>
      </c>
      <c r="B538" s="426" t="s">
        <v>4372</v>
      </c>
      <c r="C538" s="426">
        <v>2015.0</v>
      </c>
      <c r="D538" s="500">
        <v>42222.0</v>
      </c>
      <c r="E538" s="428" t="s">
        <v>4373</v>
      </c>
      <c r="F538" s="428" t="s">
        <v>2233</v>
      </c>
      <c r="G538" s="428" t="s">
        <v>552</v>
      </c>
      <c r="H538" s="428" t="s">
        <v>733</v>
      </c>
      <c r="I538" s="500">
        <v>44547.0</v>
      </c>
      <c r="J538" s="428">
        <v>12.0</v>
      </c>
      <c r="K538" s="539" t="s">
        <v>236</v>
      </c>
      <c r="L538" s="422" t="s">
        <v>2860</v>
      </c>
      <c r="M538" s="528">
        <f t="shared" si="3"/>
        <v>2325</v>
      </c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customHeight="1">
      <c r="A539" s="419">
        <v>34721.0</v>
      </c>
      <c r="B539" s="420" t="s">
        <v>4374</v>
      </c>
      <c r="C539" s="420">
        <v>2021.0</v>
      </c>
      <c r="D539" s="497">
        <v>44257.0</v>
      </c>
      <c r="E539" s="394" t="s">
        <v>4375</v>
      </c>
      <c r="F539" s="503" t="s">
        <v>4376</v>
      </c>
      <c r="G539" s="422" t="s">
        <v>565</v>
      </c>
      <c r="H539" s="394" t="s">
        <v>4377</v>
      </c>
      <c r="I539" s="497">
        <v>44547.0</v>
      </c>
      <c r="J539" s="422">
        <v>12.0</v>
      </c>
      <c r="K539" s="531" t="s">
        <v>242</v>
      </c>
      <c r="L539" s="428" t="s">
        <v>260</v>
      </c>
      <c r="M539" s="529">
        <f t="shared" si="3"/>
        <v>290</v>
      </c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customHeight="1">
      <c r="A540" s="425">
        <v>34821.0</v>
      </c>
      <c r="B540" s="426" t="s">
        <v>4378</v>
      </c>
      <c r="C540" s="426">
        <v>2018.0</v>
      </c>
      <c r="D540" s="500">
        <v>44491.0</v>
      </c>
      <c r="E540" s="428" t="s">
        <v>4379</v>
      </c>
      <c r="F540" s="397" t="s">
        <v>3145</v>
      </c>
      <c r="G540" s="428" t="s">
        <v>650</v>
      </c>
      <c r="H540" s="397" t="s">
        <v>4380</v>
      </c>
      <c r="I540" s="500">
        <v>44547.0</v>
      </c>
      <c r="J540" s="428">
        <v>12.0</v>
      </c>
      <c r="K540" s="531" t="s">
        <v>240</v>
      </c>
      <c r="L540" s="422" t="s">
        <v>2860</v>
      </c>
      <c r="M540" s="528">
        <f t="shared" si="3"/>
        <v>56</v>
      </c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customHeight="1">
      <c r="A541" s="419">
        <v>34921.0</v>
      </c>
      <c r="B541" s="420" t="s">
        <v>4381</v>
      </c>
      <c r="C541" s="420">
        <v>2018.0</v>
      </c>
      <c r="D541" s="497">
        <v>43395.0</v>
      </c>
      <c r="E541" s="394" t="s">
        <v>4382</v>
      </c>
      <c r="F541" s="394" t="s">
        <v>4383</v>
      </c>
      <c r="G541" s="422" t="s">
        <v>650</v>
      </c>
      <c r="H541" s="394" t="s">
        <v>4380</v>
      </c>
      <c r="I541" s="497">
        <v>44547.0</v>
      </c>
      <c r="J541" s="422">
        <v>12.0</v>
      </c>
      <c r="K541" s="531" t="s">
        <v>240</v>
      </c>
      <c r="L541" s="428" t="s">
        <v>2860</v>
      </c>
      <c r="M541" s="529">
        <f t="shared" si="3"/>
        <v>1152</v>
      </c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customHeight="1">
      <c r="A542" s="425">
        <v>35021.0</v>
      </c>
      <c r="B542" s="426" t="s">
        <v>4384</v>
      </c>
      <c r="C542" s="426">
        <v>2021.0</v>
      </c>
      <c r="D542" s="500">
        <v>43604.0</v>
      </c>
      <c r="E542" s="428" t="s">
        <v>4385</v>
      </c>
      <c r="F542" s="536" t="s">
        <v>3647</v>
      </c>
      <c r="G542" s="428" t="s">
        <v>565</v>
      </c>
      <c r="H542" s="428" t="s">
        <v>2093</v>
      </c>
      <c r="I542" s="500">
        <v>44550.0</v>
      </c>
      <c r="J542" s="428">
        <v>12.0</v>
      </c>
      <c r="K542" s="530" t="s">
        <v>822</v>
      </c>
      <c r="L542" s="422" t="s">
        <v>260</v>
      </c>
      <c r="M542" s="528">
        <f t="shared" si="3"/>
        <v>946</v>
      </c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customHeight="1">
      <c r="A543" s="419">
        <v>35121.0</v>
      </c>
      <c r="B543" s="420" t="s">
        <v>4386</v>
      </c>
      <c r="C543" s="420">
        <v>2016.0</v>
      </c>
      <c r="D543" s="497">
        <v>42495.0</v>
      </c>
      <c r="E543" s="394" t="s">
        <v>4387</v>
      </c>
      <c r="F543" s="420" t="s">
        <v>2800</v>
      </c>
      <c r="G543" s="422" t="s">
        <v>650</v>
      </c>
      <c r="H543" s="394" t="s">
        <v>4380</v>
      </c>
      <c r="I543" s="497">
        <v>44550.0</v>
      </c>
      <c r="J543" s="422">
        <v>12.0</v>
      </c>
      <c r="K543" s="531" t="s">
        <v>242</v>
      </c>
      <c r="L543" s="428" t="s">
        <v>2860</v>
      </c>
      <c r="M543" s="529">
        <f t="shared" si="3"/>
        <v>2055</v>
      </c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customHeight="1">
      <c r="A544" s="425">
        <v>35221.0</v>
      </c>
      <c r="B544" s="426" t="s">
        <v>4388</v>
      </c>
      <c r="C544" s="426">
        <v>2013.0</v>
      </c>
      <c r="D544" s="500">
        <v>41565.0</v>
      </c>
      <c r="E544" s="428" t="s">
        <v>4389</v>
      </c>
      <c r="F544" s="397" t="s">
        <v>2557</v>
      </c>
      <c r="G544" s="428" t="s">
        <v>552</v>
      </c>
      <c r="H544" s="397" t="s">
        <v>750</v>
      </c>
      <c r="I544" s="500">
        <v>44550.0</v>
      </c>
      <c r="J544" s="428">
        <v>12.0</v>
      </c>
      <c r="K544" s="531" t="s">
        <v>242</v>
      </c>
      <c r="L544" s="422" t="s">
        <v>2855</v>
      </c>
      <c r="M544" s="528">
        <f t="shared" si="3"/>
        <v>2985</v>
      </c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customHeight="1">
      <c r="A545" s="419">
        <v>35321.0</v>
      </c>
      <c r="B545" s="420" t="s">
        <v>4390</v>
      </c>
      <c r="C545" s="420">
        <v>2015.0</v>
      </c>
      <c r="D545" s="497">
        <v>42093.0</v>
      </c>
      <c r="E545" s="394" t="s">
        <v>4391</v>
      </c>
      <c r="F545" s="394" t="s">
        <v>4392</v>
      </c>
      <c r="G545" s="422" t="s">
        <v>552</v>
      </c>
      <c r="H545" s="394" t="s">
        <v>50</v>
      </c>
      <c r="I545" s="497">
        <v>44550.0</v>
      </c>
      <c r="J545" s="422">
        <v>12.0</v>
      </c>
      <c r="K545" s="531" t="s">
        <v>240</v>
      </c>
      <c r="L545" s="428" t="s">
        <v>2860</v>
      </c>
      <c r="M545" s="529">
        <f t="shared" si="3"/>
        <v>2457</v>
      </c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customHeight="1">
      <c r="A546" s="425">
        <v>35421.0</v>
      </c>
      <c r="B546" s="426" t="s">
        <v>4393</v>
      </c>
      <c r="C546" s="426">
        <v>2016.0</v>
      </c>
      <c r="D546" s="500">
        <v>42507.0</v>
      </c>
      <c r="E546" s="428" t="s">
        <v>4394</v>
      </c>
      <c r="F546" s="428" t="s">
        <v>4395</v>
      </c>
      <c r="G546" s="428" t="s">
        <v>552</v>
      </c>
      <c r="H546" s="428" t="s">
        <v>740</v>
      </c>
      <c r="I546" s="500">
        <v>44550.0</v>
      </c>
      <c r="J546" s="428">
        <v>12.0</v>
      </c>
      <c r="K546" s="531" t="s">
        <v>242</v>
      </c>
      <c r="L546" s="422" t="s">
        <v>2860</v>
      </c>
      <c r="M546" s="528">
        <f t="shared" si="3"/>
        <v>2043</v>
      </c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customHeight="1">
      <c r="A547" s="419">
        <v>35521.0</v>
      </c>
      <c r="B547" s="420" t="s">
        <v>4396</v>
      </c>
      <c r="C547" s="420">
        <v>2021.0</v>
      </c>
      <c r="D547" s="497">
        <v>44286.0</v>
      </c>
      <c r="E547" s="394" t="s">
        <v>4397</v>
      </c>
      <c r="F547" s="394" t="s">
        <v>4398</v>
      </c>
      <c r="G547" s="422" t="s">
        <v>565</v>
      </c>
      <c r="H547" s="394" t="s">
        <v>18</v>
      </c>
      <c r="I547" s="497">
        <v>44550.0</v>
      </c>
      <c r="J547" s="422">
        <v>12.0</v>
      </c>
      <c r="K547" s="530" t="s">
        <v>822</v>
      </c>
      <c r="L547" s="428" t="s">
        <v>260</v>
      </c>
      <c r="M547" s="529">
        <f t="shared" si="3"/>
        <v>264</v>
      </c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customHeight="1">
      <c r="A548" s="425">
        <v>35621.0</v>
      </c>
      <c r="B548" s="426" t="s">
        <v>4399</v>
      </c>
      <c r="C548" s="426">
        <v>2018.0</v>
      </c>
      <c r="D548" s="500">
        <v>43441.0</v>
      </c>
      <c r="E548" s="428" t="s">
        <v>4400</v>
      </c>
      <c r="F548" s="397" t="s">
        <v>1464</v>
      </c>
      <c r="G548" s="428" t="s">
        <v>552</v>
      </c>
      <c r="H548" s="397" t="s">
        <v>153</v>
      </c>
      <c r="I548" s="500">
        <v>44550.0</v>
      </c>
      <c r="J548" s="428">
        <v>12.0</v>
      </c>
      <c r="K548" s="539" t="s">
        <v>236</v>
      </c>
      <c r="L548" s="422" t="s">
        <v>2860</v>
      </c>
      <c r="M548" s="528">
        <f t="shared" si="3"/>
        <v>1109</v>
      </c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customHeight="1">
      <c r="A549" s="419">
        <v>35721.0</v>
      </c>
      <c r="B549" s="420" t="s">
        <v>4401</v>
      </c>
      <c r="C549" s="420">
        <v>2015.0</v>
      </c>
      <c r="D549" s="497">
        <v>42352.0</v>
      </c>
      <c r="E549" s="394" t="s">
        <v>4402</v>
      </c>
      <c r="F549" s="394" t="s">
        <v>2054</v>
      </c>
      <c r="G549" s="422" t="s">
        <v>552</v>
      </c>
      <c r="H549" s="394" t="s">
        <v>66</v>
      </c>
      <c r="I549" s="497">
        <v>44550.0</v>
      </c>
      <c r="J549" s="422">
        <v>12.0</v>
      </c>
      <c r="K549" s="531" t="s">
        <v>242</v>
      </c>
      <c r="L549" s="428" t="s">
        <v>2860</v>
      </c>
      <c r="M549" s="529">
        <f t="shared" si="3"/>
        <v>2198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customHeight="1">
      <c r="A550" s="425">
        <v>35821.0</v>
      </c>
      <c r="B550" s="426" t="s">
        <v>4403</v>
      </c>
      <c r="C550" s="426">
        <v>2019.0</v>
      </c>
      <c r="D550" s="500">
        <v>43819.0</v>
      </c>
      <c r="E550" s="428" t="s">
        <v>4404</v>
      </c>
      <c r="F550" s="428" t="s">
        <v>4405</v>
      </c>
      <c r="G550" s="428" t="s">
        <v>552</v>
      </c>
      <c r="H550" s="428" t="s">
        <v>125</v>
      </c>
      <c r="I550" s="500">
        <v>44550.0</v>
      </c>
      <c r="J550" s="428">
        <v>12.0</v>
      </c>
      <c r="K550" s="531" t="s">
        <v>240</v>
      </c>
      <c r="L550" s="422" t="s">
        <v>2860</v>
      </c>
      <c r="M550" s="528">
        <f t="shared" si="3"/>
        <v>731</v>
      </c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customHeight="1">
      <c r="A551" s="419">
        <v>35921.0</v>
      </c>
      <c r="B551" s="420" t="s">
        <v>4406</v>
      </c>
      <c r="C551" s="420">
        <v>2020.0</v>
      </c>
      <c r="D551" s="497">
        <v>44132.0</v>
      </c>
      <c r="E551" s="394" t="s">
        <v>4407</v>
      </c>
      <c r="F551" s="503" t="s">
        <v>3902</v>
      </c>
      <c r="G551" s="422" t="s">
        <v>565</v>
      </c>
      <c r="H551" s="394" t="s">
        <v>4408</v>
      </c>
      <c r="I551" s="497">
        <v>44550.0</v>
      </c>
      <c r="J551" s="422">
        <v>12.0</v>
      </c>
      <c r="K551" s="530" t="s">
        <v>822</v>
      </c>
      <c r="L551" s="428" t="s">
        <v>260</v>
      </c>
      <c r="M551" s="529">
        <f t="shared" si="3"/>
        <v>418</v>
      </c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customHeight="1">
      <c r="A552" s="425">
        <v>36021.0</v>
      </c>
      <c r="B552" s="426" t="s">
        <v>4409</v>
      </c>
      <c r="C552" s="426">
        <v>2013.0</v>
      </c>
      <c r="D552" s="500">
        <v>41572.0</v>
      </c>
      <c r="E552" s="428" t="s">
        <v>4410</v>
      </c>
      <c r="F552" s="397" t="s">
        <v>2873</v>
      </c>
      <c r="G552" s="428" t="s">
        <v>552</v>
      </c>
      <c r="H552" s="397" t="s">
        <v>1143</v>
      </c>
      <c r="I552" s="500">
        <v>44550.0</v>
      </c>
      <c r="J552" s="428">
        <v>12.0</v>
      </c>
      <c r="K552" s="531" t="s">
        <v>240</v>
      </c>
      <c r="L552" s="422" t="s">
        <v>2860</v>
      </c>
      <c r="M552" s="528">
        <f t="shared" si="3"/>
        <v>2978</v>
      </c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customHeight="1">
      <c r="A553" s="419">
        <v>36121.0</v>
      </c>
      <c r="B553" s="420" t="s">
        <v>4411</v>
      </c>
      <c r="C553" s="420">
        <v>2013.0</v>
      </c>
      <c r="D553" s="497">
        <v>41383.0</v>
      </c>
      <c r="E553" s="394" t="s">
        <v>4412</v>
      </c>
      <c r="F553" s="394" t="s">
        <v>563</v>
      </c>
      <c r="G553" s="422" t="s">
        <v>552</v>
      </c>
      <c r="H553" s="394" t="s">
        <v>1612</v>
      </c>
      <c r="I553" s="497">
        <v>44550.0</v>
      </c>
      <c r="J553" s="422">
        <v>12.0</v>
      </c>
      <c r="K553" s="539" t="s">
        <v>236</v>
      </c>
      <c r="L553" s="428" t="s">
        <v>2860</v>
      </c>
      <c r="M553" s="529">
        <f t="shared" si="3"/>
        <v>3167</v>
      </c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customHeight="1">
      <c r="A554" s="425">
        <v>36221.0</v>
      </c>
      <c r="B554" s="426" t="s">
        <v>4413</v>
      </c>
      <c r="C554" s="426">
        <v>2018.0</v>
      </c>
      <c r="D554" s="500">
        <v>43412.0</v>
      </c>
      <c r="E554" s="428" t="s">
        <v>4414</v>
      </c>
      <c r="F554" s="428" t="s">
        <v>2071</v>
      </c>
      <c r="G554" s="428" t="s">
        <v>650</v>
      </c>
      <c r="H554" s="428" t="s">
        <v>4415</v>
      </c>
      <c r="I554" s="500">
        <v>44550.0</v>
      </c>
      <c r="J554" s="428">
        <v>12.0</v>
      </c>
      <c r="K554" s="531" t="s">
        <v>238</v>
      </c>
      <c r="L554" s="422" t="s">
        <v>2855</v>
      </c>
      <c r="M554" s="528">
        <f t="shared" si="3"/>
        <v>1138</v>
      </c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customHeight="1">
      <c r="A555" s="419">
        <v>36321.0</v>
      </c>
      <c r="B555" s="420" t="s">
        <v>4416</v>
      </c>
      <c r="C555" s="420">
        <v>2013.0</v>
      </c>
      <c r="D555" s="497">
        <v>41558.0</v>
      </c>
      <c r="E555" s="394" t="s">
        <v>4417</v>
      </c>
      <c r="F555" s="394" t="s">
        <v>1895</v>
      </c>
      <c r="G555" s="422" t="s">
        <v>552</v>
      </c>
      <c r="H555" s="394" t="s">
        <v>153</v>
      </c>
      <c r="I555" s="497">
        <v>44550.0</v>
      </c>
      <c r="J555" s="422">
        <v>12.0</v>
      </c>
      <c r="K555" s="531" t="s">
        <v>240</v>
      </c>
      <c r="L555" s="428" t="s">
        <v>2860</v>
      </c>
      <c r="M555" s="529">
        <f t="shared" si="3"/>
        <v>2992</v>
      </c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customHeight="1">
      <c r="A556" s="425">
        <v>36421.0</v>
      </c>
      <c r="B556" s="426" t="s">
        <v>4418</v>
      </c>
      <c r="C556" s="426">
        <v>2018.0</v>
      </c>
      <c r="D556" s="500">
        <v>43278.0</v>
      </c>
      <c r="E556" s="428" t="s">
        <v>4419</v>
      </c>
      <c r="F556" s="397" t="s">
        <v>753</v>
      </c>
      <c r="G556" s="428" t="s">
        <v>552</v>
      </c>
      <c r="H556" s="397" t="s">
        <v>77</v>
      </c>
      <c r="I556" s="500">
        <v>44550.0</v>
      </c>
      <c r="J556" s="428">
        <v>12.0</v>
      </c>
      <c r="K556" s="531" t="s">
        <v>242</v>
      </c>
      <c r="L556" s="422" t="s">
        <v>2855</v>
      </c>
      <c r="M556" s="528">
        <f t="shared" si="3"/>
        <v>1272</v>
      </c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customHeight="1">
      <c r="A557" s="419">
        <v>36521.0</v>
      </c>
      <c r="B557" s="420" t="s">
        <v>4420</v>
      </c>
      <c r="C557" s="420">
        <v>2014.0</v>
      </c>
      <c r="D557" s="497">
        <v>41724.0</v>
      </c>
      <c r="E557" s="394" t="s">
        <v>4421</v>
      </c>
      <c r="F557" s="394" t="s">
        <v>4422</v>
      </c>
      <c r="G557" s="422" t="s">
        <v>650</v>
      </c>
      <c r="H557" s="394" t="s">
        <v>158</v>
      </c>
      <c r="I557" s="497">
        <v>44550.0</v>
      </c>
      <c r="J557" s="422">
        <v>12.0</v>
      </c>
      <c r="K557" s="531" t="s">
        <v>240</v>
      </c>
      <c r="L557" s="428" t="s">
        <v>2860</v>
      </c>
      <c r="M557" s="529">
        <f t="shared" si="3"/>
        <v>2826</v>
      </c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customHeight="1">
      <c r="A558" s="425">
        <v>36621.0</v>
      </c>
      <c r="B558" s="426" t="s">
        <v>4423</v>
      </c>
      <c r="C558" s="426">
        <v>2014.0</v>
      </c>
      <c r="D558" s="500">
        <v>41838.0</v>
      </c>
      <c r="E558" s="428" t="s">
        <v>4424</v>
      </c>
      <c r="F558" s="397" t="s">
        <v>2337</v>
      </c>
      <c r="G558" s="428" t="s">
        <v>552</v>
      </c>
      <c r="H558" s="428" t="s">
        <v>97</v>
      </c>
      <c r="I558" s="500">
        <v>44551.0</v>
      </c>
      <c r="J558" s="428">
        <v>12.0</v>
      </c>
      <c r="K558" s="531" t="s">
        <v>240</v>
      </c>
      <c r="L558" s="422" t="s">
        <v>2860</v>
      </c>
      <c r="M558" s="528">
        <f t="shared" si="3"/>
        <v>2713</v>
      </c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customHeight="1">
      <c r="A559" s="419">
        <v>36721.0</v>
      </c>
      <c r="B559" s="420" t="s">
        <v>4425</v>
      </c>
      <c r="C559" s="420">
        <v>2014.0</v>
      </c>
      <c r="D559" s="497">
        <v>41726.0</v>
      </c>
      <c r="E559" s="394" t="s">
        <v>4426</v>
      </c>
      <c r="F559" s="394" t="s">
        <v>1554</v>
      </c>
      <c r="G559" s="422" t="s">
        <v>552</v>
      </c>
      <c r="H559" s="394" t="s">
        <v>4427</v>
      </c>
      <c r="I559" s="497">
        <v>44551.0</v>
      </c>
      <c r="J559" s="422">
        <v>12.0</v>
      </c>
      <c r="K559" s="531" t="s">
        <v>242</v>
      </c>
      <c r="L559" s="428" t="s">
        <v>2855</v>
      </c>
      <c r="M559" s="529">
        <f t="shared" si="3"/>
        <v>2825</v>
      </c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customHeight="1">
      <c r="A560" s="425">
        <v>36821.0</v>
      </c>
      <c r="B560" s="426" t="s">
        <v>4428</v>
      </c>
      <c r="C560" s="426">
        <v>2018.0</v>
      </c>
      <c r="D560" s="500">
        <v>43343.0</v>
      </c>
      <c r="E560" s="428" t="s">
        <v>4429</v>
      </c>
      <c r="F560" s="397" t="s">
        <v>2233</v>
      </c>
      <c r="G560" s="428" t="s">
        <v>650</v>
      </c>
      <c r="H560" s="397" t="s">
        <v>1002</v>
      </c>
      <c r="I560" s="500">
        <v>44551.0</v>
      </c>
      <c r="J560" s="428">
        <v>12.0</v>
      </c>
      <c r="K560" s="535" t="s">
        <v>232</v>
      </c>
      <c r="L560" s="422" t="s">
        <v>2855</v>
      </c>
      <c r="M560" s="528">
        <f t="shared" si="3"/>
        <v>1208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customHeight="1">
      <c r="A561" s="419">
        <v>36921.0</v>
      </c>
      <c r="B561" s="420" t="s">
        <v>4430</v>
      </c>
      <c r="C561" s="420">
        <v>2014.0</v>
      </c>
      <c r="D561" s="497">
        <v>41921.0</v>
      </c>
      <c r="E561" s="394" t="s">
        <v>4431</v>
      </c>
      <c r="F561" s="394" t="s">
        <v>4432</v>
      </c>
      <c r="G561" s="422" t="s">
        <v>552</v>
      </c>
      <c r="H561" s="394" t="s">
        <v>97</v>
      </c>
      <c r="I561" s="497">
        <v>44551.0</v>
      </c>
      <c r="J561" s="422">
        <v>12.0</v>
      </c>
      <c r="K561" s="531" t="s">
        <v>242</v>
      </c>
      <c r="L561" s="428" t="s">
        <v>2860</v>
      </c>
      <c r="M561" s="529">
        <f t="shared" si="3"/>
        <v>2630</v>
      </c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customHeight="1">
      <c r="A562" s="425">
        <v>37021.0</v>
      </c>
      <c r="B562" s="426" t="s">
        <v>4433</v>
      </c>
      <c r="C562" s="426">
        <v>2016.0</v>
      </c>
      <c r="D562" s="500">
        <v>42587.0</v>
      </c>
      <c r="E562" s="428" t="s">
        <v>4434</v>
      </c>
      <c r="F562" s="428" t="s">
        <v>4363</v>
      </c>
      <c r="G562" s="428" t="s">
        <v>552</v>
      </c>
      <c r="H562" s="428" t="s">
        <v>4435</v>
      </c>
      <c r="I562" s="500">
        <v>44551.0</v>
      </c>
      <c r="J562" s="428">
        <v>12.0</v>
      </c>
      <c r="K562" s="531" t="s">
        <v>242</v>
      </c>
      <c r="L562" s="422" t="s">
        <v>2855</v>
      </c>
      <c r="M562" s="528">
        <f t="shared" si="3"/>
        <v>1964</v>
      </c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customHeight="1">
      <c r="A563" s="419">
        <v>37121.0</v>
      </c>
      <c r="B563" s="420" t="s">
        <v>4436</v>
      </c>
      <c r="C563" s="420">
        <v>2018.0</v>
      </c>
      <c r="D563" s="497">
        <v>43119.0</v>
      </c>
      <c r="E563" s="394" t="s">
        <v>4437</v>
      </c>
      <c r="F563" s="394" t="s">
        <v>2667</v>
      </c>
      <c r="G563" s="422" t="s">
        <v>552</v>
      </c>
      <c r="H563" s="394" t="s">
        <v>4438</v>
      </c>
      <c r="I563" s="497">
        <v>44551.0</v>
      </c>
      <c r="J563" s="422">
        <v>12.0</v>
      </c>
      <c r="K563" s="531" t="s">
        <v>242</v>
      </c>
      <c r="L563" s="428" t="s">
        <v>2855</v>
      </c>
      <c r="M563" s="529">
        <f t="shared" si="3"/>
        <v>1432</v>
      </c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customHeight="1">
      <c r="A564" s="425">
        <v>37221.0</v>
      </c>
      <c r="B564" s="426" t="s">
        <v>4439</v>
      </c>
      <c r="C564" s="426">
        <v>2010.0</v>
      </c>
      <c r="D564" s="500">
        <v>40353.0</v>
      </c>
      <c r="E564" s="428" t="s">
        <v>4440</v>
      </c>
      <c r="F564" s="397" t="s">
        <v>666</v>
      </c>
      <c r="G564" s="428" t="s">
        <v>552</v>
      </c>
      <c r="H564" s="397" t="s">
        <v>1907</v>
      </c>
      <c r="I564" s="500">
        <v>44551.0</v>
      </c>
      <c r="J564" s="428">
        <v>12.0</v>
      </c>
      <c r="K564" s="539" t="s">
        <v>236</v>
      </c>
      <c r="L564" s="422" t="s">
        <v>2860</v>
      </c>
      <c r="M564" s="528">
        <f t="shared" si="3"/>
        <v>4198</v>
      </c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customHeight="1">
      <c r="A565" s="138"/>
      <c r="B565" s="139"/>
      <c r="C565" s="139"/>
      <c r="D565" s="194"/>
      <c r="E565" s="141"/>
      <c r="F565" s="142"/>
      <c r="G565" s="141"/>
      <c r="H565" s="142"/>
      <c r="I565" s="194"/>
      <c r="J565" s="141"/>
      <c r="K565" s="141"/>
      <c r="L565" s="141"/>
      <c r="M565" s="143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hidden="1" customHeight="1">
      <c r="A566" s="134"/>
      <c r="B566" s="135"/>
      <c r="C566" s="135"/>
      <c r="D566" s="516"/>
      <c r="E566" s="135"/>
      <c r="F566" s="135"/>
      <c r="G566" s="135"/>
      <c r="H566" s="135"/>
      <c r="I566" s="516"/>
      <c r="J566" s="135"/>
      <c r="K566" s="135"/>
      <c r="L566" s="135"/>
      <c r="M566" s="137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hidden="1" customHeight="1">
      <c r="A567" s="134"/>
      <c r="B567" s="135"/>
      <c r="C567" s="135"/>
      <c r="D567" s="516"/>
      <c r="E567" s="135"/>
      <c r="F567" s="135"/>
      <c r="G567" s="135"/>
      <c r="H567" s="135"/>
      <c r="I567" s="516"/>
      <c r="J567" s="135"/>
      <c r="K567" s="135"/>
      <c r="L567" s="135"/>
      <c r="M567" s="137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hidden="1" customHeight="1">
      <c r="A568" s="134"/>
      <c r="B568" s="135"/>
      <c r="C568" s="135"/>
      <c r="D568" s="516"/>
      <c r="E568" s="135"/>
      <c r="F568" s="135"/>
      <c r="G568" s="135"/>
      <c r="H568" s="135"/>
      <c r="I568" s="516"/>
      <c r="J568" s="135"/>
      <c r="K568" s="135"/>
      <c r="L568" s="135"/>
      <c r="M568" s="137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hidden="1" customHeight="1">
      <c r="A569" s="134"/>
      <c r="B569" s="135"/>
      <c r="C569" s="135"/>
      <c r="D569" s="516"/>
      <c r="E569" s="135"/>
      <c r="F569" s="135"/>
      <c r="G569" s="135"/>
      <c r="H569" s="135"/>
      <c r="I569" s="516"/>
      <c r="J569" s="135"/>
      <c r="K569" s="135"/>
      <c r="L569" s="135"/>
      <c r="M569" s="137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hidden="1" customHeight="1">
      <c r="A570" s="134"/>
      <c r="B570" s="135"/>
      <c r="C570" s="135"/>
      <c r="D570" s="516"/>
      <c r="E570" s="135"/>
      <c r="F570" s="135"/>
      <c r="G570" s="135"/>
      <c r="H570" s="135"/>
      <c r="I570" s="516"/>
      <c r="J570" s="135"/>
      <c r="K570" s="135"/>
      <c r="L570" s="135"/>
      <c r="M570" s="137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hidden="1" customHeight="1">
      <c r="A571" s="134"/>
      <c r="B571" s="135"/>
      <c r="C571" s="135"/>
      <c r="D571" s="516"/>
      <c r="E571" s="135"/>
      <c r="F571" s="135"/>
      <c r="G571" s="135"/>
      <c r="H571" s="135"/>
      <c r="I571" s="516"/>
      <c r="J571" s="135"/>
      <c r="K571" s="135"/>
      <c r="L571" s="135"/>
      <c r="M571" s="137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hidden="1" customHeight="1">
      <c r="A572" s="134"/>
      <c r="B572" s="135"/>
      <c r="C572" s="135"/>
      <c r="D572" s="516"/>
      <c r="E572" s="135"/>
      <c r="F572" s="135"/>
      <c r="G572" s="135"/>
      <c r="H572" s="135"/>
      <c r="I572" s="516"/>
      <c r="J572" s="135"/>
      <c r="K572" s="135"/>
      <c r="L572" s="135"/>
      <c r="M572" s="137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hidden="1" customHeight="1">
      <c r="A573" s="134"/>
      <c r="B573" s="135"/>
      <c r="C573" s="135"/>
      <c r="D573" s="516"/>
      <c r="E573" s="135"/>
      <c r="F573" s="135"/>
      <c r="G573" s="135"/>
      <c r="H573" s="135"/>
      <c r="I573" s="516"/>
      <c r="J573" s="135"/>
      <c r="K573" s="135"/>
      <c r="L573" s="135"/>
      <c r="M573" s="137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hidden="1" customHeight="1">
      <c r="A574" s="134"/>
      <c r="B574" s="135"/>
      <c r="C574" s="135"/>
      <c r="D574" s="516"/>
      <c r="E574" s="135"/>
      <c r="F574" s="135"/>
      <c r="G574" s="135"/>
      <c r="H574" s="135"/>
      <c r="I574" s="516"/>
      <c r="J574" s="135"/>
      <c r="K574" s="135"/>
      <c r="L574" s="135"/>
      <c r="M574" s="137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hidden="1" customHeight="1">
      <c r="A575" s="134"/>
      <c r="B575" s="135"/>
      <c r="C575" s="135"/>
      <c r="D575" s="516"/>
      <c r="E575" s="135"/>
      <c r="F575" s="135"/>
      <c r="G575" s="135"/>
      <c r="H575" s="135"/>
      <c r="I575" s="516"/>
      <c r="J575" s="135"/>
      <c r="K575" s="135"/>
      <c r="L575" s="135"/>
      <c r="M575" s="137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hidden="1" customHeight="1">
      <c r="A576" s="134"/>
      <c r="B576" s="135"/>
      <c r="C576" s="135"/>
      <c r="D576" s="516"/>
      <c r="E576" s="135"/>
      <c r="F576" s="135"/>
      <c r="G576" s="135"/>
      <c r="H576" s="135"/>
      <c r="I576" s="516"/>
      <c r="J576" s="135"/>
      <c r="K576" s="135"/>
      <c r="L576" s="135"/>
      <c r="M576" s="137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hidden="1" customHeight="1">
      <c r="A577" s="134"/>
      <c r="B577" s="135"/>
      <c r="C577" s="135"/>
      <c r="D577" s="516"/>
      <c r="E577" s="135"/>
      <c r="F577" s="135"/>
      <c r="G577" s="135"/>
      <c r="H577" s="135"/>
      <c r="I577" s="516"/>
      <c r="J577" s="135"/>
      <c r="K577" s="135"/>
      <c r="L577" s="135"/>
      <c r="M577" s="137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hidden="1" customHeight="1">
      <c r="A578" s="134"/>
      <c r="B578" s="135"/>
      <c r="C578" s="135"/>
      <c r="D578" s="516"/>
      <c r="E578" s="135"/>
      <c r="F578" s="135"/>
      <c r="G578" s="135"/>
      <c r="H578" s="135"/>
      <c r="I578" s="516"/>
      <c r="J578" s="135"/>
      <c r="K578" s="135"/>
      <c r="L578" s="135"/>
      <c r="M578" s="137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hidden="1" customHeight="1">
      <c r="A579" s="134"/>
      <c r="B579" s="135"/>
      <c r="C579" s="135"/>
      <c r="D579" s="516"/>
      <c r="E579" s="135"/>
      <c r="F579" s="135"/>
      <c r="G579" s="135"/>
      <c r="H579" s="135"/>
      <c r="I579" s="516"/>
      <c r="J579" s="135"/>
      <c r="K579" s="135"/>
      <c r="L579" s="135"/>
      <c r="M579" s="137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hidden="1" customHeight="1">
      <c r="A580" s="134"/>
      <c r="B580" s="135"/>
      <c r="C580" s="135"/>
      <c r="D580" s="516"/>
      <c r="E580" s="135"/>
      <c r="F580" s="135"/>
      <c r="G580" s="135"/>
      <c r="H580" s="135"/>
      <c r="I580" s="516"/>
      <c r="J580" s="135"/>
      <c r="K580" s="135"/>
      <c r="L580" s="135"/>
      <c r="M580" s="137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hidden="1" customHeight="1">
      <c r="A581" s="134"/>
      <c r="B581" s="135"/>
      <c r="C581" s="135"/>
      <c r="D581" s="516"/>
      <c r="E581" s="135"/>
      <c r="F581" s="135"/>
      <c r="G581" s="135"/>
      <c r="H581" s="135"/>
      <c r="I581" s="516"/>
      <c r="J581" s="135"/>
      <c r="K581" s="135"/>
      <c r="L581" s="135"/>
      <c r="M581" s="137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hidden="1" customHeight="1">
      <c r="A582" s="134"/>
      <c r="B582" s="135"/>
      <c r="C582" s="135"/>
      <c r="D582" s="516"/>
      <c r="E582" s="135"/>
      <c r="F582" s="135"/>
      <c r="G582" s="135"/>
      <c r="H582" s="135"/>
      <c r="I582" s="516"/>
      <c r="J582" s="135"/>
      <c r="K582" s="135"/>
      <c r="L582" s="135"/>
      <c r="M582" s="137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hidden="1" customHeight="1">
      <c r="A583" s="134"/>
      <c r="B583" s="135"/>
      <c r="C583" s="135"/>
      <c r="D583" s="516"/>
      <c r="E583" s="135"/>
      <c r="F583" s="135"/>
      <c r="G583" s="135"/>
      <c r="H583" s="135"/>
      <c r="I583" s="516"/>
      <c r="J583" s="135"/>
      <c r="K583" s="135"/>
      <c r="L583" s="135"/>
      <c r="M583" s="137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hidden="1" customHeight="1">
      <c r="A584" s="134"/>
      <c r="B584" s="135"/>
      <c r="C584" s="135"/>
      <c r="D584" s="516"/>
      <c r="E584" s="135"/>
      <c r="F584" s="135"/>
      <c r="G584" s="135"/>
      <c r="H584" s="135"/>
      <c r="I584" s="516"/>
      <c r="J584" s="135"/>
      <c r="K584" s="135"/>
      <c r="L584" s="135"/>
      <c r="M584" s="137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hidden="1" customHeight="1">
      <c r="A585" s="134"/>
      <c r="B585" s="135"/>
      <c r="C585" s="135"/>
      <c r="D585" s="516"/>
      <c r="E585" s="135"/>
      <c r="F585" s="135"/>
      <c r="G585" s="135"/>
      <c r="H585" s="135"/>
      <c r="I585" s="516"/>
      <c r="J585" s="135"/>
      <c r="K585" s="135"/>
      <c r="L585" s="135"/>
      <c r="M585" s="137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hidden="1" customHeight="1">
      <c r="A586" s="134"/>
      <c r="B586" s="135"/>
      <c r="C586" s="135"/>
      <c r="D586" s="516"/>
      <c r="E586" s="135"/>
      <c r="F586" s="135"/>
      <c r="G586" s="135"/>
      <c r="H586" s="135"/>
      <c r="I586" s="516"/>
      <c r="J586" s="135"/>
      <c r="K586" s="135"/>
      <c r="L586" s="135"/>
      <c r="M586" s="137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hidden="1" customHeight="1">
      <c r="A587" s="134"/>
      <c r="B587" s="135"/>
      <c r="C587" s="135"/>
      <c r="D587" s="516"/>
      <c r="E587" s="135"/>
      <c r="F587" s="135"/>
      <c r="G587" s="135"/>
      <c r="H587" s="135"/>
      <c r="I587" s="516"/>
      <c r="J587" s="135"/>
      <c r="K587" s="135"/>
      <c r="L587" s="135"/>
      <c r="M587" s="137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hidden="1" customHeight="1">
      <c r="A588" s="134"/>
      <c r="B588" s="135"/>
      <c r="C588" s="135"/>
      <c r="D588" s="516"/>
      <c r="E588" s="135"/>
      <c r="F588" s="135"/>
      <c r="G588" s="135"/>
      <c r="H588" s="135"/>
      <c r="I588" s="516"/>
      <c r="J588" s="135"/>
      <c r="K588" s="135"/>
      <c r="L588" s="135"/>
      <c r="M588" s="137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hidden="1" customHeight="1">
      <c r="A589" s="134"/>
      <c r="B589" s="135"/>
      <c r="C589" s="135"/>
      <c r="D589" s="516"/>
      <c r="E589" s="135"/>
      <c r="F589" s="135"/>
      <c r="G589" s="135"/>
      <c r="H589" s="135"/>
      <c r="I589" s="516"/>
      <c r="J589" s="135"/>
      <c r="K589" s="135"/>
      <c r="L589" s="135"/>
      <c r="M589" s="137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hidden="1" customHeight="1">
      <c r="A590" s="134"/>
      <c r="B590" s="135"/>
      <c r="C590" s="135"/>
      <c r="D590" s="516"/>
      <c r="E590" s="135"/>
      <c r="F590" s="135"/>
      <c r="G590" s="135"/>
      <c r="H590" s="135"/>
      <c r="I590" s="516"/>
      <c r="J590" s="135"/>
      <c r="K590" s="135"/>
      <c r="L590" s="135"/>
      <c r="M590" s="137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hidden="1" customHeight="1">
      <c r="A591" s="134"/>
      <c r="B591" s="135"/>
      <c r="C591" s="135"/>
      <c r="D591" s="516"/>
      <c r="E591" s="135"/>
      <c r="F591" s="135"/>
      <c r="G591" s="135"/>
      <c r="H591" s="135"/>
      <c r="I591" s="516"/>
      <c r="J591" s="135"/>
      <c r="K591" s="135"/>
      <c r="L591" s="135"/>
      <c r="M591" s="137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hidden="1" customHeight="1">
      <c r="A592" s="134"/>
      <c r="B592" s="135"/>
      <c r="C592" s="135"/>
      <c r="D592" s="516"/>
      <c r="E592" s="135"/>
      <c r="F592" s="135"/>
      <c r="G592" s="135"/>
      <c r="H592" s="135"/>
      <c r="I592" s="516"/>
      <c r="J592" s="135"/>
      <c r="K592" s="135"/>
      <c r="L592" s="135"/>
      <c r="M592" s="137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hidden="1" customHeight="1">
      <c r="A593" s="134"/>
      <c r="B593" s="135"/>
      <c r="C593" s="135"/>
      <c r="D593" s="516"/>
      <c r="E593" s="135"/>
      <c r="F593" s="135"/>
      <c r="G593" s="135"/>
      <c r="H593" s="135"/>
      <c r="I593" s="516"/>
      <c r="J593" s="135"/>
      <c r="K593" s="135"/>
      <c r="L593" s="135"/>
      <c r="M593" s="137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hidden="1" customHeight="1">
      <c r="A594" s="134"/>
      <c r="B594" s="135"/>
      <c r="C594" s="135"/>
      <c r="D594" s="516"/>
      <c r="E594" s="135"/>
      <c r="F594" s="135"/>
      <c r="G594" s="135"/>
      <c r="H594" s="135"/>
      <c r="I594" s="516"/>
      <c r="J594" s="135"/>
      <c r="K594" s="135"/>
      <c r="L594" s="135"/>
      <c r="M594" s="137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hidden="1" customHeight="1">
      <c r="A595" s="134"/>
      <c r="B595" s="135"/>
      <c r="C595" s="135"/>
      <c r="D595" s="516"/>
      <c r="E595" s="135"/>
      <c r="F595" s="135"/>
      <c r="G595" s="135"/>
      <c r="H595" s="135"/>
      <c r="I595" s="516"/>
      <c r="J595" s="135"/>
      <c r="K595" s="135"/>
      <c r="L595" s="135"/>
      <c r="M595" s="137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hidden="1" customHeight="1">
      <c r="A596" s="134"/>
      <c r="B596" s="135"/>
      <c r="C596" s="135"/>
      <c r="D596" s="516"/>
      <c r="E596" s="135"/>
      <c r="F596" s="135"/>
      <c r="G596" s="135"/>
      <c r="H596" s="135"/>
      <c r="I596" s="516"/>
      <c r="J596" s="135"/>
      <c r="K596" s="135"/>
      <c r="L596" s="135"/>
      <c r="M596" s="137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hidden="1" customHeight="1">
      <c r="A597" s="134"/>
      <c r="B597" s="135"/>
      <c r="C597" s="135"/>
      <c r="D597" s="516"/>
      <c r="E597" s="135"/>
      <c r="F597" s="135"/>
      <c r="G597" s="135"/>
      <c r="H597" s="135"/>
      <c r="I597" s="516"/>
      <c r="J597" s="135"/>
      <c r="K597" s="135"/>
      <c r="L597" s="135"/>
      <c r="M597" s="137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hidden="1" customHeight="1">
      <c r="A598" s="134"/>
      <c r="B598" s="135"/>
      <c r="C598" s="135"/>
      <c r="D598" s="516"/>
      <c r="E598" s="135"/>
      <c r="F598" s="135"/>
      <c r="G598" s="135"/>
      <c r="H598" s="135"/>
      <c r="I598" s="516"/>
      <c r="J598" s="135"/>
      <c r="K598" s="135"/>
      <c r="L598" s="135"/>
      <c r="M598" s="137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hidden="1" customHeight="1">
      <c r="A599" s="134"/>
      <c r="B599" s="135"/>
      <c r="C599" s="135"/>
      <c r="D599" s="516"/>
      <c r="E599" s="135"/>
      <c r="F599" s="135"/>
      <c r="G599" s="135"/>
      <c r="H599" s="135"/>
      <c r="I599" s="516"/>
      <c r="J599" s="135"/>
      <c r="K599" s="135"/>
      <c r="L599" s="135"/>
      <c r="M599" s="137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hidden="1" customHeight="1">
      <c r="A600" s="134"/>
      <c r="B600" s="135"/>
      <c r="C600" s="135"/>
      <c r="D600" s="516"/>
      <c r="E600" s="135"/>
      <c r="F600" s="135"/>
      <c r="G600" s="135"/>
      <c r="H600" s="135"/>
      <c r="I600" s="516"/>
      <c r="J600" s="135"/>
      <c r="K600" s="135"/>
      <c r="L600" s="135"/>
      <c r="M600" s="137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hidden="1" customHeight="1">
      <c r="A601" s="134"/>
      <c r="B601" s="135"/>
      <c r="C601" s="135"/>
      <c r="D601" s="516"/>
      <c r="E601" s="135"/>
      <c r="F601" s="135"/>
      <c r="G601" s="135"/>
      <c r="H601" s="135"/>
      <c r="I601" s="516"/>
      <c r="J601" s="135"/>
      <c r="K601" s="135"/>
      <c r="L601" s="135"/>
      <c r="M601" s="137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hidden="1" customHeight="1">
      <c r="A602" s="134"/>
      <c r="B602" s="135"/>
      <c r="C602" s="135"/>
      <c r="D602" s="516"/>
      <c r="E602" s="135"/>
      <c r="F602" s="135"/>
      <c r="G602" s="135"/>
      <c r="H602" s="135"/>
      <c r="I602" s="516"/>
      <c r="J602" s="135"/>
      <c r="K602" s="135"/>
      <c r="L602" s="135"/>
      <c r="M602" s="137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hidden="1" customHeight="1">
      <c r="A603" s="134"/>
      <c r="B603" s="135"/>
      <c r="C603" s="135"/>
      <c r="D603" s="516"/>
      <c r="E603" s="135"/>
      <c r="F603" s="135"/>
      <c r="G603" s="135"/>
      <c r="H603" s="135"/>
      <c r="I603" s="516"/>
      <c r="J603" s="135"/>
      <c r="K603" s="135"/>
      <c r="L603" s="135"/>
      <c r="M603" s="137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hidden="1" customHeight="1">
      <c r="A604" s="134"/>
      <c r="B604" s="135"/>
      <c r="C604" s="135"/>
      <c r="D604" s="516"/>
      <c r="E604" s="135"/>
      <c r="F604" s="135"/>
      <c r="G604" s="135"/>
      <c r="H604" s="135"/>
      <c r="I604" s="516"/>
      <c r="J604" s="135"/>
      <c r="K604" s="135"/>
      <c r="L604" s="135"/>
      <c r="M604" s="137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hidden="1" customHeight="1">
      <c r="A605" s="134"/>
      <c r="B605" s="135"/>
      <c r="C605" s="135"/>
      <c r="D605" s="516"/>
      <c r="E605" s="135"/>
      <c r="F605" s="135"/>
      <c r="G605" s="135"/>
      <c r="H605" s="135"/>
      <c r="I605" s="516"/>
      <c r="J605" s="135"/>
      <c r="K605" s="135"/>
      <c r="L605" s="135"/>
      <c r="M605" s="137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hidden="1" customHeight="1">
      <c r="A606" s="134"/>
      <c r="B606" s="135"/>
      <c r="C606" s="135"/>
      <c r="D606" s="516"/>
      <c r="E606" s="135"/>
      <c r="F606" s="135"/>
      <c r="G606" s="135"/>
      <c r="H606" s="135"/>
      <c r="I606" s="516"/>
      <c r="J606" s="135"/>
      <c r="K606" s="135"/>
      <c r="L606" s="135"/>
      <c r="M606" s="137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hidden="1" customHeight="1">
      <c r="A607" s="134"/>
      <c r="B607" s="135"/>
      <c r="C607" s="135"/>
      <c r="D607" s="516"/>
      <c r="E607" s="135"/>
      <c r="F607" s="135"/>
      <c r="G607" s="135"/>
      <c r="H607" s="135"/>
      <c r="I607" s="516"/>
      <c r="J607" s="135"/>
      <c r="K607" s="135"/>
      <c r="L607" s="135"/>
      <c r="M607" s="137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hidden="1" customHeight="1">
      <c r="A608" s="134"/>
      <c r="B608" s="135"/>
      <c r="C608" s="135"/>
      <c r="D608" s="516"/>
      <c r="E608" s="135"/>
      <c r="F608" s="135"/>
      <c r="G608" s="135"/>
      <c r="H608" s="135"/>
      <c r="I608" s="516"/>
      <c r="J608" s="135"/>
      <c r="K608" s="135"/>
      <c r="L608" s="135"/>
      <c r="M608" s="137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hidden="1" customHeight="1">
      <c r="A609" s="134"/>
      <c r="B609" s="135"/>
      <c r="C609" s="135"/>
      <c r="D609" s="516"/>
      <c r="E609" s="135"/>
      <c r="F609" s="135"/>
      <c r="G609" s="135"/>
      <c r="H609" s="135"/>
      <c r="I609" s="516"/>
      <c r="J609" s="135"/>
      <c r="K609" s="135"/>
      <c r="L609" s="135"/>
      <c r="M609" s="137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hidden="1" customHeight="1">
      <c r="A610" s="134"/>
      <c r="B610" s="135"/>
      <c r="C610" s="135"/>
      <c r="D610" s="516"/>
      <c r="E610" s="135"/>
      <c r="F610" s="135"/>
      <c r="G610" s="135"/>
      <c r="H610" s="135"/>
      <c r="I610" s="516"/>
      <c r="J610" s="135"/>
      <c r="K610" s="135"/>
      <c r="L610" s="135"/>
      <c r="M610" s="137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hidden="1" customHeight="1">
      <c r="A611" s="134"/>
      <c r="B611" s="135"/>
      <c r="C611" s="135"/>
      <c r="D611" s="516"/>
      <c r="E611" s="135"/>
      <c r="F611" s="135"/>
      <c r="G611" s="135"/>
      <c r="H611" s="135"/>
      <c r="I611" s="516"/>
      <c r="J611" s="135"/>
      <c r="K611" s="135"/>
      <c r="L611" s="135"/>
      <c r="M611" s="137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hidden="1" customHeight="1">
      <c r="A612" s="134"/>
      <c r="B612" s="135"/>
      <c r="C612" s="135"/>
      <c r="D612" s="516"/>
      <c r="E612" s="135"/>
      <c r="F612" s="135"/>
      <c r="G612" s="135"/>
      <c r="H612" s="135"/>
      <c r="I612" s="516"/>
      <c r="J612" s="135"/>
      <c r="K612" s="135"/>
      <c r="L612" s="135"/>
      <c r="M612" s="137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hidden="1" customHeight="1">
      <c r="A613" s="134"/>
      <c r="B613" s="135"/>
      <c r="C613" s="135"/>
      <c r="D613" s="516"/>
      <c r="E613" s="135"/>
      <c r="F613" s="135"/>
      <c r="G613" s="135"/>
      <c r="H613" s="135"/>
      <c r="I613" s="516"/>
      <c r="J613" s="135"/>
      <c r="K613" s="135"/>
      <c r="L613" s="135"/>
      <c r="M613" s="137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hidden="1" customHeight="1">
      <c r="A614" s="134"/>
      <c r="B614" s="135"/>
      <c r="C614" s="135"/>
      <c r="D614" s="516"/>
      <c r="E614" s="135"/>
      <c r="F614" s="135"/>
      <c r="G614" s="135"/>
      <c r="H614" s="135"/>
      <c r="I614" s="516"/>
      <c r="J614" s="135"/>
      <c r="K614" s="135"/>
      <c r="L614" s="135"/>
      <c r="M614" s="137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hidden="1" customHeight="1">
      <c r="A615" s="134"/>
      <c r="B615" s="135"/>
      <c r="C615" s="135"/>
      <c r="D615" s="516"/>
      <c r="E615" s="135"/>
      <c r="F615" s="135"/>
      <c r="G615" s="135"/>
      <c r="H615" s="135"/>
      <c r="I615" s="516"/>
      <c r="J615" s="135"/>
      <c r="K615" s="135"/>
      <c r="L615" s="135"/>
      <c r="M615" s="137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hidden="1" customHeight="1">
      <c r="A616" s="134"/>
      <c r="B616" s="135"/>
      <c r="C616" s="135"/>
      <c r="D616" s="516"/>
      <c r="E616" s="135"/>
      <c r="F616" s="135"/>
      <c r="G616" s="135"/>
      <c r="H616" s="135"/>
      <c r="I616" s="516"/>
      <c r="J616" s="135"/>
      <c r="K616" s="135"/>
      <c r="L616" s="135"/>
      <c r="M616" s="137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hidden="1" customHeight="1">
      <c r="A617" s="134"/>
      <c r="B617" s="135"/>
      <c r="C617" s="135"/>
      <c r="D617" s="516"/>
      <c r="E617" s="135"/>
      <c r="F617" s="135"/>
      <c r="G617" s="135"/>
      <c r="H617" s="135"/>
      <c r="I617" s="516"/>
      <c r="J617" s="135"/>
      <c r="K617" s="135"/>
      <c r="L617" s="135"/>
      <c r="M617" s="137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hidden="1" customHeight="1">
      <c r="A618" s="134"/>
      <c r="B618" s="135"/>
      <c r="C618" s="135"/>
      <c r="D618" s="516"/>
      <c r="E618" s="135"/>
      <c r="F618" s="135"/>
      <c r="G618" s="135"/>
      <c r="H618" s="135"/>
      <c r="I618" s="516"/>
      <c r="J618" s="135"/>
      <c r="K618" s="135"/>
      <c r="L618" s="135"/>
      <c r="M618" s="137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hidden="1" customHeight="1">
      <c r="A619" s="134"/>
      <c r="B619" s="135"/>
      <c r="C619" s="135"/>
      <c r="D619" s="516"/>
      <c r="E619" s="135"/>
      <c r="F619" s="135"/>
      <c r="G619" s="135"/>
      <c r="H619" s="135"/>
      <c r="I619" s="516"/>
      <c r="J619" s="135"/>
      <c r="K619" s="135"/>
      <c r="L619" s="135"/>
      <c r="M619" s="137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hidden="1" customHeight="1">
      <c r="A620" s="134"/>
      <c r="B620" s="135"/>
      <c r="C620" s="135"/>
      <c r="D620" s="516"/>
      <c r="E620" s="135"/>
      <c r="F620" s="135"/>
      <c r="G620" s="135"/>
      <c r="H620" s="135"/>
      <c r="I620" s="516"/>
      <c r="J620" s="135"/>
      <c r="K620" s="135"/>
      <c r="L620" s="135"/>
      <c r="M620" s="137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hidden="1" customHeight="1">
      <c r="A621" s="134"/>
      <c r="B621" s="135"/>
      <c r="C621" s="135"/>
      <c r="D621" s="516"/>
      <c r="E621" s="135"/>
      <c r="F621" s="135"/>
      <c r="G621" s="135"/>
      <c r="H621" s="135"/>
      <c r="I621" s="516"/>
      <c r="J621" s="135"/>
      <c r="K621" s="135"/>
      <c r="L621" s="135"/>
      <c r="M621" s="137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hidden="1" customHeight="1">
      <c r="A622" s="134"/>
      <c r="B622" s="135"/>
      <c r="C622" s="135"/>
      <c r="D622" s="516"/>
      <c r="E622" s="135"/>
      <c r="F622" s="135"/>
      <c r="G622" s="135"/>
      <c r="H622" s="135"/>
      <c r="I622" s="516"/>
      <c r="J622" s="135"/>
      <c r="K622" s="135"/>
      <c r="L622" s="135"/>
      <c r="M622" s="137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hidden="1" customHeight="1">
      <c r="A623" s="134"/>
      <c r="B623" s="135"/>
      <c r="C623" s="135"/>
      <c r="D623" s="516"/>
      <c r="E623" s="135"/>
      <c r="F623" s="135"/>
      <c r="G623" s="135"/>
      <c r="H623" s="135"/>
      <c r="I623" s="516"/>
      <c r="J623" s="135"/>
      <c r="K623" s="135"/>
      <c r="L623" s="135"/>
      <c r="M623" s="137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hidden="1" customHeight="1">
      <c r="A624" s="134"/>
      <c r="B624" s="135"/>
      <c r="C624" s="135"/>
      <c r="D624" s="516"/>
      <c r="E624" s="135"/>
      <c r="F624" s="135"/>
      <c r="G624" s="135"/>
      <c r="H624" s="135"/>
      <c r="I624" s="516"/>
      <c r="J624" s="135"/>
      <c r="K624" s="135"/>
      <c r="L624" s="135"/>
      <c r="M624" s="137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hidden="1" customHeight="1">
      <c r="A625" s="134"/>
      <c r="B625" s="135"/>
      <c r="C625" s="135"/>
      <c r="D625" s="516"/>
      <c r="E625" s="135"/>
      <c r="F625" s="135"/>
      <c r="G625" s="135"/>
      <c r="H625" s="135"/>
      <c r="I625" s="516"/>
      <c r="J625" s="135"/>
      <c r="K625" s="135"/>
      <c r="L625" s="135"/>
      <c r="M625" s="137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hidden="1" customHeight="1">
      <c r="A626" s="134"/>
      <c r="B626" s="135"/>
      <c r="C626" s="135"/>
      <c r="D626" s="516"/>
      <c r="E626" s="135"/>
      <c r="F626" s="135"/>
      <c r="G626" s="135"/>
      <c r="H626" s="135"/>
      <c r="I626" s="516"/>
      <c r="J626" s="135"/>
      <c r="K626" s="135"/>
      <c r="L626" s="135"/>
      <c r="M626" s="137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hidden="1" customHeight="1">
      <c r="A627" s="134"/>
      <c r="B627" s="135"/>
      <c r="C627" s="135"/>
      <c r="D627" s="516"/>
      <c r="E627" s="135"/>
      <c r="F627" s="135"/>
      <c r="G627" s="135"/>
      <c r="H627" s="135"/>
      <c r="I627" s="516"/>
      <c r="J627" s="135"/>
      <c r="K627" s="135"/>
      <c r="L627" s="135"/>
      <c r="M627" s="137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hidden="1" customHeight="1">
      <c r="A628" s="134"/>
      <c r="B628" s="135"/>
      <c r="C628" s="135"/>
      <c r="D628" s="516"/>
      <c r="E628" s="135"/>
      <c r="F628" s="135"/>
      <c r="G628" s="135"/>
      <c r="H628" s="135"/>
      <c r="I628" s="516"/>
      <c r="J628" s="135"/>
      <c r="K628" s="135"/>
      <c r="L628" s="135"/>
      <c r="M628" s="137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hidden="1" customHeight="1">
      <c r="A629" s="134"/>
      <c r="B629" s="135"/>
      <c r="C629" s="135"/>
      <c r="D629" s="516"/>
      <c r="E629" s="135"/>
      <c r="F629" s="135"/>
      <c r="G629" s="135"/>
      <c r="H629" s="135"/>
      <c r="I629" s="516"/>
      <c r="J629" s="135"/>
      <c r="K629" s="135"/>
      <c r="L629" s="135"/>
      <c r="M629" s="137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hidden="1" customHeight="1">
      <c r="A630" s="134"/>
      <c r="B630" s="135"/>
      <c r="C630" s="135"/>
      <c r="D630" s="516"/>
      <c r="E630" s="135"/>
      <c r="F630" s="135"/>
      <c r="G630" s="135"/>
      <c r="H630" s="135"/>
      <c r="I630" s="516"/>
      <c r="J630" s="135"/>
      <c r="K630" s="135"/>
      <c r="L630" s="135"/>
      <c r="M630" s="137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hidden="1" customHeight="1">
      <c r="A631" s="134"/>
      <c r="B631" s="135"/>
      <c r="C631" s="135"/>
      <c r="D631" s="516"/>
      <c r="E631" s="135"/>
      <c r="F631" s="135"/>
      <c r="G631" s="135"/>
      <c r="H631" s="135"/>
      <c r="I631" s="516"/>
      <c r="J631" s="135"/>
      <c r="K631" s="135"/>
      <c r="L631" s="135"/>
      <c r="M631" s="137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hidden="1" customHeight="1">
      <c r="A632" s="134"/>
      <c r="B632" s="135"/>
      <c r="C632" s="135"/>
      <c r="D632" s="516"/>
      <c r="E632" s="135"/>
      <c r="F632" s="135"/>
      <c r="G632" s="135"/>
      <c r="H632" s="135"/>
      <c r="I632" s="516"/>
      <c r="J632" s="135"/>
      <c r="K632" s="135"/>
      <c r="L632" s="135"/>
      <c r="M632" s="137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hidden="1" customHeight="1">
      <c r="A633" s="134"/>
      <c r="B633" s="135"/>
      <c r="C633" s="135"/>
      <c r="D633" s="516"/>
      <c r="E633" s="135"/>
      <c r="F633" s="135"/>
      <c r="G633" s="135"/>
      <c r="H633" s="135"/>
      <c r="I633" s="516"/>
      <c r="J633" s="135"/>
      <c r="K633" s="135"/>
      <c r="L633" s="135"/>
      <c r="M633" s="137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hidden="1" customHeight="1">
      <c r="A634" s="134"/>
      <c r="B634" s="135"/>
      <c r="C634" s="135"/>
      <c r="D634" s="516"/>
      <c r="E634" s="135"/>
      <c r="F634" s="135"/>
      <c r="G634" s="135"/>
      <c r="H634" s="135"/>
      <c r="I634" s="516"/>
      <c r="J634" s="135"/>
      <c r="K634" s="135"/>
      <c r="L634" s="135"/>
      <c r="M634" s="137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hidden="1" customHeight="1">
      <c r="A635" s="134"/>
      <c r="B635" s="135"/>
      <c r="C635" s="135"/>
      <c r="D635" s="516"/>
      <c r="E635" s="135"/>
      <c r="F635" s="135"/>
      <c r="G635" s="135"/>
      <c r="H635" s="135"/>
      <c r="I635" s="516"/>
      <c r="J635" s="135"/>
      <c r="K635" s="135"/>
      <c r="L635" s="135"/>
      <c r="M635" s="137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hidden="1" customHeight="1">
      <c r="A636" s="134"/>
      <c r="B636" s="135"/>
      <c r="C636" s="135"/>
      <c r="D636" s="516"/>
      <c r="E636" s="135"/>
      <c r="F636" s="135"/>
      <c r="G636" s="135"/>
      <c r="H636" s="135"/>
      <c r="I636" s="516"/>
      <c r="J636" s="135"/>
      <c r="K636" s="135"/>
      <c r="L636" s="135"/>
      <c r="M636" s="137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hidden="1" customHeight="1">
      <c r="A637" s="134"/>
      <c r="B637" s="135"/>
      <c r="C637" s="135"/>
      <c r="D637" s="516"/>
      <c r="E637" s="135"/>
      <c r="F637" s="135"/>
      <c r="G637" s="135"/>
      <c r="H637" s="135"/>
      <c r="I637" s="516"/>
      <c r="J637" s="135"/>
      <c r="K637" s="135"/>
      <c r="L637" s="135"/>
      <c r="M637" s="137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hidden="1" customHeight="1">
      <c r="A638" s="134"/>
      <c r="B638" s="135"/>
      <c r="C638" s="135"/>
      <c r="D638" s="516"/>
      <c r="E638" s="135"/>
      <c r="F638" s="135"/>
      <c r="G638" s="135"/>
      <c r="H638" s="135"/>
      <c r="I638" s="516"/>
      <c r="J638" s="135"/>
      <c r="K638" s="135"/>
      <c r="L638" s="135"/>
      <c r="M638" s="137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hidden="1" customHeight="1">
      <c r="A639" s="134"/>
      <c r="B639" s="135"/>
      <c r="C639" s="135"/>
      <c r="D639" s="516"/>
      <c r="E639" s="135"/>
      <c r="F639" s="135"/>
      <c r="G639" s="135"/>
      <c r="H639" s="135"/>
      <c r="I639" s="516"/>
      <c r="J639" s="135"/>
      <c r="K639" s="135"/>
      <c r="L639" s="135"/>
      <c r="M639" s="137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hidden="1" customHeight="1">
      <c r="A640" s="134"/>
      <c r="B640" s="135"/>
      <c r="C640" s="135"/>
      <c r="D640" s="516"/>
      <c r="E640" s="135"/>
      <c r="F640" s="135"/>
      <c r="G640" s="135"/>
      <c r="H640" s="135"/>
      <c r="I640" s="516"/>
      <c r="J640" s="135"/>
      <c r="K640" s="135"/>
      <c r="L640" s="135"/>
      <c r="M640" s="137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hidden="1" customHeight="1">
      <c r="A641" s="134"/>
      <c r="B641" s="135"/>
      <c r="C641" s="135"/>
      <c r="D641" s="516"/>
      <c r="E641" s="135"/>
      <c r="F641" s="135"/>
      <c r="G641" s="135"/>
      <c r="H641" s="135"/>
      <c r="I641" s="516"/>
      <c r="J641" s="135"/>
      <c r="K641" s="135"/>
      <c r="L641" s="135"/>
      <c r="M641" s="137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hidden="1" customHeight="1">
      <c r="A642" s="134"/>
      <c r="B642" s="135"/>
      <c r="C642" s="135"/>
      <c r="D642" s="516"/>
      <c r="E642" s="135"/>
      <c r="F642" s="135"/>
      <c r="G642" s="135"/>
      <c r="H642" s="135"/>
      <c r="I642" s="516"/>
      <c r="J642" s="135"/>
      <c r="K642" s="135"/>
      <c r="L642" s="135"/>
      <c r="M642" s="137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hidden="1" customHeight="1">
      <c r="A643" s="134"/>
      <c r="B643" s="135"/>
      <c r="C643" s="135"/>
      <c r="D643" s="516"/>
      <c r="E643" s="135"/>
      <c r="F643" s="135"/>
      <c r="G643" s="135"/>
      <c r="H643" s="135"/>
      <c r="I643" s="516"/>
      <c r="J643" s="135"/>
      <c r="K643" s="135"/>
      <c r="L643" s="135"/>
      <c r="M643" s="137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hidden="1" customHeight="1">
      <c r="A644" s="134"/>
      <c r="B644" s="135"/>
      <c r="C644" s="135"/>
      <c r="D644" s="516"/>
      <c r="E644" s="135"/>
      <c r="F644" s="135"/>
      <c r="G644" s="135"/>
      <c r="H644" s="135"/>
      <c r="I644" s="516"/>
      <c r="J644" s="135"/>
      <c r="K644" s="135"/>
      <c r="L644" s="135"/>
      <c r="M644" s="137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hidden="1" customHeight="1">
      <c r="A645" s="134"/>
      <c r="B645" s="135"/>
      <c r="C645" s="135"/>
      <c r="D645" s="516"/>
      <c r="E645" s="135"/>
      <c r="F645" s="135"/>
      <c r="G645" s="135"/>
      <c r="H645" s="135"/>
      <c r="I645" s="516"/>
      <c r="J645" s="135"/>
      <c r="K645" s="135"/>
      <c r="L645" s="135"/>
      <c r="M645" s="137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hidden="1" customHeight="1">
      <c r="A646" s="134"/>
      <c r="B646" s="135"/>
      <c r="C646" s="135"/>
      <c r="D646" s="516"/>
      <c r="E646" s="135"/>
      <c r="F646" s="135"/>
      <c r="G646" s="135"/>
      <c r="H646" s="135"/>
      <c r="I646" s="516"/>
      <c r="J646" s="135"/>
      <c r="K646" s="135"/>
      <c r="L646" s="135"/>
      <c r="M646" s="137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hidden="1" customHeight="1">
      <c r="A647" s="134"/>
      <c r="B647" s="135"/>
      <c r="C647" s="135"/>
      <c r="D647" s="516"/>
      <c r="E647" s="135"/>
      <c r="F647" s="135"/>
      <c r="G647" s="135"/>
      <c r="H647" s="135"/>
      <c r="I647" s="516"/>
      <c r="J647" s="135"/>
      <c r="K647" s="135"/>
      <c r="L647" s="135"/>
      <c r="M647" s="137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hidden="1" customHeight="1">
      <c r="A648" s="134"/>
      <c r="B648" s="135"/>
      <c r="C648" s="135"/>
      <c r="D648" s="516"/>
      <c r="E648" s="135"/>
      <c r="F648" s="135"/>
      <c r="G648" s="135"/>
      <c r="H648" s="135"/>
      <c r="I648" s="516"/>
      <c r="J648" s="135"/>
      <c r="K648" s="135"/>
      <c r="L648" s="135"/>
      <c r="M648" s="137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hidden="1" customHeight="1">
      <c r="A649" s="134"/>
      <c r="B649" s="135"/>
      <c r="C649" s="135"/>
      <c r="D649" s="516"/>
      <c r="E649" s="135"/>
      <c r="F649" s="135"/>
      <c r="G649" s="135"/>
      <c r="H649" s="135"/>
      <c r="I649" s="516"/>
      <c r="J649" s="135"/>
      <c r="K649" s="135"/>
      <c r="L649" s="135"/>
      <c r="M649" s="137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hidden="1" customHeight="1">
      <c r="A650" s="134"/>
      <c r="B650" s="135"/>
      <c r="C650" s="135"/>
      <c r="D650" s="516"/>
      <c r="E650" s="135"/>
      <c r="F650" s="135"/>
      <c r="G650" s="135"/>
      <c r="H650" s="135"/>
      <c r="I650" s="516"/>
      <c r="J650" s="135"/>
      <c r="K650" s="135"/>
      <c r="L650" s="135"/>
      <c r="M650" s="137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hidden="1" customHeight="1">
      <c r="A651" s="134"/>
      <c r="B651" s="135"/>
      <c r="C651" s="135"/>
      <c r="D651" s="516"/>
      <c r="E651" s="135"/>
      <c r="F651" s="135"/>
      <c r="G651" s="135"/>
      <c r="H651" s="135"/>
      <c r="I651" s="516"/>
      <c r="J651" s="135"/>
      <c r="K651" s="135"/>
      <c r="L651" s="135"/>
      <c r="M651" s="137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hidden="1" customHeight="1">
      <c r="A652" s="134"/>
      <c r="B652" s="135"/>
      <c r="C652" s="135"/>
      <c r="D652" s="516"/>
      <c r="E652" s="135"/>
      <c r="F652" s="135"/>
      <c r="G652" s="135"/>
      <c r="H652" s="135"/>
      <c r="I652" s="516"/>
      <c r="J652" s="135"/>
      <c r="K652" s="135"/>
      <c r="L652" s="135"/>
      <c r="M652" s="137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hidden="1" customHeight="1">
      <c r="A653" s="134"/>
      <c r="B653" s="135"/>
      <c r="C653" s="135"/>
      <c r="D653" s="516"/>
      <c r="E653" s="135"/>
      <c r="F653" s="135"/>
      <c r="G653" s="135"/>
      <c r="H653" s="135"/>
      <c r="I653" s="516"/>
      <c r="J653" s="135"/>
      <c r="K653" s="135"/>
      <c r="L653" s="135"/>
      <c r="M653" s="137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hidden="1" customHeight="1">
      <c r="A654" s="134"/>
      <c r="B654" s="135"/>
      <c r="C654" s="135"/>
      <c r="D654" s="516"/>
      <c r="E654" s="135"/>
      <c r="F654" s="135"/>
      <c r="G654" s="135"/>
      <c r="H654" s="135"/>
      <c r="I654" s="516"/>
      <c r="J654" s="135"/>
      <c r="K654" s="135"/>
      <c r="L654" s="135"/>
      <c r="M654" s="137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4"/>
      <c r="B655" s="135"/>
      <c r="C655" s="135"/>
      <c r="D655" s="516"/>
      <c r="E655" s="135"/>
      <c r="F655" s="135"/>
      <c r="G655" s="135"/>
      <c r="H655" s="135"/>
      <c r="I655" s="516"/>
      <c r="J655" s="135"/>
      <c r="K655" s="135"/>
      <c r="L655" s="135"/>
      <c r="M655" s="137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4"/>
      <c r="B656" s="135"/>
      <c r="C656" s="135"/>
      <c r="D656" s="516"/>
      <c r="E656" s="135"/>
      <c r="F656" s="135"/>
      <c r="G656" s="135"/>
      <c r="H656" s="135"/>
      <c r="I656" s="516"/>
      <c r="J656" s="135"/>
      <c r="K656" s="135"/>
      <c r="L656" s="135"/>
      <c r="M656" s="137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4"/>
      <c r="B657" s="135"/>
      <c r="C657" s="135"/>
      <c r="D657" s="516"/>
      <c r="E657" s="135"/>
      <c r="F657" s="135"/>
      <c r="G657" s="135"/>
      <c r="H657" s="135"/>
      <c r="I657" s="516"/>
      <c r="J657" s="135"/>
      <c r="K657" s="135"/>
      <c r="L657" s="135"/>
      <c r="M657" s="137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4"/>
      <c r="B658" s="135"/>
      <c r="C658" s="135"/>
      <c r="D658" s="516"/>
      <c r="E658" s="135"/>
      <c r="F658" s="135"/>
      <c r="G658" s="135"/>
      <c r="H658" s="135"/>
      <c r="I658" s="516"/>
      <c r="J658" s="135"/>
      <c r="K658" s="135"/>
      <c r="L658" s="135"/>
      <c r="M658" s="137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4"/>
      <c r="B659" s="135"/>
      <c r="C659" s="135"/>
      <c r="D659" s="516"/>
      <c r="E659" s="135"/>
      <c r="F659" s="135"/>
      <c r="G659" s="135"/>
      <c r="H659" s="135"/>
      <c r="I659" s="516"/>
      <c r="J659" s="135"/>
      <c r="K659" s="135"/>
      <c r="L659" s="135"/>
      <c r="M659" s="137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4"/>
      <c r="B660" s="135"/>
      <c r="C660" s="135"/>
      <c r="D660" s="516"/>
      <c r="E660" s="135"/>
      <c r="F660" s="135"/>
      <c r="G660" s="135"/>
      <c r="H660" s="135"/>
      <c r="I660" s="516"/>
      <c r="J660" s="135"/>
      <c r="K660" s="135"/>
      <c r="L660" s="135"/>
      <c r="M660" s="137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4"/>
      <c r="B661" s="135"/>
      <c r="C661" s="135"/>
      <c r="D661" s="516"/>
      <c r="E661" s="135"/>
      <c r="F661" s="135"/>
      <c r="G661" s="135"/>
      <c r="H661" s="135"/>
      <c r="I661" s="516"/>
      <c r="J661" s="135"/>
      <c r="K661" s="135"/>
      <c r="L661" s="135"/>
      <c r="M661" s="137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4"/>
      <c r="B662" s="135"/>
      <c r="C662" s="135"/>
      <c r="D662" s="516"/>
      <c r="E662" s="135"/>
      <c r="F662" s="135"/>
      <c r="G662" s="135"/>
      <c r="H662" s="135"/>
      <c r="I662" s="516"/>
      <c r="J662" s="135"/>
      <c r="K662" s="135"/>
      <c r="L662" s="135"/>
      <c r="M662" s="137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4"/>
      <c r="B663" s="135"/>
      <c r="C663" s="135"/>
      <c r="D663" s="516"/>
      <c r="E663" s="135"/>
      <c r="F663" s="135"/>
      <c r="G663" s="135"/>
      <c r="H663" s="135"/>
      <c r="I663" s="516"/>
      <c r="J663" s="135"/>
      <c r="K663" s="135"/>
      <c r="L663" s="135"/>
      <c r="M663" s="137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4"/>
      <c r="B664" s="135"/>
      <c r="C664" s="135"/>
      <c r="D664" s="516"/>
      <c r="E664" s="135"/>
      <c r="F664" s="135"/>
      <c r="G664" s="135"/>
      <c r="H664" s="135"/>
      <c r="I664" s="516"/>
      <c r="J664" s="135"/>
      <c r="K664" s="135"/>
      <c r="L664" s="135"/>
      <c r="M664" s="137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4"/>
      <c r="B665" s="135"/>
      <c r="C665" s="135"/>
      <c r="D665" s="516"/>
      <c r="E665" s="135"/>
      <c r="F665" s="135"/>
      <c r="G665" s="135"/>
      <c r="H665" s="135"/>
      <c r="I665" s="516"/>
      <c r="J665" s="135"/>
      <c r="K665" s="135"/>
      <c r="L665" s="135"/>
      <c r="M665" s="137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4"/>
      <c r="B666" s="135"/>
      <c r="C666" s="135"/>
      <c r="D666" s="516"/>
      <c r="E666" s="135"/>
      <c r="F666" s="135"/>
      <c r="G666" s="135"/>
      <c r="H666" s="135"/>
      <c r="I666" s="516"/>
      <c r="J666" s="135"/>
      <c r="K666" s="135"/>
      <c r="L666" s="135"/>
      <c r="M666" s="137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4"/>
      <c r="B667" s="135"/>
      <c r="C667" s="135"/>
      <c r="D667" s="516"/>
      <c r="E667" s="135"/>
      <c r="F667" s="135"/>
      <c r="G667" s="135"/>
      <c r="H667" s="135"/>
      <c r="I667" s="516"/>
      <c r="J667" s="135"/>
      <c r="K667" s="135"/>
      <c r="L667" s="135"/>
      <c r="M667" s="137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4"/>
      <c r="B668" s="135"/>
      <c r="C668" s="135"/>
      <c r="D668" s="516"/>
      <c r="E668" s="135"/>
      <c r="F668" s="135"/>
      <c r="G668" s="135"/>
      <c r="H668" s="135"/>
      <c r="I668" s="516"/>
      <c r="J668" s="135"/>
      <c r="K668" s="135"/>
      <c r="L668" s="135"/>
      <c r="M668" s="137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4"/>
      <c r="B669" s="135"/>
      <c r="C669" s="135"/>
      <c r="D669" s="516"/>
      <c r="E669" s="135"/>
      <c r="F669" s="135"/>
      <c r="G669" s="135"/>
      <c r="H669" s="135"/>
      <c r="I669" s="516"/>
      <c r="J669" s="135"/>
      <c r="K669" s="135"/>
      <c r="L669" s="135"/>
      <c r="M669" s="137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4"/>
      <c r="B670" s="135"/>
      <c r="C670" s="135"/>
      <c r="D670" s="516"/>
      <c r="E670" s="135"/>
      <c r="F670" s="135"/>
      <c r="G670" s="135"/>
      <c r="H670" s="135"/>
      <c r="I670" s="516"/>
      <c r="J670" s="135"/>
      <c r="K670" s="135"/>
      <c r="L670" s="135"/>
      <c r="M670" s="137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4"/>
      <c r="B671" s="135"/>
      <c r="C671" s="135"/>
      <c r="D671" s="516"/>
      <c r="E671" s="135"/>
      <c r="F671" s="135"/>
      <c r="G671" s="135"/>
      <c r="H671" s="135"/>
      <c r="I671" s="516"/>
      <c r="J671" s="135"/>
      <c r="K671" s="135"/>
      <c r="L671" s="135"/>
      <c r="M671" s="137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4"/>
      <c r="B672" s="135"/>
      <c r="C672" s="135"/>
      <c r="D672" s="516"/>
      <c r="E672" s="135"/>
      <c r="F672" s="135"/>
      <c r="G672" s="135"/>
      <c r="H672" s="135"/>
      <c r="I672" s="516"/>
      <c r="J672" s="135"/>
      <c r="K672" s="135"/>
      <c r="L672" s="135"/>
      <c r="M672" s="137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4"/>
      <c r="B673" s="135"/>
      <c r="C673" s="135"/>
      <c r="D673" s="516"/>
      <c r="E673" s="135"/>
      <c r="F673" s="135"/>
      <c r="G673" s="135"/>
      <c r="H673" s="135"/>
      <c r="I673" s="516"/>
      <c r="J673" s="135"/>
      <c r="K673" s="135"/>
      <c r="L673" s="135"/>
      <c r="M673" s="137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4"/>
      <c r="B674" s="135"/>
      <c r="C674" s="135"/>
      <c r="D674" s="516"/>
      <c r="E674" s="135"/>
      <c r="F674" s="135"/>
      <c r="G674" s="135"/>
      <c r="H674" s="135"/>
      <c r="I674" s="516"/>
      <c r="J674" s="135"/>
      <c r="K674" s="135"/>
      <c r="L674" s="135"/>
      <c r="M674" s="137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4"/>
      <c r="B675" s="135"/>
      <c r="C675" s="135"/>
      <c r="D675" s="516"/>
      <c r="E675" s="135"/>
      <c r="F675" s="135"/>
      <c r="G675" s="135"/>
      <c r="H675" s="135"/>
      <c r="I675" s="516"/>
      <c r="J675" s="135"/>
      <c r="K675" s="135"/>
      <c r="L675" s="135"/>
      <c r="M675" s="137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4"/>
      <c r="B676" s="135"/>
      <c r="C676" s="135"/>
      <c r="D676" s="516"/>
      <c r="E676" s="135"/>
      <c r="F676" s="135"/>
      <c r="G676" s="135"/>
      <c r="H676" s="135"/>
      <c r="I676" s="516"/>
      <c r="J676" s="135"/>
      <c r="K676" s="135"/>
      <c r="L676" s="135"/>
      <c r="M676" s="137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34"/>
      <c r="B677" s="135"/>
      <c r="C677" s="135"/>
      <c r="D677" s="516"/>
      <c r="E677" s="135"/>
      <c r="F677" s="135"/>
      <c r="G677" s="135"/>
      <c r="H677" s="135"/>
      <c r="I677" s="516"/>
      <c r="J677" s="135"/>
      <c r="K677" s="135"/>
      <c r="L677" s="135"/>
      <c r="M677" s="137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34"/>
      <c r="B678" s="135"/>
      <c r="C678" s="135"/>
      <c r="D678" s="516"/>
      <c r="E678" s="135"/>
      <c r="F678" s="135"/>
      <c r="G678" s="135"/>
      <c r="H678" s="135"/>
      <c r="I678" s="516"/>
      <c r="J678" s="135"/>
      <c r="K678" s="135"/>
      <c r="L678" s="135"/>
      <c r="M678" s="137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34"/>
      <c r="B679" s="135"/>
      <c r="C679" s="135"/>
      <c r="D679" s="516"/>
      <c r="E679" s="135"/>
      <c r="F679" s="135"/>
      <c r="G679" s="135"/>
      <c r="H679" s="135"/>
      <c r="I679" s="516"/>
      <c r="J679" s="135"/>
      <c r="K679" s="135"/>
      <c r="L679" s="135"/>
      <c r="M679" s="137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34"/>
      <c r="B680" s="135"/>
      <c r="C680" s="135"/>
      <c r="D680" s="516"/>
      <c r="E680" s="135"/>
      <c r="F680" s="135"/>
      <c r="G680" s="135"/>
      <c r="H680" s="135"/>
      <c r="I680" s="516"/>
      <c r="J680" s="135"/>
      <c r="K680" s="135"/>
      <c r="L680" s="135"/>
      <c r="M680" s="137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34"/>
      <c r="B681" s="135"/>
      <c r="C681" s="135"/>
      <c r="D681" s="516"/>
      <c r="E681" s="135"/>
      <c r="F681" s="135"/>
      <c r="G681" s="135"/>
      <c r="H681" s="135"/>
      <c r="I681" s="516"/>
      <c r="J681" s="135"/>
      <c r="K681" s="135"/>
      <c r="L681" s="135"/>
      <c r="M681" s="137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34"/>
      <c r="B682" s="135"/>
      <c r="C682" s="135"/>
      <c r="D682" s="516"/>
      <c r="E682" s="135"/>
      <c r="F682" s="135"/>
      <c r="G682" s="135"/>
      <c r="H682" s="135"/>
      <c r="I682" s="516"/>
      <c r="J682" s="135"/>
      <c r="K682" s="135"/>
      <c r="L682" s="135"/>
      <c r="M682" s="137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34"/>
      <c r="B683" s="135"/>
      <c r="C683" s="135"/>
      <c r="D683" s="516"/>
      <c r="E683" s="135"/>
      <c r="F683" s="135"/>
      <c r="G683" s="135"/>
      <c r="H683" s="135"/>
      <c r="I683" s="516"/>
      <c r="J683" s="135"/>
      <c r="K683" s="135"/>
      <c r="L683" s="135"/>
      <c r="M683" s="137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34"/>
      <c r="B684" s="135"/>
      <c r="C684" s="135"/>
      <c r="D684" s="516"/>
      <c r="E684" s="135"/>
      <c r="F684" s="135"/>
      <c r="G684" s="135"/>
      <c r="H684" s="135"/>
      <c r="I684" s="516"/>
      <c r="J684" s="135"/>
      <c r="K684" s="135"/>
      <c r="L684" s="135"/>
      <c r="M684" s="137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34"/>
      <c r="B685" s="135"/>
      <c r="C685" s="135"/>
      <c r="D685" s="516"/>
      <c r="E685" s="135"/>
      <c r="F685" s="135"/>
      <c r="G685" s="135"/>
      <c r="H685" s="135"/>
      <c r="I685" s="516"/>
      <c r="J685" s="135"/>
      <c r="K685" s="135"/>
      <c r="L685" s="135"/>
      <c r="M685" s="137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34"/>
      <c r="B686" s="135"/>
      <c r="C686" s="135"/>
      <c r="D686" s="516"/>
      <c r="E686" s="135"/>
      <c r="F686" s="135"/>
      <c r="G686" s="135"/>
      <c r="H686" s="135"/>
      <c r="I686" s="516"/>
      <c r="J686" s="135"/>
      <c r="K686" s="135"/>
      <c r="L686" s="135"/>
      <c r="M686" s="137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34"/>
      <c r="B687" s="135"/>
      <c r="C687" s="135"/>
      <c r="D687" s="516"/>
      <c r="E687" s="135"/>
      <c r="F687" s="135"/>
      <c r="G687" s="135"/>
      <c r="H687" s="135"/>
      <c r="I687" s="516"/>
      <c r="J687" s="135"/>
      <c r="K687" s="135"/>
      <c r="L687" s="135"/>
      <c r="M687" s="137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34"/>
      <c r="B688" s="135"/>
      <c r="C688" s="135"/>
      <c r="D688" s="516"/>
      <c r="E688" s="135"/>
      <c r="F688" s="135"/>
      <c r="G688" s="135"/>
      <c r="H688" s="135"/>
      <c r="I688" s="516"/>
      <c r="J688" s="135"/>
      <c r="K688" s="135"/>
      <c r="L688" s="135"/>
      <c r="M688" s="137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34"/>
      <c r="B689" s="135"/>
      <c r="C689" s="135"/>
      <c r="D689" s="516"/>
      <c r="E689" s="135"/>
      <c r="F689" s="135"/>
      <c r="G689" s="135"/>
      <c r="H689" s="135"/>
      <c r="I689" s="516"/>
      <c r="J689" s="135"/>
      <c r="K689" s="135"/>
      <c r="L689" s="135"/>
      <c r="M689" s="137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34"/>
      <c r="B690" s="135"/>
      <c r="C690" s="135"/>
      <c r="D690" s="516"/>
      <c r="E690" s="135"/>
      <c r="F690" s="135"/>
      <c r="G690" s="135"/>
      <c r="H690" s="135"/>
      <c r="I690" s="516"/>
      <c r="J690" s="135"/>
      <c r="K690" s="135"/>
      <c r="L690" s="135"/>
      <c r="M690" s="137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34"/>
      <c r="B691" s="135"/>
      <c r="C691" s="135"/>
      <c r="D691" s="516"/>
      <c r="E691" s="135"/>
      <c r="F691" s="135"/>
      <c r="G691" s="135"/>
      <c r="H691" s="135"/>
      <c r="I691" s="516"/>
      <c r="J691" s="135"/>
      <c r="K691" s="135"/>
      <c r="L691" s="135"/>
      <c r="M691" s="137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34"/>
      <c r="B692" s="135"/>
      <c r="C692" s="135"/>
      <c r="D692" s="516"/>
      <c r="E692" s="135"/>
      <c r="F692" s="135"/>
      <c r="G692" s="135"/>
      <c r="H692" s="135"/>
      <c r="I692" s="516"/>
      <c r="J692" s="135"/>
      <c r="K692" s="135"/>
      <c r="L692" s="135"/>
      <c r="M692" s="137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34"/>
      <c r="B693" s="135"/>
      <c r="C693" s="135"/>
      <c r="D693" s="516"/>
      <c r="E693" s="135"/>
      <c r="F693" s="135"/>
      <c r="G693" s="135"/>
      <c r="H693" s="135"/>
      <c r="I693" s="516"/>
      <c r="J693" s="135"/>
      <c r="K693" s="135"/>
      <c r="L693" s="135"/>
      <c r="M693" s="137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34"/>
      <c r="B694" s="135"/>
      <c r="C694" s="135"/>
      <c r="D694" s="516"/>
      <c r="E694" s="135"/>
      <c r="F694" s="135"/>
      <c r="G694" s="135"/>
      <c r="H694" s="135"/>
      <c r="I694" s="516"/>
      <c r="J694" s="135"/>
      <c r="K694" s="135"/>
      <c r="L694" s="135"/>
      <c r="M694" s="137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34"/>
      <c r="B695" s="135"/>
      <c r="C695" s="135"/>
      <c r="D695" s="516"/>
      <c r="E695" s="135"/>
      <c r="F695" s="135"/>
      <c r="G695" s="135"/>
      <c r="H695" s="135"/>
      <c r="I695" s="516"/>
      <c r="J695" s="135"/>
      <c r="K695" s="135"/>
      <c r="L695" s="135"/>
      <c r="M695" s="137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hidden="1" customHeight="1">
      <c r="A696" s="134"/>
      <c r="B696" s="135"/>
      <c r="C696" s="135"/>
      <c r="D696" s="516"/>
      <c r="E696" s="135"/>
      <c r="F696" s="135"/>
      <c r="G696" s="135"/>
      <c r="H696" s="135"/>
      <c r="I696" s="516"/>
      <c r="J696" s="135"/>
      <c r="K696" s="135"/>
      <c r="L696" s="135"/>
      <c r="M696" s="137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hidden="1" customHeight="1">
      <c r="A697" s="134"/>
      <c r="B697" s="135"/>
      <c r="C697" s="135"/>
      <c r="D697" s="516"/>
      <c r="E697" s="135"/>
      <c r="F697" s="135"/>
      <c r="G697" s="135"/>
      <c r="H697" s="135"/>
      <c r="I697" s="516"/>
      <c r="J697" s="135"/>
      <c r="K697" s="135"/>
      <c r="L697" s="135"/>
      <c r="M697" s="137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hidden="1" customHeight="1">
      <c r="A698" s="134"/>
      <c r="B698" s="135"/>
      <c r="C698" s="135"/>
      <c r="D698" s="516"/>
      <c r="E698" s="135"/>
      <c r="F698" s="135"/>
      <c r="G698" s="135"/>
      <c r="H698" s="135"/>
      <c r="I698" s="516"/>
      <c r="J698" s="135"/>
      <c r="K698" s="135"/>
      <c r="L698" s="135"/>
      <c r="M698" s="137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hidden="1" customHeight="1">
      <c r="A699" s="134"/>
      <c r="B699" s="135"/>
      <c r="C699" s="135"/>
      <c r="D699" s="516"/>
      <c r="E699" s="135"/>
      <c r="F699" s="135"/>
      <c r="G699" s="135"/>
      <c r="H699" s="135"/>
      <c r="I699" s="516"/>
      <c r="J699" s="135"/>
      <c r="K699" s="135"/>
      <c r="L699" s="135"/>
      <c r="M699" s="137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hidden="1" customHeight="1">
      <c r="A700" s="134"/>
      <c r="B700" s="135"/>
      <c r="C700" s="135"/>
      <c r="D700" s="516"/>
      <c r="E700" s="135"/>
      <c r="F700" s="135"/>
      <c r="G700" s="135"/>
      <c r="H700" s="135"/>
      <c r="I700" s="516"/>
      <c r="J700" s="135"/>
      <c r="K700" s="135"/>
      <c r="L700" s="135"/>
      <c r="M700" s="137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hidden="1" customHeight="1">
      <c r="A701" s="134"/>
      <c r="B701" s="135"/>
      <c r="C701" s="135"/>
      <c r="D701" s="516"/>
      <c r="E701" s="135"/>
      <c r="F701" s="135"/>
      <c r="G701" s="135"/>
      <c r="H701" s="135"/>
      <c r="I701" s="516"/>
      <c r="J701" s="135"/>
      <c r="K701" s="135"/>
      <c r="L701" s="135"/>
      <c r="M701" s="137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hidden="1" customHeight="1">
      <c r="A702" s="134"/>
      <c r="B702" s="135"/>
      <c r="C702" s="135"/>
      <c r="D702" s="516"/>
      <c r="E702" s="135"/>
      <c r="F702" s="135"/>
      <c r="G702" s="135"/>
      <c r="H702" s="135"/>
      <c r="I702" s="516"/>
      <c r="J702" s="135"/>
      <c r="K702" s="135"/>
      <c r="L702" s="135"/>
      <c r="M702" s="137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hidden="1" customHeight="1">
      <c r="A703" s="134"/>
      <c r="B703" s="135"/>
      <c r="C703" s="135"/>
      <c r="D703" s="516"/>
      <c r="E703" s="135"/>
      <c r="F703" s="135"/>
      <c r="G703" s="135"/>
      <c r="H703" s="135"/>
      <c r="I703" s="516"/>
      <c r="J703" s="135"/>
      <c r="K703" s="135"/>
      <c r="L703" s="135"/>
      <c r="M703" s="137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hidden="1" customHeight="1">
      <c r="A704" s="134"/>
      <c r="B704" s="135"/>
      <c r="C704" s="135"/>
      <c r="D704" s="516"/>
      <c r="E704" s="135"/>
      <c r="F704" s="135"/>
      <c r="G704" s="135"/>
      <c r="H704" s="135"/>
      <c r="I704" s="516"/>
      <c r="J704" s="135"/>
      <c r="K704" s="135"/>
      <c r="L704" s="135"/>
      <c r="M704" s="137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hidden="1" customHeight="1">
      <c r="A705" s="134"/>
      <c r="B705" s="135"/>
      <c r="C705" s="135"/>
      <c r="D705" s="516"/>
      <c r="E705" s="135"/>
      <c r="F705" s="135"/>
      <c r="G705" s="135"/>
      <c r="H705" s="135"/>
      <c r="I705" s="516"/>
      <c r="J705" s="135"/>
      <c r="K705" s="135"/>
      <c r="L705" s="135"/>
      <c r="M705" s="137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hidden="1" customHeight="1">
      <c r="A706" s="134"/>
      <c r="B706" s="135"/>
      <c r="C706" s="135"/>
      <c r="D706" s="516"/>
      <c r="E706" s="135"/>
      <c r="F706" s="135"/>
      <c r="G706" s="135"/>
      <c r="H706" s="135"/>
      <c r="I706" s="516"/>
      <c r="J706" s="135"/>
      <c r="K706" s="135"/>
      <c r="L706" s="135"/>
      <c r="M706" s="137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hidden="1" customHeight="1">
      <c r="A707" s="134"/>
      <c r="B707" s="135"/>
      <c r="C707" s="135"/>
      <c r="D707" s="516"/>
      <c r="E707" s="135"/>
      <c r="F707" s="135"/>
      <c r="G707" s="135"/>
      <c r="H707" s="135"/>
      <c r="I707" s="516"/>
      <c r="J707" s="135"/>
      <c r="K707" s="135"/>
      <c r="L707" s="135"/>
      <c r="M707" s="137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hidden="1" customHeight="1">
      <c r="A708" s="134"/>
      <c r="B708" s="135"/>
      <c r="C708" s="135"/>
      <c r="D708" s="516"/>
      <c r="E708" s="135"/>
      <c r="F708" s="135"/>
      <c r="G708" s="135"/>
      <c r="H708" s="135"/>
      <c r="I708" s="516"/>
      <c r="J708" s="135"/>
      <c r="K708" s="135"/>
      <c r="L708" s="135"/>
      <c r="M708" s="137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hidden="1" customHeight="1">
      <c r="A709" s="134"/>
      <c r="B709" s="135"/>
      <c r="C709" s="135"/>
      <c r="D709" s="516"/>
      <c r="E709" s="135"/>
      <c r="F709" s="135"/>
      <c r="G709" s="135"/>
      <c r="H709" s="135"/>
      <c r="I709" s="516"/>
      <c r="J709" s="135"/>
      <c r="K709" s="135"/>
      <c r="L709" s="135"/>
      <c r="M709" s="137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hidden="1" customHeight="1">
      <c r="A710" s="134"/>
      <c r="B710" s="135"/>
      <c r="C710" s="135"/>
      <c r="D710" s="516"/>
      <c r="E710" s="135"/>
      <c r="F710" s="135"/>
      <c r="G710" s="135"/>
      <c r="H710" s="135"/>
      <c r="I710" s="516"/>
      <c r="J710" s="135"/>
      <c r="K710" s="135"/>
      <c r="L710" s="135"/>
      <c r="M710" s="137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hidden="1" customHeight="1">
      <c r="A711" s="134"/>
      <c r="B711" s="135"/>
      <c r="C711" s="135"/>
      <c r="D711" s="516"/>
      <c r="E711" s="135"/>
      <c r="F711" s="135"/>
      <c r="G711" s="135"/>
      <c r="H711" s="135"/>
      <c r="I711" s="516"/>
      <c r="J711" s="135"/>
      <c r="K711" s="135"/>
      <c r="L711" s="135"/>
      <c r="M711" s="137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hidden="1" customHeight="1">
      <c r="A712" s="134"/>
      <c r="B712" s="135"/>
      <c r="C712" s="135"/>
      <c r="D712" s="516"/>
      <c r="E712" s="135"/>
      <c r="F712" s="135"/>
      <c r="G712" s="135"/>
      <c r="H712" s="135"/>
      <c r="I712" s="516"/>
      <c r="J712" s="135"/>
      <c r="K712" s="135"/>
      <c r="L712" s="135"/>
      <c r="M712" s="137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hidden="1" customHeight="1">
      <c r="A713" s="134"/>
      <c r="B713" s="135"/>
      <c r="C713" s="135"/>
      <c r="D713" s="516"/>
      <c r="E713" s="135"/>
      <c r="F713" s="135"/>
      <c r="G713" s="135"/>
      <c r="H713" s="135"/>
      <c r="I713" s="516"/>
      <c r="J713" s="135"/>
      <c r="K713" s="135"/>
      <c r="L713" s="135"/>
      <c r="M713" s="137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hidden="1" customHeight="1">
      <c r="A714" s="134"/>
      <c r="B714" s="135"/>
      <c r="C714" s="135"/>
      <c r="D714" s="516"/>
      <c r="E714" s="135"/>
      <c r="F714" s="135"/>
      <c r="G714" s="135"/>
      <c r="H714" s="135"/>
      <c r="I714" s="516"/>
      <c r="J714" s="135"/>
      <c r="K714" s="135"/>
      <c r="L714" s="135"/>
      <c r="M714" s="137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hidden="1" customHeight="1">
      <c r="A715" s="134"/>
      <c r="B715" s="135"/>
      <c r="C715" s="135"/>
      <c r="D715" s="516"/>
      <c r="E715" s="135"/>
      <c r="F715" s="135"/>
      <c r="G715" s="135"/>
      <c r="H715" s="135"/>
      <c r="I715" s="516"/>
      <c r="J715" s="135"/>
      <c r="K715" s="135"/>
      <c r="L715" s="135"/>
      <c r="M715" s="137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hidden="1" customHeight="1">
      <c r="A716" s="134"/>
      <c r="B716" s="135"/>
      <c r="C716" s="135"/>
      <c r="D716" s="516"/>
      <c r="E716" s="135"/>
      <c r="F716" s="135"/>
      <c r="G716" s="135"/>
      <c r="H716" s="135"/>
      <c r="I716" s="516"/>
      <c r="J716" s="135"/>
      <c r="K716" s="135"/>
      <c r="L716" s="135"/>
      <c r="M716" s="137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hidden="1" customHeight="1">
      <c r="A717" s="134"/>
      <c r="B717" s="135"/>
      <c r="C717" s="135"/>
      <c r="D717" s="516"/>
      <c r="E717" s="135"/>
      <c r="F717" s="135"/>
      <c r="G717" s="135"/>
      <c r="H717" s="135"/>
      <c r="I717" s="516"/>
      <c r="J717" s="135"/>
      <c r="K717" s="135"/>
      <c r="L717" s="135"/>
      <c r="M717" s="137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hidden="1" customHeight="1">
      <c r="A718" s="134"/>
      <c r="B718" s="135"/>
      <c r="C718" s="135"/>
      <c r="D718" s="516"/>
      <c r="E718" s="135"/>
      <c r="F718" s="135"/>
      <c r="G718" s="135"/>
      <c r="H718" s="135"/>
      <c r="I718" s="516"/>
      <c r="J718" s="135"/>
      <c r="K718" s="135"/>
      <c r="L718" s="135"/>
      <c r="M718" s="137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hidden="1" customHeight="1">
      <c r="A719" s="134"/>
      <c r="B719" s="135"/>
      <c r="C719" s="135"/>
      <c r="D719" s="516"/>
      <c r="E719" s="135"/>
      <c r="F719" s="135"/>
      <c r="G719" s="135"/>
      <c r="H719" s="135"/>
      <c r="I719" s="516"/>
      <c r="J719" s="135"/>
      <c r="K719" s="135"/>
      <c r="L719" s="135"/>
      <c r="M719" s="137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hidden="1" customHeight="1">
      <c r="A720" s="134"/>
      <c r="B720" s="135"/>
      <c r="C720" s="135"/>
      <c r="D720" s="516"/>
      <c r="E720" s="135"/>
      <c r="F720" s="135"/>
      <c r="G720" s="135"/>
      <c r="H720" s="135"/>
      <c r="I720" s="516"/>
      <c r="J720" s="135"/>
      <c r="K720" s="135"/>
      <c r="L720" s="135"/>
      <c r="M720" s="137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hidden="1" customHeight="1">
      <c r="A721" s="134"/>
      <c r="B721" s="135"/>
      <c r="C721" s="135"/>
      <c r="D721" s="516"/>
      <c r="E721" s="135"/>
      <c r="F721" s="135"/>
      <c r="G721" s="135"/>
      <c r="H721" s="135"/>
      <c r="I721" s="516"/>
      <c r="J721" s="135"/>
      <c r="K721" s="135"/>
      <c r="L721" s="135"/>
      <c r="M721" s="137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hidden="1" customHeight="1">
      <c r="A722" s="134"/>
      <c r="B722" s="135"/>
      <c r="C722" s="135"/>
      <c r="D722" s="516"/>
      <c r="E722" s="135"/>
      <c r="F722" s="135"/>
      <c r="G722" s="135"/>
      <c r="H722" s="135"/>
      <c r="I722" s="516"/>
      <c r="J722" s="135"/>
      <c r="K722" s="135"/>
      <c r="L722" s="135"/>
      <c r="M722" s="137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hidden="1" customHeight="1">
      <c r="A723" s="134"/>
      <c r="B723" s="135"/>
      <c r="C723" s="135"/>
      <c r="D723" s="516"/>
      <c r="E723" s="135"/>
      <c r="F723" s="135"/>
      <c r="G723" s="135"/>
      <c r="H723" s="135"/>
      <c r="I723" s="516"/>
      <c r="J723" s="135"/>
      <c r="K723" s="135"/>
      <c r="L723" s="135"/>
      <c r="M723" s="137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hidden="1" customHeight="1">
      <c r="A724" s="134"/>
      <c r="B724" s="135"/>
      <c r="C724" s="135"/>
      <c r="D724" s="516"/>
      <c r="E724" s="135"/>
      <c r="F724" s="135"/>
      <c r="G724" s="135"/>
      <c r="H724" s="135"/>
      <c r="I724" s="516"/>
      <c r="J724" s="135"/>
      <c r="K724" s="135"/>
      <c r="L724" s="135"/>
      <c r="M724" s="137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hidden="1" customHeight="1">
      <c r="A725" s="134"/>
      <c r="B725" s="135"/>
      <c r="C725" s="135"/>
      <c r="D725" s="516"/>
      <c r="E725" s="135"/>
      <c r="F725" s="135"/>
      <c r="G725" s="135"/>
      <c r="H725" s="135"/>
      <c r="I725" s="516"/>
      <c r="J725" s="135"/>
      <c r="K725" s="135"/>
      <c r="L725" s="135"/>
      <c r="M725" s="137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hidden="1" customHeight="1">
      <c r="A726" s="134"/>
      <c r="B726" s="135"/>
      <c r="C726" s="135"/>
      <c r="D726" s="516"/>
      <c r="E726" s="135"/>
      <c r="F726" s="135"/>
      <c r="G726" s="135"/>
      <c r="H726" s="135"/>
      <c r="I726" s="516"/>
      <c r="J726" s="135"/>
      <c r="K726" s="135"/>
      <c r="L726" s="135"/>
      <c r="M726" s="137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hidden="1" customHeight="1">
      <c r="A727" s="134"/>
      <c r="B727" s="135"/>
      <c r="C727" s="135"/>
      <c r="D727" s="516"/>
      <c r="E727" s="135"/>
      <c r="F727" s="135"/>
      <c r="G727" s="135"/>
      <c r="H727" s="135"/>
      <c r="I727" s="516"/>
      <c r="J727" s="135"/>
      <c r="K727" s="135"/>
      <c r="L727" s="135"/>
      <c r="M727" s="137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hidden="1" customHeight="1">
      <c r="A728" s="134"/>
      <c r="B728" s="135"/>
      <c r="C728" s="135"/>
      <c r="D728" s="516"/>
      <c r="E728" s="135"/>
      <c r="F728" s="135"/>
      <c r="G728" s="135"/>
      <c r="H728" s="135"/>
      <c r="I728" s="516"/>
      <c r="J728" s="135"/>
      <c r="K728" s="135"/>
      <c r="L728" s="135"/>
      <c r="M728" s="137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hidden="1" customHeight="1">
      <c r="A729" s="134"/>
      <c r="B729" s="135"/>
      <c r="C729" s="135"/>
      <c r="D729" s="516"/>
      <c r="E729" s="135"/>
      <c r="F729" s="135"/>
      <c r="G729" s="135"/>
      <c r="H729" s="135"/>
      <c r="I729" s="516"/>
      <c r="J729" s="135"/>
      <c r="K729" s="135"/>
      <c r="L729" s="135"/>
      <c r="M729" s="137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hidden="1" customHeight="1">
      <c r="A730" s="134"/>
      <c r="B730" s="135"/>
      <c r="C730" s="135"/>
      <c r="D730" s="516"/>
      <c r="E730" s="135"/>
      <c r="F730" s="135"/>
      <c r="G730" s="135"/>
      <c r="H730" s="135"/>
      <c r="I730" s="516"/>
      <c r="J730" s="135"/>
      <c r="K730" s="135"/>
      <c r="L730" s="135"/>
      <c r="M730" s="137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hidden="1" customHeight="1">
      <c r="A731" s="134"/>
      <c r="B731" s="135"/>
      <c r="C731" s="135"/>
      <c r="D731" s="516"/>
      <c r="E731" s="135"/>
      <c r="F731" s="135"/>
      <c r="G731" s="135"/>
      <c r="H731" s="135"/>
      <c r="I731" s="516"/>
      <c r="J731" s="135"/>
      <c r="K731" s="135"/>
      <c r="L731" s="135"/>
      <c r="M731" s="137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hidden="1" customHeight="1">
      <c r="A732" s="134"/>
      <c r="B732" s="135"/>
      <c r="C732" s="135"/>
      <c r="D732" s="516"/>
      <c r="E732" s="135"/>
      <c r="F732" s="135"/>
      <c r="G732" s="135"/>
      <c r="H732" s="135"/>
      <c r="I732" s="516"/>
      <c r="J732" s="135"/>
      <c r="K732" s="135"/>
      <c r="L732" s="135"/>
      <c r="M732" s="137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hidden="1" customHeight="1">
      <c r="A733" s="134"/>
      <c r="B733" s="135"/>
      <c r="C733" s="135"/>
      <c r="D733" s="516"/>
      <c r="E733" s="135"/>
      <c r="F733" s="135"/>
      <c r="G733" s="135"/>
      <c r="H733" s="135"/>
      <c r="I733" s="516"/>
      <c r="J733" s="135"/>
      <c r="K733" s="135"/>
      <c r="L733" s="135"/>
      <c r="M733" s="137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hidden="1" customHeight="1">
      <c r="A734" s="134"/>
      <c r="B734" s="135"/>
      <c r="C734" s="135"/>
      <c r="D734" s="516"/>
      <c r="E734" s="135"/>
      <c r="F734" s="135"/>
      <c r="G734" s="135"/>
      <c r="H734" s="135"/>
      <c r="I734" s="516"/>
      <c r="J734" s="135"/>
      <c r="K734" s="135"/>
      <c r="L734" s="135"/>
      <c r="M734" s="137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hidden="1" customHeight="1">
      <c r="A735" s="134"/>
      <c r="B735" s="135"/>
      <c r="C735" s="135"/>
      <c r="D735" s="516"/>
      <c r="E735" s="135"/>
      <c r="F735" s="135"/>
      <c r="G735" s="135"/>
      <c r="H735" s="135"/>
      <c r="I735" s="516"/>
      <c r="J735" s="135"/>
      <c r="K735" s="135"/>
      <c r="L735" s="135"/>
      <c r="M735" s="137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hidden="1" customHeight="1">
      <c r="A736" s="134"/>
      <c r="B736" s="135"/>
      <c r="C736" s="135"/>
      <c r="D736" s="516"/>
      <c r="E736" s="135"/>
      <c r="F736" s="135"/>
      <c r="G736" s="135"/>
      <c r="H736" s="135"/>
      <c r="I736" s="516"/>
      <c r="J736" s="135"/>
      <c r="K736" s="135"/>
      <c r="L736" s="135"/>
      <c r="M736" s="137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hidden="1" customHeight="1">
      <c r="A737" s="134"/>
      <c r="B737" s="135"/>
      <c r="C737" s="135"/>
      <c r="D737" s="516"/>
      <c r="E737" s="135"/>
      <c r="F737" s="135"/>
      <c r="G737" s="135"/>
      <c r="H737" s="135"/>
      <c r="I737" s="516"/>
      <c r="J737" s="135"/>
      <c r="K737" s="135"/>
      <c r="L737" s="135"/>
      <c r="M737" s="137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hidden="1" customHeight="1">
      <c r="A738" s="134"/>
      <c r="B738" s="135"/>
      <c r="C738" s="135"/>
      <c r="D738" s="516"/>
      <c r="E738" s="135"/>
      <c r="F738" s="135"/>
      <c r="G738" s="135"/>
      <c r="H738" s="135"/>
      <c r="I738" s="516"/>
      <c r="J738" s="135"/>
      <c r="K738" s="135"/>
      <c r="L738" s="135"/>
      <c r="M738" s="137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hidden="1" customHeight="1">
      <c r="A739" s="134"/>
      <c r="B739" s="135"/>
      <c r="C739" s="135"/>
      <c r="D739" s="516"/>
      <c r="E739" s="135"/>
      <c r="F739" s="135"/>
      <c r="G739" s="135"/>
      <c r="H739" s="135"/>
      <c r="I739" s="516"/>
      <c r="J739" s="135"/>
      <c r="K739" s="135"/>
      <c r="L739" s="135"/>
      <c r="M739" s="137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hidden="1" customHeight="1">
      <c r="A740" s="134"/>
      <c r="B740" s="135"/>
      <c r="C740" s="135"/>
      <c r="D740" s="516"/>
      <c r="E740" s="135"/>
      <c r="F740" s="135"/>
      <c r="G740" s="135"/>
      <c r="H740" s="135"/>
      <c r="I740" s="516"/>
      <c r="J740" s="135"/>
      <c r="K740" s="135"/>
      <c r="L740" s="135"/>
      <c r="M740" s="137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hidden="1" customHeight="1">
      <c r="A741" s="134"/>
      <c r="B741" s="135"/>
      <c r="C741" s="135"/>
      <c r="D741" s="516"/>
      <c r="E741" s="135"/>
      <c r="F741" s="135"/>
      <c r="G741" s="135"/>
      <c r="H741" s="135"/>
      <c r="I741" s="516"/>
      <c r="J741" s="135"/>
      <c r="K741" s="135"/>
      <c r="L741" s="135"/>
      <c r="M741" s="137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hidden="1" customHeight="1">
      <c r="A742" s="134"/>
      <c r="B742" s="135"/>
      <c r="C742" s="135"/>
      <c r="D742" s="516"/>
      <c r="E742" s="135"/>
      <c r="F742" s="135"/>
      <c r="G742" s="135"/>
      <c r="H742" s="135"/>
      <c r="I742" s="516"/>
      <c r="J742" s="135"/>
      <c r="K742" s="135"/>
      <c r="L742" s="135"/>
      <c r="M742" s="137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hidden="1" customHeight="1">
      <c r="A743" s="134"/>
      <c r="B743" s="135"/>
      <c r="C743" s="135"/>
      <c r="D743" s="516"/>
      <c r="E743" s="135"/>
      <c r="F743" s="135"/>
      <c r="G743" s="135"/>
      <c r="H743" s="135"/>
      <c r="I743" s="516"/>
      <c r="J743" s="135"/>
      <c r="K743" s="135"/>
      <c r="L743" s="135"/>
      <c r="M743" s="137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hidden="1" customHeight="1">
      <c r="A744" s="134"/>
      <c r="B744" s="135"/>
      <c r="C744" s="135"/>
      <c r="D744" s="516"/>
      <c r="E744" s="135"/>
      <c r="F744" s="135"/>
      <c r="G744" s="135"/>
      <c r="H744" s="135"/>
      <c r="I744" s="516"/>
      <c r="J744" s="135"/>
      <c r="K744" s="135"/>
      <c r="L744" s="135"/>
      <c r="M744" s="137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hidden="1" customHeight="1">
      <c r="A745" s="134"/>
      <c r="B745" s="135"/>
      <c r="C745" s="135"/>
      <c r="D745" s="516"/>
      <c r="E745" s="135"/>
      <c r="F745" s="135"/>
      <c r="G745" s="135"/>
      <c r="H745" s="135"/>
      <c r="I745" s="516"/>
      <c r="J745" s="135"/>
      <c r="K745" s="135"/>
      <c r="L745" s="135"/>
      <c r="M745" s="137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hidden="1" customHeight="1">
      <c r="A746" s="134"/>
      <c r="B746" s="135"/>
      <c r="C746" s="135"/>
      <c r="D746" s="516"/>
      <c r="E746" s="135"/>
      <c r="F746" s="135"/>
      <c r="G746" s="135"/>
      <c r="H746" s="135"/>
      <c r="I746" s="516"/>
      <c r="J746" s="135"/>
      <c r="K746" s="135"/>
      <c r="L746" s="135"/>
      <c r="M746" s="137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hidden="1" customHeight="1">
      <c r="A747" s="134"/>
      <c r="B747" s="135"/>
      <c r="C747" s="135"/>
      <c r="D747" s="516"/>
      <c r="E747" s="135"/>
      <c r="F747" s="135"/>
      <c r="G747" s="135"/>
      <c r="H747" s="135"/>
      <c r="I747" s="516"/>
      <c r="J747" s="135"/>
      <c r="K747" s="135"/>
      <c r="L747" s="135"/>
      <c r="M747" s="137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hidden="1" customHeight="1">
      <c r="A748" s="134"/>
      <c r="B748" s="135"/>
      <c r="C748" s="135"/>
      <c r="D748" s="516"/>
      <c r="E748" s="135"/>
      <c r="F748" s="135"/>
      <c r="G748" s="135"/>
      <c r="H748" s="135"/>
      <c r="I748" s="516"/>
      <c r="J748" s="135"/>
      <c r="K748" s="135"/>
      <c r="L748" s="135"/>
      <c r="M748" s="137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hidden="1" customHeight="1">
      <c r="A749" s="134"/>
      <c r="B749" s="135"/>
      <c r="C749" s="135"/>
      <c r="D749" s="516"/>
      <c r="E749" s="135"/>
      <c r="F749" s="135"/>
      <c r="G749" s="135"/>
      <c r="H749" s="135"/>
      <c r="I749" s="516"/>
      <c r="J749" s="135"/>
      <c r="K749" s="135"/>
      <c r="L749" s="135"/>
      <c r="M749" s="137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hidden="1" customHeight="1">
      <c r="A750" s="134"/>
      <c r="B750" s="135"/>
      <c r="C750" s="135"/>
      <c r="D750" s="516"/>
      <c r="E750" s="135"/>
      <c r="F750" s="135"/>
      <c r="G750" s="135"/>
      <c r="H750" s="135"/>
      <c r="I750" s="516"/>
      <c r="J750" s="135"/>
      <c r="K750" s="135"/>
      <c r="L750" s="135"/>
      <c r="M750" s="137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hidden="1" customHeight="1">
      <c r="A751" s="134"/>
      <c r="B751" s="135"/>
      <c r="C751" s="135"/>
      <c r="D751" s="516"/>
      <c r="E751" s="135"/>
      <c r="F751" s="135"/>
      <c r="G751" s="135"/>
      <c r="H751" s="135"/>
      <c r="I751" s="516"/>
      <c r="J751" s="135"/>
      <c r="K751" s="135"/>
      <c r="L751" s="135"/>
      <c r="M751" s="137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hidden="1" customHeight="1">
      <c r="A752" s="134"/>
      <c r="B752" s="135"/>
      <c r="C752" s="135"/>
      <c r="D752" s="516"/>
      <c r="E752" s="135"/>
      <c r="F752" s="135"/>
      <c r="G752" s="135"/>
      <c r="H752" s="135"/>
      <c r="I752" s="516"/>
      <c r="J752" s="135"/>
      <c r="K752" s="135"/>
      <c r="L752" s="135"/>
      <c r="M752" s="137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hidden="1" customHeight="1">
      <c r="A753" s="134"/>
      <c r="B753" s="135"/>
      <c r="C753" s="135"/>
      <c r="D753" s="516"/>
      <c r="E753" s="135"/>
      <c r="F753" s="135"/>
      <c r="G753" s="135"/>
      <c r="H753" s="135"/>
      <c r="I753" s="516"/>
      <c r="J753" s="135"/>
      <c r="K753" s="135"/>
      <c r="L753" s="135"/>
      <c r="M753" s="137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hidden="1" customHeight="1">
      <c r="A754" s="134"/>
      <c r="B754" s="135"/>
      <c r="C754" s="135"/>
      <c r="D754" s="516"/>
      <c r="E754" s="135"/>
      <c r="F754" s="135"/>
      <c r="G754" s="135"/>
      <c r="H754" s="135"/>
      <c r="I754" s="516"/>
      <c r="J754" s="135"/>
      <c r="K754" s="135"/>
      <c r="L754" s="135"/>
      <c r="M754" s="137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hidden="1" customHeight="1">
      <c r="A755" s="134"/>
      <c r="B755" s="135"/>
      <c r="C755" s="135"/>
      <c r="D755" s="516"/>
      <c r="E755" s="135"/>
      <c r="F755" s="135"/>
      <c r="G755" s="135"/>
      <c r="H755" s="135"/>
      <c r="I755" s="516"/>
      <c r="J755" s="135"/>
      <c r="K755" s="135"/>
      <c r="L755" s="135"/>
      <c r="M755" s="137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hidden="1" customHeight="1">
      <c r="A756" s="134"/>
      <c r="B756" s="135"/>
      <c r="C756" s="135"/>
      <c r="D756" s="516"/>
      <c r="E756" s="135"/>
      <c r="F756" s="135"/>
      <c r="G756" s="135"/>
      <c r="H756" s="135"/>
      <c r="I756" s="516"/>
      <c r="J756" s="135"/>
      <c r="K756" s="135"/>
      <c r="L756" s="135"/>
      <c r="M756" s="137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hidden="1" customHeight="1">
      <c r="A757" s="134"/>
      <c r="B757" s="135"/>
      <c r="C757" s="135"/>
      <c r="D757" s="516"/>
      <c r="E757" s="135"/>
      <c r="F757" s="135"/>
      <c r="G757" s="135"/>
      <c r="H757" s="135"/>
      <c r="I757" s="516"/>
      <c r="J757" s="135"/>
      <c r="K757" s="135"/>
      <c r="L757" s="135"/>
      <c r="M757" s="137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hidden="1" customHeight="1">
      <c r="A758" s="134"/>
      <c r="B758" s="135"/>
      <c r="C758" s="135"/>
      <c r="D758" s="516"/>
      <c r="E758" s="135"/>
      <c r="F758" s="135"/>
      <c r="G758" s="135"/>
      <c r="H758" s="135"/>
      <c r="I758" s="516"/>
      <c r="J758" s="135"/>
      <c r="K758" s="135"/>
      <c r="L758" s="135"/>
      <c r="M758" s="137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hidden="1" customHeight="1">
      <c r="A759" s="134"/>
      <c r="B759" s="135"/>
      <c r="C759" s="135"/>
      <c r="D759" s="516"/>
      <c r="E759" s="135"/>
      <c r="F759" s="135"/>
      <c r="G759" s="135"/>
      <c r="H759" s="135"/>
      <c r="I759" s="516"/>
      <c r="J759" s="135"/>
      <c r="K759" s="135"/>
      <c r="L759" s="135"/>
      <c r="M759" s="137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hidden="1" customHeight="1">
      <c r="A760" s="134"/>
      <c r="B760" s="135"/>
      <c r="C760" s="135"/>
      <c r="D760" s="516"/>
      <c r="E760" s="135"/>
      <c r="F760" s="135"/>
      <c r="G760" s="135"/>
      <c r="H760" s="135"/>
      <c r="I760" s="516"/>
      <c r="J760" s="135"/>
      <c r="K760" s="135"/>
      <c r="L760" s="135"/>
      <c r="M760" s="137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hidden="1" customHeight="1">
      <c r="A761" s="134"/>
      <c r="B761" s="135"/>
      <c r="C761" s="135"/>
      <c r="D761" s="516"/>
      <c r="E761" s="135"/>
      <c r="F761" s="135"/>
      <c r="G761" s="135"/>
      <c r="H761" s="135"/>
      <c r="I761" s="516"/>
      <c r="J761" s="135"/>
      <c r="K761" s="135"/>
      <c r="L761" s="135"/>
      <c r="M761" s="137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hidden="1" customHeight="1">
      <c r="A762" s="134"/>
      <c r="B762" s="135"/>
      <c r="C762" s="135"/>
      <c r="D762" s="516"/>
      <c r="E762" s="135"/>
      <c r="F762" s="135"/>
      <c r="G762" s="135"/>
      <c r="H762" s="135"/>
      <c r="I762" s="516"/>
      <c r="J762" s="135"/>
      <c r="K762" s="135"/>
      <c r="L762" s="135"/>
      <c r="M762" s="137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hidden="1" customHeight="1">
      <c r="A763" s="134"/>
      <c r="B763" s="135"/>
      <c r="C763" s="135"/>
      <c r="D763" s="516"/>
      <c r="E763" s="135"/>
      <c r="F763" s="135"/>
      <c r="G763" s="135"/>
      <c r="H763" s="135"/>
      <c r="I763" s="516"/>
      <c r="J763" s="135"/>
      <c r="K763" s="135"/>
      <c r="L763" s="135"/>
      <c r="M763" s="137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hidden="1" customHeight="1">
      <c r="A764" s="134"/>
      <c r="B764" s="135"/>
      <c r="C764" s="135"/>
      <c r="D764" s="516"/>
      <c r="E764" s="135"/>
      <c r="F764" s="135"/>
      <c r="G764" s="135"/>
      <c r="H764" s="135"/>
      <c r="I764" s="516"/>
      <c r="J764" s="135"/>
      <c r="K764" s="135"/>
      <c r="L764" s="135"/>
      <c r="M764" s="137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customHeight="1">
      <c r="A765" s="138"/>
      <c r="B765" s="139"/>
      <c r="C765" s="139"/>
      <c r="D765" s="194"/>
      <c r="E765" s="141"/>
      <c r="F765" s="142"/>
      <c r="G765" s="141"/>
      <c r="H765" s="142"/>
      <c r="I765" s="194"/>
      <c r="J765" s="141"/>
      <c r="K765" s="141"/>
      <c r="L765" s="141"/>
      <c r="M765" s="143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customHeight="1">
      <c r="A766" s="138"/>
      <c r="B766" s="139"/>
      <c r="C766" s="139"/>
      <c r="D766" s="194"/>
      <c r="E766" s="141"/>
      <c r="F766" s="142"/>
      <c r="G766" s="141"/>
      <c r="H766" s="142"/>
      <c r="I766" s="194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customHeight="1">
      <c r="A767" s="138"/>
      <c r="B767" s="139"/>
      <c r="C767" s="139"/>
      <c r="D767" s="194"/>
      <c r="E767" s="141"/>
      <c r="F767" s="142"/>
      <c r="G767" s="141"/>
      <c r="H767" s="142"/>
      <c r="I767" s="194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customHeight="1">
      <c r="A768" s="138"/>
      <c r="B768" s="139"/>
      <c r="C768" s="139"/>
      <c r="D768" s="194"/>
      <c r="E768" s="141"/>
      <c r="F768" s="142"/>
      <c r="G768" s="141"/>
      <c r="H768" s="142"/>
      <c r="I768" s="194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customHeight="1">
      <c r="A769" s="138"/>
      <c r="B769" s="139"/>
      <c r="C769" s="139"/>
      <c r="D769" s="194"/>
      <c r="E769" s="141"/>
      <c r="F769" s="142"/>
      <c r="G769" s="141"/>
      <c r="H769" s="142"/>
      <c r="I769" s="194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customHeight="1">
      <c r="A770" s="138"/>
      <c r="B770" s="139"/>
      <c r="C770" s="139"/>
      <c r="D770" s="194"/>
      <c r="E770" s="141"/>
      <c r="F770" s="142"/>
      <c r="G770" s="141"/>
      <c r="H770" s="142"/>
      <c r="I770" s="194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customHeight="1">
      <c r="A771" s="138"/>
      <c r="B771" s="139"/>
      <c r="C771" s="139"/>
      <c r="D771" s="194"/>
      <c r="E771" s="141"/>
      <c r="F771" s="142"/>
      <c r="G771" s="141"/>
      <c r="H771" s="142"/>
      <c r="I771" s="194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customHeight="1">
      <c r="A772" s="138"/>
      <c r="B772" s="139"/>
      <c r="C772" s="139"/>
      <c r="D772" s="194"/>
      <c r="E772" s="141"/>
      <c r="F772" s="142"/>
      <c r="G772" s="141"/>
      <c r="H772" s="142"/>
      <c r="I772" s="194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customHeight="1">
      <c r="A773" s="138"/>
      <c r="B773" s="139"/>
      <c r="C773" s="139"/>
      <c r="D773" s="194"/>
      <c r="E773" s="141"/>
      <c r="F773" s="142"/>
      <c r="G773" s="141"/>
      <c r="H773" s="142"/>
      <c r="I773" s="194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customHeight="1">
      <c r="A774" s="138"/>
      <c r="B774" s="139"/>
      <c r="C774" s="139"/>
      <c r="D774" s="194"/>
      <c r="E774" s="141"/>
      <c r="F774" s="142"/>
      <c r="G774" s="141"/>
      <c r="H774" s="142"/>
      <c r="I774" s="194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customHeight="1">
      <c r="A775" s="138"/>
      <c r="B775" s="139"/>
      <c r="C775" s="139"/>
      <c r="D775" s="194"/>
      <c r="E775" s="141"/>
      <c r="F775" s="142"/>
      <c r="G775" s="141"/>
      <c r="H775" s="142"/>
      <c r="I775" s="194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customHeight="1">
      <c r="A776" s="138"/>
      <c r="B776" s="139"/>
      <c r="C776" s="139"/>
      <c r="D776" s="194"/>
      <c r="E776" s="141"/>
      <c r="F776" s="142"/>
      <c r="G776" s="141"/>
      <c r="H776" s="142"/>
      <c r="I776" s="194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customHeight="1">
      <c r="A777" s="138"/>
      <c r="B777" s="139"/>
      <c r="C777" s="139"/>
      <c r="D777" s="194"/>
      <c r="E777" s="141"/>
      <c r="F777" s="142"/>
      <c r="G777" s="141"/>
      <c r="H777" s="142"/>
      <c r="I777" s="194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customHeight="1">
      <c r="A778" s="138"/>
      <c r="B778" s="139"/>
      <c r="C778" s="139"/>
      <c r="D778" s="194"/>
      <c r="E778" s="141"/>
      <c r="F778" s="142"/>
      <c r="G778" s="141"/>
      <c r="H778" s="142"/>
      <c r="I778" s="194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customHeight="1">
      <c r="A779" s="138"/>
      <c r="B779" s="139"/>
      <c r="C779" s="139"/>
      <c r="D779" s="194"/>
      <c r="E779" s="141"/>
      <c r="F779" s="142"/>
      <c r="G779" s="141"/>
      <c r="H779" s="142"/>
      <c r="I779" s="194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customHeight="1">
      <c r="A780" s="138"/>
      <c r="B780" s="139"/>
      <c r="C780" s="139"/>
      <c r="D780" s="194"/>
      <c r="E780" s="141"/>
      <c r="F780" s="142"/>
      <c r="G780" s="141"/>
      <c r="H780" s="142"/>
      <c r="I780" s="194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customHeight="1">
      <c r="A781" s="138"/>
      <c r="B781" s="139"/>
      <c r="C781" s="139"/>
      <c r="D781" s="194"/>
      <c r="E781" s="141"/>
      <c r="F781" s="142"/>
      <c r="G781" s="141"/>
      <c r="H781" s="142"/>
      <c r="I781" s="194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customHeight="1">
      <c r="A782" s="138"/>
      <c r="B782" s="139"/>
      <c r="C782" s="139"/>
      <c r="D782" s="194"/>
      <c r="E782" s="141"/>
      <c r="F782" s="142"/>
      <c r="G782" s="141"/>
      <c r="H782" s="142"/>
      <c r="I782" s="194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customHeight="1">
      <c r="A783" s="138"/>
      <c r="B783" s="139"/>
      <c r="C783" s="139"/>
      <c r="D783" s="194"/>
      <c r="E783" s="141"/>
      <c r="F783" s="142"/>
      <c r="G783" s="141"/>
      <c r="H783" s="142"/>
      <c r="I783" s="194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customHeight="1">
      <c r="A784" s="138"/>
      <c r="B784" s="139"/>
      <c r="C784" s="139"/>
      <c r="D784" s="194"/>
      <c r="E784" s="141"/>
      <c r="F784" s="142"/>
      <c r="G784" s="141"/>
      <c r="H784" s="142"/>
      <c r="I784" s="194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customHeight="1">
      <c r="A785" s="138"/>
      <c r="B785" s="139"/>
      <c r="C785" s="139"/>
      <c r="D785" s="194"/>
      <c r="E785" s="141"/>
      <c r="F785" s="142"/>
      <c r="G785" s="141"/>
      <c r="H785" s="142"/>
      <c r="I785" s="194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customHeight="1">
      <c r="A786" s="138"/>
      <c r="B786" s="139"/>
      <c r="C786" s="139"/>
      <c r="D786" s="194"/>
      <c r="E786" s="141"/>
      <c r="F786" s="142"/>
      <c r="G786" s="141"/>
      <c r="H786" s="142"/>
      <c r="I786" s="194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customHeight="1">
      <c r="A787" s="138"/>
      <c r="B787" s="139"/>
      <c r="C787" s="139"/>
      <c r="D787" s="194"/>
      <c r="E787" s="141"/>
      <c r="F787" s="142"/>
      <c r="G787" s="141"/>
      <c r="H787" s="142"/>
      <c r="I787" s="194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customHeight="1">
      <c r="A788" s="138"/>
      <c r="B788" s="139"/>
      <c r="C788" s="139"/>
      <c r="D788" s="194"/>
      <c r="E788" s="141"/>
      <c r="F788" s="142"/>
      <c r="G788" s="141"/>
      <c r="H788" s="142"/>
      <c r="I788" s="194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customHeight="1">
      <c r="A789" s="138"/>
      <c r="B789" s="139"/>
      <c r="C789" s="139"/>
      <c r="D789" s="194"/>
      <c r="E789" s="141"/>
      <c r="F789" s="142"/>
      <c r="G789" s="141"/>
      <c r="H789" s="142"/>
      <c r="I789" s="194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customHeight="1">
      <c r="A790" s="138"/>
      <c r="B790" s="139"/>
      <c r="C790" s="139"/>
      <c r="D790" s="194"/>
      <c r="E790" s="141"/>
      <c r="F790" s="142"/>
      <c r="G790" s="141"/>
      <c r="H790" s="142"/>
      <c r="I790" s="194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customHeight="1">
      <c r="A791" s="138"/>
      <c r="B791" s="139"/>
      <c r="C791" s="139"/>
      <c r="D791" s="194"/>
      <c r="E791" s="141"/>
      <c r="F791" s="142"/>
      <c r="G791" s="141"/>
      <c r="H791" s="142"/>
      <c r="I791" s="194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customHeight="1">
      <c r="A792" s="138"/>
      <c r="B792" s="139"/>
      <c r="C792" s="139"/>
      <c r="D792" s="194"/>
      <c r="E792" s="141"/>
      <c r="F792" s="142"/>
      <c r="G792" s="141"/>
      <c r="H792" s="142"/>
      <c r="I792" s="194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customHeight="1">
      <c r="A793" s="138"/>
      <c r="B793" s="139"/>
      <c r="C793" s="139"/>
      <c r="D793" s="194"/>
      <c r="E793" s="141"/>
      <c r="F793" s="142"/>
      <c r="G793" s="141"/>
      <c r="H793" s="142"/>
      <c r="I793" s="194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customHeight="1">
      <c r="A794" s="138"/>
      <c r="B794" s="139"/>
      <c r="C794" s="139"/>
      <c r="D794" s="194"/>
      <c r="E794" s="141"/>
      <c r="F794" s="142"/>
      <c r="G794" s="141"/>
      <c r="H794" s="142"/>
      <c r="I794" s="194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customHeight="1">
      <c r="A795" s="138"/>
      <c r="B795" s="139"/>
      <c r="C795" s="139"/>
      <c r="D795" s="194"/>
      <c r="E795" s="141"/>
      <c r="F795" s="142"/>
      <c r="G795" s="141"/>
      <c r="H795" s="142"/>
      <c r="I795" s="194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customHeight="1">
      <c r="A796" s="138"/>
      <c r="B796" s="139"/>
      <c r="C796" s="139"/>
      <c r="D796" s="194"/>
      <c r="E796" s="141"/>
      <c r="F796" s="142"/>
      <c r="G796" s="141"/>
      <c r="H796" s="142"/>
      <c r="I796" s="194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customHeight="1">
      <c r="A797" s="138"/>
      <c r="B797" s="139"/>
      <c r="C797" s="139"/>
      <c r="D797" s="194"/>
      <c r="E797" s="141"/>
      <c r="F797" s="142"/>
      <c r="G797" s="141"/>
      <c r="H797" s="142"/>
      <c r="I797" s="194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customHeight="1">
      <c r="A798" s="138"/>
      <c r="B798" s="139"/>
      <c r="C798" s="139"/>
      <c r="D798" s="194"/>
      <c r="E798" s="141"/>
      <c r="F798" s="142"/>
      <c r="G798" s="141"/>
      <c r="H798" s="142"/>
      <c r="I798" s="194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customHeight="1">
      <c r="A799" s="138"/>
      <c r="B799" s="139"/>
      <c r="C799" s="139"/>
      <c r="D799" s="194"/>
      <c r="E799" s="141"/>
      <c r="F799" s="142"/>
      <c r="G799" s="141"/>
      <c r="H799" s="142"/>
      <c r="I799" s="194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customHeight="1">
      <c r="A800" s="138"/>
      <c r="B800" s="139"/>
      <c r="C800" s="139"/>
      <c r="D800" s="194"/>
      <c r="E800" s="141"/>
      <c r="F800" s="142"/>
      <c r="G800" s="141"/>
      <c r="H800" s="142"/>
      <c r="I800" s="194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customHeight="1">
      <c r="A801" s="138"/>
      <c r="B801" s="139"/>
      <c r="C801" s="139"/>
      <c r="D801" s="194"/>
      <c r="E801" s="141"/>
      <c r="F801" s="142"/>
      <c r="G801" s="141"/>
      <c r="H801" s="142"/>
      <c r="I801" s="194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customHeight="1">
      <c r="A802" s="138"/>
      <c r="B802" s="139"/>
      <c r="C802" s="139"/>
      <c r="D802" s="194"/>
      <c r="E802" s="141"/>
      <c r="F802" s="142"/>
      <c r="G802" s="141"/>
      <c r="H802" s="142"/>
      <c r="I802" s="194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customHeight="1">
      <c r="A803" s="138"/>
      <c r="B803" s="139"/>
      <c r="C803" s="139"/>
      <c r="D803" s="194"/>
      <c r="E803" s="141"/>
      <c r="F803" s="142"/>
      <c r="G803" s="141"/>
      <c r="H803" s="142"/>
      <c r="I803" s="194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customHeight="1">
      <c r="A804" s="138"/>
      <c r="B804" s="139"/>
      <c r="C804" s="139"/>
      <c r="D804" s="194"/>
      <c r="E804" s="141"/>
      <c r="F804" s="142"/>
      <c r="G804" s="141"/>
      <c r="H804" s="142"/>
      <c r="I804" s="194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customHeight="1">
      <c r="A805" s="138"/>
      <c r="B805" s="139"/>
      <c r="C805" s="139"/>
      <c r="D805" s="194"/>
      <c r="E805" s="141"/>
      <c r="F805" s="142"/>
      <c r="G805" s="141"/>
      <c r="H805" s="142"/>
      <c r="I805" s="194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customHeight="1">
      <c r="A806" s="138"/>
      <c r="B806" s="139"/>
      <c r="C806" s="139"/>
      <c r="D806" s="194"/>
      <c r="E806" s="141"/>
      <c r="F806" s="142"/>
      <c r="G806" s="141"/>
      <c r="H806" s="142"/>
      <c r="I806" s="194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customHeight="1">
      <c r="A807" s="138"/>
      <c r="B807" s="139"/>
      <c r="C807" s="139"/>
      <c r="D807" s="194"/>
      <c r="E807" s="141"/>
      <c r="F807" s="142"/>
      <c r="G807" s="141"/>
      <c r="H807" s="142"/>
      <c r="I807" s="194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customHeight="1">
      <c r="A808" s="138"/>
      <c r="B808" s="139"/>
      <c r="C808" s="139"/>
      <c r="D808" s="194"/>
      <c r="E808" s="141"/>
      <c r="F808" s="142"/>
      <c r="G808" s="141"/>
      <c r="H808" s="142"/>
      <c r="I808" s="194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customHeight="1">
      <c r="A809" s="138"/>
      <c r="B809" s="139"/>
      <c r="C809" s="139"/>
      <c r="D809" s="194"/>
      <c r="E809" s="141"/>
      <c r="F809" s="142"/>
      <c r="G809" s="141"/>
      <c r="H809" s="142"/>
      <c r="I809" s="194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customHeight="1">
      <c r="A810" s="138"/>
      <c r="B810" s="139"/>
      <c r="C810" s="139"/>
      <c r="D810" s="194"/>
      <c r="E810" s="141"/>
      <c r="F810" s="142"/>
      <c r="G810" s="141"/>
      <c r="H810" s="142"/>
      <c r="I810" s="194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customHeight="1">
      <c r="A811" s="138"/>
      <c r="B811" s="139"/>
      <c r="C811" s="139"/>
      <c r="D811" s="194"/>
      <c r="E811" s="141"/>
      <c r="F811" s="142"/>
      <c r="G811" s="141"/>
      <c r="H811" s="142"/>
      <c r="I811" s="194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customHeight="1">
      <c r="A812" s="138"/>
      <c r="B812" s="139"/>
      <c r="C812" s="139"/>
      <c r="D812" s="194"/>
      <c r="E812" s="141"/>
      <c r="F812" s="142"/>
      <c r="G812" s="141"/>
      <c r="H812" s="142"/>
      <c r="I812" s="194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customHeight="1">
      <c r="A813" s="138"/>
      <c r="B813" s="139"/>
      <c r="C813" s="139"/>
      <c r="D813" s="194"/>
      <c r="E813" s="141"/>
      <c r="F813" s="142"/>
      <c r="G813" s="141"/>
      <c r="H813" s="142"/>
      <c r="I813" s="194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customHeight="1">
      <c r="A814" s="138"/>
      <c r="B814" s="139"/>
      <c r="C814" s="139"/>
      <c r="D814" s="194"/>
      <c r="E814" s="141"/>
      <c r="F814" s="142"/>
      <c r="G814" s="141"/>
      <c r="H814" s="142"/>
      <c r="I814" s="194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customHeight="1">
      <c r="A815" s="138"/>
      <c r="B815" s="139"/>
      <c r="C815" s="139"/>
      <c r="D815" s="194"/>
      <c r="E815" s="141"/>
      <c r="F815" s="142"/>
      <c r="G815" s="141"/>
      <c r="H815" s="142"/>
      <c r="I815" s="194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customHeight="1">
      <c r="A816" s="138"/>
      <c r="B816" s="139"/>
      <c r="C816" s="139"/>
      <c r="D816" s="194"/>
      <c r="E816" s="141"/>
      <c r="F816" s="142"/>
      <c r="G816" s="141"/>
      <c r="H816" s="142"/>
      <c r="I816" s="194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customHeight="1">
      <c r="A817" s="138"/>
      <c r="B817" s="139"/>
      <c r="C817" s="139"/>
      <c r="D817" s="194"/>
      <c r="E817" s="141"/>
      <c r="F817" s="142"/>
      <c r="G817" s="141"/>
      <c r="H817" s="142"/>
      <c r="I817" s="194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customHeight="1">
      <c r="A818" s="138"/>
      <c r="B818" s="139"/>
      <c r="C818" s="139"/>
      <c r="D818" s="194"/>
      <c r="E818" s="141"/>
      <c r="F818" s="142"/>
      <c r="G818" s="141"/>
      <c r="H818" s="142"/>
      <c r="I818" s="194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customHeight="1">
      <c r="A819" s="138"/>
      <c r="B819" s="139"/>
      <c r="C819" s="139"/>
      <c r="D819" s="194"/>
      <c r="E819" s="141"/>
      <c r="F819" s="142"/>
      <c r="G819" s="141"/>
      <c r="H819" s="142"/>
      <c r="I819" s="194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customHeight="1">
      <c r="A820" s="138"/>
      <c r="B820" s="139"/>
      <c r="C820" s="139"/>
      <c r="D820" s="194"/>
      <c r="E820" s="141"/>
      <c r="F820" s="142"/>
      <c r="G820" s="141"/>
      <c r="H820" s="142"/>
      <c r="I820" s="194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customHeight="1">
      <c r="A821" s="138"/>
      <c r="B821" s="139"/>
      <c r="C821" s="139"/>
      <c r="D821" s="194"/>
      <c r="E821" s="141"/>
      <c r="F821" s="142"/>
      <c r="G821" s="141"/>
      <c r="H821" s="142"/>
      <c r="I821" s="194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customHeight="1">
      <c r="A822" s="138"/>
      <c r="B822" s="139"/>
      <c r="C822" s="139"/>
      <c r="D822" s="194"/>
      <c r="E822" s="141"/>
      <c r="F822" s="142"/>
      <c r="G822" s="141"/>
      <c r="H822" s="142"/>
      <c r="I822" s="194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customHeight="1">
      <c r="A823" s="138"/>
      <c r="B823" s="139"/>
      <c r="C823" s="139"/>
      <c r="D823" s="194"/>
      <c r="E823" s="141"/>
      <c r="F823" s="142"/>
      <c r="G823" s="141"/>
      <c r="H823" s="142"/>
      <c r="I823" s="194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customHeight="1">
      <c r="A824" s="138"/>
      <c r="B824" s="139"/>
      <c r="C824" s="139"/>
      <c r="D824" s="194"/>
      <c r="E824" s="141"/>
      <c r="F824" s="142"/>
      <c r="G824" s="141"/>
      <c r="H824" s="142"/>
      <c r="I824" s="194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customHeight="1">
      <c r="A825" s="138"/>
      <c r="B825" s="139"/>
      <c r="C825" s="139"/>
      <c r="D825" s="194"/>
      <c r="E825" s="141"/>
      <c r="F825" s="142"/>
      <c r="G825" s="141"/>
      <c r="H825" s="142"/>
      <c r="I825" s="194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customHeight="1">
      <c r="A826" s="138"/>
      <c r="B826" s="139"/>
      <c r="C826" s="139"/>
      <c r="D826" s="194"/>
      <c r="E826" s="141"/>
      <c r="F826" s="142"/>
      <c r="G826" s="141"/>
      <c r="H826" s="142"/>
      <c r="I826" s="194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customHeight="1">
      <c r="A827" s="138"/>
      <c r="B827" s="139"/>
      <c r="C827" s="139"/>
      <c r="D827" s="194"/>
      <c r="E827" s="141"/>
      <c r="F827" s="142"/>
      <c r="G827" s="141"/>
      <c r="H827" s="142"/>
      <c r="I827" s="194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customHeight="1">
      <c r="A828" s="138"/>
      <c r="B828" s="139"/>
      <c r="C828" s="139"/>
      <c r="D828" s="194"/>
      <c r="E828" s="141"/>
      <c r="F828" s="142"/>
      <c r="G828" s="141"/>
      <c r="H828" s="142"/>
      <c r="I828" s="194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customHeight="1">
      <c r="A829" s="138"/>
      <c r="B829" s="139"/>
      <c r="C829" s="139"/>
      <c r="D829" s="194"/>
      <c r="E829" s="141"/>
      <c r="F829" s="142"/>
      <c r="G829" s="141"/>
      <c r="H829" s="142"/>
      <c r="I829" s="194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customHeight="1">
      <c r="A830" s="138"/>
      <c r="B830" s="139"/>
      <c r="C830" s="139"/>
      <c r="D830" s="194"/>
      <c r="E830" s="141"/>
      <c r="F830" s="142"/>
      <c r="G830" s="141"/>
      <c r="H830" s="142"/>
      <c r="I830" s="194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customHeight="1">
      <c r="A831" s="138"/>
      <c r="B831" s="139"/>
      <c r="C831" s="139"/>
      <c r="D831" s="194"/>
      <c r="E831" s="141"/>
      <c r="F831" s="142"/>
      <c r="G831" s="141"/>
      <c r="H831" s="142"/>
      <c r="I831" s="194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customHeight="1">
      <c r="A832" s="138"/>
      <c r="B832" s="139"/>
      <c r="C832" s="139"/>
      <c r="D832" s="194"/>
      <c r="E832" s="141"/>
      <c r="F832" s="142"/>
      <c r="G832" s="141"/>
      <c r="H832" s="142"/>
      <c r="I832" s="194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customHeight="1">
      <c r="A833" s="138"/>
      <c r="B833" s="139"/>
      <c r="C833" s="139"/>
      <c r="D833" s="194"/>
      <c r="E833" s="141"/>
      <c r="F833" s="142"/>
      <c r="G833" s="141"/>
      <c r="H833" s="142"/>
      <c r="I833" s="194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customHeight="1">
      <c r="A834" s="138"/>
      <c r="B834" s="139"/>
      <c r="C834" s="139"/>
      <c r="D834" s="194"/>
      <c r="E834" s="141"/>
      <c r="F834" s="142"/>
      <c r="G834" s="141"/>
      <c r="H834" s="142"/>
      <c r="I834" s="194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customHeight="1">
      <c r="A835" s="138"/>
      <c r="B835" s="139"/>
      <c r="C835" s="139"/>
      <c r="D835" s="194"/>
      <c r="E835" s="141"/>
      <c r="F835" s="142"/>
      <c r="G835" s="141"/>
      <c r="H835" s="142"/>
      <c r="I835" s="194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customHeight="1">
      <c r="A836" s="138"/>
      <c r="B836" s="139"/>
      <c r="C836" s="139"/>
      <c r="D836" s="194"/>
      <c r="E836" s="141"/>
      <c r="F836" s="142"/>
      <c r="G836" s="141"/>
      <c r="H836" s="142"/>
      <c r="I836" s="194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customHeight="1">
      <c r="A837" s="138"/>
      <c r="B837" s="139"/>
      <c r="C837" s="139"/>
      <c r="D837" s="194"/>
      <c r="E837" s="141"/>
      <c r="F837" s="142"/>
      <c r="G837" s="141"/>
      <c r="H837" s="142"/>
      <c r="I837" s="194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customHeight="1">
      <c r="A838" s="138"/>
      <c r="B838" s="139"/>
      <c r="C838" s="139"/>
      <c r="D838" s="194"/>
      <c r="E838" s="141"/>
      <c r="F838" s="142"/>
      <c r="G838" s="141"/>
      <c r="H838" s="142"/>
      <c r="I838" s="194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customHeight="1">
      <c r="A839" s="138"/>
      <c r="B839" s="139"/>
      <c r="C839" s="139"/>
      <c r="D839" s="194"/>
      <c r="E839" s="141"/>
      <c r="F839" s="142"/>
      <c r="G839" s="141"/>
      <c r="H839" s="142"/>
      <c r="I839" s="194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customHeight="1">
      <c r="A840" s="138"/>
      <c r="B840" s="139"/>
      <c r="C840" s="139"/>
      <c r="D840" s="194"/>
      <c r="E840" s="141"/>
      <c r="F840" s="142"/>
      <c r="G840" s="141"/>
      <c r="H840" s="142"/>
      <c r="I840" s="194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customHeight="1">
      <c r="A841" s="138"/>
      <c r="B841" s="139"/>
      <c r="C841" s="139"/>
      <c r="D841" s="194"/>
      <c r="E841" s="141"/>
      <c r="F841" s="142"/>
      <c r="G841" s="141"/>
      <c r="H841" s="142"/>
      <c r="I841" s="194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customHeight="1">
      <c r="A842" s="138"/>
      <c r="B842" s="139"/>
      <c r="C842" s="139"/>
      <c r="D842" s="194"/>
      <c r="E842" s="141"/>
      <c r="F842" s="142"/>
      <c r="G842" s="141"/>
      <c r="H842" s="142"/>
      <c r="I842" s="194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customHeight="1">
      <c r="A843" s="138"/>
      <c r="B843" s="139"/>
      <c r="C843" s="139"/>
      <c r="D843" s="194"/>
      <c r="E843" s="141"/>
      <c r="F843" s="142"/>
      <c r="G843" s="141"/>
      <c r="H843" s="142"/>
      <c r="I843" s="194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customHeight="1">
      <c r="A844" s="138"/>
      <c r="B844" s="139"/>
      <c r="C844" s="139"/>
      <c r="D844" s="194"/>
      <c r="E844" s="141"/>
      <c r="F844" s="142"/>
      <c r="G844" s="141"/>
      <c r="H844" s="142"/>
      <c r="I844" s="194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customHeight="1">
      <c r="A845" s="138"/>
      <c r="B845" s="139"/>
      <c r="C845" s="139"/>
      <c r="D845" s="194"/>
      <c r="E845" s="141"/>
      <c r="F845" s="142"/>
      <c r="G845" s="141"/>
      <c r="H845" s="142"/>
      <c r="I845" s="194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customHeight="1">
      <c r="A846" s="138"/>
      <c r="B846" s="139"/>
      <c r="C846" s="139"/>
      <c r="D846" s="194"/>
      <c r="E846" s="141"/>
      <c r="F846" s="142"/>
      <c r="G846" s="141"/>
      <c r="H846" s="142"/>
      <c r="I846" s="194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customHeight="1">
      <c r="A847" s="138"/>
      <c r="B847" s="139"/>
      <c r="C847" s="139"/>
      <c r="D847" s="194"/>
      <c r="E847" s="141"/>
      <c r="F847" s="142"/>
      <c r="G847" s="141"/>
      <c r="H847" s="142"/>
      <c r="I847" s="194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customHeight="1">
      <c r="A848" s="138"/>
      <c r="B848" s="139"/>
      <c r="C848" s="139"/>
      <c r="D848" s="194"/>
      <c r="E848" s="141"/>
      <c r="F848" s="142"/>
      <c r="G848" s="141"/>
      <c r="H848" s="142"/>
      <c r="I848" s="194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customHeight="1">
      <c r="A849" s="138"/>
      <c r="B849" s="139"/>
      <c r="C849" s="139"/>
      <c r="D849" s="194"/>
      <c r="E849" s="141"/>
      <c r="F849" s="142"/>
      <c r="G849" s="141"/>
      <c r="H849" s="142"/>
      <c r="I849" s="194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customHeight="1">
      <c r="A850" s="138"/>
      <c r="B850" s="139"/>
      <c r="C850" s="139"/>
      <c r="D850" s="194"/>
      <c r="E850" s="141"/>
      <c r="F850" s="142"/>
      <c r="G850" s="141"/>
      <c r="H850" s="142"/>
      <c r="I850" s="194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customHeight="1">
      <c r="A851" s="138"/>
      <c r="B851" s="139"/>
      <c r="C851" s="139"/>
      <c r="D851" s="194"/>
      <c r="E851" s="141"/>
      <c r="F851" s="142"/>
      <c r="G851" s="141"/>
      <c r="H851" s="142"/>
      <c r="I851" s="194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customHeight="1">
      <c r="A852" s="138"/>
      <c r="B852" s="139"/>
      <c r="C852" s="139"/>
      <c r="D852" s="194"/>
      <c r="E852" s="141"/>
      <c r="F852" s="142"/>
      <c r="G852" s="141"/>
      <c r="H852" s="142"/>
      <c r="I852" s="194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customHeight="1">
      <c r="A853" s="138"/>
      <c r="B853" s="139"/>
      <c r="C853" s="139"/>
      <c r="D853" s="194"/>
      <c r="E853" s="141"/>
      <c r="F853" s="142"/>
      <c r="G853" s="141"/>
      <c r="H853" s="142"/>
      <c r="I853" s="194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customHeight="1">
      <c r="A854" s="138"/>
      <c r="B854" s="139"/>
      <c r="C854" s="139"/>
      <c r="D854" s="194"/>
      <c r="E854" s="141"/>
      <c r="F854" s="142"/>
      <c r="G854" s="141"/>
      <c r="H854" s="142"/>
      <c r="I854" s="194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customHeight="1">
      <c r="A855" s="138"/>
      <c r="B855" s="139"/>
      <c r="C855" s="139"/>
      <c r="D855" s="194"/>
      <c r="E855" s="141"/>
      <c r="F855" s="142"/>
      <c r="G855" s="141"/>
      <c r="H855" s="142"/>
      <c r="I855" s="194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customHeight="1">
      <c r="A856" s="138"/>
      <c r="B856" s="139"/>
      <c r="C856" s="139"/>
      <c r="D856" s="194"/>
      <c r="E856" s="141"/>
      <c r="F856" s="142"/>
      <c r="G856" s="141"/>
      <c r="H856" s="142"/>
      <c r="I856" s="194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customHeight="1">
      <c r="A857" s="138"/>
      <c r="B857" s="139"/>
      <c r="C857" s="139"/>
      <c r="D857" s="194"/>
      <c r="E857" s="141"/>
      <c r="F857" s="142"/>
      <c r="G857" s="141"/>
      <c r="H857" s="142"/>
      <c r="I857" s="194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customHeight="1">
      <c r="A858" s="138"/>
      <c r="B858" s="139"/>
      <c r="C858" s="139"/>
      <c r="D858" s="194"/>
      <c r="E858" s="141"/>
      <c r="F858" s="142"/>
      <c r="G858" s="141"/>
      <c r="H858" s="142"/>
      <c r="I858" s="194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customHeight="1">
      <c r="A859" s="138"/>
      <c r="B859" s="139"/>
      <c r="C859" s="139"/>
      <c r="D859" s="194"/>
      <c r="E859" s="141"/>
      <c r="F859" s="142"/>
      <c r="G859" s="141"/>
      <c r="H859" s="142"/>
      <c r="I859" s="194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customHeight="1">
      <c r="A860" s="138"/>
      <c r="B860" s="139"/>
      <c r="C860" s="139"/>
      <c r="D860" s="194"/>
      <c r="E860" s="141"/>
      <c r="F860" s="142"/>
      <c r="G860" s="141"/>
      <c r="H860" s="142"/>
      <c r="I860" s="194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customHeight="1">
      <c r="A861" s="138"/>
      <c r="B861" s="139"/>
      <c r="C861" s="139"/>
      <c r="D861" s="194"/>
      <c r="E861" s="141"/>
      <c r="F861" s="142"/>
      <c r="G861" s="141"/>
      <c r="H861" s="142"/>
      <c r="I861" s="194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customHeight="1">
      <c r="A862" s="138"/>
      <c r="B862" s="139"/>
      <c r="C862" s="139"/>
      <c r="D862" s="194"/>
      <c r="E862" s="141"/>
      <c r="F862" s="142"/>
      <c r="G862" s="141"/>
      <c r="H862" s="142"/>
      <c r="I862" s="194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customHeight="1">
      <c r="A863" s="138"/>
      <c r="B863" s="139"/>
      <c r="C863" s="139"/>
      <c r="D863" s="194"/>
      <c r="E863" s="141"/>
      <c r="F863" s="142"/>
      <c r="G863" s="141"/>
      <c r="H863" s="142"/>
      <c r="I863" s="194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customHeight="1">
      <c r="A864" s="138"/>
      <c r="B864" s="139"/>
      <c r="C864" s="139"/>
      <c r="D864" s="194"/>
      <c r="E864" s="141"/>
      <c r="F864" s="142"/>
      <c r="G864" s="141"/>
      <c r="H864" s="142"/>
      <c r="I864" s="194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customHeight="1">
      <c r="A865" s="138"/>
      <c r="B865" s="139"/>
      <c r="C865" s="139"/>
      <c r="D865" s="194"/>
      <c r="E865" s="141"/>
      <c r="F865" s="142"/>
      <c r="G865" s="141"/>
      <c r="H865" s="142"/>
      <c r="I865" s="194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customHeight="1">
      <c r="A866" s="138"/>
      <c r="B866" s="139"/>
      <c r="C866" s="139"/>
      <c r="D866" s="194"/>
      <c r="E866" s="141"/>
      <c r="F866" s="142"/>
      <c r="G866" s="141"/>
      <c r="H866" s="142"/>
      <c r="I866" s="194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customHeight="1">
      <c r="A867" s="138"/>
      <c r="B867" s="139"/>
      <c r="C867" s="139"/>
      <c r="D867" s="194"/>
      <c r="E867" s="141"/>
      <c r="F867" s="142"/>
      <c r="G867" s="141"/>
      <c r="H867" s="142"/>
      <c r="I867" s="194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customHeight="1">
      <c r="A868" s="138"/>
      <c r="B868" s="139"/>
      <c r="C868" s="139"/>
      <c r="D868" s="194"/>
      <c r="E868" s="141"/>
      <c r="F868" s="142"/>
      <c r="G868" s="141"/>
      <c r="H868" s="142"/>
      <c r="I868" s="194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customHeight="1">
      <c r="A869" s="138"/>
      <c r="B869" s="139"/>
      <c r="C869" s="139"/>
      <c r="D869" s="194"/>
      <c r="E869" s="141"/>
      <c r="F869" s="142"/>
      <c r="G869" s="141"/>
      <c r="H869" s="142"/>
      <c r="I869" s="194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customHeight="1">
      <c r="A870" s="138"/>
      <c r="B870" s="139"/>
      <c r="C870" s="139"/>
      <c r="D870" s="194"/>
      <c r="E870" s="141"/>
      <c r="F870" s="142"/>
      <c r="G870" s="141"/>
      <c r="H870" s="142"/>
      <c r="I870" s="194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customHeight="1">
      <c r="A871" s="138"/>
      <c r="B871" s="139"/>
      <c r="C871" s="139"/>
      <c r="D871" s="194"/>
      <c r="E871" s="141"/>
      <c r="F871" s="142"/>
      <c r="G871" s="141"/>
      <c r="H871" s="142"/>
      <c r="I871" s="194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customHeight="1">
      <c r="A872" s="138"/>
      <c r="B872" s="139"/>
      <c r="C872" s="139"/>
      <c r="D872" s="194"/>
      <c r="E872" s="141"/>
      <c r="F872" s="142"/>
      <c r="G872" s="141"/>
      <c r="H872" s="142"/>
      <c r="I872" s="194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customHeight="1">
      <c r="A873" s="138"/>
      <c r="B873" s="139"/>
      <c r="C873" s="139"/>
      <c r="D873" s="194"/>
      <c r="E873" s="141"/>
      <c r="F873" s="142"/>
      <c r="G873" s="141"/>
      <c r="H873" s="142"/>
      <c r="I873" s="194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customHeight="1">
      <c r="A874" s="138"/>
      <c r="B874" s="139"/>
      <c r="C874" s="139"/>
      <c r="D874" s="194"/>
      <c r="E874" s="141"/>
      <c r="F874" s="142"/>
      <c r="G874" s="141"/>
      <c r="H874" s="142"/>
      <c r="I874" s="194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customHeight="1">
      <c r="A875" s="138"/>
      <c r="B875" s="139"/>
      <c r="C875" s="139"/>
      <c r="D875" s="194"/>
      <c r="E875" s="141"/>
      <c r="F875" s="142"/>
      <c r="G875" s="141"/>
      <c r="H875" s="142"/>
      <c r="I875" s="194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customHeight="1">
      <c r="A876" s="138"/>
      <c r="B876" s="139"/>
      <c r="C876" s="139"/>
      <c r="D876" s="194"/>
      <c r="E876" s="141"/>
      <c r="F876" s="142"/>
      <c r="G876" s="141"/>
      <c r="H876" s="142"/>
      <c r="I876" s="194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customHeight="1">
      <c r="A877" s="138"/>
      <c r="B877" s="139"/>
      <c r="C877" s="139"/>
      <c r="D877" s="194"/>
      <c r="E877" s="141"/>
      <c r="F877" s="142"/>
      <c r="G877" s="141"/>
      <c r="H877" s="142"/>
      <c r="I877" s="194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customHeight="1">
      <c r="A878" s="138"/>
      <c r="B878" s="139"/>
      <c r="C878" s="139"/>
      <c r="D878" s="194"/>
      <c r="E878" s="141"/>
      <c r="F878" s="142"/>
      <c r="G878" s="141"/>
      <c r="H878" s="142"/>
      <c r="I878" s="194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customHeight="1">
      <c r="A879" s="138"/>
      <c r="B879" s="139"/>
      <c r="C879" s="139"/>
      <c r="D879" s="194"/>
      <c r="E879" s="141"/>
      <c r="F879" s="142"/>
      <c r="G879" s="141"/>
      <c r="H879" s="142"/>
      <c r="I879" s="194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customHeight="1">
      <c r="A880" s="138"/>
      <c r="B880" s="139"/>
      <c r="C880" s="139"/>
      <c r="D880" s="194"/>
      <c r="E880" s="141"/>
      <c r="F880" s="142"/>
      <c r="G880" s="141"/>
      <c r="H880" s="142"/>
      <c r="I880" s="194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customHeight="1">
      <c r="A881" s="138"/>
      <c r="B881" s="139"/>
      <c r="C881" s="139"/>
      <c r="D881" s="194"/>
      <c r="E881" s="141"/>
      <c r="F881" s="142"/>
      <c r="G881" s="141"/>
      <c r="H881" s="142"/>
      <c r="I881" s="194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customHeight="1">
      <c r="A882" s="138"/>
      <c r="B882" s="139"/>
      <c r="C882" s="139"/>
      <c r="D882" s="194"/>
      <c r="E882" s="141"/>
      <c r="F882" s="142"/>
      <c r="G882" s="141"/>
      <c r="H882" s="142"/>
      <c r="I882" s="194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customHeight="1">
      <c r="A883" s="138"/>
      <c r="B883" s="139"/>
      <c r="C883" s="139"/>
      <c r="D883" s="194"/>
      <c r="E883" s="141"/>
      <c r="F883" s="142"/>
      <c r="G883" s="141"/>
      <c r="H883" s="142"/>
      <c r="I883" s="194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customHeight="1">
      <c r="A884" s="138"/>
      <c r="B884" s="139"/>
      <c r="C884" s="139"/>
      <c r="D884" s="194"/>
      <c r="E884" s="141"/>
      <c r="F884" s="142"/>
      <c r="G884" s="141"/>
      <c r="H884" s="142"/>
      <c r="I884" s="194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customHeight="1">
      <c r="A885" s="138"/>
      <c r="B885" s="139"/>
      <c r="C885" s="139"/>
      <c r="D885" s="194"/>
      <c r="E885" s="141"/>
      <c r="F885" s="142"/>
      <c r="G885" s="141"/>
      <c r="H885" s="142"/>
      <c r="I885" s="194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customHeight="1">
      <c r="A886" s="138"/>
      <c r="B886" s="139"/>
      <c r="C886" s="139"/>
      <c r="D886" s="194"/>
      <c r="E886" s="141"/>
      <c r="F886" s="142"/>
      <c r="G886" s="141"/>
      <c r="H886" s="142"/>
      <c r="I886" s="194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customHeight="1">
      <c r="A887" s="138"/>
      <c r="B887" s="139"/>
      <c r="C887" s="139"/>
      <c r="D887" s="194"/>
      <c r="E887" s="141"/>
      <c r="F887" s="142"/>
      <c r="G887" s="141"/>
      <c r="H887" s="142"/>
      <c r="I887" s="194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customHeight="1">
      <c r="A888" s="138"/>
      <c r="B888" s="139"/>
      <c r="C888" s="139"/>
      <c r="D888" s="194"/>
      <c r="E888" s="141"/>
      <c r="F888" s="142"/>
      <c r="G888" s="141"/>
      <c r="H888" s="142"/>
      <c r="I888" s="194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customHeight="1">
      <c r="A889" s="138"/>
      <c r="B889" s="139"/>
      <c r="C889" s="139"/>
      <c r="D889" s="194"/>
      <c r="E889" s="141"/>
      <c r="F889" s="142"/>
      <c r="G889" s="141"/>
      <c r="H889" s="142"/>
      <c r="I889" s="194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customHeight="1">
      <c r="A890" s="138"/>
      <c r="B890" s="139"/>
      <c r="C890" s="139"/>
      <c r="D890" s="194"/>
      <c r="E890" s="141"/>
      <c r="F890" s="142"/>
      <c r="G890" s="141"/>
      <c r="H890" s="142"/>
      <c r="I890" s="194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customHeight="1">
      <c r="A891" s="138"/>
      <c r="B891" s="139"/>
      <c r="C891" s="139"/>
      <c r="D891" s="194"/>
      <c r="E891" s="141"/>
      <c r="F891" s="142"/>
      <c r="G891" s="141"/>
      <c r="H891" s="142"/>
      <c r="I891" s="194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customHeight="1">
      <c r="A892" s="138"/>
      <c r="B892" s="139"/>
      <c r="C892" s="139"/>
      <c r="D892" s="194"/>
      <c r="E892" s="141"/>
      <c r="F892" s="142"/>
      <c r="G892" s="141"/>
      <c r="H892" s="142"/>
      <c r="I892" s="194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customHeight="1">
      <c r="A893" s="138"/>
      <c r="B893" s="139"/>
      <c r="C893" s="139"/>
      <c r="D893" s="194"/>
      <c r="E893" s="141"/>
      <c r="F893" s="142"/>
      <c r="G893" s="141"/>
      <c r="H893" s="142"/>
      <c r="I893" s="194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customHeight="1">
      <c r="A894" s="138"/>
      <c r="B894" s="139"/>
      <c r="C894" s="139"/>
      <c r="D894" s="194"/>
      <c r="E894" s="141"/>
      <c r="F894" s="142"/>
      <c r="G894" s="141"/>
      <c r="H894" s="142"/>
      <c r="I894" s="194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customHeight="1">
      <c r="A895" s="138"/>
      <c r="B895" s="139"/>
      <c r="C895" s="139"/>
      <c r="D895" s="194"/>
      <c r="E895" s="141"/>
      <c r="F895" s="142"/>
      <c r="G895" s="141"/>
      <c r="H895" s="142"/>
      <c r="I895" s="194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customHeight="1">
      <c r="A896" s="138"/>
      <c r="B896" s="139"/>
      <c r="C896" s="139"/>
      <c r="D896" s="194"/>
      <c r="E896" s="141"/>
      <c r="F896" s="142"/>
      <c r="G896" s="141"/>
      <c r="H896" s="142"/>
      <c r="I896" s="194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customHeight="1">
      <c r="A897" s="138"/>
      <c r="B897" s="139"/>
      <c r="C897" s="139"/>
      <c r="D897" s="194"/>
      <c r="E897" s="141"/>
      <c r="F897" s="142"/>
      <c r="G897" s="141"/>
      <c r="H897" s="142"/>
      <c r="I897" s="194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customHeight="1">
      <c r="A898" s="138"/>
      <c r="B898" s="139"/>
      <c r="C898" s="139"/>
      <c r="D898" s="194"/>
      <c r="E898" s="141"/>
      <c r="F898" s="142"/>
      <c r="G898" s="141"/>
      <c r="H898" s="142"/>
      <c r="I898" s="194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customHeight="1">
      <c r="A899" s="138"/>
      <c r="B899" s="139"/>
      <c r="C899" s="139"/>
      <c r="D899" s="194"/>
      <c r="E899" s="141"/>
      <c r="F899" s="142"/>
      <c r="G899" s="141"/>
      <c r="H899" s="142"/>
      <c r="I899" s="194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customHeight="1">
      <c r="A900" s="138"/>
      <c r="B900" s="139"/>
      <c r="C900" s="139"/>
      <c r="D900" s="194"/>
      <c r="E900" s="141"/>
      <c r="F900" s="142"/>
      <c r="G900" s="141"/>
      <c r="H900" s="142"/>
      <c r="I900" s="194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customHeight="1">
      <c r="A901" s="138"/>
      <c r="B901" s="139"/>
      <c r="C901" s="139"/>
      <c r="D901" s="194"/>
      <c r="E901" s="141"/>
      <c r="F901" s="142"/>
      <c r="G901" s="141"/>
      <c r="H901" s="142"/>
      <c r="I901" s="194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customHeight="1">
      <c r="A902" s="138"/>
      <c r="B902" s="139"/>
      <c r="C902" s="139"/>
      <c r="D902" s="194"/>
      <c r="E902" s="141"/>
      <c r="F902" s="142"/>
      <c r="G902" s="141"/>
      <c r="H902" s="142"/>
      <c r="I902" s="194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customHeight="1">
      <c r="A903" s="138"/>
      <c r="B903" s="139"/>
      <c r="C903" s="139"/>
      <c r="D903" s="194"/>
      <c r="E903" s="141"/>
      <c r="F903" s="142"/>
      <c r="G903" s="141"/>
      <c r="H903" s="142"/>
      <c r="I903" s="194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customHeight="1">
      <c r="A904" s="138"/>
      <c r="B904" s="139"/>
      <c r="C904" s="139"/>
      <c r="D904" s="194"/>
      <c r="E904" s="141"/>
      <c r="F904" s="142"/>
      <c r="G904" s="141"/>
      <c r="H904" s="142"/>
      <c r="I904" s="194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customHeight="1">
      <c r="A905" s="138"/>
      <c r="B905" s="139"/>
      <c r="C905" s="139"/>
      <c r="D905" s="194"/>
      <c r="E905" s="141"/>
      <c r="F905" s="142"/>
      <c r="G905" s="141"/>
      <c r="H905" s="142"/>
      <c r="I905" s="194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customHeight="1">
      <c r="A906" s="138"/>
      <c r="B906" s="139"/>
      <c r="C906" s="139"/>
      <c r="D906" s="194"/>
      <c r="E906" s="141"/>
      <c r="F906" s="142"/>
      <c r="G906" s="141"/>
      <c r="H906" s="142"/>
      <c r="I906" s="194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customHeight="1">
      <c r="A907" s="138"/>
      <c r="B907" s="139"/>
      <c r="C907" s="139"/>
      <c r="D907" s="194"/>
      <c r="E907" s="141"/>
      <c r="F907" s="142"/>
      <c r="G907" s="141"/>
      <c r="H907" s="142"/>
      <c r="I907" s="194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customHeight="1">
      <c r="A908" s="138"/>
      <c r="B908" s="139"/>
      <c r="C908" s="139"/>
      <c r="D908" s="194"/>
      <c r="E908" s="141"/>
      <c r="F908" s="142"/>
      <c r="G908" s="141"/>
      <c r="H908" s="142"/>
      <c r="I908" s="194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customHeight="1">
      <c r="A909" s="138"/>
      <c r="B909" s="139"/>
      <c r="C909" s="139"/>
      <c r="D909" s="194"/>
      <c r="E909" s="141"/>
      <c r="F909" s="142"/>
      <c r="G909" s="141"/>
      <c r="H909" s="142"/>
      <c r="I909" s="194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customHeight="1">
      <c r="A910" s="138"/>
      <c r="B910" s="139"/>
      <c r="C910" s="139"/>
      <c r="D910" s="194"/>
      <c r="E910" s="141"/>
      <c r="F910" s="142"/>
      <c r="G910" s="141"/>
      <c r="H910" s="142"/>
      <c r="I910" s="194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customHeight="1">
      <c r="A911" s="138"/>
      <c r="B911" s="139"/>
      <c r="C911" s="139"/>
      <c r="D911" s="194"/>
      <c r="E911" s="141"/>
      <c r="F911" s="142"/>
      <c r="G911" s="141"/>
      <c r="H911" s="142"/>
      <c r="I911" s="194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customHeight="1">
      <c r="A912" s="138"/>
      <c r="B912" s="139"/>
      <c r="C912" s="139"/>
      <c r="D912" s="194"/>
      <c r="E912" s="141"/>
      <c r="F912" s="142"/>
      <c r="G912" s="141"/>
      <c r="H912" s="142"/>
      <c r="I912" s="194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customHeight="1">
      <c r="A913" s="138"/>
      <c r="B913" s="139"/>
      <c r="C913" s="139"/>
      <c r="D913" s="194"/>
      <c r="E913" s="141"/>
      <c r="F913" s="142"/>
      <c r="G913" s="141"/>
      <c r="H913" s="142"/>
      <c r="I913" s="194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customHeight="1">
      <c r="A914" s="138"/>
      <c r="B914" s="139"/>
      <c r="C914" s="139"/>
      <c r="D914" s="194"/>
      <c r="E914" s="141"/>
      <c r="F914" s="142"/>
      <c r="G914" s="141"/>
      <c r="H914" s="142"/>
      <c r="I914" s="194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customHeight="1">
      <c r="A915" s="138"/>
      <c r="B915" s="139"/>
      <c r="C915" s="139"/>
      <c r="D915" s="194"/>
      <c r="E915" s="141"/>
      <c r="F915" s="142"/>
      <c r="G915" s="141"/>
      <c r="H915" s="142"/>
      <c r="I915" s="194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customHeight="1">
      <c r="A916" s="138"/>
      <c r="B916" s="139"/>
      <c r="C916" s="139"/>
      <c r="D916" s="194"/>
      <c r="E916" s="141"/>
      <c r="F916" s="142"/>
      <c r="G916" s="141"/>
      <c r="H916" s="142"/>
      <c r="I916" s="194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customHeight="1">
      <c r="A917" s="138"/>
      <c r="B917" s="139"/>
      <c r="C917" s="139"/>
      <c r="D917" s="194"/>
      <c r="E917" s="141"/>
      <c r="F917" s="142"/>
      <c r="G917" s="141"/>
      <c r="H917" s="142"/>
      <c r="I917" s="194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customHeight="1">
      <c r="A918" s="138"/>
      <c r="B918" s="139"/>
      <c r="C918" s="139"/>
      <c r="D918" s="194"/>
      <c r="E918" s="141"/>
      <c r="F918" s="142"/>
      <c r="G918" s="141"/>
      <c r="H918" s="142"/>
      <c r="I918" s="194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customHeight="1">
      <c r="A919" s="138"/>
      <c r="B919" s="139"/>
      <c r="C919" s="139"/>
      <c r="D919" s="194"/>
      <c r="E919" s="141"/>
      <c r="F919" s="142"/>
      <c r="G919" s="141"/>
      <c r="H919" s="142"/>
      <c r="I919" s="194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customHeight="1">
      <c r="A920" s="138"/>
      <c r="B920" s="139"/>
      <c r="C920" s="139"/>
      <c r="D920" s="194"/>
      <c r="E920" s="141"/>
      <c r="F920" s="142"/>
      <c r="G920" s="141"/>
      <c r="H920" s="142"/>
      <c r="I920" s="194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customHeight="1">
      <c r="A921" s="138"/>
      <c r="B921" s="139"/>
      <c r="C921" s="139"/>
      <c r="D921" s="194"/>
      <c r="E921" s="141"/>
      <c r="F921" s="142"/>
      <c r="G921" s="141"/>
      <c r="H921" s="142"/>
      <c r="I921" s="194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customHeight="1">
      <c r="A922" s="138"/>
      <c r="B922" s="139"/>
      <c r="C922" s="139"/>
      <c r="D922" s="194"/>
      <c r="E922" s="141"/>
      <c r="F922" s="142"/>
      <c r="G922" s="141"/>
      <c r="H922" s="142"/>
      <c r="I922" s="194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customHeight="1">
      <c r="A923" s="138"/>
      <c r="B923" s="139"/>
      <c r="C923" s="139"/>
      <c r="D923" s="194"/>
      <c r="E923" s="141"/>
      <c r="F923" s="142"/>
      <c r="G923" s="141"/>
      <c r="H923" s="142"/>
      <c r="I923" s="194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customHeight="1">
      <c r="A924" s="138"/>
      <c r="B924" s="139"/>
      <c r="C924" s="139"/>
      <c r="D924" s="194"/>
      <c r="E924" s="141"/>
      <c r="F924" s="142"/>
      <c r="G924" s="141"/>
      <c r="H924" s="142"/>
      <c r="I924" s="194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customHeight="1">
      <c r="A925" s="138"/>
      <c r="B925" s="139"/>
      <c r="C925" s="139"/>
      <c r="D925" s="194"/>
      <c r="E925" s="141"/>
      <c r="F925" s="142"/>
      <c r="G925" s="141"/>
      <c r="H925" s="142"/>
      <c r="I925" s="194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customHeight="1">
      <c r="A926" s="138"/>
      <c r="B926" s="139"/>
      <c r="C926" s="139"/>
      <c r="D926" s="194"/>
      <c r="E926" s="141"/>
      <c r="F926" s="142"/>
      <c r="G926" s="141"/>
      <c r="H926" s="142"/>
      <c r="I926" s="194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customHeight="1">
      <c r="A927" s="138"/>
      <c r="B927" s="139"/>
      <c r="C927" s="139"/>
      <c r="D927" s="194"/>
      <c r="E927" s="141"/>
      <c r="F927" s="142"/>
      <c r="G927" s="141"/>
      <c r="H927" s="142"/>
      <c r="I927" s="194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customHeight="1">
      <c r="A928" s="138"/>
      <c r="B928" s="139"/>
      <c r="C928" s="139"/>
      <c r="D928" s="194"/>
      <c r="E928" s="141"/>
      <c r="F928" s="142"/>
      <c r="G928" s="141"/>
      <c r="H928" s="142"/>
      <c r="I928" s="194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customHeight="1">
      <c r="A929" s="138"/>
      <c r="B929" s="139"/>
      <c r="C929" s="139"/>
      <c r="D929" s="194"/>
      <c r="E929" s="141"/>
      <c r="F929" s="142"/>
      <c r="G929" s="141"/>
      <c r="H929" s="142"/>
      <c r="I929" s="194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customHeight="1">
      <c r="A930" s="138"/>
      <c r="B930" s="139"/>
      <c r="C930" s="139"/>
      <c r="D930" s="194"/>
      <c r="E930" s="141"/>
      <c r="F930" s="142"/>
      <c r="G930" s="141"/>
      <c r="H930" s="142"/>
      <c r="I930" s="194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customHeight="1">
      <c r="A931" s="138"/>
      <c r="B931" s="139"/>
      <c r="C931" s="139"/>
      <c r="D931" s="194"/>
      <c r="E931" s="141"/>
      <c r="F931" s="142"/>
      <c r="G931" s="141"/>
      <c r="H931" s="142"/>
      <c r="I931" s="194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customHeight="1">
      <c r="A932" s="138"/>
      <c r="B932" s="139"/>
      <c r="C932" s="139"/>
      <c r="D932" s="194"/>
      <c r="E932" s="141"/>
      <c r="F932" s="142"/>
      <c r="G932" s="141"/>
      <c r="H932" s="142"/>
      <c r="I932" s="194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customHeight="1">
      <c r="A933" s="138"/>
      <c r="B933" s="139"/>
      <c r="C933" s="139"/>
      <c r="D933" s="194"/>
      <c r="E933" s="141"/>
      <c r="F933" s="142"/>
      <c r="G933" s="141"/>
      <c r="H933" s="142"/>
      <c r="I933" s="194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customHeight="1">
      <c r="A934" s="138"/>
      <c r="B934" s="139"/>
      <c r="C934" s="139"/>
      <c r="D934" s="194"/>
      <c r="E934" s="141"/>
      <c r="F934" s="142"/>
      <c r="G934" s="141"/>
      <c r="H934" s="142"/>
      <c r="I934" s="194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customHeight="1">
      <c r="A935" s="138"/>
      <c r="B935" s="139"/>
      <c r="C935" s="139"/>
      <c r="D935" s="194"/>
      <c r="E935" s="141"/>
      <c r="F935" s="142"/>
      <c r="G935" s="141"/>
      <c r="H935" s="142"/>
      <c r="I935" s="194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customHeight="1">
      <c r="A936" s="138"/>
      <c r="B936" s="139"/>
      <c r="C936" s="139"/>
      <c r="D936" s="194"/>
      <c r="E936" s="141"/>
      <c r="F936" s="142"/>
      <c r="G936" s="141"/>
      <c r="H936" s="142"/>
      <c r="I936" s="194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customHeight="1">
      <c r="A937" s="138"/>
      <c r="B937" s="139"/>
      <c r="C937" s="139"/>
      <c r="D937" s="194"/>
      <c r="E937" s="141"/>
      <c r="F937" s="142"/>
      <c r="G937" s="141"/>
      <c r="H937" s="142"/>
      <c r="I937" s="194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customHeight="1">
      <c r="A938" s="138"/>
      <c r="B938" s="139"/>
      <c r="C938" s="139"/>
      <c r="D938" s="194"/>
      <c r="E938" s="141"/>
      <c r="F938" s="142"/>
      <c r="G938" s="141"/>
      <c r="H938" s="142"/>
      <c r="I938" s="194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customHeight="1">
      <c r="A939" s="138"/>
      <c r="B939" s="139"/>
      <c r="C939" s="139"/>
      <c r="D939" s="194"/>
      <c r="E939" s="141"/>
      <c r="F939" s="142"/>
      <c r="G939" s="141"/>
      <c r="H939" s="142"/>
      <c r="I939" s="194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customHeight="1">
      <c r="A940" s="138"/>
      <c r="B940" s="139"/>
      <c r="C940" s="139"/>
      <c r="D940" s="194"/>
      <c r="E940" s="141"/>
      <c r="F940" s="142"/>
      <c r="G940" s="141"/>
      <c r="H940" s="142"/>
      <c r="I940" s="194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customHeight="1">
      <c r="A941" s="138"/>
      <c r="B941" s="139"/>
      <c r="C941" s="139"/>
      <c r="D941" s="194"/>
      <c r="E941" s="141"/>
      <c r="F941" s="142"/>
      <c r="G941" s="141"/>
      <c r="H941" s="142"/>
      <c r="I941" s="194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customHeight="1">
      <c r="A942" s="138"/>
      <c r="B942" s="139"/>
      <c r="C942" s="139"/>
      <c r="D942" s="194"/>
      <c r="E942" s="141"/>
      <c r="F942" s="142"/>
      <c r="G942" s="141"/>
      <c r="H942" s="142"/>
      <c r="I942" s="194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customHeight="1">
      <c r="A943" s="138"/>
      <c r="B943" s="139"/>
      <c r="C943" s="139"/>
      <c r="D943" s="194"/>
      <c r="E943" s="141"/>
      <c r="F943" s="142"/>
      <c r="G943" s="141"/>
      <c r="H943" s="142"/>
      <c r="I943" s="194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customHeight="1">
      <c r="A944" s="138"/>
      <c r="B944" s="139"/>
      <c r="C944" s="139"/>
      <c r="D944" s="194"/>
      <c r="E944" s="141"/>
      <c r="F944" s="142"/>
      <c r="G944" s="141"/>
      <c r="H944" s="142"/>
      <c r="I944" s="194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customHeight="1">
      <c r="A945" s="138"/>
      <c r="B945" s="139"/>
      <c r="C945" s="139"/>
      <c r="D945" s="194"/>
      <c r="E945" s="141"/>
      <c r="F945" s="142"/>
      <c r="G945" s="141"/>
      <c r="H945" s="142"/>
      <c r="I945" s="194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customHeight="1">
      <c r="A946" s="138"/>
      <c r="B946" s="139"/>
      <c r="C946" s="139"/>
      <c r="D946" s="194"/>
      <c r="E946" s="141"/>
      <c r="F946" s="142"/>
      <c r="G946" s="141"/>
      <c r="H946" s="142"/>
      <c r="I946" s="194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customHeight="1">
      <c r="A947" s="138"/>
      <c r="B947" s="139"/>
      <c r="C947" s="139"/>
      <c r="D947" s="194"/>
      <c r="E947" s="141"/>
      <c r="F947" s="142"/>
      <c r="G947" s="141"/>
      <c r="H947" s="142"/>
      <c r="I947" s="194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customHeight="1">
      <c r="A948" s="138"/>
      <c r="B948" s="139"/>
      <c r="C948" s="139"/>
      <c r="D948" s="194"/>
      <c r="E948" s="141"/>
      <c r="F948" s="142"/>
      <c r="G948" s="141"/>
      <c r="H948" s="142"/>
      <c r="I948" s="194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customHeight="1">
      <c r="A949" s="138"/>
      <c r="B949" s="139"/>
      <c r="C949" s="139"/>
      <c r="D949" s="194"/>
      <c r="E949" s="141"/>
      <c r="F949" s="142"/>
      <c r="G949" s="141"/>
      <c r="H949" s="142"/>
      <c r="I949" s="194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customHeight="1">
      <c r="A950" s="138"/>
      <c r="B950" s="139"/>
      <c r="C950" s="139"/>
      <c r="D950" s="194"/>
      <c r="E950" s="141"/>
      <c r="F950" s="142"/>
      <c r="G950" s="141"/>
      <c r="H950" s="142"/>
      <c r="I950" s="194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customHeight="1">
      <c r="A951" s="138"/>
      <c r="B951" s="139"/>
      <c r="C951" s="139"/>
      <c r="D951" s="194"/>
      <c r="E951" s="141"/>
      <c r="F951" s="142"/>
      <c r="G951" s="141"/>
      <c r="H951" s="142"/>
      <c r="I951" s="194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customHeight="1">
      <c r="A952" s="138"/>
      <c r="B952" s="139"/>
      <c r="C952" s="139"/>
      <c r="D952" s="194"/>
      <c r="E952" s="141"/>
      <c r="F952" s="142"/>
      <c r="G952" s="141"/>
      <c r="H952" s="142"/>
      <c r="I952" s="194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customHeight="1">
      <c r="A953" s="138"/>
      <c r="B953" s="139"/>
      <c r="C953" s="139"/>
      <c r="D953" s="194"/>
      <c r="E953" s="141"/>
      <c r="F953" s="142"/>
      <c r="G953" s="141"/>
      <c r="H953" s="142"/>
      <c r="I953" s="194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customHeight="1">
      <c r="A954" s="138"/>
      <c r="B954" s="139"/>
      <c r="C954" s="139"/>
      <c r="D954" s="194"/>
      <c r="E954" s="141"/>
      <c r="F954" s="142"/>
      <c r="G954" s="141"/>
      <c r="H954" s="142"/>
      <c r="I954" s="194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customHeight="1">
      <c r="A955" s="138"/>
      <c r="B955" s="139"/>
      <c r="C955" s="139"/>
      <c r="D955" s="194"/>
      <c r="E955" s="141"/>
      <c r="F955" s="142"/>
      <c r="G955" s="141"/>
      <c r="H955" s="142"/>
      <c r="I955" s="194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customHeight="1">
      <c r="A956" s="138"/>
      <c r="B956" s="139"/>
      <c r="C956" s="139"/>
      <c r="D956" s="194"/>
      <c r="E956" s="141"/>
      <c r="F956" s="142"/>
      <c r="G956" s="141"/>
      <c r="H956" s="142"/>
      <c r="I956" s="194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customHeight="1">
      <c r="A957" s="138"/>
      <c r="B957" s="139"/>
      <c r="C957" s="139"/>
      <c r="D957" s="194"/>
      <c r="E957" s="141"/>
      <c r="F957" s="142"/>
      <c r="G957" s="141"/>
      <c r="H957" s="142"/>
      <c r="I957" s="194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customHeight="1">
      <c r="A958" s="138"/>
      <c r="B958" s="139"/>
      <c r="C958" s="139"/>
      <c r="D958" s="194"/>
      <c r="E958" s="141"/>
      <c r="F958" s="142"/>
      <c r="G958" s="141"/>
      <c r="H958" s="142"/>
      <c r="I958" s="194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customHeight="1">
      <c r="A959" s="138"/>
      <c r="B959" s="139"/>
      <c r="C959" s="139"/>
      <c r="D959" s="194"/>
      <c r="E959" s="141"/>
      <c r="F959" s="142"/>
      <c r="G959" s="141"/>
      <c r="H959" s="142"/>
      <c r="I959" s="194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customHeight="1">
      <c r="A960" s="138"/>
      <c r="B960" s="139"/>
      <c r="C960" s="139"/>
      <c r="D960" s="194"/>
      <c r="E960" s="141"/>
      <c r="F960" s="142"/>
      <c r="G960" s="141"/>
      <c r="H960" s="142"/>
      <c r="I960" s="194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customHeight="1">
      <c r="A961" s="138"/>
      <c r="B961" s="139"/>
      <c r="C961" s="139"/>
      <c r="D961" s="194"/>
      <c r="E961" s="141"/>
      <c r="F961" s="142"/>
      <c r="G961" s="141"/>
      <c r="H961" s="142"/>
      <c r="I961" s="194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customHeight="1">
      <c r="A962" s="138"/>
      <c r="B962" s="139"/>
      <c r="C962" s="139"/>
      <c r="D962" s="194"/>
      <c r="E962" s="141"/>
      <c r="F962" s="142"/>
      <c r="G962" s="141"/>
      <c r="H962" s="142"/>
      <c r="I962" s="194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customHeight="1">
      <c r="A963" s="138"/>
      <c r="B963" s="139"/>
      <c r="C963" s="139"/>
      <c r="D963" s="194"/>
      <c r="E963" s="141"/>
      <c r="F963" s="142"/>
      <c r="G963" s="141"/>
      <c r="H963" s="142"/>
      <c r="I963" s="194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customHeight="1">
      <c r="A964" s="138"/>
      <c r="B964" s="139"/>
      <c r="C964" s="139"/>
      <c r="D964" s="194"/>
      <c r="E964" s="141"/>
      <c r="F964" s="142"/>
      <c r="G964" s="141"/>
      <c r="H964" s="142"/>
      <c r="I964" s="194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customHeight="1">
      <c r="A965" s="138"/>
      <c r="B965" s="139"/>
      <c r="C965" s="139"/>
      <c r="D965" s="194"/>
      <c r="E965" s="141"/>
      <c r="F965" s="142"/>
      <c r="G965" s="141"/>
      <c r="H965" s="142"/>
      <c r="I965" s="194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customHeight="1">
      <c r="A966" s="138"/>
      <c r="B966" s="139"/>
      <c r="C966" s="139"/>
      <c r="D966" s="194"/>
      <c r="E966" s="141"/>
      <c r="F966" s="142"/>
      <c r="G966" s="141"/>
      <c r="H966" s="142"/>
      <c r="I966" s="194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customHeight="1">
      <c r="A967" s="138"/>
      <c r="B967" s="139"/>
      <c r="C967" s="139"/>
      <c r="D967" s="194"/>
      <c r="E967" s="141"/>
      <c r="F967" s="142"/>
      <c r="G967" s="141"/>
      <c r="H967" s="142"/>
      <c r="I967" s="194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customHeight="1">
      <c r="A968" s="138"/>
      <c r="B968" s="139"/>
      <c r="C968" s="139"/>
      <c r="D968" s="194"/>
      <c r="E968" s="141"/>
      <c r="F968" s="142"/>
      <c r="G968" s="141"/>
      <c r="H968" s="142"/>
      <c r="I968" s="194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customHeight="1">
      <c r="A969" s="138"/>
      <c r="B969" s="139"/>
      <c r="C969" s="139"/>
      <c r="D969" s="194"/>
      <c r="E969" s="141"/>
      <c r="F969" s="142"/>
      <c r="G969" s="141"/>
      <c r="H969" s="142"/>
      <c r="I969" s="194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customHeight="1">
      <c r="A970" s="138"/>
      <c r="B970" s="139"/>
      <c r="C970" s="139"/>
      <c r="D970" s="194"/>
      <c r="E970" s="141"/>
      <c r="F970" s="142"/>
      <c r="G970" s="141"/>
      <c r="H970" s="142"/>
      <c r="I970" s="194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customHeight="1">
      <c r="A971" s="138"/>
      <c r="B971" s="139"/>
      <c r="C971" s="139"/>
      <c r="D971" s="194"/>
      <c r="E971" s="141"/>
      <c r="F971" s="142"/>
      <c r="G971" s="141"/>
      <c r="H971" s="142"/>
      <c r="I971" s="194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customHeight="1">
      <c r="A972" s="138"/>
      <c r="B972" s="139"/>
      <c r="C972" s="139"/>
      <c r="D972" s="194"/>
      <c r="E972" s="141"/>
      <c r="F972" s="142"/>
      <c r="G972" s="141"/>
      <c r="H972" s="142"/>
      <c r="I972" s="194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customHeight="1">
      <c r="A973" s="138"/>
      <c r="B973" s="139"/>
      <c r="C973" s="139"/>
      <c r="D973" s="194"/>
      <c r="E973" s="141"/>
      <c r="F973" s="142"/>
      <c r="G973" s="141"/>
      <c r="H973" s="142"/>
      <c r="I973" s="194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customHeight="1">
      <c r="A974" s="138"/>
      <c r="B974" s="139"/>
      <c r="C974" s="139"/>
      <c r="D974" s="194"/>
      <c r="E974" s="141"/>
      <c r="F974" s="142"/>
      <c r="G974" s="141"/>
      <c r="H974" s="142"/>
      <c r="I974" s="194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customHeight="1">
      <c r="A975" s="138"/>
      <c r="B975" s="139"/>
      <c r="C975" s="139"/>
      <c r="D975" s="194"/>
      <c r="E975" s="141"/>
      <c r="F975" s="142"/>
      <c r="G975" s="141"/>
      <c r="H975" s="142"/>
      <c r="I975" s="194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customHeight="1">
      <c r="A976" s="138"/>
      <c r="B976" s="139"/>
      <c r="C976" s="139"/>
      <c r="D976" s="194"/>
      <c r="E976" s="141"/>
      <c r="F976" s="142"/>
      <c r="G976" s="141"/>
      <c r="H976" s="142"/>
      <c r="I976" s="194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customHeight="1">
      <c r="A977" s="138"/>
      <c r="B977" s="139"/>
      <c r="C977" s="139"/>
      <c r="D977" s="194"/>
      <c r="E977" s="141"/>
      <c r="F977" s="142"/>
      <c r="G977" s="141"/>
      <c r="H977" s="142"/>
      <c r="I977" s="194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customHeight="1">
      <c r="A978" s="138"/>
      <c r="B978" s="139"/>
      <c r="C978" s="139"/>
      <c r="D978" s="194"/>
      <c r="E978" s="141"/>
      <c r="F978" s="142"/>
      <c r="G978" s="141"/>
      <c r="H978" s="142"/>
      <c r="I978" s="194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customHeight="1">
      <c r="A979" s="138"/>
      <c r="B979" s="139"/>
      <c r="C979" s="139"/>
      <c r="D979" s="194"/>
      <c r="E979" s="141"/>
      <c r="F979" s="142"/>
      <c r="G979" s="141"/>
      <c r="H979" s="142"/>
      <c r="I979" s="194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customHeight="1">
      <c r="A980" s="138"/>
      <c r="B980" s="139"/>
      <c r="C980" s="139"/>
      <c r="D980" s="194"/>
      <c r="E980" s="141"/>
      <c r="F980" s="142"/>
      <c r="G980" s="141"/>
      <c r="H980" s="142"/>
      <c r="I980" s="194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customHeight="1">
      <c r="A981" s="138"/>
      <c r="B981" s="139"/>
      <c r="C981" s="139"/>
      <c r="D981" s="194"/>
      <c r="E981" s="141"/>
      <c r="F981" s="142"/>
      <c r="G981" s="141"/>
      <c r="H981" s="142"/>
      <c r="I981" s="194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customHeight="1">
      <c r="A982" s="138"/>
      <c r="B982" s="139"/>
      <c r="C982" s="139"/>
      <c r="D982" s="194"/>
      <c r="E982" s="141"/>
      <c r="F982" s="142"/>
      <c r="G982" s="141"/>
      <c r="H982" s="142"/>
      <c r="I982" s="194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customHeight="1">
      <c r="A983" s="138"/>
      <c r="B983" s="139"/>
      <c r="C983" s="139"/>
      <c r="D983" s="194"/>
      <c r="E983" s="141"/>
      <c r="F983" s="142"/>
      <c r="G983" s="141"/>
      <c r="H983" s="142"/>
      <c r="I983" s="194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customHeight="1">
      <c r="A984" s="138"/>
      <c r="B984" s="139"/>
      <c r="C984" s="139"/>
      <c r="D984" s="194"/>
      <c r="E984" s="141"/>
      <c r="F984" s="142"/>
      <c r="G984" s="141"/>
      <c r="H984" s="142"/>
      <c r="I984" s="194"/>
      <c r="J984" s="141"/>
      <c r="K984" s="141"/>
      <c r="L984" s="141"/>
      <c r="M984" s="143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customHeight="1">
      <c r="A985" s="138"/>
      <c r="B985" s="139"/>
      <c r="C985" s="139"/>
      <c r="D985" s="194"/>
      <c r="E985" s="141"/>
      <c r="F985" s="142"/>
      <c r="G985" s="141"/>
      <c r="H985" s="142"/>
      <c r="I985" s="194"/>
      <c r="J985" s="141"/>
      <c r="K985" s="141"/>
      <c r="L985" s="141"/>
      <c r="M985" s="143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customHeight="1">
      <c r="A986" s="138"/>
      <c r="B986" s="139"/>
      <c r="C986" s="139"/>
      <c r="D986" s="194"/>
      <c r="E986" s="141"/>
      <c r="F986" s="142"/>
      <c r="G986" s="141"/>
      <c r="H986" s="142"/>
      <c r="I986" s="194"/>
      <c r="J986" s="141"/>
      <c r="K986" s="141"/>
      <c r="L986" s="141"/>
      <c r="M986" s="143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customHeight="1">
      <c r="A987" s="138"/>
      <c r="B987" s="139"/>
      <c r="C987" s="139"/>
      <c r="D987" s="194"/>
      <c r="E987" s="141"/>
      <c r="F987" s="142"/>
      <c r="G987" s="141"/>
      <c r="H987" s="142"/>
      <c r="I987" s="194"/>
      <c r="J987" s="141"/>
      <c r="K987" s="141"/>
      <c r="L987" s="141"/>
      <c r="M987" s="143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customHeight="1">
      <c r="A988" s="138"/>
      <c r="B988" s="139"/>
      <c r="C988" s="139"/>
      <c r="D988" s="194"/>
      <c r="E988" s="141"/>
      <c r="F988" s="142"/>
      <c r="G988" s="141"/>
      <c r="H988" s="142"/>
      <c r="I988" s="194"/>
      <c r="J988" s="141"/>
      <c r="K988" s="141"/>
      <c r="L988" s="141"/>
      <c r="M988" s="143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customHeight="1">
      <c r="A989" s="138"/>
      <c r="B989" s="139"/>
      <c r="C989" s="139"/>
      <c r="D989" s="194"/>
      <c r="E989" s="141"/>
      <c r="F989" s="142"/>
      <c r="G989" s="141"/>
      <c r="H989" s="142"/>
      <c r="I989" s="194"/>
      <c r="J989" s="141"/>
      <c r="K989" s="141"/>
      <c r="L989" s="141"/>
      <c r="M989" s="143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customHeight="1">
      <c r="A990" s="138"/>
      <c r="B990" s="139"/>
      <c r="C990" s="139"/>
      <c r="D990" s="194"/>
      <c r="E990" s="141"/>
      <c r="F990" s="142"/>
      <c r="G990" s="141"/>
      <c r="H990" s="142"/>
      <c r="I990" s="194"/>
      <c r="J990" s="141"/>
      <c r="K990" s="141"/>
      <c r="L990" s="141"/>
      <c r="M990" s="143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customHeight="1">
      <c r="A991" s="138"/>
      <c r="B991" s="139"/>
      <c r="C991" s="139"/>
      <c r="D991" s="194"/>
      <c r="E991" s="141"/>
      <c r="F991" s="142"/>
      <c r="G991" s="141"/>
      <c r="H991" s="142"/>
      <c r="I991" s="194"/>
      <c r="J991" s="141"/>
      <c r="K991" s="141"/>
      <c r="L991" s="141"/>
      <c r="M991" s="143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customHeight="1">
      <c r="A992" s="138"/>
      <c r="B992" s="139"/>
      <c r="C992" s="139"/>
      <c r="D992" s="194"/>
      <c r="E992" s="141"/>
      <c r="F992" s="142"/>
      <c r="G992" s="141"/>
      <c r="H992" s="142"/>
      <c r="I992" s="194"/>
      <c r="J992" s="141"/>
      <c r="K992" s="141"/>
      <c r="L992" s="141"/>
      <c r="M992" s="143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customHeight="1">
      <c r="A993" s="138"/>
      <c r="B993" s="139"/>
      <c r="C993" s="139"/>
      <c r="D993" s="194"/>
      <c r="E993" s="141"/>
      <c r="F993" s="142"/>
      <c r="G993" s="141"/>
      <c r="H993" s="142"/>
      <c r="I993" s="194"/>
      <c r="J993" s="141"/>
      <c r="K993" s="141"/>
      <c r="L993" s="141"/>
      <c r="M993" s="143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customHeight="1">
      <c r="A994" s="138"/>
      <c r="B994" s="139"/>
      <c r="C994" s="139"/>
      <c r="D994" s="194"/>
      <c r="E994" s="141"/>
      <c r="F994" s="142"/>
      <c r="G994" s="141"/>
      <c r="H994" s="142"/>
      <c r="I994" s="194"/>
      <c r="J994" s="141"/>
      <c r="K994" s="141"/>
      <c r="L994" s="141"/>
      <c r="M994" s="143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customHeight="1">
      <c r="A995" s="138"/>
      <c r="B995" s="139"/>
      <c r="C995" s="139"/>
      <c r="D995" s="194"/>
      <c r="E995" s="141"/>
      <c r="F995" s="142"/>
      <c r="G995" s="141"/>
      <c r="H995" s="142"/>
      <c r="I995" s="194"/>
      <c r="J995" s="141"/>
      <c r="K995" s="141"/>
      <c r="L995" s="141"/>
      <c r="M995" s="143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customHeight="1">
      <c r="A996" s="138"/>
      <c r="B996" s="139"/>
      <c r="C996" s="139"/>
      <c r="D996" s="194"/>
      <c r="E996" s="141"/>
      <c r="F996" s="142"/>
      <c r="G996" s="141"/>
      <c r="H996" s="142"/>
      <c r="I996" s="194"/>
      <c r="J996" s="141"/>
      <c r="K996" s="141"/>
      <c r="L996" s="141"/>
      <c r="M996" s="143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customHeight="1">
      <c r="A997" s="138"/>
      <c r="B997" s="139"/>
      <c r="C997" s="139"/>
      <c r="D997" s="194"/>
      <c r="E997" s="141"/>
      <c r="F997" s="142"/>
      <c r="G997" s="141"/>
      <c r="H997" s="142"/>
      <c r="I997" s="194"/>
      <c r="J997" s="141"/>
      <c r="K997" s="141"/>
      <c r="L997" s="141"/>
      <c r="M997" s="143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customHeight="1">
      <c r="A998" s="138"/>
      <c r="B998" s="139"/>
      <c r="C998" s="139"/>
      <c r="D998" s="194"/>
      <c r="E998" s="141"/>
      <c r="F998" s="142"/>
      <c r="G998" s="141"/>
      <c r="H998" s="142"/>
      <c r="I998" s="194"/>
      <c r="J998" s="141"/>
      <c r="K998" s="141"/>
      <c r="L998" s="141"/>
      <c r="M998" s="143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customHeight="1">
      <c r="A999" s="138"/>
      <c r="B999" s="139"/>
      <c r="C999" s="139"/>
      <c r="D999" s="194"/>
      <c r="E999" s="141"/>
      <c r="F999" s="142"/>
      <c r="G999" s="141"/>
      <c r="H999" s="142"/>
      <c r="I999" s="194"/>
      <c r="J999" s="141"/>
      <c r="K999" s="141"/>
      <c r="L999" s="141"/>
      <c r="M999" s="143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customHeight="1">
      <c r="A1000" s="138"/>
      <c r="B1000" s="139"/>
      <c r="C1000" s="139"/>
      <c r="D1000" s="194"/>
      <c r="E1000" s="141"/>
      <c r="F1000" s="142"/>
      <c r="G1000" s="141"/>
      <c r="H1000" s="142"/>
      <c r="I1000" s="194"/>
      <c r="J1000" s="141"/>
      <c r="K1000" s="141"/>
      <c r="L1000" s="141"/>
      <c r="M1000" s="143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autoFilter ref="$A$1:$M$564"/>
  <mergeCells count="77">
    <mergeCell ref="O69:R69"/>
    <mergeCell ref="O70:R70"/>
    <mergeCell ref="O71:R71"/>
    <mergeCell ref="O72:R72"/>
    <mergeCell ref="O73:R73"/>
    <mergeCell ref="O74:R74"/>
    <mergeCell ref="O75:R75"/>
    <mergeCell ref="O76:R76"/>
    <mergeCell ref="O77:R77"/>
    <mergeCell ref="O79:T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P100:R100"/>
    <mergeCell ref="O85:R85"/>
    <mergeCell ref="O86:R86"/>
    <mergeCell ref="O88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O45:S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O62:T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0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312" t="s">
        <v>0</v>
      </c>
      <c r="B1" s="313" t="s">
        <v>1</v>
      </c>
      <c r="C1" s="313" t="s">
        <v>2</v>
      </c>
      <c r="D1" s="314" t="s">
        <v>3</v>
      </c>
      <c r="E1" s="313" t="s">
        <v>4</v>
      </c>
      <c r="F1" s="313" t="s">
        <v>5</v>
      </c>
      <c r="G1" s="313" t="s">
        <v>6</v>
      </c>
      <c r="H1" s="313" t="s">
        <v>7</v>
      </c>
      <c r="I1" s="314" t="s">
        <v>8</v>
      </c>
      <c r="J1" s="313" t="s">
        <v>9</v>
      </c>
      <c r="K1" s="313" t="s">
        <v>10</v>
      </c>
      <c r="L1" s="313" t="s">
        <v>11</v>
      </c>
      <c r="M1" s="315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541" t="s">
        <v>4441</v>
      </c>
      <c r="B2" s="542" t="s">
        <v>4442</v>
      </c>
      <c r="C2" s="542">
        <v>2013.0</v>
      </c>
      <c r="D2" s="543">
        <v>41569.0</v>
      </c>
      <c r="E2" s="542" t="s">
        <v>4443</v>
      </c>
      <c r="F2" s="542" t="s">
        <v>711</v>
      </c>
      <c r="G2" s="542" t="s">
        <v>17</v>
      </c>
      <c r="H2" s="542" t="s">
        <v>50</v>
      </c>
      <c r="I2" s="543">
        <v>43854.0</v>
      </c>
      <c r="J2" s="542">
        <v>1.0</v>
      </c>
      <c r="K2" s="544" t="s">
        <v>19</v>
      </c>
      <c r="L2" s="542" t="s">
        <v>256</v>
      </c>
      <c r="M2" s="528">
        <f t="shared" ref="M2:M181" si="1">I2-D2</f>
        <v>2285</v>
      </c>
      <c r="N2" s="15"/>
      <c r="O2" s="545" t="s">
        <v>4444</v>
      </c>
      <c r="P2" s="318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546" t="s">
        <v>4445</v>
      </c>
      <c r="B3" s="547" t="s">
        <v>4446</v>
      </c>
      <c r="C3" s="547">
        <v>2015.0</v>
      </c>
      <c r="D3" s="548">
        <v>42256.0</v>
      </c>
      <c r="E3" s="547" t="s">
        <v>4447</v>
      </c>
      <c r="F3" s="547" t="s">
        <v>711</v>
      </c>
      <c r="G3" s="547" t="s">
        <v>17</v>
      </c>
      <c r="H3" s="547" t="s">
        <v>573</v>
      </c>
      <c r="I3" s="548">
        <v>43854.0</v>
      </c>
      <c r="J3" s="547">
        <v>1.0</v>
      </c>
      <c r="K3" s="544" t="s">
        <v>19</v>
      </c>
      <c r="L3" s="547" t="s">
        <v>256</v>
      </c>
      <c r="M3" s="529">
        <f t="shared" si="1"/>
        <v>1598</v>
      </c>
      <c r="N3" s="15"/>
      <c r="O3" s="320" t="s">
        <v>27</v>
      </c>
      <c r="P3" s="320">
        <f>COUNTIF($G$2:$G$495,"PT")</f>
        <v>3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541" t="s">
        <v>4448</v>
      </c>
      <c r="B4" s="542" t="s">
        <v>4449</v>
      </c>
      <c r="C4" s="542">
        <v>2017.0</v>
      </c>
      <c r="D4" s="543">
        <v>42797.0</v>
      </c>
      <c r="E4" s="542" t="s">
        <v>4450</v>
      </c>
      <c r="F4" s="542" t="s">
        <v>1823</v>
      </c>
      <c r="G4" s="542" t="s">
        <v>17</v>
      </c>
      <c r="H4" s="542" t="s">
        <v>60</v>
      </c>
      <c r="I4" s="543">
        <v>43854.0</v>
      </c>
      <c r="J4" s="542">
        <v>1.0</v>
      </c>
      <c r="K4" s="544" t="s">
        <v>19</v>
      </c>
      <c r="L4" s="542" t="s">
        <v>256</v>
      </c>
      <c r="M4" s="528">
        <f t="shared" si="1"/>
        <v>1057</v>
      </c>
      <c r="N4" s="25"/>
      <c r="O4" s="321" t="s">
        <v>34</v>
      </c>
      <c r="P4" s="321">
        <f>COUNTIF($G$2:$G$495,"PTN")</f>
        <v>5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546" t="s">
        <v>4451</v>
      </c>
      <c r="B5" s="547" t="s">
        <v>4452</v>
      </c>
      <c r="C5" s="547">
        <v>2016.0</v>
      </c>
      <c r="D5" s="548">
        <v>42716.0</v>
      </c>
      <c r="E5" s="547" t="s">
        <v>4453</v>
      </c>
      <c r="F5" s="547" t="s">
        <v>753</v>
      </c>
      <c r="G5" s="547" t="s">
        <v>17</v>
      </c>
      <c r="H5" s="547" t="s">
        <v>50</v>
      </c>
      <c r="I5" s="548">
        <v>43854.0</v>
      </c>
      <c r="J5" s="547">
        <v>1.0</v>
      </c>
      <c r="K5" s="544" t="s">
        <v>19</v>
      </c>
      <c r="L5" s="547" t="s">
        <v>258</v>
      </c>
      <c r="M5" s="529">
        <f t="shared" si="1"/>
        <v>1138</v>
      </c>
      <c r="N5" s="25"/>
      <c r="O5" s="322" t="s">
        <v>40</v>
      </c>
      <c r="P5" s="322">
        <f>COUNTIF($G$2:$G$495,"PTE")</f>
        <v>162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541" t="s">
        <v>4454</v>
      </c>
      <c r="B6" s="542" t="s">
        <v>4455</v>
      </c>
      <c r="C6" s="542">
        <v>2017.0</v>
      </c>
      <c r="D6" s="543">
        <v>42865.0</v>
      </c>
      <c r="E6" s="542" t="s">
        <v>4456</v>
      </c>
      <c r="F6" s="542" t="s">
        <v>753</v>
      </c>
      <c r="G6" s="542" t="s">
        <v>17</v>
      </c>
      <c r="H6" s="542" t="s">
        <v>163</v>
      </c>
      <c r="I6" s="543">
        <v>43854.0</v>
      </c>
      <c r="J6" s="542">
        <v>1.0</v>
      </c>
      <c r="K6" s="544" t="s">
        <v>19</v>
      </c>
      <c r="L6" s="542" t="s">
        <v>258</v>
      </c>
      <c r="M6" s="528">
        <f t="shared" si="1"/>
        <v>989</v>
      </c>
      <c r="N6" s="25"/>
      <c r="O6" s="321" t="s">
        <v>46</v>
      </c>
      <c r="P6" s="321">
        <f>COUNTIF($G$2:$G$495,"Pré-Mistura")</f>
        <v>2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546" t="s">
        <v>4457</v>
      </c>
      <c r="B7" s="547" t="s">
        <v>4458</v>
      </c>
      <c r="C7" s="547">
        <v>2018.0</v>
      </c>
      <c r="D7" s="548">
        <v>43192.0</v>
      </c>
      <c r="E7" s="547" t="s">
        <v>4459</v>
      </c>
      <c r="F7" s="547" t="s">
        <v>753</v>
      </c>
      <c r="G7" s="547" t="s">
        <v>17</v>
      </c>
      <c r="H7" s="547" t="s">
        <v>77</v>
      </c>
      <c r="I7" s="548">
        <v>43854.0</v>
      </c>
      <c r="J7" s="547">
        <v>1.0</v>
      </c>
      <c r="K7" s="544" t="s">
        <v>19</v>
      </c>
      <c r="L7" s="547" t="s">
        <v>258</v>
      </c>
      <c r="M7" s="529">
        <f t="shared" si="1"/>
        <v>662</v>
      </c>
      <c r="N7" s="25"/>
      <c r="O7" s="322" t="s">
        <v>553</v>
      </c>
      <c r="P7" s="322">
        <f>COUNTIF($G$2:$G$495,"PF")</f>
        <v>70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541" t="s">
        <v>4460</v>
      </c>
      <c r="B8" s="542" t="s">
        <v>4461</v>
      </c>
      <c r="C8" s="542">
        <v>2018.0</v>
      </c>
      <c r="D8" s="543">
        <v>43418.0</v>
      </c>
      <c r="E8" s="542" t="s">
        <v>4462</v>
      </c>
      <c r="F8" s="542" t="s">
        <v>753</v>
      </c>
      <c r="G8" s="542" t="s">
        <v>17</v>
      </c>
      <c r="H8" s="542" t="s">
        <v>125</v>
      </c>
      <c r="I8" s="543">
        <v>43854.0</v>
      </c>
      <c r="J8" s="542">
        <v>1.0</v>
      </c>
      <c r="K8" s="544" t="s">
        <v>19</v>
      </c>
      <c r="L8" s="542" t="s">
        <v>258</v>
      </c>
      <c r="M8" s="528">
        <f t="shared" si="1"/>
        <v>436</v>
      </c>
      <c r="N8" s="25"/>
      <c r="O8" s="321" t="s">
        <v>547</v>
      </c>
      <c r="P8" s="321">
        <f>COUNTIF($G$2:$G$495,"PFN")</f>
        <v>9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546" t="s">
        <v>4463</v>
      </c>
      <c r="B9" s="547" t="s">
        <v>4464</v>
      </c>
      <c r="C9" s="547">
        <v>2019.0</v>
      </c>
      <c r="D9" s="548">
        <v>43607.0</v>
      </c>
      <c r="E9" s="547" t="s">
        <v>4465</v>
      </c>
      <c r="F9" s="547" t="s">
        <v>753</v>
      </c>
      <c r="G9" s="547" t="s">
        <v>17</v>
      </c>
      <c r="H9" s="547" t="s">
        <v>2934</v>
      </c>
      <c r="I9" s="548">
        <v>43854.0</v>
      </c>
      <c r="J9" s="547">
        <v>1.0</v>
      </c>
      <c r="K9" s="544" t="s">
        <v>19</v>
      </c>
      <c r="L9" s="547" t="s">
        <v>258</v>
      </c>
      <c r="M9" s="529">
        <f t="shared" si="1"/>
        <v>247</v>
      </c>
      <c r="N9" s="25"/>
      <c r="O9" s="322" t="s">
        <v>560</v>
      </c>
      <c r="P9" s="322">
        <f>COUNTIF($G$2:$G$495,"PF/PTE")</f>
        <v>147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541" t="s">
        <v>4466</v>
      </c>
      <c r="B10" s="542" t="s">
        <v>4467</v>
      </c>
      <c r="C10" s="542">
        <v>2012.0</v>
      </c>
      <c r="D10" s="543">
        <v>41178.0</v>
      </c>
      <c r="E10" s="542" t="s">
        <v>4468</v>
      </c>
      <c r="F10" s="542" t="s">
        <v>719</v>
      </c>
      <c r="G10" s="542" t="s">
        <v>17</v>
      </c>
      <c r="H10" s="542" t="s">
        <v>153</v>
      </c>
      <c r="I10" s="543">
        <v>43854.0</v>
      </c>
      <c r="J10" s="542">
        <v>1.0</v>
      </c>
      <c r="K10" s="544" t="s">
        <v>19</v>
      </c>
      <c r="L10" s="542" t="s">
        <v>256</v>
      </c>
      <c r="M10" s="528">
        <f t="shared" si="1"/>
        <v>2676</v>
      </c>
      <c r="N10" s="25"/>
      <c r="O10" s="321" t="s">
        <v>565</v>
      </c>
      <c r="P10" s="321">
        <f>COUNTIF($G$2:$G$495,"Bio")</f>
        <v>57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546" t="s">
        <v>4469</v>
      </c>
      <c r="B11" s="547" t="s">
        <v>4470</v>
      </c>
      <c r="C11" s="547">
        <v>2014.0</v>
      </c>
      <c r="D11" s="548">
        <v>41823.0</v>
      </c>
      <c r="E11" s="547" t="s">
        <v>4471</v>
      </c>
      <c r="F11" s="547" t="s">
        <v>1554</v>
      </c>
      <c r="G11" s="547" t="s">
        <v>17</v>
      </c>
      <c r="H11" s="547" t="s">
        <v>130</v>
      </c>
      <c r="I11" s="548">
        <v>43854.0</v>
      </c>
      <c r="J11" s="547">
        <v>1.0</v>
      </c>
      <c r="K11" s="544" t="s">
        <v>19</v>
      </c>
      <c r="L11" s="547" t="s">
        <v>258</v>
      </c>
      <c r="M11" s="529">
        <f t="shared" si="1"/>
        <v>2031</v>
      </c>
      <c r="N11" s="25"/>
      <c r="O11" s="323" t="s">
        <v>569</v>
      </c>
      <c r="P11" s="323">
        <f>COUNTIF($G$2:$G$495,"Bio/Org")</f>
        <v>38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541" t="s">
        <v>4472</v>
      </c>
      <c r="B12" s="542" t="s">
        <v>4473</v>
      </c>
      <c r="C12" s="542">
        <v>2011.0</v>
      </c>
      <c r="D12" s="543">
        <v>40795.0</v>
      </c>
      <c r="E12" s="542" t="s">
        <v>4474</v>
      </c>
      <c r="F12" s="542" t="s">
        <v>563</v>
      </c>
      <c r="G12" s="542" t="s">
        <v>17</v>
      </c>
      <c r="H12" s="542" t="s">
        <v>153</v>
      </c>
      <c r="I12" s="543">
        <v>43854.0</v>
      </c>
      <c r="J12" s="542">
        <v>1.0</v>
      </c>
      <c r="K12" s="544" t="s">
        <v>19</v>
      </c>
      <c r="L12" s="542" t="s">
        <v>256</v>
      </c>
      <c r="M12" s="528">
        <f t="shared" si="1"/>
        <v>3059</v>
      </c>
      <c r="N12" s="25"/>
      <c r="O12" s="324" t="s">
        <v>51</v>
      </c>
      <c r="P12" s="325">
        <f>SUM(P3:P11)</f>
        <v>493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546" t="s">
        <v>4475</v>
      </c>
      <c r="B13" s="547" t="s">
        <v>4476</v>
      </c>
      <c r="C13" s="547">
        <v>2011.0</v>
      </c>
      <c r="D13" s="548">
        <v>40798.0</v>
      </c>
      <c r="E13" s="547" t="s">
        <v>4477</v>
      </c>
      <c r="F13" s="547" t="s">
        <v>563</v>
      </c>
      <c r="G13" s="547" t="s">
        <v>17</v>
      </c>
      <c r="H13" s="547" t="s">
        <v>153</v>
      </c>
      <c r="I13" s="548">
        <v>43854.0</v>
      </c>
      <c r="J13" s="547">
        <v>1.0</v>
      </c>
      <c r="K13" s="544" t="s">
        <v>19</v>
      </c>
      <c r="L13" s="547" t="s">
        <v>256</v>
      </c>
      <c r="M13" s="529">
        <f t="shared" si="1"/>
        <v>3056</v>
      </c>
      <c r="N13" s="42"/>
      <c r="O13" s="25"/>
      <c r="P13" s="25"/>
      <c r="Q13" s="25"/>
      <c r="R13" s="326"/>
      <c r="S13" s="326"/>
      <c r="T13" s="25"/>
      <c r="U13" s="25"/>
      <c r="V13" s="25"/>
      <c r="W13" s="25"/>
      <c r="X13" s="25"/>
      <c r="Y13" s="25"/>
      <c r="Z13" s="25"/>
    </row>
    <row r="14" ht="15.0" customHeight="1">
      <c r="A14" s="541" t="s">
        <v>4478</v>
      </c>
      <c r="B14" s="542" t="s">
        <v>4479</v>
      </c>
      <c r="C14" s="542">
        <v>2011.0</v>
      </c>
      <c r="D14" s="543">
        <v>40798.0</v>
      </c>
      <c r="E14" s="542" t="s">
        <v>4480</v>
      </c>
      <c r="F14" s="542" t="s">
        <v>563</v>
      </c>
      <c r="G14" s="542" t="s">
        <v>17</v>
      </c>
      <c r="H14" s="542" t="s">
        <v>153</v>
      </c>
      <c r="I14" s="543">
        <v>43854.0</v>
      </c>
      <c r="J14" s="542">
        <v>1.0</v>
      </c>
      <c r="K14" s="544" t="s">
        <v>19</v>
      </c>
      <c r="L14" s="542" t="s">
        <v>256</v>
      </c>
      <c r="M14" s="528">
        <f t="shared" si="1"/>
        <v>3056</v>
      </c>
      <c r="N14" s="42"/>
      <c r="O14" s="327" t="s">
        <v>61</v>
      </c>
      <c r="P14" s="102"/>
      <c r="Q14" s="102"/>
      <c r="R14" s="102"/>
      <c r="S14" s="103"/>
      <c r="T14" s="25"/>
      <c r="U14" s="25"/>
      <c r="V14" s="25"/>
      <c r="W14" s="25"/>
      <c r="X14" s="25"/>
      <c r="Y14" s="25"/>
      <c r="Z14" s="25"/>
    </row>
    <row r="15" ht="15.0" customHeight="1">
      <c r="A15" s="546" t="s">
        <v>4481</v>
      </c>
      <c r="B15" s="547" t="s">
        <v>4482</v>
      </c>
      <c r="C15" s="547">
        <v>2011.0</v>
      </c>
      <c r="D15" s="548">
        <v>40799.0</v>
      </c>
      <c r="E15" s="547" t="s">
        <v>4483</v>
      </c>
      <c r="F15" s="547" t="s">
        <v>563</v>
      </c>
      <c r="G15" s="547" t="s">
        <v>17</v>
      </c>
      <c r="H15" s="547" t="s">
        <v>153</v>
      </c>
      <c r="I15" s="548">
        <v>43854.0</v>
      </c>
      <c r="J15" s="547">
        <v>1.0</v>
      </c>
      <c r="K15" s="544" t="s">
        <v>19</v>
      </c>
      <c r="L15" s="547" t="s">
        <v>256</v>
      </c>
      <c r="M15" s="529">
        <f t="shared" si="1"/>
        <v>3055</v>
      </c>
      <c r="N15" s="25"/>
      <c r="O15" s="328"/>
      <c r="P15" s="329"/>
      <c r="Q15" s="329"/>
      <c r="R15" s="329"/>
      <c r="S15" s="330"/>
      <c r="T15" s="25"/>
      <c r="U15" s="25"/>
      <c r="V15" s="25"/>
      <c r="W15" s="25"/>
      <c r="X15" s="25"/>
      <c r="Y15" s="25"/>
      <c r="Z15" s="25"/>
    </row>
    <row r="16" ht="15.0" customHeight="1">
      <c r="A16" s="541" t="s">
        <v>4484</v>
      </c>
      <c r="B16" s="542" t="s">
        <v>4485</v>
      </c>
      <c r="C16" s="542">
        <v>2012.0</v>
      </c>
      <c r="D16" s="543">
        <v>40987.0</v>
      </c>
      <c r="E16" s="542" t="s">
        <v>4486</v>
      </c>
      <c r="F16" s="542" t="s">
        <v>563</v>
      </c>
      <c r="G16" s="542" t="s">
        <v>17</v>
      </c>
      <c r="H16" s="542" t="s">
        <v>56</v>
      </c>
      <c r="I16" s="543">
        <v>43854.0</v>
      </c>
      <c r="J16" s="542">
        <v>1.0</v>
      </c>
      <c r="K16" s="544" t="s">
        <v>19</v>
      </c>
      <c r="L16" s="542" t="s">
        <v>256</v>
      </c>
      <c r="M16" s="528">
        <f t="shared" si="1"/>
        <v>2867</v>
      </c>
      <c r="N16" s="25"/>
      <c r="O16" s="331" t="s">
        <v>4487</v>
      </c>
      <c r="P16" s="332"/>
      <c r="Q16" s="332"/>
      <c r="R16" s="332"/>
      <c r="S16" s="333"/>
      <c r="T16" s="25"/>
      <c r="U16" s="25"/>
      <c r="V16" s="25"/>
      <c r="W16" s="25"/>
      <c r="X16" s="25"/>
      <c r="Y16" s="25"/>
      <c r="Z16" s="25"/>
    </row>
    <row r="17" ht="15.0" customHeight="1">
      <c r="A17" s="546" t="s">
        <v>4488</v>
      </c>
      <c r="B17" s="547" t="s">
        <v>4489</v>
      </c>
      <c r="C17" s="547">
        <v>2012.0</v>
      </c>
      <c r="D17" s="548">
        <v>41039.0</v>
      </c>
      <c r="E17" s="547" t="s">
        <v>4490</v>
      </c>
      <c r="F17" s="547" t="s">
        <v>563</v>
      </c>
      <c r="G17" s="547" t="s">
        <v>17</v>
      </c>
      <c r="H17" s="547" t="s">
        <v>153</v>
      </c>
      <c r="I17" s="548">
        <v>43854.0</v>
      </c>
      <c r="J17" s="547">
        <v>1.0</v>
      </c>
      <c r="K17" s="544" t="s">
        <v>19</v>
      </c>
      <c r="L17" s="547" t="s">
        <v>256</v>
      </c>
      <c r="M17" s="529">
        <f t="shared" si="1"/>
        <v>2815</v>
      </c>
      <c r="N17" s="25"/>
      <c r="O17" s="334" t="s">
        <v>4491</v>
      </c>
      <c r="P17" s="113"/>
      <c r="Q17" s="113"/>
      <c r="R17" s="113"/>
      <c r="S17" s="114"/>
      <c r="T17" s="25"/>
      <c r="U17" s="25"/>
      <c r="V17" s="25"/>
      <c r="W17" s="25"/>
      <c r="X17" s="25"/>
      <c r="Y17" s="25"/>
      <c r="Z17" s="25"/>
    </row>
    <row r="18" ht="15.0" customHeight="1">
      <c r="A18" s="541" t="s">
        <v>4492</v>
      </c>
      <c r="B18" s="542" t="s">
        <v>4493</v>
      </c>
      <c r="C18" s="542">
        <v>2013.0</v>
      </c>
      <c r="D18" s="543">
        <v>41379.0</v>
      </c>
      <c r="E18" s="542" t="s">
        <v>4494</v>
      </c>
      <c r="F18" s="542" t="s">
        <v>563</v>
      </c>
      <c r="G18" s="542" t="s">
        <v>17</v>
      </c>
      <c r="H18" s="542" t="s">
        <v>153</v>
      </c>
      <c r="I18" s="543">
        <v>43854.0</v>
      </c>
      <c r="J18" s="542">
        <v>1.0</v>
      </c>
      <c r="K18" s="544" t="s">
        <v>19</v>
      </c>
      <c r="L18" s="542" t="s">
        <v>256</v>
      </c>
      <c r="M18" s="528">
        <f t="shared" si="1"/>
        <v>2475</v>
      </c>
      <c r="N18" s="25"/>
      <c r="O18" s="335" t="s">
        <v>4495</v>
      </c>
      <c r="P18" s="113"/>
      <c r="Q18" s="113"/>
      <c r="R18" s="113"/>
      <c r="S18" s="114"/>
      <c r="T18" s="25"/>
      <c r="U18" s="25"/>
      <c r="V18" s="25"/>
      <c r="W18" s="25"/>
      <c r="X18" s="25"/>
      <c r="Y18" s="25"/>
      <c r="Z18" s="25"/>
    </row>
    <row r="19" ht="15.0" customHeight="1">
      <c r="A19" s="546" t="s">
        <v>4496</v>
      </c>
      <c r="B19" s="547" t="s">
        <v>4497</v>
      </c>
      <c r="C19" s="547">
        <v>2016.0</v>
      </c>
      <c r="D19" s="548">
        <v>42398.0</v>
      </c>
      <c r="E19" s="547" t="s">
        <v>4498</v>
      </c>
      <c r="F19" s="547" t="s">
        <v>563</v>
      </c>
      <c r="G19" s="547" t="s">
        <v>17</v>
      </c>
      <c r="H19" s="547" t="s">
        <v>2477</v>
      </c>
      <c r="I19" s="548">
        <v>43854.0</v>
      </c>
      <c r="J19" s="547">
        <v>1.0</v>
      </c>
      <c r="K19" s="544" t="s">
        <v>19</v>
      </c>
      <c r="L19" s="547" t="s">
        <v>256</v>
      </c>
      <c r="M19" s="529">
        <f t="shared" si="1"/>
        <v>1456</v>
      </c>
      <c r="N19" s="25"/>
      <c r="O19" s="334" t="s">
        <v>4499</v>
      </c>
      <c r="P19" s="113"/>
      <c r="Q19" s="113"/>
      <c r="R19" s="113"/>
      <c r="S19" s="114"/>
      <c r="T19" s="25"/>
      <c r="U19" s="25"/>
      <c r="V19" s="25"/>
      <c r="W19" s="25"/>
      <c r="X19" s="25"/>
      <c r="Y19" s="25"/>
      <c r="Z19" s="25"/>
    </row>
    <row r="20" ht="15.0" customHeight="1">
      <c r="A20" s="541" t="s">
        <v>4500</v>
      </c>
      <c r="B20" s="542" t="s">
        <v>4501</v>
      </c>
      <c r="C20" s="542">
        <v>2014.0</v>
      </c>
      <c r="D20" s="543">
        <v>41688.0</v>
      </c>
      <c r="E20" s="542" t="s">
        <v>4502</v>
      </c>
      <c r="F20" s="542" t="s">
        <v>25</v>
      </c>
      <c r="G20" s="542" t="s">
        <v>17</v>
      </c>
      <c r="H20" s="542" t="s">
        <v>97</v>
      </c>
      <c r="I20" s="543">
        <v>43854.0</v>
      </c>
      <c r="J20" s="542">
        <v>1.0</v>
      </c>
      <c r="K20" s="544" t="s">
        <v>19</v>
      </c>
      <c r="L20" s="542" t="s">
        <v>256</v>
      </c>
      <c r="M20" s="528">
        <f t="shared" si="1"/>
        <v>2166</v>
      </c>
      <c r="N20" s="25"/>
      <c r="O20" s="335" t="s">
        <v>4503</v>
      </c>
      <c r="P20" s="113"/>
      <c r="Q20" s="113"/>
      <c r="R20" s="113"/>
      <c r="S20" s="114"/>
      <c r="T20" s="25"/>
      <c r="U20" s="25"/>
      <c r="V20" s="25"/>
      <c r="W20" s="25"/>
      <c r="X20" s="25"/>
      <c r="Y20" s="25"/>
      <c r="Z20" s="25"/>
    </row>
    <row r="21" ht="15.0" customHeight="1">
      <c r="A21" s="546" t="s">
        <v>4504</v>
      </c>
      <c r="B21" s="547" t="s">
        <v>4505</v>
      </c>
      <c r="C21" s="547">
        <v>2017.0</v>
      </c>
      <c r="D21" s="548">
        <v>42835.0</v>
      </c>
      <c r="E21" s="547" t="s">
        <v>4506</v>
      </c>
      <c r="F21" s="547" t="s">
        <v>25</v>
      </c>
      <c r="G21" s="547" t="s">
        <v>17</v>
      </c>
      <c r="H21" s="547" t="s">
        <v>573</v>
      </c>
      <c r="I21" s="548">
        <v>43854.0</v>
      </c>
      <c r="J21" s="547">
        <v>1.0</v>
      </c>
      <c r="K21" s="544" t="s">
        <v>19</v>
      </c>
      <c r="L21" s="547" t="s">
        <v>256</v>
      </c>
      <c r="M21" s="529">
        <f t="shared" si="1"/>
        <v>1019</v>
      </c>
      <c r="N21" s="25"/>
      <c r="O21" s="334" t="s">
        <v>4507</v>
      </c>
      <c r="P21" s="113"/>
      <c r="Q21" s="113"/>
      <c r="R21" s="113"/>
      <c r="S21" s="114"/>
      <c r="T21" s="25"/>
      <c r="U21" s="25"/>
      <c r="V21" s="25"/>
      <c r="W21" s="25"/>
      <c r="X21" s="25"/>
      <c r="Y21" s="25"/>
      <c r="Z21" s="25"/>
    </row>
    <row r="22" ht="15.0" customHeight="1">
      <c r="A22" s="541" t="s">
        <v>4508</v>
      </c>
      <c r="B22" s="542" t="s">
        <v>4509</v>
      </c>
      <c r="C22" s="542">
        <v>2011.0</v>
      </c>
      <c r="D22" s="543">
        <v>40729.0</v>
      </c>
      <c r="E22" s="542" t="s">
        <v>4510</v>
      </c>
      <c r="F22" s="542" t="s">
        <v>4511</v>
      </c>
      <c r="G22" s="542" t="s">
        <v>270</v>
      </c>
      <c r="H22" s="542" t="s">
        <v>775</v>
      </c>
      <c r="I22" s="543">
        <v>43873.0</v>
      </c>
      <c r="J22" s="542">
        <v>1.0</v>
      </c>
      <c r="K22" s="549" t="s">
        <v>602</v>
      </c>
      <c r="L22" s="542" t="s">
        <v>260</v>
      </c>
      <c r="M22" s="528">
        <f t="shared" si="1"/>
        <v>3144</v>
      </c>
      <c r="N22" s="25"/>
      <c r="O22" s="335" t="s">
        <v>4512</v>
      </c>
      <c r="P22" s="113"/>
      <c r="Q22" s="113"/>
      <c r="R22" s="113"/>
      <c r="S22" s="114"/>
      <c r="T22" s="25"/>
      <c r="U22" s="25"/>
      <c r="V22" s="25"/>
      <c r="W22" s="25"/>
      <c r="X22" s="25"/>
      <c r="Y22" s="25"/>
      <c r="Z22" s="25"/>
    </row>
    <row r="23" ht="15.0" customHeight="1">
      <c r="A23" s="546" t="s">
        <v>4513</v>
      </c>
      <c r="B23" s="547" t="s">
        <v>4514</v>
      </c>
      <c r="C23" s="547">
        <v>2016.0</v>
      </c>
      <c r="D23" s="548">
        <v>42514.0</v>
      </c>
      <c r="E23" s="547" t="s">
        <v>4515</v>
      </c>
      <c r="F23" s="547" t="s">
        <v>2667</v>
      </c>
      <c r="G23" s="547" t="s">
        <v>17</v>
      </c>
      <c r="H23" s="547" t="s">
        <v>153</v>
      </c>
      <c r="I23" s="548">
        <v>43873.0</v>
      </c>
      <c r="J23" s="547">
        <v>2.0</v>
      </c>
      <c r="K23" s="544" t="s">
        <v>19</v>
      </c>
      <c r="L23" s="547" t="s">
        <v>258</v>
      </c>
      <c r="M23" s="529">
        <f t="shared" si="1"/>
        <v>1359</v>
      </c>
      <c r="N23" s="25"/>
      <c r="O23" s="334" t="s">
        <v>4516</v>
      </c>
      <c r="P23" s="113"/>
      <c r="Q23" s="113"/>
      <c r="R23" s="113"/>
      <c r="S23" s="114"/>
      <c r="T23" s="25"/>
      <c r="U23" s="25"/>
      <c r="V23" s="25"/>
      <c r="W23" s="25"/>
      <c r="X23" s="25"/>
      <c r="Y23" s="25"/>
      <c r="Z23" s="25"/>
    </row>
    <row r="24" ht="15.0" customHeight="1">
      <c r="A24" s="541" t="s">
        <v>4517</v>
      </c>
      <c r="B24" s="542" t="s">
        <v>4518</v>
      </c>
      <c r="C24" s="542">
        <v>2014.0</v>
      </c>
      <c r="D24" s="543">
        <v>41939.0</v>
      </c>
      <c r="E24" s="542" t="s">
        <v>4519</v>
      </c>
      <c r="F24" s="542" t="s">
        <v>4520</v>
      </c>
      <c r="G24" s="542" t="s">
        <v>270</v>
      </c>
      <c r="H24" s="542" t="s">
        <v>1951</v>
      </c>
      <c r="I24" s="543">
        <v>43873.0</v>
      </c>
      <c r="J24" s="542">
        <v>2.0</v>
      </c>
      <c r="K24" s="550" t="s">
        <v>242</v>
      </c>
      <c r="L24" s="542" t="s">
        <v>260</v>
      </c>
      <c r="M24" s="528">
        <f t="shared" si="1"/>
        <v>1934</v>
      </c>
      <c r="N24" s="25"/>
      <c r="O24" s="336" t="s">
        <v>4521</v>
      </c>
      <c r="P24" s="118"/>
      <c r="Q24" s="118"/>
      <c r="R24" s="118"/>
      <c r="S24" s="119"/>
      <c r="T24" s="25"/>
      <c r="U24" s="25"/>
      <c r="V24" s="25"/>
      <c r="W24" s="25"/>
      <c r="X24" s="25"/>
      <c r="Y24" s="25"/>
      <c r="Z24" s="25"/>
    </row>
    <row r="25" ht="15.0" customHeight="1">
      <c r="A25" s="546" t="s">
        <v>4522</v>
      </c>
      <c r="B25" s="547" t="s">
        <v>4523</v>
      </c>
      <c r="C25" s="547">
        <v>2014.0</v>
      </c>
      <c r="D25" s="548">
        <v>41964.0</v>
      </c>
      <c r="E25" s="547" t="s">
        <v>4524</v>
      </c>
      <c r="F25" s="547" t="s">
        <v>4525</v>
      </c>
      <c r="G25" s="547" t="s">
        <v>46</v>
      </c>
      <c r="H25" s="547" t="s">
        <v>705</v>
      </c>
      <c r="I25" s="548">
        <v>43873.0</v>
      </c>
      <c r="J25" s="547">
        <v>2.0</v>
      </c>
      <c r="K25" s="550" t="s">
        <v>238</v>
      </c>
      <c r="L25" s="547" t="s">
        <v>258</v>
      </c>
      <c r="M25" s="529">
        <f t="shared" si="1"/>
        <v>1909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541" t="s">
        <v>4526</v>
      </c>
      <c r="B26" s="542" t="s">
        <v>4527</v>
      </c>
      <c r="C26" s="542">
        <v>2015.0</v>
      </c>
      <c r="D26" s="543">
        <v>42031.0</v>
      </c>
      <c r="E26" s="542" t="s">
        <v>4528</v>
      </c>
      <c r="F26" s="542" t="s">
        <v>4525</v>
      </c>
      <c r="G26" s="542" t="s">
        <v>46</v>
      </c>
      <c r="H26" s="542" t="s">
        <v>705</v>
      </c>
      <c r="I26" s="543">
        <v>43873.0</v>
      </c>
      <c r="J26" s="542">
        <v>2.0</v>
      </c>
      <c r="K26" s="550" t="s">
        <v>238</v>
      </c>
      <c r="L26" s="542" t="s">
        <v>258</v>
      </c>
      <c r="M26" s="528">
        <f t="shared" si="1"/>
        <v>1842</v>
      </c>
      <c r="N26" s="25"/>
      <c r="O26" s="327" t="s">
        <v>617</v>
      </c>
      <c r="P26" s="102"/>
      <c r="Q26" s="102"/>
      <c r="R26" s="102"/>
      <c r="S26" s="103"/>
      <c r="T26" s="25"/>
      <c r="U26" s="25"/>
      <c r="V26" s="25"/>
      <c r="W26" s="25"/>
      <c r="X26" s="25"/>
      <c r="Y26" s="25"/>
      <c r="Z26" s="25"/>
    </row>
    <row r="27" ht="15.0" customHeight="1">
      <c r="A27" s="546" t="s">
        <v>4529</v>
      </c>
      <c r="B27" s="547" t="s">
        <v>4530</v>
      </c>
      <c r="C27" s="547">
        <v>2014.0</v>
      </c>
      <c r="D27" s="548">
        <v>41913.0</v>
      </c>
      <c r="E27" s="547" t="s">
        <v>4531</v>
      </c>
      <c r="F27" s="547" t="s">
        <v>765</v>
      </c>
      <c r="G27" s="547" t="s">
        <v>17</v>
      </c>
      <c r="H27" s="547" t="s">
        <v>583</v>
      </c>
      <c r="I27" s="548">
        <v>43875.0</v>
      </c>
      <c r="J27" s="547">
        <v>2.0</v>
      </c>
      <c r="K27" s="544" t="s">
        <v>19</v>
      </c>
      <c r="L27" s="547" t="s">
        <v>254</v>
      </c>
      <c r="M27" s="529">
        <f t="shared" si="1"/>
        <v>1962</v>
      </c>
      <c r="N27" s="25"/>
      <c r="O27" s="104"/>
      <c r="P27" s="105"/>
      <c r="Q27" s="105"/>
      <c r="R27" s="105"/>
      <c r="S27" s="106"/>
      <c r="T27" s="25"/>
      <c r="U27" s="25"/>
      <c r="V27" s="25"/>
      <c r="W27" s="25"/>
      <c r="X27" s="25"/>
      <c r="Y27" s="25"/>
      <c r="Z27" s="25"/>
    </row>
    <row r="28" ht="15.0" customHeight="1">
      <c r="A28" s="541" t="s">
        <v>4532</v>
      </c>
      <c r="B28" s="542" t="s">
        <v>4533</v>
      </c>
      <c r="C28" s="542">
        <v>2014.0</v>
      </c>
      <c r="D28" s="543">
        <v>41984.0</v>
      </c>
      <c r="E28" s="542" t="s">
        <v>4534</v>
      </c>
      <c r="F28" s="542" t="s">
        <v>765</v>
      </c>
      <c r="G28" s="542" t="s">
        <v>17</v>
      </c>
      <c r="H28" s="542" t="s">
        <v>26</v>
      </c>
      <c r="I28" s="543">
        <v>43875.0</v>
      </c>
      <c r="J28" s="542">
        <v>2.0</v>
      </c>
      <c r="K28" s="544" t="s">
        <v>19</v>
      </c>
      <c r="L28" s="542" t="s">
        <v>254</v>
      </c>
      <c r="M28" s="528">
        <f t="shared" si="1"/>
        <v>1891</v>
      </c>
      <c r="N28" s="25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546" t="s">
        <v>4535</v>
      </c>
      <c r="B29" s="547" t="s">
        <v>4536</v>
      </c>
      <c r="C29" s="547">
        <v>2014.0</v>
      </c>
      <c r="D29" s="548">
        <v>41862.0</v>
      </c>
      <c r="E29" s="547" t="s">
        <v>4537</v>
      </c>
      <c r="F29" s="547" t="s">
        <v>765</v>
      </c>
      <c r="G29" s="547" t="s">
        <v>17</v>
      </c>
      <c r="H29" s="547" t="s">
        <v>50</v>
      </c>
      <c r="I29" s="548">
        <v>43875.0</v>
      </c>
      <c r="J29" s="547">
        <v>2.0</v>
      </c>
      <c r="K29" s="544" t="s">
        <v>19</v>
      </c>
      <c r="L29" s="547" t="s">
        <v>256</v>
      </c>
      <c r="M29" s="529">
        <f t="shared" si="1"/>
        <v>2013</v>
      </c>
      <c r="N29" s="25"/>
      <c r="O29" s="322">
        <v>2008.0</v>
      </c>
      <c r="P29" s="342">
        <f>COUNTIF($C$2:$C$495,"2008")</f>
        <v>2</v>
      </c>
      <c r="Q29" s="332"/>
      <c r="R29" s="333"/>
      <c r="S29" s="343">
        <f>(P29/P42)</f>
        <v>0.004056795132</v>
      </c>
      <c r="T29" s="25"/>
      <c r="U29" s="25"/>
      <c r="V29" s="25"/>
      <c r="W29" s="25"/>
      <c r="X29" s="25"/>
      <c r="Y29" s="25"/>
      <c r="Z29" s="25"/>
    </row>
    <row r="30" ht="15.0" customHeight="1">
      <c r="A30" s="541" t="s">
        <v>4538</v>
      </c>
      <c r="B30" s="542" t="s">
        <v>4539</v>
      </c>
      <c r="C30" s="542">
        <v>2015.0</v>
      </c>
      <c r="D30" s="543">
        <v>42062.0</v>
      </c>
      <c r="E30" s="542" t="s">
        <v>4540</v>
      </c>
      <c r="F30" s="542" t="s">
        <v>765</v>
      </c>
      <c r="G30" s="542" t="s">
        <v>17</v>
      </c>
      <c r="H30" s="542" t="s">
        <v>153</v>
      </c>
      <c r="I30" s="543">
        <v>43875.0</v>
      </c>
      <c r="J30" s="542">
        <v>2.0</v>
      </c>
      <c r="K30" s="544" t="s">
        <v>19</v>
      </c>
      <c r="L30" s="542" t="s">
        <v>254</v>
      </c>
      <c r="M30" s="528">
        <f t="shared" si="1"/>
        <v>1813</v>
      </c>
      <c r="N30" s="25"/>
      <c r="O30" s="321">
        <v>2009.0</v>
      </c>
      <c r="P30" s="344">
        <f>COUNTIF($C$2:$C$495,"2009")</f>
        <v>1</v>
      </c>
      <c r="Q30" s="113"/>
      <c r="R30" s="114"/>
      <c r="S30" s="345">
        <f>(P30/P42)</f>
        <v>0.002028397566</v>
      </c>
      <c r="T30" s="25"/>
      <c r="U30" s="25"/>
      <c r="V30" s="25"/>
      <c r="W30" s="25"/>
      <c r="X30" s="25"/>
      <c r="Y30" s="25"/>
      <c r="Z30" s="25"/>
    </row>
    <row r="31" ht="15.0" customHeight="1">
      <c r="A31" s="546" t="s">
        <v>4541</v>
      </c>
      <c r="B31" s="547" t="s">
        <v>4542</v>
      </c>
      <c r="C31" s="547">
        <v>2017.0</v>
      </c>
      <c r="D31" s="548">
        <v>42761.0</v>
      </c>
      <c r="E31" s="547" t="s">
        <v>4543</v>
      </c>
      <c r="F31" s="547" t="s">
        <v>765</v>
      </c>
      <c r="G31" s="547" t="s">
        <v>17</v>
      </c>
      <c r="H31" s="547" t="s">
        <v>77</v>
      </c>
      <c r="I31" s="548">
        <v>43875.0</v>
      </c>
      <c r="J31" s="547">
        <v>2.0</v>
      </c>
      <c r="K31" s="544" t="s">
        <v>19</v>
      </c>
      <c r="L31" s="547" t="s">
        <v>254</v>
      </c>
      <c r="M31" s="529">
        <f t="shared" si="1"/>
        <v>1114</v>
      </c>
      <c r="N31" s="25"/>
      <c r="O31" s="322">
        <v>2010.0</v>
      </c>
      <c r="P31" s="346">
        <f>COUNTIF($C$2:$C$495,"2010")</f>
        <v>19</v>
      </c>
      <c r="Q31" s="113"/>
      <c r="R31" s="114"/>
      <c r="S31" s="343">
        <f>(P31/P42)</f>
        <v>0.03853955375</v>
      </c>
      <c r="T31" s="25"/>
      <c r="U31" s="25"/>
      <c r="V31" s="25"/>
      <c r="W31" s="25"/>
      <c r="X31" s="25"/>
      <c r="Y31" s="25"/>
      <c r="Z31" s="25"/>
    </row>
    <row r="32" ht="15.0" customHeight="1">
      <c r="A32" s="541" t="s">
        <v>4544</v>
      </c>
      <c r="B32" s="542" t="s">
        <v>4545</v>
      </c>
      <c r="C32" s="542">
        <v>2017.0</v>
      </c>
      <c r="D32" s="543">
        <v>43014.0</v>
      </c>
      <c r="E32" s="542" t="s">
        <v>4546</v>
      </c>
      <c r="F32" s="542" t="s">
        <v>765</v>
      </c>
      <c r="G32" s="542" t="s">
        <v>17</v>
      </c>
      <c r="H32" s="542" t="s">
        <v>573</v>
      </c>
      <c r="I32" s="543">
        <v>43875.0</v>
      </c>
      <c r="J32" s="542">
        <v>2.0</v>
      </c>
      <c r="K32" s="544" t="s">
        <v>19</v>
      </c>
      <c r="L32" s="542" t="s">
        <v>254</v>
      </c>
      <c r="M32" s="528">
        <f t="shared" si="1"/>
        <v>861</v>
      </c>
      <c r="N32" s="25"/>
      <c r="O32" s="321">
        <v>2011.0</v>
      </c>
      <c r="P32" s="344">
        <f>COUNTIF($C$2:$C$495,"2011")</f>
        <v>27</v>
      </c>
      <c r="Q32" s="113"/>
      <c r="R32" s="114"/>
      <c r="S32" s="345">
        <f>(P32/P42)</f>
        <v>0.05476673428</v>
      </c>
      <c r="T32" s="25"/>
      <c r="U32" s="25"/>
      <c r="V32" s="25"/>
      <c r="W32" s="25"/>
      <c r="X32" s="25"/>
      <c r="Y32" s="25"/>
      <c r="Z32" s="25"/>
    </row>
    <row r="33" ht="15.0" customHeight="1">
      <c r="A33" s="546" t="s">
        <v>4547</v>
      </c>
      <c r="B33" s="547" t="s">
        <v>4548</v>
      </c>
      <c r="C33" s="547">
        <v>2019.0</v>
      </c>
      <c r="D33" s="548">
        <v>43626.0</v>
      </c>
      <c r="E33" s="547" t="s">
        <v>4549</v>
      </c>
      <c r="F33" s="547" t="s">
        <v>765</v>
      </c>
      <c r="G33" s="547" t="s">
        <v>17</v>
      </c>
      <c r="H33" s="547" t="s">
        <v>56</v>
      </c>
      <c r="I33" s="548">
        <v>43875.0</v>
      </c>
      <c r="J33" s="547">
        <v>2.0</v>
      </c>
      <c r="K33" s="544" t="s">
        <v>19</v>
      </c>
      <c r="L33" s="547" t="s">
        <v>254</v>
      </c>
      <c r="M33" s="529">
        <f t="shared" si="1"/>
        <v>249</v>
      </c>
      <c r="N33" s="25"/>
      <c r="O33" s="322">
        <v>2012.0</v>
      </c>
      <c r="P33" s="346">
        <f>COUNTIF($C$2:$C$495,"2012")</f>
        <v>32</v>
      </c>
      <c r="Q33" s="113"/>
      <c r="R33" s="114"/>
      <c r="S33" s="343">
        <f>(P33/P42)</f>
        <v>0.06490872211</v>
      </c>
      <c r="T33" s="25"/>
      <c r="U33" s="25"/>
      <c r="V33" s="25"/>
      <c r="W33" s="25"/>
      <c r="X33" s="25"/>
      <c r="Y33" s="25"/>
      <c r="Z33" s="25"/>
    </row>
    <row r="34" ht="15.0" customHeight="1">
      <c r="A34" s="541" t="s">
        <v>4550</v>
      </c>
      <c r="B34" s="542" t="s">
        <v>4551</v>
      </c>
      <c r="C34" s="542">
        <v>2011.0</v>
      </c>
      <c r="D34" s="543">
        <v>40785.0</v>
      </c>
      <c r="E34" s="542" t="s">
        <v>4552</v>
      </c>
      <c r="F34" s="542" t="s">
        <v>563</v>
      </c>
      <c r="G34" s="542" t="s">
        <v>17</v>
      </c>
      <c r="H34" s="542" t="s">
        <v>4553</v>
      </c>
      <c r="I34" s="543">
        <v>43889.0</v>
      </c>
      <c r="J34" s="542">
        <v>2.0</v>
      </c>
      <c r="K34" s="544" t="s">
        <v>19</v>
      </c>
      <c r="L34" s="542" t="s">
        <v>256</v>
      </c>
      <c r="M34" s="528">
        <f t="shared" si="1"/>
        <v>3104</v>
      </c>
      <c r="N34" s="25"/>
      <c r="O34" s="321">
        <v>2013.0</v>
      </c>
      <c r="P34" s="344">
        <f>COUNTIF($C$2:$C$495,"2013")</f>
        <v>50</v>
      </c>
      <c r="Q34" s="113"/>
      <c r="R34" s="114"/>
      <c r="S34" s="345">
        <f>(P34/P42)</f>
        <v>0.1014198783</v>
      </c>
      <c r="T34" s="25"/>
      <c r="U34" s="25"/>
      <c r="V34" s="25"/>
      <c r="W34" s="25"/>
      <c r="X34" s="25"/>
      <c r="Y34" s="25"/>
      <c r="Z34" s="25"/>
    </row>
    <row r="35" ht="15.0" customHeight="1">
      <c r="A35" s="546" t="s">
        <v>4554</v>
      </c>
      <c r="B35" s="547" t="s">
        <v>4555</v>
      </c>
      <c r="C35" s="547">
        <v>2012.0</v>
      </c>
      <c r="D35" s="548">
        <v>41150.0</v>
      </c>
      <c r="E35" s="547" t="s">
        <v>4556</v>
      </c>
      <c r="F35" s="547" t="s">
        <v>4557</v>
      </c>
      <c r="G35" s="547" t="s">
        <v>17</v>
      </c>
      <c r="H35" s="547" t="s">
        <v>775</v>
      </c>
      <c r="I35" s="548">
        <v>43889.0</v>
      </c>
      <c r="J35" s="547">
        <v>2.0</v>
      </c>
      <c r="K35" s="544" t="s">
        <v>19</v>
      </c>
      <c r="L35" s="547" t="s">
        <v>258</v>
      </c>
      <c r="M35" s="529">
        <f t="shared" si="1"/>
        <v>2739</v>
      </c>
      <c r="N35" s="25"/>
      <c r="O35" s="322">
        <v>2014.0</v>
      </c>
      <c r="P35" s="346">
        <f>COUNTIF($C$2:$C$495,"2014")</f>
        <v>52</v>
      </c>
      <c r="Q35" s="113"/>
      <c r="R35" s="114"/>
      <c r="S35" s="343">
        <f>(P35/P42)</f>
        <v>0.1054766734</v>
      </c>
      <c r="T35" s="25"/>
      <c r="U35" s="25"/>
      <c r="V35" s="25"/>
      <c r="W35" s="25"/>
      <c r="X35" s="25"/>
      <c r="Y35" s="25"/>
      <c r="Z35" s="25"/>
    </row>
    <row r="36" ht="15.0" customHeight="1">
      <c r="A36" s="541" t="s">
        <v>4558</v>
      </c>
      <c r="B36" s="542" t="s">
        <v>4559</v>
      </c>
      <c r="C36" s="542">
        <v>2013.0</v>
      </c>
      <c r="D36" s="543">
        <v>41627.0</v>
      </c>
      <c r="E36" s="542" t="s">
        <v>4560</v>
      </c>
      <c r="F36" s="542" t="s">
        <v>4561</v>
      </c>
      <c r="G36" s="542" t="s">
        <v>17</v>
      </c>
      <c r="H36" s="542" t="s">
        <v>573</v>
      </c>
      <c r="I36" s="543">
        <v>43889.0</v>
      </c>
      <c r="J36" s="542">
        <v>2.0</v>
      </c>
      <c r="K36" s="544" t="s">
        <v>19</v>
      </c>
      <c r="L36" s="542" t="s">
        <v>258</v>
      </c>
      <c r="M36" s="528">
        <f t="shared" si="1"/>
        <v>2262</v>
      </c>
      <c r="N36" s="25"/>
      <c r="O36" s="321">
        <v>2015.0</v>
      </c>
      <c r="P36" s="344">
        <f>COUNTIF($C$2:$C$495,"2015")</f>
        <v>51</v>
      </c>
      <c r="Q36" s="113"/>
      <c r="R36" s="114"/>
      <c r="S36" s="345">
        <f>(P36/P42)</f>
        <v>0.1034482759</v>
      </c>
      <c r="T36" s="25"/>
      <c r="U36" s="25"/>
      <c r="V36" s="25"/>
      <c r="W36" s="25"/>
      <c r="X36" s="25"/>
      <c r="Y36" s="25"/>
      <c r="Z36" s="25"/>
    </row>
    <row r="37" ht="15.0" customHeight="1">
      <c r="A37" s="546" t="s">
        <v>4562</v>
      </c>
      <c r="B37" s="547" t="s">
        <v>4563</v>
      </c>
      <c r="C37" s="547">
        <v>2015.0</v>
      </c>
      <c r="D37" s="548">
        <v>42179.0</v>
      </c>
      <c r="E37" s="547" t="s">
        <v>4564</v>
      </c>
      <c r="F37" s="547" t="s">
        <v>55</v>
      </c>
      <c r="G37" s="547" t="s">
        <v>17</v>
      </c>
      <c r="H37" s="547" t="s">
        <v>130</v>
      </c>
      <c r="I37" s="548">
        <v>43889.0</v>
      </c>
      <c r="J37" s="547">
        <v>2.0</v>
      </c>
      <c r="K37" s="544" t="s">
        <v>19</v>
      </c>
      <c r="L37" s="547" t="s">
        <v>258</v>
      </c>
      <c r="M37" s="529">
        <f t="shared" si="1"/>
        <v>1710</v>
      </c>
      <c r="N37" s="25"/>
      <c r="O37" s="322">
        <v>2016.0</v>
      </c>
      <c r="P37" s="346">
        <f>COUNTIF($C$2:$C$495,"2016")</f>
        <v>45</v>
      </c>
      <c r="Q37" s="113"/>
      <c r="R37" s="114"/>
      <c r="S37" s="343">
        <f>(P37/P42)</f>
        <v>0.09127789047</v>
      </c>
      <c r="T37" s="25"/>
      <c r="U37" s="25"/>
      <c r="V37" s="25"/>
      <c r="W37" s="25"/>
      <c r="X37" s="25"/>
      <c r="Y37" s="25"/>
      <c r="Z37" s="25"/>
    </row>
    <row r="38" ht="15.0" customHeight="1">
      <c r="A38" s="541" t="s">
        <v>4565</v>
      </c>
      <c r="B38" s="542" t="s">
        <v>4566</v>
      </c>
      <c r="C38" s="542">
        <v>2018.0</v>
      </c>
      <c r="D38" s="543">
        <v>43398.0</v>
      </c>
      <c r="E38" s="542" t="s">
        <v>4567</v>
      </c>
      <c r="F38" s="542" t="s">
        <v>4561</v>
      </c>
      <c r="G38" s="542" t="s">
        <v>17</v>
      </c>
      <c r="H38" s="542" t="s">
        <v>4568</v>
      </c>
      <c r="I38" s="543">
        <v>43889.0</v>
      </c>
      <c r="J38" s="542">
        <v>2.0</v>
      </c>
      <c r="K38" s="544" t="s">
        <v>19</v>
      </c>
      <c r="L38" s="542" t="s">
        <v>258</v>
      </c>
      <c r="M38" s="528">
        <f t="shared" si="1"/>
        <v>491</v>
      </c>
      <c r="N38" s="25"/>
      <c r="O38" s="321">
        <v>2017.0</v>
      </c>
      <c r="P38" s="344">
        <f>COUNTIF($C$2:$C$495,"2017")</f>
        <v>51</v>
      </c>
      <c r="Q38" s="113"/>
      <c r="R38" s="114"/>
      <c r="S38" s="345">
        <f>(P38/P42)</f>
        <v>0.1034482759</v>
      </c>
      <c r="T38" s="25"/>
      <c r="U38" s="25"/>
      <c r="V38" s="25"/>
      <c r="W38" s="25"/>
      <c r="X38" s="25"/>
      <c r="Y38" s="25"/>
      <c r="Z38" s="25"/>
    </row>
    <row r="39" ht="15.0" customHeight="1">
      <c r="A39" s="546" t="s">
        <v>4569</v>
      </c>
      <c r="B39" s="547" t="s">
        <v>4570</v>
      </c>
      <c r="C39" s="547">
        <v>2013.0</v>
      </c>
      <c r="D39" s="548">
        <v>41386.0</v>
      </c>
      <c r="E39" s="547" t="s">
        <v>4571</v>
      </c>
      <c r="F39" s="547" t="s">
        <v>4572</v>
      </c>
      <c r="G39" s="547" t="s">
        <v>17</v>
      </c>
      <c r="H39" s="547" t="s">
        <v>775</v>
      </c>
      <c r="I39" s="548">
        <v>43908.0</v>
      </c>
      <c r="J39" s="547">
        <v>3.0</v>
      </c>
      <c r="K39" s="544" t="s">
        <v>19</v>
      </c>
      <c r="L39" s="547" t="s">
        <v>258</v>
      </c>
      <c r="M39" s="529">
        <f t="shared" si="1"/>
        <v>2522</v>
      </c>
      <c r="N39" s="25"/>
      <c r="O39" s="322">
        <v>2018.0</v>
      </c>
      <c r="P39" s="346">
        <f>COUNTIF($C$2:$C$495,"2018")</f>
        <v>46</v>
      </c>
      <c r="Q39" s="113"/>
      <c r="R39" s="114"/>
      <c r="S39" s="343">
        <f>(P39/P42)</f>
        <v>0.09330628803</v>
      </c>
      <c r="T39" s="25"/>
      <c r="U39" s="25"/>
      <c r="V39" s="25"/>
      <c r="W39" s="25"/>
      <c r="X39" s="25"/>
      <c r="Y39" s="25"/>
      <c r="Z39" s="25"/>
    </row>
    <row r="40" ht="15.0" customHeight="1">
      <c r="A40" s="541" t="s">
        <v>4573</v>
      </c>
      <c r="B40" s="542" t="s">
        <v>4574</v>
      </c>
      <c r="C40" s="542">
        <v>2019.0</v>
      </c>
      <c r="D40" s="543">
        <v>43628.0</v>
      </c>
      <c r="E40" s="542" t="s">
        <v>4575</v>
      </c>
      <c r="F40" s="542" t="s">
        <v>1464</v>
      </c>
      <c r="G40" s="542" t="s">
        <v>17</v>
      </c>
      <c r="H40" s="542" t="s">
        <v>573</v>
      </c>
      <c r="I40" s="543">
        <v>43908.0</v>
      </c>
      <c r="J40" s="542">
        <v>3.0</v>
      </c>
      <c r="K40" s="544" t="s">
        <v>19</v>
      </c>
      <c r="L40" s="542" t="s">
        <v>256</v>
      </c>
      <c r="M40" s="528">
        <f t="shared" si="1"/>
        <v>280</v>
      </c>
      <c r="N40" s="25"/>
      <c r="O40" s="321">
        <v>2019.0</v>
      </c>
      <c r="P40" s="344">
        <f>COUNTIF($C$2:$C$495,"2019")</f>
        <v>73</v>
      </c>
      <c r="Q40" s="113"/>
      <c r="R40" s="114"/>
      <c r="S40" s="345">
        <f>(P40/P42)</f>
        <v>0.1480730223</v>
      </c>
      <c r="T40" s="25"/>
      <c r="U40" s="25"/>
      <c r="V40" s="25"/>
      <c r="W40" s="25"/>
      <c r="X40" s="25"/>
      <c r="Y40" s="25"/>
      <c r="Z40" s="25"/>
    </row>
    <row r="41" ht="15.0" customHeight="1">
      <c r="A41" s="546" t="s">
        <v>4576</v>
      </c>
      <c r="B41" s="547" t="s">
        <v>4577</v>
      </c>
      <c r="C41" s="547">
        <v>2019.0</v>
      </c>
      <c r="D41" s="548">
        <v>43518.0</v>
      </c>
      <c r="E41" s="547" t="s">
        <v>4578</v>
      </c>
      <c r="F41" s="547" t="s">
        <v>148</v>
      </c>
      <c r="G41" s="547" t="s">
        <v>17</v>
      </c>
      <c r="H41" s="547" t="s">
        <v>775</v>
      </c>
      <c r="I41" s="548">
        <v>43908.0</v>
      </c>
      <c r="J41" s="547">
        <v>3.0</v>
      </c>
      <c r="K41" s="544" t="s">
        <v>19</v>
      </c>
      <c r="L41" s="547" t="s">
        <v>258</v>
      </c>
      <c r="M41" s="529">
        <f t="shared" si="1"/>
        <v>390</v>
      </c>
      <c r="N41" s="25"/>
      <c r="O41" s="322">
        <v>2020.0</v>
      </c>
      <c r="P41" s="346">
        <f>COUNTIF($C$2:$C$495,"2020")</f>
        <v>44</v>
      </c>
      <c r="Q41" s="113"/>
      <c r="R41" s="114"/>
      <c r="S41" s="343">
        <f>(P41/P42)</f>
        <v>0.0892494929</v>
      </c>
      <c r="T41" s="25"/>
      <c r="U41" s="25"/>
      <c r="V41" s="25"/>
      <c r="W41" s="25"/>
      <c r="X41" s="25"/>
      <c r="Y41" s="25"/>
      <c r="Z41" s="25"/>
    </row>
    <row r="42" ht="15.0" customHeight="1">
      <c r="A42" s="541" t="s">
        <v>4579</v>
      </c>
      <c r="B42" s="542" t="s">
        <v>4580</v>
      </c>
      <c r="C42" s="542">
        <v>2010.0</v>
      </c>
      <c r="D42" s="543">
        <v>40248.0</v>
      </c>
      <c r="E42" s="542" t="s">
        <v>4581</v>
      </c>
      <c r="F42" s="542" t="s">
        <v>4511</v>
      </c>
      <c r="G42" s="542" t="s">
        <v>270</v>
      </c>
      <c r="H42" s="542" t="s">
        <v>1951</v>
      </c>
      <c r="I42" s="543">
        <v>43908.0</v>
      </c>
      <c r="J42" s="542">
        <v>3.0</v>
      </c>
      <c r="K42" s="549" t="s">
        <v>602</v>
      </c>
      <c r="L42" s="542" t="s">
        <v>260</v>
      </c>
      <c r="M42" s="528">
        <f t="shared" si="1"/>
        <v>3660</v>
      </c>
      <c r="N42" s="25"/>
      <c r="O42" s="348" t="s">
        <v>179</v>
      </c>
      <c r="P42" s="349">
        <f>SUM(P29:R41)</f>
        <v>493</v>
      </c>
      <c r="Q42" s="350"/>
      <c r="R42" s="351"/>
      <c r="S42" s="352">
        <f>SUM(S29:S41)</f>
        <v>1</v>
      </c>
      <c r="T42" s="25"/>
      <c r="U42" s="25"/>
      <c r="V42" s="25"/>
      <c r="W42" s="25"/>
      <c r="X42" s="25"/>
      <c r="Y42" s="25"/>
      <c r="Z42" s="25"/>
    </row>
    <row r="43" ht="15.0" customHeight="1">
      <c r="A43" s="546" t="s">
        <v>4582</v>
      </c>
      <c r="B43" s="547" t="s">
        <v>4583</v>
      </c>
      <c r="C43" s="547">
        <v>2015.0</v>
      </c>
      <c r="D43" s="548">
        <v>42271.0</v>
      </c>
      <c r="E43" s="547" t="s">
        <v>4584</v>
      </c>
      <c r="F43" s="547" t="s">
        <v>2268</v>
      </c>
      <c r="G43" s="547" t="s">
        <v>17</v>
      </c>
      <c r="H43" s="547" t="s">
        <v>153</v>
      </c>
      <c r="I43" s="548">
        <v>43910.0</v>
      </c>
      <c r="J43" s="547">
        <v>3.0</v>
      </c>
      <c r="K43" s="544" t="s">
        <v>19</v>
      </c>
      <c r="L43" s="547" t="s">
        <v>258</v>
      </c>
      <c r="M43" s="529">
        <f t="shared" si="1"/>
        <v>1639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5.0" customHeight="1">
      <c r="A44" s="541" t="s">
        <v>4585</v>
      </c>
      <c r="B44" s="542" t="s">
        <v>4586</v>
      </c>
      <c r="C44" s="542">
        <v>2015.0</v>
      </c>
      <c r="D44" s="543">
        <v>42303.0</v>
      </c>
      <c r="E44" s="542" t="s">
        <v>4587</v>
      </c>
      <c r="F44" s="542" t="s">
        <v>2268</v>
      </c>
      <c r="G44" s="542" t="s">
        <v>17</v>
      </c>
      <c r="H44" s="542" t="s">
        <v>50</v>
      </c>
      <c r="I44" s="543">
        <v>43910.0</v>
      </c>
      <c r="J44" s="542">
        <v>3.0</v>
      </c>
      <c r="K44" s="544" t="s">
        <v>19</v>
      </c>
      <c r="L44" s="542" t="s">
        <v>258</v>
      </c>
      <c r="M44" s="528">
        <f t="shared" si="1"/>
        <v>1607</v>
      </c>
      <c r="N44" s="25"/>
      <c r="O44" s="327" t="s">
        <v>692</v>
      </c>
      <c r="P44" s="102"/>
      <c r="Q44" s="102"/>
      <c r="R44" s="102"/>
      <c r="S44" s="103"/>
      <c r="T44" s="25"/>
      <c r="U44" s="25"/>
      <c r="V44" s="25"/>
      <c r="W44" s="25"/>
      <c r="X44" s="25"/>
      <c r="Y44" s="25"/>
      <c r="Z44" s="25"/>
    </row>
    <row r="45" ht="15.0" customHeight="1">
      <c r="A45" s="546" t="s">
        <v>4588</v>
      </c>
      <c r="B45" s="547" t="s">
        <v>4589</v>
      </c>
      <c r="C45" s="547">
        <v>2015.0</v>
      </c>
      <c r="D45" s="548">
        <v>42314.0</v>
      </c>
      <c r="E45" s="547" t="s">
        <v>4590</v>
      </c>
      <c r="F45" s="547" t="s">
        <v>2268</v>
      </c>
      <c r="G45" s="547" t="s">
        <v>17</v>
      </c>
      <c r="H45" s="547" t="s">
        <v>77</v>
      </c>
      <c r="I45" s="548">
        <v>43910.0</v>
      </c>
      <c r="J45" s="547">
        <v>3.0</v>
      </c>
      <c r="K45" s="544" t="s">
        <v>19</v>
      </c>
      <c r="L45" s="547" t="s">
        <v>258</v>
      </c>
      <c r="M45" s="529">
        <f t="shared" si="1"/>
        <v>1596</v>
      </c>
      <c r="N45" s="25"/>
      <c r="O45" s="104"/>
      <c r="P45" s="105"/>
      <c r="Q45" s="105"/>
      <c r="R45" s="105"/>
      <c r="S45" s="106"/>
      <c r="T45" s="25"/>
      <c r="U45" s="25"/>
      <c r="V45" s="25"/>
      <c r="W45" s="25"/>
      <c r="X45" s="25"/>
      <c r="Y45" s="25"/>
      <c r="Z45" s="25"/>
    </row>
    <row r="46" ht="15.0" customHeight="1">
      <c r="A46" s="541" t="s">
        <v>4591</v>
      </c>
      <c r="B46" s="542" t="s">
        <v>4592</v>
      </c>
      <c r="C46" s="542">
        <v>2016.0</v>
      </c>
      <c r="D46" s="543">
        <v>42422.0</v>
      </c>
      <c r="E46" s="542" t="s">
        <v>4593</v>
      </c>
      <c r="F46" s="542" t="s">
        <v>2268</v>
      </c>
      <c r="G46" s="542" t="s">
        <v>17</v>
      </c>
      <c r="H46" s="542" t="s">
        <v>187</v>
      </c>
      <c r="I46" s="543">
        <v>43910.0</v>
      </c>
      <c r="J46" s="542">
        <v>3.0</v>
      </c>
      <c r="K46" s="544" t="s">
        <v>19</v>
      </c>
      <c r="L46" s="542" t="s">
        <v>258</v>
      </c>
      <c r="M46" s="528">
        <f t="shared" si="1"/>
        <v>1488</v>
      </c>
      <c r="N46" s="25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25"/>
      <c r="V46" s="25"/>
      <c r="W46" s="25"/>
      <c r="X46" s="25"/>
      <c r="Y46" s="25"/>
      <c r="Z46" s="25"/>
    </row>
    <row r="47" ht="15.0" customHeight="1">
      <c r="A47" s="546" t="s">
        <v>4594</v>
      </c>
      <c r="B47" s="547" t="s">
        <v>4595</v>
      </c>
      <c r="C47" s="547">
        <v>2016.0</v>
      </c>
      <c r="D47" s="548">
        <v>42450.0</v>
      </c>
      <c r="E47" s="547" t="s">
        <v>4596</v>
      </c>
      <c r="F47" s="547" t="s">
        <v>2268</v>
      </c>
      <c r="G47" s="547" t="s">
        <v>17</v>
      </c>
      <c r="H47" s="547" t="s">
        <v>4597</v>
      </c>
      <c r="I47" s="548">
        <v>43910.0</v>
      </c>
      <c r="J47" s="547">
        <v>3.0</v>
      </c>
      <c r="K47" s="544" t="s">
        <v>19</v>
      </c>
      <c r="L47" s="547" t="s">
        <v>258</v>
      </c>
      <c r="M47" s="529">
        <f t="shared" si="1"/>
        <v>1460</v>
      </c>
      <c r="N47" s="25"/>
      <c r="O47" s="353" t="s">
        <v>195</v>
      </c>
      <c r="P47" s="342">
        <f>COUNTIF($J$2:$J$495,"1")</f>
        <v>23</v>
      </c>
      <c r="Q47" s="332"/>
      <c r="R47" s="333"/>
      <c r="S47" s="354">
        <f>(P47/P59)</f>
        <v>0.04665314402</v>
      </c>
      <c r="T47" s="25"/>
      <c r="U47" s="25"/>
      <c r="V47" s="25"/>
      <c r="W47" s="25"/>
      <c r="X47" s="25"/>
      <c r="Y47" s="25"/>
      <c r="Z47" s="25"/>
    </row>
    <row r="48" ht="15.0" customHeight="1">
      <c r="A48" s="541" t="s">
        <v>4598</v>
      </c>
      <c r="B48" s="542" t="s">
        <v>4599</v>
      </c>
      <c r="C48" s="542">
        <v>2016.0</v>
      </c>
      <c r="D48" s="543">
        <v>42577.0</v>
      </c>
      <c r="E48" s="542" t="s">
        <v>4600</v>
      </c>
      <c r="F48" s="542" t="s">
        <v>2268</v>
      </c>
      <c r="G48" s="542" t="s">
        <v>17</v>
      </c>
      <c r="H48" s="542" t="s">
        <v>153</v>
      </c>
      <c r="I48" s="543">
        <v>43910.0</v>
      </c>
      <c r="J48" s="542">
        <v>3.0</v>
      </c>
      <c r="K48" s="544" t="s">
        <v>19</v>
      </c>
      <c r="L48" s="542" t="s">
        <v>258</v>
      </c>
      <c r="M48" s="528">
        <f t="shared" si="1"/>
        <v>1333</v>
      </c>
      <c r="N48" s="25"/>
      <c r="O48" s="321" t="s">
        <v>197</v>
      </c>
      <c r="P48" s="344">
        <f>COUNTIF($J$2:$J$495,"2")</f>
        <v>35</v>
      </c>
      <c r="Q48" s="113"/>
      <c r="R48" s="114"/>
      <c r="S48" s="345">
        <f>(P48/P59)</f>
        <v>0.07099391481</v>
      </c>
      <c r="T48" s="25"/>
      <c r="U48" s="25"/>
      <c r="V48" s="25"/>
      <c r="W48" s="25"/>
      <c r="X48" s="25"/>
      <c r="Y48" s="25"/>
      <c r="Z48" s="25"/>
    </row>
    <row r="49" ht="15.0" customHeight="1">
      <c r="A49" s="546" t="s">
        <v>4601</v>
      </c>
      <c r="B49" s="547" t="s">
        <v>4602</v>
      </c>
      <c r="C49" s="547">
        <v>2016.0</v>
      </c>
      <c r="D49" s="548">
        <v>42585.0</v>
      </c>
      <c r="E49" s="547" t="s">
        <v>4603</v>
      </c>
      <c r="F49" s="547" t="s">
        <v>2268</v>
      </c>
      <c r="G49" s="547" t="s">
        <v>17</v>
      </c>
      <c r="H49" s="547" t="s">
        <v>934</v>
      </c>
      <c r="I49" s="548">
        <v>43910.0</v>
      </c>
      <c r="J49" s="547">
        <v>3.0</v>
      </c>
      <c r="K49" s="544" t="s">
        <v>19</v>
      </c>
      <c r="L49" s="547" t="s">
        <v>258</v>
      </c>
      <c r="M49" s="529">
        <f t="shared" si="1"/>
        <v>1325</v>
      </c>
      <c r="N49" s="25"/>
      <c r="O49" s="322" t="s">
        <v>199</v>
      </c>
      <c r="P49" s="346">
        <f>COUNTIF($J$2:$J$495,"3")</f>
        <v>53</v>
      </c>
      <c r="Q49" s="113"/>
      <c r="R49" s="114"/>
      <c r="S49" s="343">
        <f>(P49/P59)</f>
        <v>0.107505071</v>
      </c>
      <c r="T49" s="25"/>
      <c r="U49" s="25"/>
      <c r="V49" s="25"/>
      <c r="W49" s="25"/>
      <c r="X49" s="25"/>
      <c r="Y49" s="25"/>
      <c r="Z49" s="25"/>
    </row>
    <row r="50" ht="15.0" customHeight="1">
      <c r="A50" s="541" t="s">
        <v>4604</v>
      </c>
      <c r="B50" s="542" t="s">
        <v>4605</v>
      </c>
      <c r="C50" s="542">
        <v>2016.0</v>
      </c>
      <c r="D50" s="543">
        <v>42674.0</v>
      </c>
      <c r="E50" s="542" t="s">
        <v>4606</v>
      </c>
      <c r="F50" s="542" t="s">
        <v>2268</v>
      </c>
      <c r="G50" s="542" t="s">
        <v>17</v>
      </c>
      <c r="H50" s="542" t="s">
        <v>163</v>
      </c>
      <c r="I50" s="543">
        <v>43910.0</v>
      </c>
      <c r="J50" s="542">
        <v>3.0</v>
      </c>
      <c r="K50" s="544" t="s">
        <v>19</v>
      </c>
      <c r="L50" s="542" t="s">
        <v>258</v>
      </c>
      <c r="M50" s="528">
        <f t="shared" si="1"/>
        <v>1236</v>
      </c>
      <c r="N50" s="25"/>
      <c r="O50" s="321" t="s">
        <v>201</v>
      </c>
      <c r="P50" s="344">
        <f>COUNTIF($J$2:$J$495,"4")</f>
        <v>38</v>
      </c>
      <c r="Q50" s="113"/>
      <c r="R50" s="114"/>
      <c r="S50" s="345">
        <f>(P50/P59)</f>
        <v>0.07707910751</v>
      </c>
      <c r="T50" s="25"/>
      <c r="U50" s="25"/>
      <c r="V50" s="25"/>
      <c r="W50" s="25"/>
      <c r="X50" s="25"/>
      <c r="Y50" s="25"/>
      <c r="Z50" s="25"/>
    </row>
    <row r="51" ht="15.0" customHeight="1">
      <c r="A51" s="546" t="s">
        <v>4607</v>
      </c>
      <c r="B51" s="547" t="s">
        <v>4608</v>
      </c>
      <c r="C51" s="547">
        <v>2018.0</v>
      </c>
      <c r="D51" s="548">
        <v>43293.0</v>
      </c>
      <c r="E51" s="547" t="s">
        <v>4609</v>
      </c>
      <c r="F51" s="547" t="s">
        <v>2268</v>
      </c>
      <c r="G51" s="547" t="s">
        <v>17</v>
      </c>
      <c r="H51" s="547" t="s">
        <v>2934</v>
      </c>
      <c r="I51" s="548">
        <v>43910.0</v>
      </c>
      <c r="J51" s="547">
        <v>3.0</v>
      </c>
      <c r="K51" s="544" t="s">
        <v>19</v>
      </c>
      <c r="L51" s="547" t="s">
        <v>258</v>
      </c>
      <c r="M51" s="529">
        <f t="shared" si="1"/>
        <v>617</v>
      </c>
      <c r="N51" s="25"/>
      <c r="O51" s="322" t="s">
        <v>203</v>
      </c>
      <c r="P51" s="346">
        <f>COUNTIF($J$2:$J$4956,"5")</f>
        <v>28</v>
      </c>
      <c r="Q51" s="113"/>
      <c r="R51" s="114"/>
      <c r="S51" s="343">
        <f>(P51/P59)</f>
        <v>0.05679513185</v>
      </c>
      <c r="T51" s="25"/>
      <c r="U51" s="25"/>
      <c r="V51" s="25"/>
      <c r="W51" s="25"/>
      <c r="X51" s="25"/>
      <c r="Y51" s="25"/>
      <c r="Z51" s="25"/>
    </row>
    <row r="52" ht="15.0" customHeight="1">
      <c r="A52" s="541" t="s">
        <v>4610</v>
      </c>
      <c r="B52" s="542" t="s">
        <v>4611</v>
      </c>
      <c r="C52" s="542">
        <v>2012.0</v>
      </c>
      <c r="D52" s="543">
        <v>41201.0</v>
      </c>
      <c r="E52" s="542" t="s">
        <v>4612</v>
      </c>
      <c r="F52" s="542" t="s">
        <v>1968</v>
      </c>
      <c r="G52" s="542" t="s">
        <v>17</v>
      </c>
      <c r="H52" s="542" t="s">
        <v>1329</v>
      </c>
      <c r="I52" s="543">
        <v>43923.0</v>
      </c>
      <c r="J52" s="542">
        <v>4.0</v>
      </c>
      <c r="K52" s="544" t="s">
        <v>19</v>
      </c>
      <c r="L52" s="542" t="s">
        <v>256</v>
      </c>
      <c r="M52" s="528">
        <f t="shared" si="1"/>
        <v>2722</v>
      </c>
      <c r="N52" s="25"/>
      <c r="O52" s="321" t="s">
        <v>205</v>
      </c>
      <c r="P52" s="344">
        <f>COUNTIF($J$2:$J$4956,"6")</f>
        <v>23</v>
      </c>
      <c r="Q52" s="113"/>
      <c r="R52" s="114"/>
      <c r="S52" s="345">
        <f>(P52/P59)</f>
        <v>0.04665314402</v>
      </c>
      <c r="T52" s="25"/>
      <c r="U52" s="25"/>
      <c r="V52" s="25"/>
      <c r="W52" s="25"/>
      <c r="X52" s="25"/>
      <c r="Y52" s="25"/>
      <c r="Z52" s="25"/>
    </row>
    <row r="53" ht="15.0" customHeight="1">
      <c r="A53" s="546" t="s">
        <v>4613</v>
      </c>
      <c r="B53" s="547" t="s">
        <v>4614</v>
      </c>
      <c r="C53" s="547">
        <v>2013.0</v>
      </c>
      <c r="D53" s="548">
        <v>41295.0</v>
      </c>
      <c r="E53" s="547" t="s">
        <v>4615</v>
      </c>
      <c r="F53" s="547" t="s">
        <v>148</v>
      </c>
      <c r="G53" s="547" t="s">
        <v>17</v>
      </c>
      <c r="H53" s="547" t="s">
        <v>775</v>
      </c>
      <c r="I53" s="548">
        <v>43923.0</v>
      </c>
      <c r="J53" s="547">
        <v>4.0</v>
      </c>
      <c r="K53" s="544" t="s">
        <v>19</v>
      </c>
      <c r="L53" s="547" t="s">
        <v>256</v>
      </c>
      <c r="M53" s="529">
        <f t="shared" si="1"/>
        <v>2628</v>
      </c>
      <c r="N53" s="25"/>
      <c r="O53" s="322" t="s">
        <v>207</v>
      </c>
      <c r="P53" s="346">
        <f>COUNTIF($J$2:$J$495,"7")</f>
        <v>51</v>
      </c>
      <c r="Q53" s="113"/>
      <c r="R53" s="114"/>
      <c r="S53" s="343">
        <f>(P53/P59)</f>
        <v>0.1034482759</v>
      </c>
      <c r="T53" s="25"/>
      <c r="U53" s="25"/>
      <c r="V53" s="25"/>
      <c r="W53" s="25"/>
      <c r="X53" s="25"/>
      <c r="Y53" s="25"/>
      <c r="Z53" s="25"/>
    </row>
    <row r="54" ht="15.0" customHeight="1">
      <c r="A54" s="541" t="s">
        <v>4616</v>
      </c>
      <c r="B54" s="542" t="s">
        <v>4617</v>
      </c>
      <c r="C54" s="542">
        <v>2013.0</v>
      </c>
      <c r="D54" s="543">
        <v>41547.0</v>
      </c>
      <c r="E54" s="542" t="s">
        <v>4618</v>
      </c>
      <c r="F54" s="542" t="s">
        <v>148</v>
      </c>
      <c r="G54" s="542" t="s">
        <v>17</v>
      </c>
      <c r="H54" s="542" t="s">
        <v>66</v>
      </c>
      <c r="I54" s="543">
        <v>43923.0</v>
      </c>
      <c r="J54" s="542">
        <v>4.0</v>
      </c>
      <c r="K54" s="544" t="s">
        <v>19</v>
      </c>
      <c r="L54" s="542" t="s">
        <v>256</v>
      </c>
      <c r="M54" s="528">
        <f t="shared" si="1"/>
        <v>2376</v>
      </c>
      <c r="N54" s="42"/>
      <c r="O54" s="321" t="s">
        <v>209</v>
      </c>
      <c r="P54" s="344">
        <f>COUNTIF($J$2:$J$4956,"8")</f>
        <v>44</v>
      </c>
      <c r="Q54" s="113"/>
      <c r="R54" s="114"/>
      <c r="S54" s="345">
        <f>(P54/P59)</f>
        <v>0.0892494929</v>
      </c>
      <c r="T54" s="25"/>
      <c r="U54" s="25"/>
      <c r="V54" s="25"/>
      <c r="W54" s="25"/>
      <c r="X54" s="25"/>
      <c r="Y54" s="25"/>
      <c r="Z54" s="25"/>
    </row>
    <row r="55" ht="15.0" customHeight="1">
      <c r="A55" s="546" t="s">
        <v>4619</v>
      </c>
      <c r="B55" s="547" t="s">
        <v>4620</v>
      </c>
      <c r="C55" s="547">
        <v>2016.0</v>
      </c>
      <c r="D55" s="548">
        <v>42461.0</v>
      </c>
      <c r="E55" s="547" t="s">
        <v>4621</v>
      </c>
      <c r="F55" s="547" t="s">
        <v>148</v>
      </c>
      <c r="G55" s="547" t="s">
        <v>17</v>
      </c>
      <c r="H55" s="547" t="s">
        <v>50</v>
      </c>
      <c r="I55" s="548">
        <v>43923.0</v>
      </c>
      <c r="J55" s="547">
        <v>4.0</v>
      </c>
      <c r="K55" s="544" t="s">
        <v>19</v>
      </c>
      <c r="L55" s="547" t="s">
        <v>256</v>
      </c>
      <c r="M55" s="529">
        <f t="shared" si="1"/>
        <v>1462</v>
      </c>
      <c r="N55" s="25"/>
      <c r="O55" s="322" t="s">
        <v>211</v>
      </c>
      <c r="P55" s="346">
        <f>COUNTIF($J$2:$J$495,"9")</f>
        <v>21</v>
      </c>
      <c r="Q55" s="113"/>
      <c r="R55" s="114"/>
      <c r="S55" s="343">
        <f>(P55/P59)</f>
        <v>0.04259634888</v>
      </c>
      <c r="T55" s="25"/>
      <c r="U55" s="25"/>
      <c r="V55" s="25"/>
      <c r="W55" s="25"/>
      <c r="X55" s="25"/>
      <c r="Y55" s="25"/>
      <c r="Z55" s="25"/>
    </row>
    <row r="56" ht="15.0" customHeight="1">
      <c r="A56" s="541" t="s">
        <v>4622</v>
      </c>
      <c r="B56" s="542" t="s">
        <v>4623</v>
      </c>
      <c r="C56" s="542">
        <v>2013.0</v>
      </c>
      <c r="D56" s="543">
        <v>41558.0</v>
      </c>
      <c r="E56" s="542" t="s">
        <v>4624</v>
      </c>
      <c r="F56" s="542" t="s">
        <v>1255</v>
      </c>
      <c r="G56" s="542" t="s">
        <v>17</v>
      </c>
      <c r="H56" s="542" t="s">
        <v>26</v>
      </c>
      <c r="I56" s="543">
        <v>43923.0</v>
      </c>
      <c r="J56" s="542">
        <v>4.0</v>
      </c>
      <c r="K56" s="544" t="s">
        <v>19</v>
      </c>
      <c r="L56" s="542" t="s">
        <v>256</v>
      </c>
      <c r="M56" s="528">
        <f t="shared" si="1"/>
        <v>2365</v>
      </c>
      <c r="N56" s="25"/>
      <c r="O56" s="321" t="s">
        <v>213</v>
      </c>
      <c r="P56" s="344">
        <f>COUNTIF($J$2:$J$4956,"10")</f>
        <v>36</v>
      </c>
      <c r="Q56" s="113"/>
      <c r="R56" s="114"/>
      <c r="S56" s="345">
        <f>(P56/P59)</f>
        <v>0.07302231237</v>
      </c>
      <c r="T56" s="25"/>
      <c r="U56" s="25"/>
      <c r="V56" s="25"/>
      <c r="W56" s="25"/>
      <c r="X56" s="25"/>
      <c r="Y56" s="25"/>
      <c r="Z56" s="25"/>
    </row>
    <row r="57" ht="15.0" customHeight="1">
      <c r="A57" s="546" t="s">
        <v>4625</v>
      </c>
      <c r="B57" s="547" t="s">
        <v>4626</v>
      </c>
      <c r="C57" s="547">
        <v>2015.0</v>
      </c>
      <c r="D57" s="548">
        <v>42241.0</v>
      </c>
      <c r="E57" s="547" t="s">
        <v>4627</v>
      </c>
      <c r="F57" s="547" t="s">
        <v>1895</v>
      </c>
      <c r="G57" s="547" t="s">
        <v>17</v>
      </c>
      <c r="H57" s="547" t="s">
        <v>573</v>
      </c>
      <c r="I57" s="548">
        <v>43923.0</v>
      </c>
      <c r="J57" s="547">
        <v>4.0</v>
      </c>
      <c r="K57" s="544" t="s">
        <v>19</v>
      </c>
      <c r="L57" s="547" t="s">
        <v>256</v>
      </c>
      <c r="M57" s="529">
        <f t="shared" si="1"/>
        <v>1682</v>
      </c>
      <c r="N57" s="25"/>
      <c r="O57" s="322" t="s">
        <v>215</v>
      </c>
      <c r="P57" s="346">
        <f>COUNTIF($J$2:$J$495,"11")</f>
        <v>59</v>
      </c>
      <c r="Q57" s="113"/>
      <c r="R57" s="114"/>
      <c r="S57" s="343">
        <f>(P57/P59)</f>
        <v>0.1196754564</v>
      </c>
      <c r="T57" s="25"/>
      <c r="U57" s="25"/>
      <c r="V57" s="25"/>
      <c r="W57" s="25"/>
      <c r="X57" s="25"/>
      <c r="Y57" s="25"/>
      <c r="Z57" s="25"/>
    </row>
    <row r="58" ht="15.0" customHeight="1">
      <c r="A58" s="541" t="s">
        <v>4628</v>
      </c>
      <c r="B58" s="542" t="s">
        <v>4629</v>
      </c>
      <c r="C58" s="542">
        <v>2015.0</v>
      </c>
      <c r="D58" s="543">
        <v>42258.0</v>
      </c>
      <c r="E58" s="542" t="s">
        <v>4630</v>
      </c>
      <c r="F58" s="542" t="s">
        <v>1895</v>
      </c>
      <c r="G58" s="542" t="s">
        <v>17</v>
      </c>
      <c r="H58" s="542" t="s">
        <v>1896</v>
      </c>
      <c r="I58" s="543">
        <v>43923.0</v>
      </c>
      <c r="J58" s="542">
        <v>4.0</v>
      </c>
      <c r="K58" s="544" t="s">
        <v>19</v>
      </c>
      <c r="L58" s="542" t="s">
        <v>256</v>
      </c>
      <c r="M58" s="528">
        <f t="shared" si="1"/>
        <v>1665</v>
      </c>
      <c r="N58" s="25"/>
      <c r="O58" s="355" t="s">
        <v>217</v>
      </c>
      <c r="P58" s="344">
        <f>COUNTIF($J$2:$J$495,"12")</f>
        <v>82</v>
      </c>
      <c r="Q58" s="113"/>
      <c r="R58" s="114"/>
      <c r="S58" s="356">
        <f>(P58/P59)</f>
        <v>0.1663286004</v>
      </c>
      <c r="T58" s="25"/>
      <c r="U58" s="25"/>
      <c r="V58" s="25"/>
      <c r="W58" s="25"/>
      <c r="X58" s="25"/>
      <c r="Y58" s="25"/>
      <c r="Z58" s="25"/>
    </row>
    <row r="59" ht="15.0" customHeight="1">
      <c r="A59" s="546" t="s">
        <v>4631</v>
      </c>
      <c r="B59" s="547" t="s">
        <v>4632</v>
      </c>
      <c r="C59" s="547">
        <v>2016.0</v>
      </c>
      <c r="D59" s="548">
        <v>42503.0</v>
      </c>
      <c r="E59" s="547" t="s">
        <v>4633</v>
      </c>
      <c r="F59" s="547" t="s">
        <v>1895</v>
      </c>
      <c r="G59" s="547" t="s">
        <v>17</v>
      </c>
      <c r="H59" s="547" t="s">
        <v>596</v>
      </c>
      <c r="I59" s="548">
        <v>43923.0</v>
      </c>
      <c r="J59" s="547">
        <v>4.0</v>
      </c>
      <c r="K59" s="544" t="s">
        <v>19</v>
      </c>
      <c r="L59" s="547" t="s">
        <v>256</v>
      </c>
      <c r="M59" s="529">
        <f t="shared" si="1"/>
        <v>1420</v>
      </c>
      <c r="N59" s="25"/>
      <c r="O59" s="348" t="s">
        <v>219</v>
      </c>
      <c r="P59" s="349">
        <f>SUM(P47:R58)</f>
        <v>493</v>
      </c>
      <c r="Q59" s="350"/>
      <c r="R59" s="351"/>
      <c r="S59" s="352">
        <f>SUM(S47:S58)</f>
        <v>1</v>
      </c>
      <c r="T59" s="25"/>
      <c r="U59" s="25"/>
      <c r="V59" s="25"/>
      <c r="W59" s="25"/>
      <c r="X59" s="25"/>
      <c r="Y59" s="25"/>
      <c r="Z59" s="25"/>
    </row>
    <row r="60" ht="15.0" customHeight="1">
      <c r="A60" s="541" t="s">
        <v>4634</v>
      </c>
      <c r="B60" s="542" t="s">
        <v>4635</v>
      </c>
      <c r="C60" s="542">
        <v>2016.0</v>
      </c>
      <c r="D60" s="543">
        <v>42688.0</v>
      </c>
      <c r="E60" s="542" t="s">
        <v>4636</v>
      </c>
      <c r="F60" s="542" t="s">
        <v>1895</v>
      </c>
      <c r="G60" s="542" t="s">
        <v>17</v>
      </c>
      <c r="H60" s="542" t="s">
        <v>583</v>
      </c>
      <c r="I60" s="543">
        <v>43923.0</v>
      </c>
      <c r="J60" s="542">
        <v>4.0</v>
      </c>
      <c r="K60" s="544" t="s">
        <v>19</v>
      </c>
      <c r="L60" s="542" t="s">
        <v>256</v>
      </c>
      <c r="M60" s="528">
        <f t="shared" si="1"/>
        <v>1235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0" customHeight="1">
      <c r="A61" s="546" t="s">
        <v>4637</v>
      </c>
      <c r="B61" s="547" t="s">
        <v>4638</v>
      </c>
      <c r="C61" s="547">
        <v>2018.0</v>
      </c>
      <c r="D61" s="548">
        <v>43299.0</v>
      </c>
      <c r="E61" s="547" t="s">
        <v>4639</v>
      </c>
      <c r="F61" s="547" t="s">
        <v>1895</v>
      </c>
      <c r="G61" s="547" t="s">
        <v>17</v>
      </c>
      <c r="H61" s="547" t="s">
        <v>50</v>
      </c>
      <c r="I61" s="548">
        <v>43923.0</v>
      </c>
      <c r="J61" s="547">
        <v>4.0</v>
      </c>
      <c r="K61" s="544" t="s">
        <v>19</v>
      </c>
      <c r="L61" s="547" t="s">
        <v>256</v>
      </c>
      <c r="M61" s="529">
        <f t="shared" si="1"/>
        <v>624</v>
      </c>
      <c r="N61" s="25"/>
      <c r="O61" s="357" t="s">
        <v>222</v>
      </c>
      <c r="P61" s="102"/>
      <c r="Q61" s="102"/>
      <c r="R61" s="102"/>
      <c r="S61" s="102"/>
      <c r="T61" s="103"/>
      <c r="U61" s="25"/>
      <c r="V61" s="25"/>
      <c r="W61" s="25"/>
      <c r="X61" s="25"/>
      <c r="Y61" s="25"/>
      <c r="Z61" s="25"/>
    </row>
    <row r="62" ht="15.0" customHeight="1">
      <c r="A62" s="541" t="s">
        <v>4640</v>
      </c>
      <c r="B62" s="542" t="s">
        <v>4641</v>
      </c>
      <c r="C62" s="542">
        <v>2018.0</v>
      </c>
      <c r="D62" s="543">
        <v>43418.0</v>
      </c>
      <c r="E62" s="542" t="s">
        <v>4642</v>
      </c>
      <c r="F62" s="542" t="s">
        <v>900</v>
      </c>
      <c r="G62" s="542" t="s">
        <v>17</v>
      </c>
      <c r="H62" s="542" t="s">
        <v>130</v>
      </c>
      <c r="I62" s="543">
        <v>43923.0</v>
      </c>
      <c r="J62" s="542">
        <v>4.0</v>
      </c>
      <c r="K62" s="544" t="s">
        <v>19</v>
      </c>
      <c r="L62" s="542" t="s">
        <v>256</v>
      </c>
      <c r="M62" s="528">
        <f t="shared" si="1"/>
        <v>505</v>
      </c>
      <c r="N62" s="25"/>
      <c r="O62" s="104"/>
      <c r="P62" s="105"/>
      <c r="Q62" s="105"/>
      <c r="R62" s="105"/>
      <c r="S62" s="105"/>
      <c r="T62" s="106"/>
      <c r="U62" s="25"/>
      <c r="V62" s="25"/>
      <c r="W62" s="25"/>
      <c r="X62" s="25"/>
      <c r="Y62" s="25"/>
      <c r="Z62" s="25"/>
    </row>
    <row r="63" ht="15.0" customHeight="1">
      <c r="A63" s="546" t="s">
        <v>4643</v>
      </c>
      <c r="B63" s="547" t="s">
        <v>4644</v>
      </c>
      <c r="C63" s="547">
        <v>2018.0</v>
      </c>
      <c r="D63" s="548">
        <v>43305.0</v>
      </c>
      <c r="E63" s="547" t="s">
        <v>4645</v>
      </c>
      <c r="F63" s="547" t="s">
        <v>134</v>
      </c>
      <c r="G63" s="547" t="s">
        <v>17</v>
      </c>
      <c r="H63" s="547" t="s">
        <v>66</v>
      </c>
      <c r="I63" s="548">
        <v>43923.0</v>
      </c>
      <c r="J63" s="547">
        <v>4.0</v>
      </c>
      <c r="K63" s="544" t="s">
        <v>19</v>
      </c>
      <c r="L63" s="547" t="s">
        <v>256</v>
      </c>
      <c r="M63" s="529">
        <f t="shared" si="1"/>
        <v>618</v>
      </c>
      <c r="N63" s="42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25"/>
      <c r="V63" s="25"/>
      <c r="W63" s="25"/>
      <c r="X63" s="25"/>
      <c r="Y63" s="25"/>
      <c r="Z63" s="25"/>
    </row>
    <row r="64" ht="15.0" customHeight="1">
      <c r="A64" s="541" t="s">
        <v>4646</v>
      </c>
      <c r="B64" s="542" t="s">
        <v>4647</v>
      </c>
      <c r="C64" s="542">
        <v>2018.0</v>
      </c>
      <c r="D64" s="543">
        <v>43362.0</v>
      </c>
      <c r="E64" s="542" t="s">
        <v>4648</v>
      </c>
      <c r="F64" s="542" t="s">
        <v>55</v>
      </c>
      <c r="G64" s="542" t="s">
        <v>17</v>
      </c>
      <c r="H64" s="542" t="s">
        <v>50</v>
      </c>
      <c r="I64" s="543">
        <v>43923.0</v>
      </c>
      <c r="J64" s="542">
        <v>4.0</v>
      </c>
      <c r="K64" s="544" t="s">
        <v>19</v>
      </c>
      <c r="L64" s="542" t="s">
        <v>258</v>
      </c>
      <c r="M64" s="528">
        <f t="shared" si="1"/>
        <v>561</v>
      </c>
      <c r="N64" s="25"/>
      <c r="O64" s="522" t="s">
        <v>228</v>
      </c>
      <c r="P64" s="523"/>
      <c r="Q64" s="523"/>
      <c r="R64" s="524"/>
      <c r="S64" s="365">
        <f>COUNTIF($K$2:$K$495,"I - Extremamente tóxico")</f>
        <v>1</v>
      </c>
      <c r="T64" s="366">
        <f>(S64/S76)</f>
        <v>0.002028397566</v>
      </c>
      <c r="U64" s="25"/>
      <c r="V64" s="25"/>
      <c r="W64" s="25"/>
      <c r="X64" s="25"/>
      <c r="Y64" s="25"/>
      <c r="Z64" s="25"/>
    </row>
    <row r="65" ht="15.0" customHeight="1">
      <c r="A65" s="546" t="s">
        <v>4649</v>
      </c>
      <c r="B65" s="547" t="s">
        <v>4650</v>
      </c>
      <c r="C65" s="547">
        <v>2019.0</v>
      </c>
      <c r="D65" s="548">
        <v>43553.0</v>
      </c>
      <c r="E65" s="547" t="s">
        <v>4651</v>
      </c>
      <c r="F65" s="547" t="s">
        <v>4572</v>
      </c>
      <c r="G65" s="547" t="s">
        <v>17</v>
      </c>
      <c r="H65" s="547" t="s">
        <v>26</v>
      </c>
      <c r="I65" s="548">
        <v>43923.0</v>
      </c>
      <c r="J65" s="547">
        <v>4.0</v>
      </c>
      <c r="K65" s="544" t="s">
        <v>19</v>
      </c>
      <c r="L65" s="547" t="s">
        <v>258</v>
      </c>
      <c r="M65" s="529">
        <f t="shared" si="1"/>
        <v>370</v>
      </c>
      <c r="N65" s="25"/>
      <c r="O65" s="367" t="s">
        <v>230</v>
      </c>
      <c r="P65" s="368"/>
      <c r="Q65" s="368"/>
      <c r="R65" s="369"/>
      <c r="S65" s="370">
        <f>COUNTIF($K$2:$K$495,"Categoria 1 - Produto Extremamente Tóxico")</f>
        <v>1</v>
      </c>
      <c r="T65" s="371">
        <f>(S65/S76)</f>
        <v>0.002028397566</v>
      </c>
      <c r="U65" s="25"/>
      <c r="V65" s="25"/>
      <c r="W65" s="25"/>
      <c r="X65" s="25"/>
      <c r="Y65" s="25"/>
      <c r="Z65" s="25"/>
    </row>
    <row r="66" ht="15.0" customHeight="1">
      <c r="A66" s="541" t="s">
        <v>4652</v>
      </c>
      <c r="B66" s="542" t="s">
        <v>4653</v>
      </c>
      <c r="C66" s="542">
        <v>2018.0</v>
      </c>
      <c r="D66" s="543">
        <v>43217.0</v>
      </c>
      <c r="E66" s="542" t="s">
        <v>4654</v>
      </c>
      <c r="F66" s="542" t="s">
        <v>186</v>
      </c>
      <c r="G66" s="542" t="s">
        <v>17</v>
      </c>
      <c r="H66" s="542" t="s">
        <v>153</v>
      </c>
      <c r="I66" s="543">
        <v>43927.0</v>
      </c>
      <c r="J66" s="542">
        <v>4.0</v>
      </c>
      <c r="K66" s="544" t="s">
        <v>19</v>
      </c>
      <c r="L66" s="542" t="s">
        <v>256</v>
      </c>
      <c r="M66" s="528">
        <f t="shared" si="1"/>
        <v>710</v>
      </c>
      <c r="N66" s="25"/>
      <c r="O66" s="367" t="s">
        <v>232</v>
      </c>
      <c r="P66" s="368"/>
      <c r="Q66" s="368"/>
      <c r="R66" s="369"/>
      <c r="S66" s="370">
        <f>COUNTIF($K$2:$K$495,"Categoria 2 - Produto Altamente Tóxico")</f>
        <v>13</v>
      </c>
      <c r="T66" s="371">
        <f>(S66/S76)</f>
        <v>0.02636916836</v>
      </c>
      <c r="U66" s="25"/>
      <c r="V66" s="25"/>
      <c r="W66" s="25"/>
      <c r="X66" s="25"/>
      <c r="Y66" s="25"/>
      <c r="Z66" s="25"/>
    </row>
    <row r="67" ht="15.0" customHeight="1">
      <c r="A67" s="546" t="s">
        <v>4655</v>
      </c>
      <c r="B67" s="547" t="s">
        <v>4656</v>
      </c>
      <c r="C67" s="547">
        <v>2018.0</v>
      </c>
      <c r="D67" s="548">
        <v>43272.0</v>
      </c>
      <c r="E67" s="547" t="s">
        <v>4657</v>
      </c>
      <c r="F67" s="547" t="s">
        <v>186</v>
      </c>
      <c r="G67" s="547" t="s">
        <v>17</v>
      </c>
      <c r="H67" s="547" t="s">
        <v>153</v>
      </c>
      <c r="I67" s="548">
        <v>43927.0</v>
      </c>
      <c r="J67" s="547">
        <v>4.0</v>
      </c>
      <c r="K67" s="544" t="s">
        <v>19</v>
      </c>
      <c r="L67" s="547" t="s">
        <v>256</v>
      </c>
      <c r="M67" s="529">
        <f t="shared" si="1"/>
        <v>655</v>
      </c>
      <c r="N67" s="25"/>
      <c r="O67" s="372" t="s">
        <v>234</v>
      </c>
      <c r="P67" s="368"/>
      <c r="Q67" s="368"/>
      <c r="R67" s="369"/>
      <c r="S67" s="373">
        <f>COUNTIF($K$2:$K$495,"II - Altamente tóxico")</f>
        <v>1</v>
      </c>
      <c r="T67" s="374">
        <f>(S67/S76)</f>
        <v>0.002028397566</v>
      </c>
      <c r="U67" s="25"/>
      <c r="V67" s="25"/>
      <c r="W67" s="25"/>
      <c r="X67" s="25"/>
      <c r="Y67" s="25"/>
      <c r="Z67" s="25"/>
    </row>
    <row r="68" ht="15.0" customHeight="1">
      <c r="A68" s="541" t="s">
        <v>4658</v>
      </c>
      <c r="B68" s="542" t="s">
        <v>4659</v>
      </c>
      <c r="C68" s="542">
        <v>2014.0</v>
      </c>
      <c r="D68" s="543">
        <v>41944.0</v>
      </c>
      <c r="E68" s="542" t="s">
        <v>4660</v>
      </c>
      <c r="F68" s="542" t="s">
        <v>186</v>
      </c>
      <c r="G68" s="542" t="s">
        <v>17</v>
      </c>
      <c r="H68" s="542" t="s">
        <v>26</v>
      </c>
      <c r="I68" s="543">
        <v>43969.0</v>
      </c>
      <c r="J68" s="542">
        <v>5.0</v>
      </c>
      <c r="K68" s="544" t="s">
        <v>19</v>
      </c>
      <c r="L68" s="542" t="s">
        <v>256</v>
      </c>
      <c r="M68" s="528">
        <f t="shared" si="1"/>
        <v>2025</v>
      </c>
      <c r="N68" s="25"/>
      <c r="O68" s="372" t="s">
        <v>236</v>
      </c>
      <c r="P68" s="368"/>
      <c r="Q68" s="368"/>
      <c r="R68" s="369"/>
      <c r="S68" s="373">
        <f>COUNTIF($K$2:$K$495,"Categoria 3 - Produto Moderadamente Tóxico")</f>
        <v>9</v>
      </c>
      <c r="T68" s="374">
        <f>(S68/S76)</f>
        <v>0.01825557809</v>
      </c>
      <c r="U68" s="25"/>
      <c r="V68" s="25"/>
      <c r="W68" s="25"/>
      <c r="X68" s="25"/>
      <c r="Y68" s="25"/>
      <c r="Z68" s="25"/>
    </row>
    <row r="69" ht="15.0" customHeight="1">
      <c r="A69" s="546" t="s">
        <v>4661</v>
      </c>
      <c r="B69" s="547" t="s">
        <v>4662</v>
      </c>
      <c r="C69" s="547">
        <v>2016.0</v>
      </c>
      <c r="D69" s="548">
        <v>42643.0</v>
      </c>
      <c r="E69" s="547" t="s">
        <v>4663</v>
      </c>
      <c r="F69" s="547" t="s">
        <v>186</v>
      </c>
      <c r="G69" s="547" t="s">
        <v>17</v>
      </c>
      <c r="H69" s="547" t="s">
        <v>596</v>
      </c>
      <c r="I69" s="548">
        <v>43969.0</v>
      </c>
      <c r="J69" s="547">
        <v>5.0</v>
      </c>
      <c r="K69" s="544" t="s">
        <v>19</v>
      </c>
      <c r="L69" s="547" t="s">
        <v>256</v>
      </c>
      <c r="M69" s="529">
        <f t="shared" si="1"/>
        <v>1326</v>
      </c>
      <c r="N69" s="25"/>
      <c r="O69" s="375" t="s">
        <v>238</v>
      </c>
      <c r="P69" s="368"/>
      <c r="Q69" s="368"/>
      <c r="R69" s="369"/>
      <c r="S69" s="376">
        <f>COUNTIF($K$2:$K$495,"III - Medianamente tóxico")</f>
        <v>5</v>
      </c>
      <c r="T69" s="377">
        <f>(S69/S76)</f>
        <v>0.01014198783</v>
      </c>
      <c r="U69" s="25"/>
      <c r="V69" s="25"/>
      <c r="W69" s="25"/>
      <c r="X69" s="25"/>
      <c r="Y69" s="25"/>
      <c r="Z69" s="25"/>
    </row>
    <row r="70" ht="15.0" customHeight="1">
      <c r="A70" s="541" t="s">
        <v>4664</v>
      </c>
      <c r="B70" s="542" t="s">
        <v>4665</v>
      </c>
      <c r="C70" s="542">
        <v>2016.0</v>
      </c>
      <c r="D70" s="543">
        <v>42718.0</v>
      </c>
      <c r="E70" s="542" t="s">
        <v>4666</v>
      </c>
      <c r="F70" s="542" t="s">
        <v>186</v>
      </c>
      <c r="G70" s="542" t="s">
        <v>17</v>
      </c>
      <c r="H70" s="542" t="s">
        <v>112</v>
      </c>
      <c r="I70" s="543">
        <v>43969.0</v>
      </c>
      <c r="J70" s="542">
        <v>5.0</v>
      </c>
      <c r="K70" s="544" t="s">
        <v>19</v>
      </c>
      <c r="L70" s="542" t="s">
        <v>256</v>
      </c>
      <c r="M70" s="528">
        <f t="shared" si="1"/>
        <v>1251</v>
      </c>
      <c r="N70" s="25"/>
      <c r="O70" s="375" t="s">
        <v>240</v>
      </c>
      <c r="P70" s="368"/>
      <c r="Q70" s="368"/>
      <c r="R70" s="369"/>
      <c r="S70" s="376">
        <f>COUNTIF($K$2:$K$495,"Categoria 4 - Produto Pouco Tóxico")</f>
        <v>74</v>
      </c>
      <c r="T70" s="377">
        <f>(S70/S76)</f>
        <v>0.1501014199</v>
      </c>
      <c r="U70" s="25"/>
      <c r="V70" s="25"/>
      <c r="W70" s="25"/>
      <c r="X70" s="25"/>
      <c r="Y70" s="25"/>
      <c r="Z70" s="25"/>
    </row>
    <row r="71" ht="15.0" customHeight="1">
      <c r="A71" s="546" t="s">
        <v>4667</v>
      </c>
      <c r="B71" s="547" t="s">
        <v>4668</v>
      </c>
      <c r="C71" s="547">
        <v>2016.0</v>
      </c>
      <c r="D71" s="548">
        <v>42683.0</v>
      </c>
      <c r="E71" s="547" t="s">
        <v>4669</v>
      </c>
      <c r="F71" s="547" t="s">
        <v>186</v>
      </c>
      <c r="G71" s="547" t="s">
        <v>17</v>
      </c>
      <c r="H71" s="547" t="s">
        <v>2325</v>
      </c>
      <c r="I71" s="548">
        <v>43969.0</v>
      </c>
      <c r="J71" s="547">
        <v>5.0</v>
      </c>
      <c r="K71" s="544" t="s">
        <v>19</v>
      </c>
      <c r="L71" s="547" t="s">
        <v>256</v>
      </c>
      <c r="M71" s="529">
        <f t="shared" si="1"/>
        <v>1286</v>
      </c>
      <c r="N71" s="25"/>
      <c r="O71" s="375" t="s">
        <v>242</v>
      </c>
      <c r="P71" s="368"/>
      <c r="Q71" s="368"/>
      <c r="R71" s="369"/>
      <c r="S71" s="376">
        <f>COUNTIF($K$2:$K$495,"Categoria 5 - Produto Improvável de Causar Dano Agudo")</f>
        <v>161</v>
      </c>
      <c r="T71" s="377">
        <f>(S71/S76)</f>
        <v>0.3265720081</v>
      </c>
      <c r="U71" s="25"/>
      <c r="V71" s="25"/>
      <c r="W71" s="25"/>
      <c r="X71" s="25"/>
      <c r="Y71" s="25"/>
      <c r="Z71" s="25"/>
    </row>
    <row r="72" ht="15.0" customHeight="1">
      <c r="A72" s="541" t="s">
        <v>4670</v>
      </c>
      <c r="B72" s="542" t="s">
        <v>4671</v>
      </c>
      <c r="C72" s="542">
        <v>2017.0</v>
      </c>
      <c r="D72" s="543">
        <v>43083.0</v>
      </c>
      <c r="E72" s="542" t="s">
        <v>4672</v>
      </c>
      <c r="F72" s="542" t="s">
        <v>186</v>
      </c>
      <c r="G72" s="542" t="s">
        <v>17</v>
      </c>
      <c r="H72" s="542" t="s">
        <v>149</v>
      </c>
      <c r="I72" s="543">
        <v>43969.0</v>
      </c>
      <c r="J72" s="542">
        <v>5.0</v>
      </c>
      <c r="K72" s="544" t="s">
        <v>19</v>
      </c>
      <c r="L72" s="542" t="s">
        <v>256</v>
      </c>
      <c r="M72" s="528">
        <f t="shared" si="1"/>
        <v>886</v>
      </c>
      <c r="N72" s="25"/>
      <c r="O72" s="378" t="s">
        <v>244</v>
      </c>
      <c r="P72" s="368"/>
      <c r="Q72" s="368"/>
      <c r="R72" s="369"/>
      <c r="S72" s="379">
        <f>COUNTIF($K$2:$K$495,"IV - Pouco tóxico")</f>
        <v>5</v>
      </c>
      <c r="T72" s="380">
        <f>(S72/S76)</f>
        <v>0.01014198783</v>
      </c>
      <c r="U72" s="25"/>
      <c r="V72" s="25"/>
      <c r="W72" s="25"/>
      <c r="X72" s="25"/>
      <c r="Y72" s="25"/>
      <c r="Z72" s="25"/>
    </row>
    <row r="73" ht="15.0" customHeight="1">
      <c r="A73" s="546" t="s">
        <v>4673</v>
      </c>
      <c r="B73" s="547" t="s">
        <v>4674</v>
      </c>
      <c r="C73" s="547">
        <v>2018.0</v>
      </c>
      <c r="D73" s="548">
        <v>43340.0</v>
      </c>
      <c r="E73" s="547" t="s">
        <v>4675</v>
      </c>
      <c r="F73" s="547" t="s">
        <v>186</v>
      </c>
      <c r="G73" s="547" t="s">
        <v>17</v>
      </c>
      <c r="H73" s="547" t="s">
        <v>66</v>
      </c>
      <c r="I73" s="548">
        <v>43969.0</v>
      </c>
      <c r="J73" s="547">
        <v>5.0</v>
      </c>
      <c r="K73" s="544" t="s">
        <v>19</v>
      </c>
      <c r="L73" s="547" t="s">
        <v>256</v>
      </c>
      <c r="M73" s="529">
        <f t="shared" si="1"/>
        <v>629</v>
      </c>
      <c r="N73" s="25"/>
      <c r="O73" s="378" t="s">
        <v>822</v>
      </c>
      <c r="P73" s="368"/>
      <c r="Q73" s="368"/>
      <c r="R73" s="369"/>
      <c r="S73" s="379">
        <f>COUNTIF($K$2:$K$495,"Não classificado - Produto não classificado")</f>
        <v>61</v>
      </c>
      <c r="T73" s="380">
        <f>(S73/S76)</f>
        <v>0.1237322515</v>
      </c>
      <c r="U73" s="25"/>
      <c r="V73" s="25"/>
      <c r="W73" s="25"/>
      <c r="X73" s="25"/>
      <c r="Y73" s="25"/>
      <c r="Z73" s="25"/>
    </row>
    <row r="74" ht="15.0" customHeight="1">
      <c r="A74" s="541" t="s">
        <v>4676</v>
      </c>
      <c r="B74" s="542" t="s">
        <v>4677</v>
      </c>
      <c r="C74" s="542">
        <v>2020.0</v>
      </c>
      <c r="D74" s="543">
        <v>43888.0</v>
      </c>
      <c r="E74" s="542" t="s">
        <v>4678</v>
      </c>
      <c r="F74" s="542" t="s">
        <v>874</v>
      </c>
      <c r="G74" s="542" t="s">
        <v>17</v>
      </c>
      <c r="H74" s="542" t="s">
        <v>66</v>
      </c>
      <c r="I74" s="543">
        <v>43969.0</v>
      </c>
      <c r="J74" s="542">
        <v>5.0</v>
      </c>
      <c r="K74" s="544" t="s">
        <v>19</v>
      </c>
      <c r="L74" s="542" t="s">
        <v>256</v>
      </c>
      <c r="M74" s="528">
        <f t="shared" si="1"/>
        <v>81</v>
      </c>
      <c r="N74" s="25"/>
      <c r="O74" s="378" t="s">
        <v>850</v>
      </c>
      <c r="P74" s="368"/>
      <c r="Q74" s="368"/>
      <c r="R74" s="369"/>
      <c r="S74" s="379">
        <f>COUNTIF($K$2:$K$495,"Não determinada devido à natureza do produto (Inimigos naturais)")</f>
        <v>0</v>
      </c>
      <c r="T74" s="380">
        <f>(S74/S76)</f>
        <v>0</v>
      </c>
      <c r="U74" s="25"/>
      <c r="V74" s="25"/>
      <c r="W74" s="25"/>
      <c r="X74" s="25"/>
      <c r="Y74" s="25"/>
      <c r="Z74" s="25"/>
    </row>
    <row r="75" ht="15.0" customHeight="1">
      <c r="A75" s="546" t="s">
        <v>4679</v>
      </c>
      <c r="B75" s="547" t="s">
        <v>4680</v>
      </c>
      <c r="C75" s="547">
        <v>2014.0</v>
      </c>
      <c r="D75" s="548">
        <v>41934.0</v>
      </c>
      <c r="E75" s="547" t="s">
        <v>4681</v>
      </c>
      <c r="F75" s="547" t="s">
        <v>711</v>
      </c>
      <c r="G75" s="547" t="s">
        <v>17</v>
      </c>
      <c r="H75" s="547" t="s">
        <v>901</v>
      </c>
      <c r="I75" s="548">
        <v>43990.0</v>
      </c>
      <c r="J75" s="547">
        <v>6.0</v>
      </c>
      <c r="K75" s="544" t="s">
        <v>19</v>
      </c>
      <c r="L75" s="547" t="s">
        <v>256</v>
      </c>
      <c r="M75" s="529">
        <f t="shared" si="1"/>
        <v>2056</v>
      </c>
      <c r="N75" s="25"/>
      <c r="O75" s="381" t="s">
        <v>19</v>
      </c>
      <c r="P75" s="382"/>
      <c r="Q75" s="382"/>
      <c r="R75" s="383"/>
      <c r="S75" s="384">
        <f>COUNTIF($K$2:$K$495,"O perfil toxicológico foi considerado equivalente ao produto técnico de referência")</f>
        <v>162</v>
      </c>
      <c r="T75" s="385">
        <f>(S75/S76)</f>
        <v>0.3286004057</v>
      </c>
      <c r="U75" s="25"/>
      <c r="V75" s="25"/>
      <c r="W75" s="25"/>
      <c r="X75" s="25"/>
      <c r="Y75" s="25"/>
      <c r="Z75" s="25"/>
    </row>
    <row r="76" ht="15.0" customHeight="1">
      <c r="A76" s="541" t="s">
        <v>4682</v>
      </c>
      <c r="B76" s="542" t="s">
        <v>4683</v>
      </c>
      <c r="C76" s="542">
        <v>2017.0</v>
      </c>
      <c r="D76" s="543">
        <v>43087.0</v>
      </c>
      <c r="E76" s="542" t="s">
        <v>4684</v>
      </c>
      <c r="F76" s="542" t="s">
        <v>2905</v>
      </c>
      <c r="G76" s="542" t="s">
        <v>17</v>
      </c>
      <c r="H76" s="542" t="s">
        <v>587</v>
      </c>
      <c r="I76" s="543">
        <v>43990.0</v>
      </c>
      <c r="J76" s="542">
        <v>6.0</v>
      </c>
      <c r="K76" s="544" t="s">
        <v>19</v>
      </c>
      <c r="L76" s="542" t="s">
        <v>256</v>
      </c>
      <c r="M76" s="528">
        <f t="shared" si="1"/>
        <v>903</v>
      </c>
      <c r="N76" s="25"/>
      <c r="O76" s="386" t="s">
        <v>219</v>
      </c>
      <c r="P76" s="332"/>
      <c r="Q76" s="332"/>
      <c r="R76" s="387"/>
      <c r="S76" s="388">
        <f>SUM(S64:S75)</f>
        <v>493</v>
      </c>
      <c r="T76" s="389">
        <f>(S76/S76)</f>
        <v>1</v>
      </c>
      <c r="U76" s="25"/>
      <c r="V76" s="25"/>
      <c r="W76" s="25"/>
      <c r="X76" s="25"/>
      <c r="Y76" s="25"/>
      <c r="Z76" s="25"/>
    </row>
    <row r="77" ht="15.0" customHeight="1">
      <c r="A77" s="546" t="s">
        <v>4685</v>
      </c>
      <c r="B77" s="547" t="s">
        <v>4686</v>
      </c>
      <c r="C77" s="547">
        <v>2018.0</v>
      </c>
      <c r="D77" s="548">
        <v>43312.0</v>
      </c>
      <c r="E77" s="547" t="s">
        <v>4687</v>
      </c>
      <c r="F77" s="547" t="s">
        <v>2905</v>
      </c>
      <c r="G77" s="547" t="s">
        <v>17</v>
      </c>
      <c r="H77" s="547" t="s">
        <v>596</v>
      </c>
      <c r="I77" s="548">
        <v>43990.0</v>
      </c>
      <c r="J77" s="547">
        <v>6.0</v>
      </c>
      <c r="K77" s="544" t="s">
        <v>19</v>
      </c>
      <c r="L77" s="547" t="s">
        <v>256</v>
      </c>
      <c r="M77" s="529">
        <f t="shared" si="1"/>
        <v>678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0" customHeight="1">
      <c r="A78" s="541" t="s">
        <v>4688</v>
      </c>
      <c r="B78" s="542" t="s">
        <v>4689</v>
      </c>
      <c r="C78" s="542">
        <v>2018.0</v>
      </c>
      <c r="D78" s="543">
        <v>43388.0</v>
      </c>
      <c r="E78" s="542" t="s">
        <v>4690</v>
      </c>
      <c r="F78" s="542" t="s">
        <v>2905</v>
      </c>
      <c r="G78" s="542" t="s">
        <v>17</v>
      </c>
      <c r="H78" s="542" t="s">
        <v>583</v>
      </c>
      <c r="I78" s="543">
        <v>43990.0</v>
      </c>
      <c r="J78" s="542">
        <v>6.0</v>
      </c>
      <c r="K78" s="544" t="s">
        <v>19</v>
      </c>
      <c r="L78" s="542" t="s">
        <v>256</v>
      </c>
      <c r="M78" s="528">
        <f t="shared" si="1"/>
        <v>602</v>
      </c>
      <c r="N78" s="25"/>
      <c r="O78" s="357" t="s">
        <v>11</v>
      </c>
      <c r="P78" s="102"/>
      <c r="Q78" s="102"/>
      <c r="R78" s="102"/>
      <c r="S78" s="102"/>
      <c r="T78" s="103"/>
      <c r="U78" s="25"/>
      <c r="V78" s="25"/>
      <c r="W78" s="25"/>
      <c r="X78" s="25"/>
      <c r="Y78" s="25"/>
      <c r="Z78" s="25"/>
    </row>
    <row r="79" ht="15.0" customHeight="1">
      <c r="A79" s="546" t="s">
        <v>4691</v>
      </c>
      <c r="B79" s="547" t="s">
        <v>4692</v>
      </c>
      <c r="C79" s="547">
        <v>2018.0</v>
      </c>
      <c r="D79" s="548">
        <v>43398.0</v>
      </c>
      <c r="E79" s="547" t="s">
        <v>4693</v>
      </c>
      <c r="F79" s="547" t="s">
        <v>55</v>
      </c>
      <c r="G79" s="547" t="s">
        <v>17</v>
      </c>
      <c r="H79" s="547" t="s">
        <v>153</v>
      </c>
      <c r="I79" s="548">
        <v>43994.0</v>
      </c>
      <c r="J79" s="547">
        <v>6.0</v>
      </c>
      <c r="K79" s="544" t="s">
        <v>19</v>
      </c>
      <c r="L79" s="547" t="s">
        <v>256</v>
      </c>
      <c r="M79" s="529">
        <f t="shared" si="1"/>
        <v>596</v>
      </c>
      <c r="N79" s="25"/>
      <c r="O79" s="104"/>
      <c r="P79" s="105"/>
      <c r="Q79" s="105"/>
      <c r="R79" s="105"/>
      <c r="S79" s="105"/>
      <c r="T79" s="106"/>
      <c r="U79" s="25"/>
      <c r="V79" s="25"/>
      <c r="W79" s="25"/>
      <c r="X79" s="25"/>
      <c r="Y79" s="25"/>
      <c r="Z79" s="25"/>
    </row>
    <row r="80" ht="15.0" customHeight="1">
      <c r="A80" s="541" t="s">
        <v>4694</v>
      </c>
      <c r="B80" s="542" t="s">
        <v>4695</v>
      </c>
      <c r="C80" s="542">
        <v>2019.0</v>
      </c>
      <c r="D80" s="543">
        <v>43605.0</v>
      </c>
      <c r="E80" s="542" t="s">
        <v>4696</v>
      </c>
      <c r="F80" s="542" t="s">
        <v>1554</v>
      </c>
      <c r="G80" s="542" t="s">
        <v>17</v>
      </c>
      <c r="H80" s="542" t="s">
        <v>149</v>
      </c>
      <c r="I80" s="543">
        <v>43994.0</v>
      </c>
      <c r="J80" s="542">
        <v>6.0</v>
      </c>
      <c r="K80" s="544" t="s">
        <v>19</v>
      </c>
      <c r="L80" s="542" t="s">
        <v>258</v>
      </c>
      <c r="M80" s="528">
        <f t="shared" si="1"/>
        <v>389</v>
      </c>
      <c r="N80" s="25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25"/>
      <c r="V80" s="25"/>
      <c r="W80" s="25"/>
      <c r="X80" s="25"/>
      <c r="Y80" s="25"/>
      <c r="Z80" s="25"/>
    </row>
    <row r="81" ht="15.0" customHeight="1">
      <c r="A81" s="546" t="s">
        <v>4697</v>
      </c>
      <c r="B81" s="547" t="s">
        <v>4698</v>
      </c>
      <c r="C81" s="547">
        <v>2019.0</v>
      </c>
      <c r="D81" s="548">
        <v>43787.0</v>
      </c>
      <c r="E81" s="547" t="s">
        <v>4699</v>
      </c>
      <c r="F81" s="547" t="s">
        <v>1232</v>
      </c>
      <c r="G81" s="547" t="s">
        <v>17</v>
      </c>
      <c r="H81" s="547" t="s">
        <v>573</v>
      </c>
      <c r="I81" s="548">
        <v>43994.0</v>
      </c>
      <c r="J81" s="547">
        <v>6.0</v>
      </c>
      <c r="K81" s="544" t="s">
        <v>19</v>
      </c>
      <c r="L81" s="547" t="s">
        <v>256</v>
      </c>
      <c r="M81" s="529">
        <f t="shared" si="1"/>
        <v>207</v>
      </c>
      <c r="N81" s="25"/>
      <c r="O81" s="527" t="s">
        <v>254</v>
      </c>
      <c r="P81" s="332"/>
      <c r="Q81" s="332"/>
      <c r="R81" s="333"/>
      <c r="S81" s="394">
        <f>COUNTIF($L$2:$L$495,"I - Produto altamente perigoso ao meio ambiente")</f>
        <v>16</v>
      </c>
      <c r="T81" s="395">
        <f>(S81/S85)</f>
        <v>0.03245436105</v>
      </c>
      <c r="U81" s="25"/>
      <c r="V81" s="25"/>
      <c r="W81" s="25"/>
      <c r="X81" s="25"/>
      <c r="Y81" s="25"/>
      <c r="Z81" s="25"/>
    </row>
    <row r="82" ht="15.0" customHeight="1">
      <c r="A82" s="541" t="s">
        <v>4700</v>
      </c>
      <c r="B82" s="542" t="s">
        <v>4701</v>
      </c>
      <c r="C82" s="542">
        <v>2018.0</v>
      </c>
      <c r="D82" s="543">
        <v>43399.0</v>
      </c>
      <c r="E82" s="542" t="s">
        <v>4702</v>
      </c>
      <c r="F82" s="542" t="s">
        <v>711</v>
      </c>
      <c r="G82" s="542" t="s">
        <v>17</v>
      </c>
      <c r="H82" s="542" t="s">
        <v>573</v>
      </c>
      <c r="I82" s="543">
        <v>44000.0</v>
      </c>
      <c r="J82" s="542">
        <v>6.0</v>
      </c>
      <c r="K82" s="544" t="s">
        <v>19</v>
      </c>
      <c r="L82" s="542" t="s">
        <v>256</v>
      </c>
      <c r="M82" s="528">
        <f t="shared" si="1"/>
        <v>601</v>
      </c>
      <c r="N82" s="25"/>
      <c r="O82" s="396" t="s">
        <v>256</v>
      </c>
      <c r="P82" s="113"/>
      <c r="Q82" s="113"/>
      <c r="R82" s="114"/>
      <c r="S82" s="397">
        <f>COUNTIF($L$2:$L$495,"II - Produto muito perigoso ao meio ambiente")</f>
        <v>235</v>
      </c>
      <c r="T82" s="398">
        <f>(S82/S85)</f>
        <v>0.476673428</v>
      </c>
      <c r="U82" s="25"/>
      <c r="V82" s="25"/>
      <c r="W82" s="25"/>
      <c r="X82" s="25"/>
      <c r="Y82" s="25"/>
      <c r="Z82" s="25"/>
    </row>
    <row r="83" ht="15.0" customHeight="1">
      <c r="A83" s="546" t="s">
        <v>4703</v>
      </c>
      <c r="B83" s="547" t="s">
        <v>4704</v>
      </c>
      <c r="C83" s="547">
        <v>2014.0</v>
      </c>
      <c r="D83" s="548">
        <v>41963.0</v>
      </c>
      <c r="E83" s="547" t="s">
        <v>4705</v>
      </c>
      <c r="F83" s="547" t="s">
        <v>874</v>
      </c>
      <c r="G83" s="547" t="s">
        <v>17</v>
      </c>
      <c r="H83" s="547" t="s">
        <v>583</v>
      </c>
      <c r="I83" s="548">
        <v>44000.0</v>
      </c>
      <c r="J83" s="547">
        <v>6.0</v>
      </c>
      <c r="K83" s="544" t="s">
        <v>19</v>
      </c>
      <c r="L83" s="547" t="s">
        <v>256</v>
      </c>
      <c r="M83" s="529">
        <f t="shared" si="1"/>
        <v>2037</v>
      </c>
      <c r="N83" s="25"/>
      <c r="O83" s="399" t="s">
        <v>258</v>
      </c>
      <c r="P83" s="113"/>
      <c r="Q83" s="113"/>
      <c r="R83" s="114"/>
      <c r="S83" s="394">
        <f>COUNTIF($L$2:$L$495,"III - Produto perigoso ao meio ambiente")</f>
        <v>143</v>
      </c>
      <c r="T83" s="395">
        <f>(S83/S85)</f>
        <v>0.2900608519</v>
      </c>
      <c r="U83" s="25"/>
      <c r="V83" s="25"/>
      <c r="W83" s="25"/>
      <c r="X83" s="25"/>
      <c r="Y83" s="25"/>
      <c r="Z83" s="25"/>
    </row>
    <row r="84" ht="15.0" customHeight="1">
      <c r="A84" s="541" t="s">
        <v>4706</v>
      </c>
      <c r="B84" s="542" t="s">
        <v>4707</v>
      </c>
      <c r="C84" s="542">
        <v>2015.0</v>
      </c>
      <c r="D84" s="543">
        <v>42305.0</v>
      </c>
      <c r="E84" s="542" t="s">
        <v>4708</v>
      </c>
      <c r="F84" s="542" t="s">
        <v>874</v>
      </c>
      <c r="G84" s="542" t="s">
        <v>17</v>
      </c>
      <c r="H84" s="542" t="s">
        <v>596</v>
      </c>
      <c r="I84" s="543">
        <v>44000.0</v>
      </c>
      <c r="J84" s="542">
        <v>6.0</v>
      </c>
      <c r="K84" s="544" t="s">
        <v>19</v>
      </c>
      <c r="L84" s="542" t="s">
        <v>256</v>
      </c>
      <c r="M84" s="528">
        <f t="shared" si="1"/>
        <v>1695</v>
      </c>
      <c r="N84" s="25"/>
      <c r="O84" s="396" t="s">
        <v>260</v>
      </c>
      <c r="P84" s="113"/>
      <c r="Q84" s="113"/>
      <c r="R84" s="114"/>
      <c r="S84" s="397">
        <f>COUNTIF($L$2:$L$495,"IV - Produto pouco perigoso ao meio ambiente")</f>
        <v>99</v>
      </c>
      <c r="T84" s="398">
        <f>(S84/S85)</f>
        <v>0.200811359</v>
      </c>
      <c r="U84" s="25"/>
      <c r="V84" s="25"/>
      <c r="W84" s="25"/>
      <c r="X84" s="25"/>
      <c r="Y84" s="25"/>
      <c r="Z84" s="25"/>
    </row>
    <row r="85" ht="15.0" customHeight="1">
      <c r="A85" s="546" t="s">
        <v>4709</v>
      </c>
      <c r="B85" s="547" t="s">
        <v>4710</v>
      </c>
      <c r="C85" s="547">
        <v>2013.0</v>
      </c>
      <c r="D85" s="548">
        <v>41513.0</v>
      </c>
      <c r="E85" s="547" t="s">
        <v>4711</v>
      </c>
      <c r="F85" s="547" t="s">
        <v>874</v>
      </c>
      <c r="G85" s="547" t="s">
        <v>17</v>
      </c>
      <c r="H85" s="547" t="s">
        <v>50</v>
      </c>
      <c r="I85" s="548">
        <v>44000.0</v>
      </c>
      <c r="J85" s="547">
        <v>6.0</v>
      </c>
      <c r="K85" s="544" t="s">
        <v>19</v>
      </c>
      <c r="L85" s="547" t="s">
        <v>256</v>
      </c>
      <c r="M85" s="529">
        <f t="shared" si="1"/>
        <v>2487</v>
      </c>
      <c r="N85" s="25"/>
      <c r="O85" s="358" t="s">
        <v>219</v>
      </c>
      <c r="P85" s="359"/>
      <c r="Q85" s="359"/>
      <c r="R85" s="360"/>
      <c r="S85" s="388">
        <f>SUM(S81:S84)</f>
        <v>493</v>
      </c>
      <c r="T85" s="389">
        <f>(S85/S85)</f>
        <v>1</v>
      </c>
      <c r="U85" s="25"/>
      <c r="V85" s="25"/>
      <c r="W85" s="25"/>
      <c r="X85" s="25"/>
      <c r="Y85" s="25"/>
      <c r="Z85" s="25"/>
    </row>
    <row r="86" ht="15.0" customHeight="1">
      <c r="A86" s="541" t="s">
        <v>4712</v>
      </c>
      <c r="B86" s="542" t="s">
        <v>4713</v>
      </c>
      <c r="C86" s="542">
        <v>2014.0</v>
      </c>
      <c r="D86" s="543">
        <v>41948.0</v>
      </c>
      <c r="E86" s="542" t="s">
        <v>4714</v>
      </c>
      <c r="F86" s="542" t="s">
        <v>874</v>
      </c>
      <c r="G86" s="542" t="s">
        <v>17</v>
      </c>
      <c r="H86" s="542" t="s">
        <v>26</v>
      </c>
      <c r="I86" s="543">
        <v>44000.0</v>
      </c>
      <c r="J86" s="542">
        <v>6.0</v>
      </c>
      <c r="K86" s="544" t="s">
        <v>19</v>
      </c>
      <c r="L86" s="542" t="s">
        <v>256</v>
      </c>
      <c r="M86" s="528">
        <f t="shared" si="1"/>
        <v>2052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0" customHeight="1">
      <c r="A87" s="546" t="s">
        <v>4715</v>
      </c>
      <c r="B87" s="547" t="s">
        <v>4716</v>
      </c>
      <c r="C87" s="547">
        <v>2019.0</v>
      </c>
      <c r="D87" s="548">
        <v>43521.0</v>
      </c>
      <c r="E87" s="547" t="s">
        <v>4717</v>
      </c>
      <c r="F87" s="547" t="s">
        <v>102</v>
      </c>
      <c r="G87" s="547" t="s">
        <v>17</v>
      </c>
      <c r="H87" s="547" t="s">
        <v>26</v>
      </c>
      <c r="I87" s="548">
        <v>44000.0</v>
      </c>
      <c r="J87" s="547">
        <v>6.0</v>
      </c>
      <c r="K87" s="544" t="s">
        <v>19</v>
      </c>
      <c r="L87" s="547" t="s">
        <v>258</v>
      </c>
      <c r="M87" s="529">
        <f t="shared" si="1"/>
        <v>479</v>
      </c>
      <c r="N87" s="25"/>
      <c r="O87" s="403" t="s">
        <v>264</v>
      </c>
      <c r="P87" s="404"/>
      <c r="Q87" s="404"/>
      <c r="R87" s="405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541" t="s">
        <v>4718</v>
      </c>
      <c r="B88" s="542" t="s">
        <v>4719</v>
      </c>
      <c r="C88" s="542">
        <v>2019.0</v>
      </c>
      <c r="D88" s="543">
        <v>43535.0</v>
      </c>
      <c r="E88" s="542" t="s">
        <v>4720</v>
      </c>
      <c r="F88" s="542" t="s">
        <v>666</v>
      </c>
      <c r="G88" s="542" t="s">
        <v>17</v>
      </c>
      <c r="H88" s="542" t="s">
        <v>2934</v>
      </c>
      <c r="I88" s="543">
        <v>44000.0</v>
      </c>
      <c r="J88" s="542">
        <v>6.0</v>
      </c>
      <c r="K88" s="544" t="s">
        <v>19</v>
      </c>
      <c r="L88" s="542" t="s">
        <v>258</v>
      </c>
      <c r="M88" s="528">
        <f t="shared" si="1"/>
        <v>465</v>
      </c>
      <c r="N88" s="25"/>
      <c r="O88" s="406"/>
      <c r="P88" s="105"/>
      <c r="Q88" s="105"/>
      <c r="R88" s="407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546" t="s">
        <v>4721</v>
      </c>
      <c r="B89" s="547" t="s">
        <v>4722</v>
      </c>
      <c r="C89" s="547">
        <v>2019.0</v>
      </c>
      <c r="D89" s="548">
        <v>43815.0</v>
      </c>
      <c r="E89" s="547" t="s">
        <v>4723</v>
      </c>
      <c r="F89" s="547" t="s">
        <v>719</v>
      </c>
      <c r="G89" s="547" t="s">
        <v>17</v>
      </c>
      <c r="H89" s="547" t="s">
        <v>990</v>
      </c>
      <c r="I89" s="548">
        <v>44007.0</v>
      </c>
      <c r="J89" s="547">
        <v>6.0</v>
      </c>
      <c r="K89" s="544" t="s">
        <v>19</v>
      </c>
      <c r="L89" s="547" t="s">
        <v>256</v>
      </c>
      <c r="M89" s="529">
        <f t="shared" si="1"/>
        <v>192</v>
      </c>
      <c r="N89" s="25"/>
      <c r="O89" s="408" t="s">
        <v>267</v>
      </c>
      <c r="P89" s="409" t="s">
        <v>268</v>
      </c>
      <c r="Q89" s="410"/>
      <c r="R89" s="411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541" t="s">
        <v>4724</v>
      </c>
      <c r="B90" s="542" t="s">
        <v>4725</v>
      </c>
      <c r="C90" s="542">
        <v>2019.0</v>
      </c>
      <c r="D90" s="543">
        <v>43724.0</v>
      </c>
      <c r="E90" s="542" t="s">
        <v>4726</v>
      </c>
      <c r="F90" s="542" t="s">
        <v>2905</v>
      </c>
      <c r="G90" s="542" t="s">
        <v>17</v>
      </c>
      <c r="H90" s="542" t="s">
        <v>990</v>
      </c>
      <c r="I90" s="543">
        <v>44007.0</v>
      </c>
      <c r="J90" s="542">
        <v>6.0</v>
      </c>
      <c r="K90" s="544" t="s">
        <v>19</v>
      </c>
      <c r="L90" s="542" t="s">
        <v>256</v>
      </c>
      <c r="M90" s="528">
        <f t="shared" si="1"/>
        <v>283</v>
      </c>
      <c r="N90" s="25"/>
      <c r="O90" s="412" t="s">
        <v>270</v>
      </c>
      <c r="P90" s="413">
        <f>AVERAGEIF(G2:G495,"PT",M2:M495)</f>
        <v>2912.666667</v>
      </c>
      <c r="Q90" s="368"/>
      <c r="R90" s="369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546" t="s">
        <v>4727</v>
      </c>
      <c r="B91" s="547" t="s">
        <v>4728</v>
      </c>
      <c r="C91" s="547">
        <v>2020.0</v>
      </c>
      <c r="D91" s="548">
        <v>43917.0</v>
      </c>
      <c r="E91" s="547" t="s">
        <v>4729</v>
      </c>
      <c r="F91" s="547" t="s">
        <v>2905</v>
      </c>
      <c r="G91" s="547" t="s">
        <v>17</v>
      </c>
      <c r="H91" s="547" t="s">
        <v>587</v>
      </c>
      <c r="I91" s="548">
        <v>44007.0</v>
      </c>
      <c r="J91" s="547">
        <v>6.0</v>
      </c>
      <c r="K91" s="544" t="s">
        <v>19</v>
      </c>
      <c r="L91" s="547" t="s">
        <v>256</v>
      </c>
      <c r="M91" s="529">
        <f t="shared" si="1"/>
        <v>90</v>
      </c>
      <c r="N91" s="25"/>
      <c r="O91" s="414" t="s">
        <v>34</v>
      </c>
      <c r="P91" s="415">
        <f>AVERAGEIF(G2:G495,"PTN",M2:M495)</f>
        <v>2975</v>
      </c>
      <c r="Q91" s="368"/>
      <c r="R91" s="369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541" t="s">
        <v>4730</v>
      </c>
      <c r="B92" s="542" t="s">
        <v>4731</v>
      </c>
      <c r="C92" s="542">
        <v>2017.0</v>
      </c>
      <c r="D92" s="543">
        <v>42996.0</v>
      </c>
      <c r="E92" s="542" t="s">
        <v>4732</v>
      </c>
      <c r="F92" s="542" t="s">
        <v>55</v>
      </c>
      <c r="G92" s="542" t="s">
        <v>17</v>
      </c>
      <c r="H92" s="542" t="s">
        <v>587</v>
      </c>
      <c r="I92" s="543">
        <v>44023.0</v>
      </c>
      <c r="J92" s="542">
        <v>7.0</v>
      </c>
      <c r="K92" s="544" t="s">
        <v>19</v>
      </c>
      <c r="L92" s="542" t="s">
        <v>256</v>
      </c>
      <c r="M92" s="528">
        <f t="shared" si="1"/>
        <v>1027</v>
      </c>
      <c r="N92" s="25"/>
      <c r="O92" s="412" t="s">
        <v>17</v>
      </c>
      <c r="P92" s="413">
        <f>AVERAGEIF(G2:G495,"PTE",M2:M495)</f>
        <v>1469.117284</v>
      </c>
      <c r="Q92" s="368"/>
      <c r="R92" s="369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546" t="s">
        <v>4733</v>
      </c>
      <c r="B93" s="547" t="s">
        <v>4734</v>
      </c>
      <c r="C93" s="547">
        <v>2016.0</v>
      </c>
      <c r="D93" s="548">
        <v>42480.0</v>
      </c>
      <c r="E93" s="547" t="s">
        <v>4735</v>
      </c>
      <c r="F93" s="547" t="s">
        <v>4736</v>
      </c>
      <c r="G93" s="547" t="s">
        <v>34</v>
      </c>
      <c r="H93" s="547" t="s">
        <v>651</v>
      </c>
      <c r="I93" s="548">
        <v>44029.0</v>
      </c>
      <c r="J93" s="547">
        <v>7.0</v>
      </c>
      <c r="K93" s="549" t="s">
        <v>602</v>
      </c>
      <c r="L93" s="547" t="s">
        <v>256</v>
      </c>
      <c r="M93" s="529">
        <f t="shared" si="1"/>
        <v>1549</v>
      </c>
      <c r="N93" s="25"/>
      <c r="O93" s="414" t="s">
        <v>46</v>
      </c>
      <c r="P93" s="415">
        <f>AVERAGEIF(G2:G495,"Pré-Mistura",M2:M495)</f>
        <v>1875.5</v>
      </c>
      <c r="Q93" s="368"/>
      <c r="R93" s="369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541" t="s">
        <v>4737</v>
      </c>
      <c r="B94" s="542" t="s">
        <v>4738</v>
      </c>
      <c r="C94" s="542">
        <v>2014.0</v>
      </c>
      <c r="D94" s="543">
        <v>41712.0</v>
      </c>
      <c r="E94" s="542" t="s">
        <v>4739</v>
      </c>
      <c r="F94" s="542" t="s">
        <v>4740</v>
      </c>
      <c r="G94" s="542" t="s">
        <v>34</v>
      </c>
      <c r="H94" s="542" t="s">
        <v>1154</v>
      </c>
      <c r="I94" s="543">
        <v>44040.0</v>
      </c>
      <c r="J94" s="542">
        <v>7.0</v>
      </c>
      <c r="K94" s="549" t="s">
        <v>602</v>
      </c>
      <c r="L94" s="542" t="s">
        <v>256</v>
      </c>
      <c r="M94" s="528">
        <f t="shared" si="1"/>
        <v>2328</v>
      </c>
      <c r="N94" s="25"/>
      <c r="O94" s="412" t="s">
        <v>650</v>
      </c>
      <c r="P94" s="413">
        <f>AVERAGEIF(G2:G495,"PF",M2:M495)</f>
        <v>2532.528571</v>
      </c>
      <c r="Q94" s="368"/>
      <c r="R94" s="369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546" t="s">
        <v>4741</v>
      </c>
      <c r="B95" s="547" t="s">
        <v>4742</v>
      </c>
      <c r="C95" s="547">
        <v>2014.0</v>
      </c>
      <c r="D95" s="548">
        <v>41674.0</v>
      </c>
      <c r="E95" s="547" t="s">
        <v>4743</v>
      </c>
      <c r="F95" s="547" t="s">
        <v>715</v>
      </c>
      <c r="G95" s="547" t="s">
        <v>17</v>
      </c>
      <c r="H95" s="547" t="s">
        <v>163</v>
      </c>
      <c r="I95" s="548">
        <v>44056.0</v>
      </c>
      <c r="J95" s="547">
        <v>8.0</v>
      </c>
      <c r="K95" s="544" t="s">
        <v>19</v>
      </c>
      <c r="L95" s="547" t="s">
        <v>258</v>
      </c>
      <c r="M95" s="529">
        <f t="shared" si="1"/>
        <v>2382</v>
      </c>
      <c r="N95" s="25"/>
      <c r="O95" s="414" t="s">
        <v>547</v>
      </c>
      <c r="P95" s="415">
        <f>AVERAGEIF(G2:G495,"PFN",M2:M476)</f>
        <v>2110.777778</v>
      </c>
      <c r="Q95" s="368"/>
      <c r="R95" s="369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541" t="s">
        <v>4744</v>
      </c>
      <c r="B96" s="542" t="s">
        <v>4745</v>
      </c>
      <c r="C96" s="542">
        <v>2014.0</v>
      </c>
      <c r="D96" s="543">
        <v>41711.0</v>
      </c>
      <c r="E96" s="542" t="s">
        <v>4746</v>
      </c>
      <c r="F96" s="542" t="s">
        <v>874</v>
      </c>
      <c r="G96" s="542" t="s">
        <v>17</v>
      </c>
      <c r="H96" s="542" t="s">
        <v>775</v>
      </c>
      <c r="I96" s="543">
        <v>44056.0</v>
      </c>
      <c r="J96" s="542">
        <v>8.0</v>
      </c>
      <c r="K96" s="544" t="s">
        <v>19</v>
      </c>
      <c r="L96" s="542" t="s">
        <v>256</v>
      </c>
      <c r="M96" s="528">
        <f t="shared" si="1"/>
        <v>2345</v>
      </c>
      <c r="N96" s="25"/>
      <c r="O96" s="412" t="s">
        <v>552</v>
      </c>
      <c r="P96" s="413">
        <f>AVERAGEIF(G2:G476,"PF/PTE",M2:M495)</f>
        <v>1890.077465</v>
      </c>
      <c r="Q96" s="368"/>
      <c r="R96" s="369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546" t="s">
        <v>4747</v>
      </c>
      <c r="B97" s="547" t="s">
        <v>4748</v>
      </c>
      <c r="C97" s="547">
        <v>2015.0</v>
      </c>
      <c r="D97" s="548">
        <v>42081.0</v>
      </c>
      <c r="E97" s="547" t="s">
        <v>4749</v>
      </c>
      <c r="F97" s="547" t="s">
        <v>874</v>
      </c>
      <c r="G97" s="547" t="s">
        <v>17</v>
      </c>
      <c r="H97" s="547" t="s">
        <v>583</v>
      </c>
      <c r="I97" s="548">
        <v>44056.0</v>
      </c>
      <c r="J97" s="547">
        <v>8.0</v>
      </c>
      <c r="K97" s="544" t="s">
        <v>19</v>
      </c>
      <c r="L97" s="547" t="s">
        <v>256</v>
      </c>
      <c r="M97" s="529">
        <f t="shared" si="1"/>
        <v>1975</v>
      </c>
      <c r="N97" s="25"/>
      <c r="O97" s="414" t="s">
        <v>565</v>
      </c>
      <c r="P97" s="415">
        <f>AVERAGEIF(G2:G4956,"Bio",M2:M495)</f>
        <v>399.2678571</v>
      </c>
      <c r="Q97" s="368"/>
      <c r="R97" s="369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541" t="s">
        <v>4750</v>
      </c>
      <c r="B98" s="542" t="s">
        <v>4751</v>
      </c>
      <c r="C98" s="542">
        <v>2015.0</v>
      </c>
      <c r="D98" s="543">
        <v>42111.0</v>
      </c>
      <c r="E98" s="542" t="s">
        <v>4752</v>
      </c>
      <c r="F98" s="542" t="s">
        <v>715</v>
      </c>
      <c r="G98" s="542" t="s">
        <v>17</v>
      </c>
      <c r="H98" s="542" t="s">
        <v>583</v>
      </c>
      <c r="I98" s="543">
        <v>44056.0</v>
      </c>
      <c r="J98" s="542">
        <v>8.0</v>
      </c>
      <c r="K98" s="544" t="s">
        <v>19</v>
      </c>
      <c r="L98" s="542" t="s">
        <v>258</v>
      </c>
      <c r="M98" s="528">
        <f t="shared" si="1"/>
        <v>1945</v>
      </c>
      <c r="N98" s="25"/>
      <c r="O98" s="412" t="s">
        <v>569</v>
      </c>
      <c r="P98" s="413">
        <f>AVERAGEIF(G2:G495,"Bio/Org",M2:M495)</f>
        <v>236.8947368</v>
      </c>
      <c r="Q98" s="368"/>
      <c r="R98" s="369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546" t="s">
        <v>4753</v>
      </c>
      <c r="B99" s="547" t="s">
        <v>4754</v>
      </c>
      <c r="C99" s="547">
        <v>2015.0</v>
      </c>
      <c r="D99" s="548">
        <v>42367.0</v>
      </c>
      <c r="E99" s="547" t="s">
        <v>4755</v>
      </c>
      <c r="F99" s="547" t="s">
        <v>55</v>
      </c>
      <c r="G99" s="547" t="s">
        <v>17</v>
      </c>
      <c r="H99" s="547" t="s">
        <v>4756</v>
      </c>
      <c r="I99" s="548">
        <v>44056.0</v>
      </c>
      <c r="J99" s="547">
        <v>8.0</v>
      </c>
      <c r="K99" s="544" t="s">
        <v>19</v>
      </c>
      <c r="L99" s="547" t="s">
        <v>256</v>
      </c>
      <c r="M99" s="529">
        <f t="shared" si="1"/>
        <v>1689</v>
      </c>
      <c r="N99" s="25"/>
      <c r="O99" s="416" t="s">
        <v>275</v>
      </c>
      <c r="P99" s="417">
        <f>AVERAGE(M2:M495)</f>
        <v>1568.743902</v>
      </c>
      <c r="Q99" s="418"/>
      <c r="R99" s="318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541" t="s">
        <v>4757</v>
      </c>
      <c r="B100" s="542" t="s">
        <v>4758</v>
      </c>
      <c r="C100" s="542">
        <v>2017.0</v>
      </c>
      <c r="D100" s="543">
        <v>42829.0</v>
      </c>
      <c r="E100" s="542" t="s">
        <v>4759</v>
      </c>
      <c r="F100" s="542" t="s">
        <v>55</v>
      </c>
      <c r="G100" s="542" t="s">
        <v>17</v>
      </c>
      <c r="H100" s="542" t="s">
        <v>153</v>
      </c>
      <c r="I100" s="543">
        <v>44056.0</v>
      </c>
      <c r="J100" s="542">
        <v>8.0</v>
      </c>
      <c r="K100" s="544" t="s">
        <v>19</v>
      </c>
      <c r="L100" s="542" t="s">
        <v>256</v>
      </c>
      <c r="M100" s="528">
        <f t="shared" si="1"/>
        <v>1227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546" t="s">
        <v>4760</v>
      </c>
      <c r="B101" s="547" t="s">
        <v>4761</v>
      </c>
      <c r="C101" s="547">
        <v>2017.0</v>
      </c>
      <c r="D101" s="548">
        <v>42829.0</v>
      </c>
      <c r="E101" s="547" t="s">
        <v>4762</v>
      </c>
      <c r="F101" s="547" t="s">
        <v>55</v>
      </c>
      <c r="G101" s="547" t="s">
        <v>17</v>
      </c>
      <c r="H101" s="547" t="s">
        <v>153</v>
      </c>
      <c r="I101" s="548">
        <v>44056.0</v>
      </c>
      <c r="J101" s="547">
        <v>8.0</v>
      </c>
      <c r="K101" s="544" t="s">
        <v>19</v>
      </c>
      <c r="L101" s="547" t="s">
        <v>256</v>
      </c>
      <c r="M101" s="529">
        <f t="shared" si="1"/>
        <v>1227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541" t="s">
        <v>4763</v>
      </c>
      <c r="B102" s="542" t="s">
        <v>4764</v>
      </c>
      <c r="C102" s="542">
        <v>2017.0</v>
      </c>
      <c r="D102" s="543">
        <v>42831.0</v>
      </c>
      <c r="E102" s="542" t="s">
        <v>4765</v>
      </c>
      <c r="F102" s="542" t="s">
        <v>55</v>
      </c>
      <c r="G102" s="542" t="s">
        <v>17</v>
      </c>
      <c r="H102" s="542" t="s">
        <v>153</v>
      </c>
      <c r="I102" s="543">
        <v>44056.0</v>
      </c>
      <c r="J102" s="542">
        <v>8.0</v>
      </c>
      <c r="K102" s="544" t="s">
        <v>19</v>
      </c>
      <c r="L102" s="542" t="s">
        <v>256</v>
      </c>
      <c r="M102" s="528">
        <f t="shared" si="1"/>
        <v>1225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546" t="s">
        <v>4766</v>
      </c>
      <c r="B103" s="547" t="s">
        <v>4767</v>
      </c>
      <c r="C103" s="547">
        <v>2017.0</v>
      </c>
      <c r="D103" s="548">
        <v>42831.0</v>
      </c>
      <c r="E103" s="547" t="s">
        <v>4768</v>
      </c>
      <c r="F103" s="547" t="s">
        <v>55</v>
      </c>
      <c r="G103" s="547" t="s">
        <v>17</v>
      </c>
      <c r="H103" s="547" t="s">
        <v>153</v>
      </c>
      <c r="I103" s="548">
        <v>44056.0</v>
      </c>
      <c r="J103" s="547">
        <v>8.0</v>
      </c>
      <c r="K103" s="544" t="s">
        <v>19</v>
      </c>
      <c r="L103" s="547" t="s">
        <v>256</v>
      </c>
      <c r="M103" s="529">
        <f t="shared" si="1"/>
        <v>1225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541" t="s">
        <v>4769</v>
      </c>
      <c r="B104" s="542" t="s">
        <v>4770</v>
      </c>
      <c r="C104" s="542">
        <v>2017.0</v>
      </c>
      <c r="D104" s="543">
        <v>42886.0</v>
      </c>
      <c r="E104" s="542" t="s">
        <v>4771</v>
      </c>
      <c r="F104" s="542" t="s">
        <v>55</v>
      </c>
      <c r="G104" s="542" t="s">
        <v>17</v>
      </c>
      <c r="H104" s="542" t="s">
        <v>596</v>
      </c>
      <c r="I104" s="543">
        <v>44056.0</v>
      </c>
      <c r="J104" s="542">
        <v>8.0</v>
      </c>
      <c r="K104" s="544" t="s">
        <v>19</v>
      </c>
      <c r="L104" s="542" t="s">
        <v>256</v>
      </c>
      <c r="M104" s="528">
        <f t="shared" si="1"/>
        <v>1170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546" t="s">
        <v>4772</v>
      </c>
      <c r="B105" s="547" t="s">
        <v>4773</v>
      </c>
      <c r="C105" s="547">
        <v>2017.0</v>
      </c>
      <c r="D105" s="548">
        <v>42919.0</v>
      </c>
      <c r="E105" s="547" t="s">
        <v>4774</v>
      </c>
      <c r="F105" s="547" t="s">
        <v>55</v>
      </c>
      <c r="G105" s="547" t="s">
        <v>17</v>
      </c>
      <c r="H105" s="547" t="s">
        <v>153</v>
      </c>
      <c r="I105" s="548">
        <v>44056.0</v>
      </c>
      <c r="J105" s="547">
        <v>8.0</v>
      </c>
      <c r="K105" s="544" t="s">
        <v>19</v>
      </c>
      <c r="L105" s="547" t="s">
        <v>256</v>
      </c>
      <c r="M105" s="529">
        <f t="shared" si="1"/>
        <v>1137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541" t="s">
        <v>4775</v>
      </c>
      <c r="B106" s="542" t="s">
        <v>4776</v>
      </c>
      <c r="C106" s="542">
        <v>2019.0</v>
      </c>
      <c r="D106" s="543">
        <v>43644.0</v>
      </c>
      <c r="E106" s="542" t="s">
        <v>4777</v>
      </c>
      <c r="F106" s="542" t="s">
        <v>1544</v>
      </c>
      <c r="G106" s="542" t="s">
        <v>17</v>
      </c>
      <c r="H106" s="542" t="s">
        <v>26</v>
      </c>
      <c r="I106" s="543">
        <v>44056.0</v>
      </c>
      <c r="J106" s="542">
        <v>8.0</v>
      </c>
      <c r="K106" s="544" t="s">
        <v>19</v>
      </c>
      <c r="L106" s="542" t="s">
        <v>254</v>
      </c>
      <c r="M106" s="528">
        <f t="shared" si="1"/>
        <v>412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546" t="s">
        <v>4778</v>
      </c>
      <c r="B107" s="547" t="s">
        <v>4779</v>
      </c>
      <c r="C107" s="547">
        <v>2019.0</v>
      </c>
      <c r="D107" s="548">
        <v>43585.0</v>
      </c>
      <c r="E107" s="547" t="s">
        <v>4780</v>
      </c>
      <c r="F107" s="547" t="s">
        <v>1638</v>
      </c>
      <c r="G107" s="547" t="s">
        <v>17</v>
      </c>
      <c r="H107" s="547" t="s">
        <v>1091</v>
      </c>
      <c r="I107" s="548">
        <v>44078.0</v>
      </c>
      <c r="J107" s="547">
        <v>9.0</v>
      </c>
      <c r="K107" s="544" t="s">
        <v>19</v>
      </c>
      <c r="L107" s="547" t="s">
        <v>258</v>
      </c>
      <c r="M107" s="529">
        <f t="shared" si="1"/>
        <v>493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541" t="s">
        <v>4781</v>
      </c>
      <c r="B108" s="542" t="s">
        <v>4782</v>
      </c>
      <c r="C108" s="542">
        <v>2018.0</v>
      </c>
      <c r="D108" s="543">
        <v>43453.0</v>
      </c>
      <c r="E108" s="542" t="s">
        <v>4783</v>
      </c>
      <c r="F108" s="542" t="s">
        <v>186</v>
      </c>
      <c r="G108" s="542" t="s">
        <v>17</v>
      </c>
      <c r="H108" s="542" t="s">
        <v>573</v>
      </c>
      <c r="I108" s="543">
        <v>44078.0</v>
      </c>
      <c r="J108" s="542">
        <v>9.0</v>
      </c>
      <c r="K108" s="544" t="s">
        <v>19</v>
      </c>
      <c r="L108" s="542" t="s">
        <v>256</v>
      </c>
      <c r="M108" s="528">
        <f t="shared" si="1"/>
        <v>625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546" t="s">
        <v>4784</v>
      </c>
      <c r="B109" s="547" t="s">
        <v>4785</v>
      </c>
      <c r="C109" s="547">
        <v>2014.0</v>
      </c>
      <c r="D109" s="548">
        <v>41995.0</v>
      </c>
      <c r="E109" s="547" t="s">
        <v>4786</v>
      </c>
      <c r="F109" s="547" t="s">
        <v>666</v>
      </c>
      <c r="G109" s="547" t="s">
        <v>17</v>
      </c>
      <c r="H109" s="547" t="s">
        <v>573</v>
      </c>
      <c r="I109" s="548">
        <v>44104.0</v>
      </c>
      <c r="J109" s="547">
        <v>9.0</v>
      </c>
      <c r="K109" s="544" t="s">
        <v>19</v>
      </c>
      <c r="L109" s="547" t="s">
        <v>256</v>
      </c>
      <c r="M109" s="529">
        <f t="shared" si="1"/>
        <v>2109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541" t="s">
        <v>4787</v>
      </c>
      <c r="B110" s="542" t="s">
        <v>4788</v>
      </c>
      <c r="C110" s="542">
        <v>2014.0</v>
      </c>
      <c r="D110" s="543">
        <v>41745.0</v>
      </c>
      <c r="E110" s="542" t="s">
        <v>4789</v>
      </c>
      <c r="F110" s="542" t="s">
        <v>4790</v>
      </c>
      <c r="G110" s="542" t="s">
        <v>17</v>
      </c>
      <c r="H110" s="542" t="s">
        <v>163</v>
      </c>
      <c r="I110" s="543">
        <v>44104.0</v>
      </c>
      <c r="J110" s="542">
        <v>9.0</v>
      </c>
      <c r="K110" s="544" t="s">
        <v>19</v>
      </c>
      <c r="L110" s="542" t="s">
        <v>258</v>
      </c>
      <c r="M110" s="528">
        <f t="shared" si="1"/>
        <v>2359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546" t="s">
        <v>4791</v>
      </c>
      <c r="B111" s="547" t="s">
        <v>4792</v>
      </c>
      <c r="C111" s="547">
        <v>2011.0</v>
      </c>
      <c r="D111" s="548">
        <v>40800.0</v>
      </c>
      <c r="E111" s="547" t="s">
        <v>4793</v>
      </c>
      <c r="F111" s="547" t="s">
        <v>563</v>
      </c>
      <c r="G111" s="547" t="s">
        <v>17</v>
      </c>
      <c r="H111" s="547" t="s">
        <v>153</v>
      </c>
      <c r="I111" s="548">
        <v>44106.0</v>
      </c>
      <c r="J111" s="547">
        <v>10.0</v>
      </c>
      <c r="K111" s="544" t="s">
        <v>19</v>
      </c>
      <c r="L111" s="547" t="s">
        <v>256</v>
      </c>
      <c r="M111" s="529">
        <f t="shared" si="1"/>
        <v>3306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541" t="s">
        <v>4794</v>
      </c>
      <c r="B112" s="542" t="s">
        <v>4795</v>
      </c>
      <c r="C112" s="542">
        <v>2014.0</v>
      </c>
      <c r="D112" s="543">
        <v>41708.0</v>
      </c>
      <c r="E112" s="542" t="s">
        <v>4796</v>
      </c>
      <c r="F112" s="542" t="s">
        <v>44</v>
      </c>
      <c r="G112" s="542" t="s">
        <v>17</v>
      </c>
      <c r="H112" s="542" t="s">
        <v>740</v>
      </c>
      <c r="I112" s="543">
        <v>44106.0</v>
      </c>
      <c r="J112" s="542">
        <v>10.0</v>
      </c>
      <c r="K112" s="544" t="s">
        <v>19</v>
      </c>
      <c r="L112" s="542" t="s">
        <v>258</v>
      </c>
      <c r="M112" s="528">
        <f t="shared" si="1"/>
        <v>2398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546" t="s">
        <v>4797</v>
      </c>
      <c r="B113" s="547" t="s">
        <v>4798</v>
      </c>
      <c r="C113" s="547">
        <v>2014.0</v>
      </c>
      <c r="D113" s="548">
        <v>41829.0</v>
      </c>
      <c r="E113" s="547" t="s">
        <v>4799</v>
      </c>
      <c r="F113" s="547" t="s">
        <v>2225</v>
      </c>
      <c r="G113" s="547" t="s">
        <v>17</v>
      </c>
      <c r="H113" s="547" t="s">
        <v>775</v>
      </c>
      <c r="I113" s="548">
        <v>44106.0</v>
      </c>
      <c r="J113" s="547">
        <v>10.0</v>
      </c>
      <c r="K113" s="544" t="s">
        <v>19</v>
      </c>
      <c r="L113" s="547" t="s">
        <v>258</v>
      </c>
      <c r="M113" s="529">
        <f t="shared" si="1"/>
        <v>2277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541" t="s">
        <v>4800</v>
      </c>
      <c r="B114" s="542" t="s">
        <v>4801</v>
      </c>
      <c r="C114" s="542">
        <v>2019.0</v>
      </c>
      <c r="D114" s="543">
        <v>43524.0</v>
      </c>
      <c r="E114" s="542" t="s">
        <v>4802</v>
      </c>
      <c r="F114" s="542" t="s">
        <v>2225</v>
      </c>
      <c r="G114" s="542" t="s">
        <v>17</v>
      </c>
      <c r="H114" s="542" t="s">
        <v>26</v>
      </c>
      <c r="I114" s="543">
        <v>44106.0</v>
      </c>
      <c r="J114" s="542">
        <v>10.0</v>
      </c>
      <c r="K114" s="544" t="s">
        <v>19</v>
      </c>
      <c r="L114" s="542" t="s">
        <v>258</v>
      </c>
      <c r="M114" s="528">
        <f t="shared" si="1"/>
        <v>582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546" t="s">
        <v>4803</v>
      </c>
      <c r="B115" s="547" t="s">
        <v>4804</v>
      </c>
      <c r="C115" s="547">
        <v>2014.0</v>
      </c>
      <c r="D115" s="548">
        <v>41920.0</v>
      </c>
      <c r="E115" s="547" t="s">
        <v>4805</v>
      </c>
      <c r="F115" s="547" t="s">
        <v>1544</v>
      </c>
      <c r="G115" s="547" t="s">
        <v>17</v>
      </c>
      <c r="H115" s="547" t="s">
        <v>163</v>
      </c>
      <c r="I115" s="548">
        <v>44106.0</v>
      </c>
      <c r="J115" s="547">
        <v>10.0</v>
      </c>
      <c r="K115" s="544" t="s">
        <v>19</v>
      </c>
      <c r="L115" s="547" t="s">
        <v>254</v>
      </c>
      <c r="M115" s="529">
        <f t="shared" si="1"/>
        <v>2186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541" t="s">
        <v>4806</v>
      </c>
      <c r="B116" s="542" t="s">
        <v>4807</v>
      </c>
      <c r="C116" s="542">
        <v>2014.0</v>
      </c>
      <c r="D116" s="543">
        <v>41941.0</v>
      </c>
      <c r="E116" s="542" t="s">
        <v>4808</v>
      </c>
      <c r="F116" s="542" t="s">
        <v>1544</v>
      </c>
      <c r="G116" s="542" t="s">
        <v>17</v>
      </c>
      <c r="H116" s="542" t="s">
        <v>66</v>
      </c>
      <c r="I116" s="543">
        <v>44106.0</v>
      </c>
      <c r="J116" s="542">
        <v>10.0</v>
      </c>
      <c r="K116" s="544" t="s">
        <v>19</v>
      </c>
      <c r="L116" s="542" t="s">
        <v>254</v>
      </c>
      <c r="M116" s="528">
        <f t="shared" si="1"/>
        <v>2165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546" t="s">
        <v>4809</v>
      </c>
      <c r="B117" s="547" t="s">
        <v>4810</v>
      </c>
      <c r="C117" s="547">
        <v>2014.0</v>
      </c>
      <c r="D117" s="548">
        <v>41953.0</v>
      </c>
      <c r="E117" s="547" t="s">
        <v>4811</v>
      </c>
      <c r="F117" s="547" t="s">
        <v>1544</v>
      </c>
      <c r="G117" s="547" t="s">
        <v>17</v>
      </c>
      <c r="H117" s="547" t="s">
        <v>583</v>
      </c>
      <c r="I117" s="548">
        <v>44106.0</v>
      </c>
      <c r="J117" s="547">
        <v>10.0</v>
      </c>
      <c r="K117" s="544" t="s">
        <v>19</v>
      </c>
      <c r="L117" s="547" t="s">
        <v>254</v>
      </c>
      <c r="M117" s="529">
        <f t="shared" si="1"/>
        <v>2153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541" t="s">
        <v>4812</v>
      </c>
      <c r="B118" s="542" t="s">
        <v>4813</v>
      </c>
      <c r="C118" s="542">
        <v>2014.0</v>
      </c>
      <c r="D118" s="543">
        <v>41996.0</v>
      </c>
      <c r="E118" s="542" t="s">
        <v>4814</v>
      </c>
      <c r="F118" s="542" t="s">
        <v>1544</v>
      </c>
      <c r="G118" s="542" t="s">
        <v>17</v>
      </c>
      <c r="H118" s="542" t="s">
        <v>901</v>
      </c>
      <c r="I118" s="543">
        <v>44106.0</v>
      </c>
      <c r="J118" s="542">
        <v>10.0</v>
      </c>
      <c r="K118" s="544" t="s">
        <v>19</v>
      </c>
      <c r="L118" s="542" t="s">
        <v>254</v>
      </c>
      <c r="M118" s="528">
        <f t="shared" si="1"/>
        <v>2110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546" t="s">
        <v>4815</v>
      </c>
      <c r="B119" s="547" t="s">
        <v>4816</v>
      </c>
      <c r="C119" s="547">
        <v>2020.0</v>
      </c>
      <c r="D119" s="548">
        <v>43851.0</v>
      </c>
      <c r="E119" s="547" t="s">
        <v>4817</v>
      </c>
      <c r="F119" s="547" t="s">
        <v>874</v>
      </c>
      <c r="G119" s="547" t="s">
        <v>17</v>
      </c>
      <c r="H119" s="547" t="s">
        <v>901</v>
      </c>
      <c r="I119" s="548">
        <v>44106.0</v>
      </c>
      <c r="J119" s="547">
        <v>10.0</v>
      </c>
      <c r="K119" s="544" t="s">
        <v>19</v>
      </c>
      <c r="L119" s="547" t="s">
        <v>256</v>
      </c>
      <c r="M119" s="529">
        <f t="shared" si="1"/>
        <v>255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541" t="s">
        <v>4818</v>
      </c>
      <c r="B120" s="542" t="s">
        <v>4819</v>
      </c>
      <c r="C120" s="542">
        <v>2015.0</v>
      </c>
      <c r="D120" s="543">
        <v>42093.0</v>
      </c>
      <c r="E120" s="542" t="s">
        <v>4820</v>
      </c>
      <c r="F120" s="542" t="s">
        <v>715</v>
      </c>
      <c r="G120" s="542" t="s">
        <v>17</v>
      </c>
      <c r="H120" s="542" t="s">
        <v>50</v>
      </c>
      <c r="I120" s="543">
        <v>44110.0</v>
      </c>
      <c r="J120" s="542">
        <v>10.0</v>
      </c>
      <c r="K120" s="544" t="s">
        <v>19</v>
      </c>
      <c r="L120" s="542" t="s">
        <v>258</v>
      </c>
      <c r="M120" s="528">
        <f t="shared" si="1"/>
        <v>2017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546" t="s">
        <v>4821</v>
      </c>
      <c r="B121" s="547" t="s">
        <v>4822</v>
      </c>
      <c r="C121" s="547">
        <v>2015.0</v>
      </c>
      <c r="D121" s="548">
        <v>42338.0</v>
      </c>
      <c r="E121" s="547" t="s">
        <v>4823</v>
      </c>
      <c r="F121" s="547" t="s">
        <v>559</v>
      </c>
      <c r="G121" s="547" t="s">
        <v>17</v>
      </c>
      <c r="H121" s="547" t="s">
        <v>1154</v>
      </c>
      <c r="I121" s="548">
        <v>44121.0</v>
      </c>
      <c r="J121" s="547">
        <v>10.0</v>
      </c>
      <c r="K121" s="544" t="s">
        <v>19</v>
      </c>
      <c r="L121" s="547" t="s">
        <v>256</v>
      </c>
      <c r="M121" s="529">
        <f t="shared" si="1"/>
        <v>1783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541" t="s">
        <v>4824</v>
      </c>
      <c r="B122" s="542" t="s">
        <v>4825</v>
      </c>
      <c r="C122" s="542">
        <v>2017.0</v>
      </c>
      <c r="D122" s="543">
        <v>42919.0</v>
      </c>
      <c r="E122" s="542" t="s">
        <v>4826</v>
      </c>
      <c r="F122" s="542" t="s">
        <v>765</v>
      </c>
      <c r="G122" s="542" t="s">
        <v>17</v>
      </c>
      <c r="H122" s="542" t="s">
        <v>4553</v>
      </c>
      <c r="I122" s="543">
        <v>44121.0</v>
      </c>
      <c r="J122" s="542">
        <v>10.0</v>
      </c>
      <c r="K122" s="544" t="s">
        <v>19</v>
      </c>
      <c r="L122" s="542" t="s">
        <v>256</v>
      </c>
      <c r="M122" s="528">
        <f t="shared" si="1"/>
        <v>1202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546" t="s">
        <v>4827</v>
      </c>
      <c r="B123" s="547" t="s">
        <v>4828</v>
      </c>
      <c r="C123" s="547">
        <v>2015.0</v>
      </c>
      <c r="D123" s="548">
        <v>42206.0</v>
      </c>
      <c r="E123" s="547" t="s">
        <v>4829</v>
      </c>
      <c r="F123" s="547" t="s">
        <v>715</v>
      </c>
      <c r="G123" s="547" t="s">
        <v>17</v>
      </c>
      <c r="H123" s="547" t="s">
        <v>901</v>
      </c>
      <c r="I123" s="548">
        <v>44144.0</v>
      </c>
      <c r="J123" s="547">
        <v>11.0</v>
      </c>
      <c r="K123" s="544" t="s">
        <v>19</v>
      </c>
      <c r="L123" s="547" t="s">
        <v>258</v>
      </c>
      <c r="M123" s="529">
        <f t="shared" si="1"/>
        <v>1938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541" t="s">
        <v>4830</v>
      </c>
      <c r="B124" s="542" t="s">
        <v>4831</v>
      </c>
      <c r="C124" s="542">
        <v>2015.0</v>
      </c>
      <c r="D124" s="543">
        <v>42250.0</v>
      </c>
      <c r="E124" s="542" t="s">
        <v>4832</v>
      </c>
      <c r="F124" s="542" t="s">
        <v>2307</v>
      </c>
      <c r="G124" s="542" t="s">
        <v>17</v>
      </c>
      <c r="H124" s="542" t="s">
        <v>130</v>
      </c>
      <c r="I124" s="543">
        <v>44144.0</v>
      </c>
      <c r="J124" s="542">
        <v>11.0</v>
      </c>
      <c r="K124" s="544" t="s">
        <v>19</v>
      </c>
      <c r="L124" s="542" t="s">
        <v>256</v>
      </c>
      <c r="M124" s="528">
        <f t="shared" si="1"/>
        <v>1894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546" t="s">
        <v>4833</v>
      </c>
      <c r="B125" s="547" t="s">
        <v>4834</v>
      </c>
      <c r="C125" s="547">
        <v>2017.0</v>
      </c>
      <c r="D125" s="548">
        <v>42790.0</v>
      </c>
      <c r="E125" s="547" t="s">
        <v>4835</v>
      </c>
      <c r="F125" s="547" t="s">
        <v>1811</v>
      </c>
      <c r="G125" s="547" t="s">
        <v>17</v>
      </c>
      <c r="H125" s="547" t="s">
        <v>596</v>
      </c>
      <c r="I125" s="548">
        <v>44144.0</v>
      </c>
      <c r="J125" s="547">
        <v>11.0</v>
      </c>
      <c r="K125" s="544" t="s">
        <v>19</v>
      </c>
      <c r="L125" s="547" t="s">
        <v>258</v>
      </c>
      <c r="M125" s="529">
        <f t="shared" si="1"/>
        <v>1354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541" t="s">
        <v>4836</v>
      </c>
      <c r="B126" s="542" t="s">
        <v>4837</v>
      </c>
      <c r="C126" s="542">
        <v>2018.0</v>
      </c>
      <c r="D126" s="543">
        <v>43250.0</v>
      </c>
      <c r="E126" s="542" t="s">
        <v>4838</v>
      </c>
      <c r="F126" s="542" t="s">
        <v>874</v>
      </c>
      <c r="G126" s="542" t="s">
        <v>17</v>
      </c>
      <c r="H126" s="542" t="s">
        <v>26</v>
      </c>
      <c r="I126" s="543">
        <v>44144.0</v>
      </c>
      <c r="J126" s="542">
        <v>11.0</v>
      </c>
      <c r="K126" s="544" t="s">
        <v>19</v>
      </c>
      <c r="L126" s="542" t="s">
        <v>256</v>
      </c>
      <c r="M126" s="528">
        <f t="shared" si="1"/>
        <v>894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546" t="s">
        <v>4839</v>
      </c>
      <c r="B127" s="547" t="s">
        <v>4840</v>
      </c>
      <c r="C127" s="547">
        <v>2018.0</v>
      </c>
      <c r="D127" s="548">
        <v>43434.0</v>
      </c>
      <c r="E127" s="547" t="s">
        <v>4841</v>
      </c>
      <c r="F127" s="547" t="s">
        <v>4842</v>
      </c>
      <c r="G127" s="547" t="s">
        <v>17</v>
      </c>
      <c r="H127" s="547" t="s">
        <v>26</v>
      </c>
      <c r="I127" s="548">
        <v>44144.0</v>
      </c>
      <c r="J127" s="547">
        <v>11.0</v>
      </c>
      <c r="K127" s="544" t="s">
        <v>19</v>
      </c>
      <c r="L127" s="547" t="s">
        <v>256</v>
      </c>
      <c r="M127" s="529">
        <f t="shared" si="1"/>
        <v>710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541" t="s">
        <v>4843</v>
      </c>
      <c r="B128" s="542" t="s">
        <v>4844</v>
      </c>
      <c r="C128" s="542">
        <v>2019.0</v>
      </c>
      <c r="D128" s="543">
        <v>43706.0</v>
      </c>
      <c r="E128" s="542" t="s">
        <v>4845</v>
      </c>
      <c r="F128" s="542" t="s">
        <v>1232</v>
      </c>
      <c r="G128" s="542" t="s">
        <v>17</v>
      </c>
      <c r="H128" s="542" t="s">
        <v>573</v>
      </c>
      <c r="I128" s="543">
        <v>44144.0</v>
      </c>
      <c r="J128" s="542">
        <v>11.0</v>
      </c>
      <c r="K128" s="544" t="s">
        <v>19</v>
      </c>
      <c r="L128" s="542" t="s">
        <v>256</v>
      </c>
      <c r="M128" s="528">
        <f t="shared" si="1"/>
        <v>438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546" t="s">
        <v>4846</v>
      </c>
      <c r="B129" s="547" t="s">
        <v>4847</v>
      </c>
      <c r="C129" s="547">
        <v>2015.0</v>
      </c>
      <c r="D129" s="548">
        <v>42261.0</v>
      </c>
      <c r="E129" s="547" t="s">
        <v>4848</v>
      </c>
      <c r="F129" s="547" t="s">
        <v>1460</v>
      </c>
      <c r="G129" s="547" t="s">
        <v>17</v>
      </c>
      <c r="H129" s="547" t="s">
        <v>153</v>
      </c>
      <c r="I129" s="548">
        <v>44151.0</v>
      </c>
      <c r="J129" s="547">
        <v>11.0</v>
      </c>
      <c r="K129" s="544" t="s">
        <v>19</v>
      </c>
      <c r="L129" s="547" t="s">
        <v>258</v>
      </c>
      <c r="M129" s="529">
        <f t="shared" si="1"/>
        <v>1890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541" t="s">
        <v>4849</v>
      </c>
      <c r="B130" s="542" t="s">
        <v>4850</v>
      </c>
      <c r="C130" s="542">
        <v>2014.0</v>
      </c>
      <c r="D130" s="543">
        <v>41696.0</v>
      </c>
      <c r="E130" s="542" t="s">
        <v>4851</v>
      </c>
      <c r="F130" s="542" t="s">
        <v>4561</v>
      </c>
      <c r="G130" s="542" t="s">
        <v>17</v>
      </c>
      <c r="H130" s="542" t="s">
        <v>573</v>
      </c>
      <c r="I130" s="543">
        <v>44151.0</v>
      </c>
      <c r="J130" s="542">
        <v>11.0</v>
      </c>
      <c r="K130" s="544" t="s">
        <v>19</v>
      </c>
      <c r="L130" s="542" t="s">
        <v>258</v>
      </c>
      <c r="M130" s="528">
        <f t="shared" si="1"/>
        <v>2455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546" t="s">
        <v>4852</v>
      </c>
      <c r="B131" s="547" t="s">
        <v>4853</v>
      </c>
      <c r="C131" s="547">
        <v>2016.0</v>
      </c>
      <c r="D131" s="548">
        <v>42618.0</v>
      </c>
      <c r="E131" s="547" t="s">
        <v>4854</v>
      </c>
      <c r="F131" s="547" t="s">
        <v>666</v>
      </c>
      <c r="G131" s="547" t="s">
        <v>17</v>
      </c>
      <c r="H131" s="547" t="s">
        <v>130</v>
      </c>
      <c r="I131" s="548">
        <v>44151.0</v>
      </c>
      <c r="J131" s="547">
        <v>11.0</v>
      </c>
      <c r="K131" s="544" t="s">
        <v>19</v>
      </c>
      <c r="L131" s="547" t="s">
        <v>258</v>
      </c>
      <c r="M131" s="529">
        <f t="shared" si="1"/>
        <v>1533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541" t="s">
        <v>4855</v>
      </c>
      <c r="B132" s="542" t="s">
        <v>4856</v>
      </c>
      <c r="C132" s="542">
        <v>2019.0</v>
      </c>
      <c r="D132" s="543">
        <v>43580.0</v>
      </c>
      <c r="E132" s="542" t="s">
        <v>4857</v>
      </c>
      <c r="F132" s="542" t="s">
        <v>1232</v>
      </c>
      <c r="G132" s="542" t="s">
        <v>17</v>
      </c>
      <c r="H132" s="542" t="s">
        <v>3026</v>
      </c>
      <c r="I132" s="543">
        <v>44151.0</v>
      </c>
      <c r="J132" s="542">
        <v>11.0</v>
      </c>
      <c r="K132" s="544" t="s">
        <v>19</v>
      </c>
      <c r="L132" s="542" t="s">
        <v>256</v>
      </c>
      <c r="M132" s="528">
        <f t="shared" si="1"/>
        <v>571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546" t="s">
        <v>4858</v>
      </c>
      <c r="B133" s="547" t="s">
        <v>4859</v>
      </c>
      <c r="C133" s="547">
        <v>2015.0</v>
      </c>
      <c r="D133" s="548">
        <v>42263.0</v>
      </c>
      <c r="E133" s="547" t="s">
        <v>4860</v>
      </c>
      <c r="F133" s="547" t="s">
        <v>55</v>
      </c>
      <c r="G133" s="547" t="s">
        <v>17</v>
      </c>
      <c r="H133" s="547" t="s">
        <v>66</v>
      </c>
      <c r="I133" s="548">
        <v>44151.0</v>
      </c>
      <c r="J133" s="547">
        <v>11.0</v>
      </c>
      <c r="K133" s="544" t="s">
        <v>19</v>
      </c>
      <c r="L133" s="547" t="s">
        <v>258</v>
      </c>
      <c r="M133" s="529">
        <f t="shared" si="1"/>
        <v>1888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541" t="s">
        <v>4861</v>
      </c>
      <c r="B134" s="542" t="s">
        <v>4862</v>
      </c>
      <c r="C134" s="542">
        <v>2014.0</v>
      </c>
      <c r="D134" s="543">
        <v>41950.0</v>
      </c>
      <c r="E134" s="542" t="s">
        <v>4863</v>
      </c>
      <c r="F134" s="542" t="s">
        <v>1811</v>
      </c>
      <c r="G134" s="542" t="s">
        <v>17</v>
      </c>
      <c r="H134" s="542" t="s">
        <v>66</v>
      </c>
      <c r="I134" s="543">
        <v>44151.0</v>
      </c>
      <c r="J134" s="542">
        <v>11.0</v>
      </c>
      <c r="K134" s="544" t="s">
        <v>19</v>
      </c>
      <c r="L134" s="542" t="s">
        <v>258</v>
      </c>
      <c r="M134" s="528">
        <f t="shared" si="1"/>
        <v>2201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546" t="s">
        <v>4864</v>
      </c>
      <c r="B135" s="547" t="s">
        <v>4865</v>
      </c>
      <c r="C135" s="547">
        <v>2019.0</v>
      </c>
      <c r="D135" s="548">
        <v>43524.0</v>
      </c>
      <c r="E135" s="547" t="s">
        <v>4866</v>
      </c>
      <c r="F135" s="547" t="s">
        <v>65</v>
      </c>
      <c r="G135" s="547" t="s">
        <v>17</v>
      </c>
      <c r="H135" s="547" t="s">
        <v>1091</v>
      </c>
      <c r="I135" s="548">
        <v>44151.0</v>
      </c>
      <c r="J135" s="547">
        <v>11.0</v>
      </c>
      <c r="K135" s="544" t="s">
        <v>19</v>
      </c>
      <c r="L135" s="547" t="s">
        <v>254</v>
      </c>
      <c r="M135" s="529">
        <f t="shared" si="1"/>
        <v>627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541" t="s">
        <v>4867</v>
      </c>
      <c r="B136" s="542" t="s">
        <v>4868</v>
      </c>
      <c r="C136" s="542">
        <v>2018.0</v>
      </c>
      <c r="D136" s="543">
        <v>43451.0</v>
      </c>
      <c r="E136" s="542" t="s">
        <v>4869</v>
      </c>
      <c r="F136" s="542" t="s">
        <v>65</v>
      </c>
      <c r="G136" s="542" t="s">
        <v>17</v>
      </c>
      <c r="H136" s="542" t="s">
        <v>934</v>
      </c>
      <c r="I136" s="543">
        <v>44151.0</v>
      </c>
      <c r="J136" s="542">
        <v>11.0</v>
      </c>
      <c r="K136" s="544" t="s">
        <v>19</v>
      </c>
      <c r="L136" s="542" t="s">
        <v>254</v>
      </c>
      <c r="M136" s="528">
        <f t="shared" si="1"/>
        <v>700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546" t="s">
        <v>4870</v>
      </c>
      <c r="B137" s="547" t="s">
        <v>4871</v>
      </c>
      <c r="C137" s="547">
        <v>2017.0</v>
      </c>
      <c r="D137" s="548">
        <v>42947.0</v>
      </c>
      <c r="E137" s="547" t="s">
        <v>4872</v>
      </c>
      <c r="F137" s="547" t="s">
        <v>2233</v>
      </c>
      <c r="G137" s="547" t="s">
        <v>17</v>
      </c>
      <c r="H137" s="547" t="s">
        <v>1002</v>
      </c>
      <c r="I137" s="548">
        <v>44151.0</v>
      </c>
      <c r="J137" s="547">
        <v>11.0</v>
      </c>
      <c r="K137" s="544" t="s">
        <v>19</v>
      </c>
      <c r="L137" s="547" t="s">
        <v>256</v>
      </c>
      <c r="M137" s="529">
        <f t="shared" si="1"/>
        <v>1204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541" t="s">
        <v>4873</v>
      </c>
      <c r="B138" s="542" t="s">
        <v>4874</v>
      </c>
      <c r="C138" s="542">
        <v>2017.0</v>
      </c>
      <c r="D138" s="543">
        <v>42894.0</v>
      </c>
      <c r="E138" s="542" t="s">
        <v>4875</v>
      </c>
      <c r="F138" s="542" t="s">
        <v>2233</v>
      </c>
      <c r="G138" s="542" t="s">
        <v>17</v>
      </c>
      <c r="H138" s="542" t="s">
        <v>1178</v>
      </c>
      <c r="I138" s="543">
        <v>44151.0</v>
      </c>
      <c r="J138" s="542">
        <v>11.0</v>
      </c>
      <c r="K138" s="544" t="s">
        <v>19</v>
      </c>
      <c r="L138" s="542" t="s">
        <v>256</v>
      </c>
      <c r="M138" s="528">
        <f t="shared" si="1"/>
        <v>1257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546" t="s">
        <v>4876</v>
      </c>
      <c r="B139" s="547" t="s">
        <v>4877</v>
      </c>
      <c r="C139" s="547">
        <v>2015.0</v>
      </c>
      <c r="D139" s="548">
        <v>42303.0</v>
      </c>
      <c r="E139" s="547" t="s">
        <v>4878</v>
      </c>
      <c r="F139" s="547" t="s">
        <v>2233</v>
      </c>
      <c r="G139" s="547" t="s">
        <v>17</v>
      </c>
      <c r="H139" s="547" t="s">
        <v>50</v>
      </c>
      <c r="I139" s="548">
        <v>44151.0</v>
      </c>
      <c r="J139" s="547">
        <v>11.0</v>
      </c>
      <c r="K139" s="544" t="s">
        <v>19</v>
      </c>
      <c r="L139" s="547" t="s">
        <v>256</v>
      </c>
      <c r="M139" s="529">
        <f t="shared" si="1"/>
        <v>1848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541" t="s">
        <v>4879</v>
      </c>
      <c r="B140" s="542" t="s">
        <v>4880</v>
      </c>
      <c r="C140" s="542">
        <v>2015.0</v>
      </c>
      <c r="D140" s="543">
        <v>42216.0</v>
      </c>
      <c r="E140" s="542" t="s">
        <v>4881</v>
      </c>
      <c r="F140" s="542" t="s">
        <v>2233</v>
      </c>
      <c r="G140" s="542" t="s">
        <v>17</v>
      </c>
      <c r="H140" s="542" t="s">
        <v>26</v>
      </c>
      <c r="I140" s="543">
        <v>44151.0</v>
      </c>
      <c r="J140" s="542">
        <v>11.0</v>
      </c>
      <c r="K140" s="544" t="s">
        <v>19</v>
      </c>
      <c r="L140" s="542" t="s">
        <v>256</v>
      </c>
      <c r="M140" s="528">
        <f t="shared" si="1"/>
        <v>1935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546" t="s">
        <v>4882</v>
      </c>
      <c r="B141" s="547" t="s">
        <v>4883</v>
      </c>
      <c r="C141" s="547">
        <v>2015.0</v>
      </c>
      <c r="D141" s="548">
        <v>42123.0</v>
      </c>
      <c r="E141" s="547" t="s">
        <v>4884</v>
      </c>
      <c r="F141" s="547" t="s">
        <v>2233</v>
      </c>
      <c r="G141" s="547" t="s">
        <v>17</v>
      </c>
      <c r="H141" s="547" t="s">
        <v>153</v>
      </c>
      <c r="I141" s="548">
        <v>44151.0</v>
      </c>
      <c r="J141" s="547">
        <v>11.0</v>
      </c>
      <c r="K141" s="544" t="s">
        <v>19</v>
      </c>
      <c r="L141" s="547" t="s">
        <v>256</v>
      </c>
      <c r="M141" s="529">
        <f t="shared" si="1"/>
        <v>2028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541" t="s">
        <v>4885</v>
      </c>
      <c r="B142" s="542" t="s">
        <v>3090</v>
      </c>
      <c r="C142" s="542">
        <v>2011.0</v>
      </c>
      <c r="D142" s="543">
        <v>40738.0</v>
      </c>
      <c r="E142" s="542" t="s">
        <v>4886</v>
      </c>
      <c r="F142" s="542" t="s">
        <v>92</v>
      </c>
      <c r="G142" s="542" t="s">
        <v>17</v>
      </c>
      <c r="H142" s="542" t="s">
        <v>163</v>
      </c>
      <c r="I142" s="543">
        <v>44161.0</v>
      </c>
      <c r="J142" s="542">
        <v>11.0</v>
      </c>
      <c r="K142" s="544" t="s">
        <v>19</v>
      </c>
      <c r="L142" s="542" t="s">
        <v>258</v>
      </c>
      <c r="M142" s="528">
        <f t="shared" si="1"/>
        <v>3423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546" t="s">
        <v>4887</v>
      </c>
      <c r="B143" s="547" t="s">
        <v>4888</v>
      </c>
      <c r="C143" s="547">
        <v>2018.0</v>
      </c>
      <c r="D143" s="548">
        <v>43150.0</v>
      </c>
      <c r="E143" s="547" t="s">
        <v>4889</v>
      </c>
      <c r="F143" s="547" t="s">
        <v>92</v>
      </c>
      <c r="G143" s="547" t="s">
        <v>17</v>
      </c>
      <c r="H143" s="547" t="s">
        <v>153</v>
      </c>
      <c r="I143" s="548">
        <v>44161.0</v>
      </c>
      <c r="J143" s="547">
        <v>11.0</v>
      </c>
      <c r="K143" s="544" t="s">
        <v>19</v>
      </c>
      <c r="L143" s="547" t="s">
        <v>258</v>
      </c>
      <c r="M143" s="529">
        <f t="shared" si="1"/>
        <v>1011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541" t="s">
        <v>4890</v>
      </c>
      <c r="B144" s="542" t="s">
        <v>4891</v>
      </c>
      <c r="C144" s="542">
        <v>2014.0</v>
      </c>
      <c r="D144" s="543">
        <v>41974.0</v>
      </c>
      <c r="E144" s="542" t="s">
        <v>4892</v>
      </c>
      <c r="F144" s="542" t="s">
        <v>739</v>
      </c>
      <c r="G144" s="542" t="s">
        <v>17</v>
      </c>
      <c r="H144" s="542" t="s">
        <v>130</v>
      </c>
      <c r="I144" s="543">
        <v>44161.0</v>
      </c>
      <c r="J144" s="542">
        <v>11.0</v>
      </c>
      <c r="K144" s="544" t="s">
        <v>19</v>
      </c>
      <c r="L144" s="542" t="s">
        <v>260</v>
      </c>
      <c r="M144" s="528">
        <f t="shared" si="1"/>
        <v>2187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546" t="s">
        <v>4893</v>
      </c>
      <c r="B145" s="547" t="s">
        <v>4894</v>
      </c>
      <c r="C145" s="547">
        <v>2017.0</v>
      </c>
      <c r="D145" s="548">
        <v>42998.0</v>
      </c>
      <c r="E145" s="547" t="s">
        <v>4895</v>
      </c>
      <c r="F145" s="547" t="s">
        <v>1762</v>
      </c>
      <c r="G145" s="547" t="s">
        <v>17</v>
      </c>
      <c r="H145" s="547" t="s">
        <v>56</v>
      </c>
      <c r="I145" s="548">
        <v>44161.0</v>
      </c>
      <c r="J145" s="547">
        <v>11.0</v>
      </c>
      <c r="K145" s="544" t="s">
        <v>19</v>
      </c>
      <c r="L145" s="547" t="s">
        <v>256</v>
      </c>
      <c r="M145" s="529">
        <f t="shared" si="1"/>
        <v>1163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541" t="s">
        <v>4896</v>
      </c>
      <c r="B146" s="542" t="s">
        <v>4897</v>
      </c>
      <c r="C146" s="542">
        <v>2018.0</v>
      </c>
      <c r="D146" s="543">
        <v>43308.0</v>
      </c>
      <c r="E146" s="542" t="s">
        <v>4898</v>
      </c>
      <c r="F146" s="542" t="s">
        <v>186</v>
      </c>
      <c r="G146" s="542" t="s">
        <v>17</v>
      </c>
      <c r="H146" s="542" t="s">
        <v>4899</v>
      </c>
      <c r="I146" s="543">
        <v>44161.0</v>
      </c>
      <c r="J146" s="542">
        <v>11.0</v>
      </c>
      <c r="K146" s="544" t="s">
        <v>19</v>
      </c>
      <c r="L146" s="542" t="s">
        <v>256</v>
      </c>
      <c r="M146" s="528">
        <f t="shared" si="1"/>
        <v>853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546" t="s">
        <v>4900</v>
      </c>
      <c r="B147" s="547" t="s">
        <v>4901</v>
      </c>
      <c r="C147" s="547">
        <v>2019.0</v>
      </c>
      <c r="D147" s="548">
        <v>43612.0</v>
      </c>
      <c r="E147" s="547" t="s">
        <v>4902</v>
      </c>
      <c r="F147" s="547" t="s">
        <v>92</v>
      </c>
      <c r="G147" s="547" t="s">
        <v>17</v>
      </c>
      <c r="H147" s="547" t="s">
        <v>50</v>
      </c>
      <c r="I147" s="548">
        <v>44161.0</v>
      </c>
      <c r="J147" s="547">
        <v>11.0</v>
      </c>
      <c r="K147" s="544" t="s">
        <v>19</v>
      </c>
      <c r="L147" s="547" t="s">
        <v>258</v>
      </c>
      <c r="M147" s="529">
        <f t="shared" si="1"/>
        <v>549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541" t="s">
        <v>4903</v>
      </c>
      <c r="B148" s="542" t="s">
        <v>4904</v>
      </c>
      <c r="C148" s="542">
        <v>2010.0</v>
      </c>
      <c r="D148" s="543">
        <v>40364.0</v>
      </c>
      <c r="E148" s="542" t="s">
        <v>4905</v>
      </c>
      <c r="F148" s="542" t="s">
        <v>1895</v>
      </c>
      <c r="G148" s="542" t="s">
        <v>17</v>
      </c>
      <c r="H148" s="542" t="s">
        <v>153</v>
      </c>
      <c r="I148" s="543">
        <v>44174.0</v>
      </c>
      <c r="J148" s="542">
        <v>12.0</v>
      </c>
      <c r="K148" s="544" t="s">
        <v>19</v>
      </c>
      <c r="L148" s="542" t="s">
        <v>256</v>
      </c>
      <c r="M148" s="528">
        <f t="shared" si="1"/>
        <v>3810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546" t="s">
        <v>4906</v>
      </c>
      <c r="B149" s="547" t="s">
        <v>4907</v>
      </c>
      <c r="C149" s="547">
        <v>2015.0</v>
      </c>
      <c r="D149" s="548">
        <v>42320.0</v>
      </c>
      <c r="E149" s="547" t="s">
        <v>4908</v>
      </c>
      <c r="F149" s="547" t="s">
        <v>92</v>
      </c>
      <c r="G149" s="547" t="s">
        <v>17</v>
      </c>
      <c r="H149" s="547" t="s">
        <v>775</v>
      </c>
      <c r="I149" s="548">
        <v>44174.0</v>
      </c>
      <c r="J149" s="547">
        <v>12.0</v>
      </c>
      <c r="K149" s="544" t="s">
        <v>19</v>
      </c>
      <c r="L149" s="547" t="s">
        <v>258</v>
      </c>
      <c r="M149" s="529">
        <f t="shared" si="1"/>
        <v>1854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541" t="s">
        <v>4909</v>
      </c>
      <c r="B150" s="542" t="s">
        <v>4910</v>
      </c>
      <c r="C150" s="542">
        <v>2015.0</v>
      </c>
      <c r="D150" s="543">
        <v>42361.0</v>
      </c>
      <c r="E150" s="542" t="s">
        <v>4911</v>
      </c>
      <c r="F150" s="542" t="s">
        <v>2307</v>
      </c>
      <c r="G150" s="542" t="s">
        <v>17</v>
      </c>
      <c r="H150" s="542" t="s">
        <v>573</v>
      </c>
      <c r="I150" s="543">
        <v>44174.0</v>
      </c>
      <c r="J150" s="542">
        <v>12.0</v>
      </c>
      <c r="K150" s="544" t="s">
        <v>19</v>
      </c>
      <c r="L150" s="542" t="s">
        <v>256</v>
      </c>
      <c r="M150" s="528">
        <f t="shared" si="1"/>
        <v>1813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546" t="s">
        <v>4912</v>
      </c>
      <c r="B151" s="547" t="s">
        <v>4913</v>
      </c>
      <c r="C151" s="547">
        <v>2016.0</v>
      </c>
      <c r="D151" s="548">
        <v>42628.0</v>
      </c>
      <c r="E151" s="547" t="s">
        <v>4914</v>
      </c>
      <c r="F151" s="547" t="s">
        <v>92</v>
      </c>
      <c r="G151" s="547" t="s">
        <v>17</v>
      </c>
      <c r="H151" s="547" t="s">
        <v>573</v>
      </c>
      <c r="I151" s="548">
        <v>44174.0</v>
      </c>
      <c r="J151" s="547">
        <v>12.0</v>
      </c>
      <c r="K151" s="544" t="s">
        <v>19</v>
      </c>
      <c r="L151" s="547" t="s">
        <v>258</v>
      </c>
      <c r="M151" s="529">
        <f t="shared" si="1"/>
        <v>1546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541" t="s">
        <v>4915</v>
      </c>
      <c r="B152" s="542" t="s">
        <v>4916</v>
      </c>
      <c r="C152" s="542">
        <v>2017.0</v>
      </c>
      <c r="D152" s="543">
        <v>42908.0</v>
      </c>
      <c r="E152" s="542" t="s">
        <v>4917</v>
      </c>
      <c r="F152" s="542" t="s">
        <v>3209</v>
      </c>
      <c r="G152" s="542" t="s">
        <v>17</v>
      </c>
      <c r="H152" s="542" t="s">
        <v>50</v>
      </c>
      <c r="I152" s="543">
        <v>44174.0</v>
      </c>
      <c r="J152" s="542">
        <v>12.0</v>
      </c>
      <c r="K152" s="544" t="s">
        <v>19</v>
      </c>
      <c r="L152" s="542" t="s">
        <v>256</v>
      </c>
      <c r="M152" s="528">
        <f t="shared" si="1"/>
        <v>1266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546" t="s">
        <v>4918</v>
      </c>
      <c r="B153" s="547" t="s">
        <v>4919</v>
      </c>
      <c r="C153" s="547">
        <v>2010.0</v>
      </c>
      <c r="D153" s="548">
        <v>40323.0</v>
      </c>
      <c r="E153" s="547" t="s">
        <v>4920</v>
      </c>
      <c r="F153" s="547" t="s">
        <v>4921</v>
      </c>
      <c r="G153" s="547" t="s">
        <v>34</v>
      </c>
      <c r="H153" s="547" t="s">
        <v>4922</v>
      </c>
      <c r="I153" s="548">
        <v>44175.0</v>
      </c>
      <c r="J153" s="547">
        <v>12.0</v>
      </c>
      <c r="K153" s="549" t="s">
        <v>602</v>
      </c>
      <c r="L153" s="547" t="s">
        <v>256</v>
      </c>
      <c r="M153" s="529">
        <f t="shared" si="1"/>
        <v>3852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541" t="s">
        <v>4923</v>
      </c>
      <c r="B154" s="542" t="s">
        <v>4924</v>
      </c>
      <c r="C154" s="542">
        <v>2018.0</v>
      </c>
      <c r="D154" s="543">
        <v>43341.0</v>
      </c>
      <c r="E154" s="542" t="s">
        <v>4925</v>
      </c>
      <c r="F154" s="542" t="s">
        <v>586</v>
      </c>
      <c r="G154" s="542" t="s">
        <v>17</v>
      </c>
      <c r="H154" s="542" t="s">
        <v>1091</v>
      </c>
      <c r="I154" s="543">
        <v>44175.0</v>
      </c>
      <c r="J154" s="542">
        <v>12.0</v>
      </c>
      <c r="K154" s="544" t="s">
        <v>19</v>
      </c>
      <c r="L154" s="542" t="s">
        <v>256</v>
      </c>
      <c r="M154" s="528">
        <f t="shared" si="1"/>
        <v>834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546" t="s">
        <v>4926</v>
      </c>
      <c r="B155" s="547" t="s">
        <v>4927</v>
      </c>
      <c r="C155" s="547">
        <v>2017.0</v>
      </c>
      <c r="D155" s="548">
        <v>42954.0</v>
      </c>
      <c r="E155" s="547" t="s">
        <v>4928</v>
      </c>
      <c r="F155" s="547" t="s">
        <v>1232</v>
      </c>
      <c r="G155" s="547" t="s">
        <v>17</v>
      </c>
      <c r="H155" s="547" t="s">
        <v>56</v>
      </c>
      <c r="I155" s="548">
        <v>44186.0</v>
      </c>
      <c r="J155" s="547">
        <v>12.0</v>
      </c>
      <c r="K155" s="544" t="s">
        <v>19</v>
      </c>
      <c r="L155" s="547" t="s">
        <v>256</v>
      </c>
      <c r="M155" s="529">
        <f t="shared" si="1"/>
        <v>1232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541" t="s">
        <v>4929</v>
      </c>
      <c r="B156" s="542" t="s">
        <v>4930</v>
      </c>
      <c r="C156" s="542">
        <v>2014.0</v>
      </c>
      <c r="D156" s="543">
        <v>41876.0</v>
      </c>
      <c r="E156" s="542" t="s">
        <v>4931</v>
      </c>
      <c r="F156" s="542" t="s">
        <v>1554</v>
      </c>
      <c r="G156" s="542" t="s">
        <v>17</v>
      </c>
      <c r="H156" s="542" t="s">
        <v>50</v>
      </c>
      <c r="I156" s="543">
        <v>44186.0</v>
      </c>
      <c r="J156" s="542">
        <v>12.0</v>
      </c>
      <c r="K156" s="544" t="s">
        <v>19</v>
      </c>
      <c r="L156" s="542" t="s">
        <v>258</v>
      </c>
      <c r="M156" s="528">
        <f t="shared" si="1"/>
        <v>2310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546" t="s">
        <v>4932</v>
      </c>
      <c r="B157" s="547" t="s">
        <v>4933</v>
      </c>
      <c r="C157" s="547">
        <v>2018.0</v>
      </c>
      <c r="D157" s="548">
        <v>43378.0</v>
      </c>
      <c r="E157" s="547" t="s">
        <v>4934</v>
      </c>
      <c r="F157" s="547" t="s">
        <v>586</v>
      </c>
      <c r="G157" s="547" t="s">
        <v>17</v>
      </c>
      <c r="H157" s="547" t="s">
        <v>573</v>
      </c>
      <c r="I157" s="548">
        <v>44186.0</v>
      </c>
      <c r="J157" s="547">
        <v>12.0</v>
      </c>
      <c r="K157" s="544" t="s">
        <v>19</v>
      </c>
      <c r="L157" s="547" t="s">
        <v>256</v>
      </c>
      <c r="M157" s="529">
        <f t="shared" si="1"/>
        <v>808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541" t="s">
        <v>4935</v>
      </c>
      <c r="B158" s="542" t="s">
        <v>4936</v>
      </c>
      <c r="C158" s="542">
        <v>2017.0</v>
      </c>
      <c r="D158" s="543">
        <v>42814.0</v>
      </c>
      <c r="E158" s="542" t="s">
        <v>4937</v>
      </c>
      <c r="F158" s="542" t="s">
        <v>1401</v>
      </c>
      <c r="G158" s="542" t="s">
        <v>17</v>
      </c>
      <c r="H158" s="542" t="s">
        <v>56</v>
      </c>
      <c r="I158" s="543">
        <v>44186.0</v>
      </c>
      <c r="J158" s="542">
        <v>12.0</v>
      </c>
      <c r="K158" s="544" t="s">
        <v>19</v>
      </c>
      <c r="L158" s="542" t="s">
        <v>258</v>
      </c>
      <c r="M158" s="528">
        <f t="shared" si="1"/>
        <v>1372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546" t="s">
        <v>4938</v>
      </c>
      <c r="B159" s="547" t="s">
        <v>4939</v>
      </c>
      <c r="C159" s="547">
        <v>2017.0</v>
      </c>
      <c r="D159" s="548">
        <v>42765.0</v>
      </c>
      <c r="E159" s="547" t="s">
        <v>4940</v>
      </c>
      <c r="F159" s="547" t="s">
        <v>1554</v>
      </c>
      <c r="G159" s="547" t="s">
        <v>17</v>
      </c>
      <c r="H159" s="547" t="s">
        <v>573</v>
      </c>
      <c r="I159" s="548">
        <v>44186.0</v>
      </c>
      <c r="J159" s="547">
        <v>12.0</v>
      </c>
      <c r="K159" s="544" t="s">
        <v>19</v>
      </c>
      <c r="L159" s="547" t="s">
        <v>258</v>
      </c>
      <c r="M159" s="529">
        <f t="shared" si="1"/>
        <v>1421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541" t="s">
        <v>4941</v>
      </c>
      <c r="B160" s="542" t="s">
        <v>4942</v>
      </c>
      <c r="C160" s="542">
        <v>2018.0</v>
      </c>
      <c r="D160" s="543">
        <v>43404.0</v>
      </c>
      <c r="E160" s="542" t="s">
        <v>4943</v>
      </c>
      <c r="F160" s="542" t="s">
        <v>102</v>
      </c>
      <c r="G160" s="542" t="s">
        <v>17</v>
      </c>
      <c r="H160" s="542" t="s">
        <v>573</v>
      </c>
      <c r="I160" s="543">
        <v>44186.0</v>
      </c>
      <c r="J160" s="542">
        <v>12.0</v>
      </c>
      <c r="K160" s="544" t="s">
        <v>19</v>
      </c>
      <c r="L160" s="542" t="s">
        <v>258</v>
      </c>
      <c r="M160" s="528">
        <f t="shared" si="1"/>
        <v>782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546" t="s">
        <v>4944</v>
      </c>
      <c r="B161" s="547" t="s">
        <v>4945</v>
      </c>
      <c r="C161" s="547">
        <v>2015.0</v>
      </c>
      <c r="D161" s="548">
        <v>42178.0</v>
      </c>
      <c r="E161" s="547" t="s">
        <v>4946</v>
      </c>
      <c r="F161" s="547" t="s">
        <v>1464</v>
      </c>
      <c r="G161" s="547" t="s">
        <v>17</v>
      </c>
      <c r="H161" s="547" t="s">
        <v>153</v>
      </c>
      <c r="I161" s="548">
        <v>44186.0</v>
      </c>
      <c r="J161" s="547">
        <v>12.0</v>
      </c>
      <c r="K161" s="544" t="s">
        <v>19</v>
      </c>
      <c r="L161" s="547" t="s">
        <v>256</v>
      </c>
      <c r="M161" s="529">
        <f t="shared" si="1"/>
        <v>2008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541" t="s">
        <v>4947</v>
      </c>
      <c r="B162" s="542" t="s">
        <v>4948</v>
      </c>
      <c r="C162" s="542">
        <v>2017.0</v>
      </c>
      <c r="D162" s="543">
        <v>43055.0</v>
      </c>
      <c r="E162" s="542" t="s">
        <v>4949</v>
      </c>
      <c r="F162" s="542" t="s">
        <v>1464</v>
      </c>
      <c r="G162" s="542" t="s">
        <v>17</v>
      </c>
      <c r="H162" s="542" t="s">
        <v>1178</v>
      </c>
      <c r="I162" s="543">
        <v>44186.0</v>
      </c>
      <c r="J162" s="542">
        <v>12.0</v>
      </c>
      <c r="K162" s="544" t="s">
        <v>19</v>
      </c>
      <c r="L162" s="542" t="s">
        <v>256</v>
      </c>
      <c r="M162" s="528">
        <f t="shared" si="1"/>
        <v>1131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546" t="s">
        <v>4950</v>
      </c>
      <c r="B163" s="547" t="s">
        <v>4951</v>
      </c>
      <c r="C163" s="547">
        <v>2019.0</v>
      </c>
      <c r="D163" s="548">
        <v>43619.0</v>
      </c>
      <c r="E163" s="547" t="s">
        <v>4952</v>
      </c>
      <c r="F163" s="547" t="s">
        <v>55</v>
      </c>
      <c r="G163" s="547" t="s">
        <v>17</v>
      </c>
      <c r="H163" s="547" t="s">
        <v>153</v>
      </c>
      <c r="I163" s="548">
        <v>44186.0</v>
      </c>
      <c r="J163" s="547">
        <v>12.0</v>
      </c>
      <c r="K163" s="544" t="s">
        <v>19</v>
      </c>
      <c r="L163" s="547" t="s">
        <v>256</v>
      </c>
      <c r="M163" s="529">
        <f t="shared" si="1"/>
        <v>567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541" t="s">
        <v>4953</v>
      </c>
      <c r="B164" s="542" t="s">
        <v>4954</v>
      </c>
      <c r="C164" s="542">
        <v>2014.0</v>
      </c>
      <c r="D164" s="543">
        <v>41983.0</v>
      </c>
      <c r="E164" s="542" t="s">
        <v>4955</v>
      </c>
      <c r="F164" s="542" t="s">
        <v>1554</v>
      </c>
      <c r="G164" s="542" t="s">
        <v>17</v>
      </c>
      <c r="H164" s="542" t="s">
        <v>153</v>
      </c>
      <c r="I164" s="543">
        <v>44186.0</v>
      </c>
      <c r="J164" s="542">
        <v>12.0</v>
      </c>
      <c r="K164" s="544" t="s">
        <v>19</v>
      </c>
      <c r="L164" s="542" t="s">
        <v>258</v>
      </c>
      <c r="M164" s="528">
        <f t="shared" si="1"/>
        <v>2203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546" t="s">
        <v>4956</v>
      </c>
      <c r="B165" s="547" t="s">
        <v>4957</v>
      </c>
      <c r="C165" s="547">
        <v>2014.0</v>
      </c>
      <c r="D165" s="548">
        <v>41788.0</v>
      </c>
      <c r="E165" s="547" t="s">
        <v>4958</v>
      </c>
      <c r="F165" s="547" t="s">
        <v>1232</v>
      </c>
      <c r="G165" s="547" t="s">
        <v>17</v>
      </c>
      <c r="H165" s="547" t="s">
        <v>163</v>
      </c>
      <c r="I165" s="548">
        <v>44186.0</v>
      </c>
      <c r="J165" s="547">
        <v>12.0</v>
      </c>
      <c r="K165" s="544" t="s">
        <v>19</v>
      </c>
      <c r="L165" s="547" t="s">
        <v>256</v>
      </c>
      <c r="M165" s="529">
        <f t="shared" si="1"/>
        <v>2398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541" t="s">
        <v>4959</v>
      </c>
      <c r="B166" s="542" t="s">
        <v>4960</v>
      </c>
      <c r="C166" s="542">
        <v>2017.0</v>
      </c>
      <c r="D166" s="543">
        <v>43039.0</v>
      </c>
      <c r="E166" s="542" t="s">
        <v>4961</v>
      </c>
      <c r="F166" s="542" t="s">
        <v>586</v>
      </c>
      <c r="G166" s="542" t="s">
        <v>17</v>
      </c>
      <c r="H166" s="542" t="s">
        <v>596</v>
      </c>
      <c r="I166" s="543">
        <v>44186.0</v>
      </c>
      <c r="J166" s="542">
        <v>12.0</v>
      </c>
      <c r="K166" s="544" t="s">
        <v>19</v>
      </c>
      <c r="L166" s="542" t="s">
        <v>256</v>
      </c>
      <c r="M166" s="528">
        <f t="shared" si="1"/>
        <v>1147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546" t="s">
        <v>4962</v>
      </c>
      <c r="B167" s="547" t="s">
        <v>4963</v>
      </c>
      <c r="C167" s="547">
        <v>2019.0</v>
      </c>
      <c r="D167" s="548">
        <v>43640.0</v>
      </c>
      <c r="E167" s="547" t="s">
        <v>4964</v>
      </c>
      <c r="F167" s="547" t="s">
        <v>171</v>
      </c>
      <c r="G167" s="547" t="s">
        <v>17</v>
      </c>
      <c r="H167" s="547" t="s">
        <v>26</v>
      </c>
      <c r="I167" s="548">
        <v>44186.0</v>
      </c>
      <c r="J167" s="547">
        <v>12.0</v>
      </c>
      <c r="K167" s="544" t="s">
        <v>19</v>
      </c>
      <c r="L167" s="547" t="s">
        <v>256</v>
      </c>
      <c r="M167" s="529">
        <f t="shared" si="1"/>
        <v>546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541" t="s">
        <v>4965</v>
      </c>
      <c r="B168" s="542" t="s">
        <v>4966</v>
      </c>
      <c r="C168" s="542">
        <v>2015.0</v>
      </c>
      <c r="D168" s="543">
        <v>42132.0</v>
      </c>
      <c r="E168" s="542" t="s">
        <v>4967</v>
      </c>
      <c r="F168" s="542" t="s">
        <v>864</v>
      </c>
      <c r="G168" s="542" t="s">
        <v>17</v>
      </c>
      <c r="H168" s="542" t="s">
        <v>125</v>
      </c>
      <c r="I168" s="543">
        <v>44187.0</v>
      </c>
      <c r="J168" s="542">
        <v>12.0</v>
      </c>
      <c r="K168" s="544" t="s">
        <v>19</v>
      </c>
      <c r="L168" s="542" t="s">
        <v>258</v>
      </c>
      <c r="M168" s="528">
        <f t="shared" si="1"/>
        <v>2055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546" t="s">
        <v>4968</v>
      </c>
      <c r="B169" s="547" t="s">
        <v>4969</v>
      </c>
      <c r="C169" s="547">
        <v>2014.0</v>
      </c>
      <c r="D169" s="548">
        <v>42002.0</v>
      </c>
      <c r="E169" s="547" t="s">
        <v>4970</v>
      </c>
      <c r="F169" s="547" t="s">
        <v>1464</v>
      </c>
      <c r="G169" s="547" t="s">
        <v>17</v>
      </c>
      <c r="H169" s="547" t="s">
        <v>153</v>
      </c>
      <c r="I169" s="548">
        <v>44187.0</v>
      </c>
      <c r="J169" s="547">
        <v>12.0</v>
      </c>
      <c r="K169" s="544" t="s">
        <v>19</v>
      </c>
      <c r="L169" s="547" t="s">
        <v>256</v>
      </c>
      <c r="M169" s="529">
        <f t="shared" si="1"/>
        <v>2185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541" t="s">
        <v>4971</v>
      </c>
      <c r="B170" s="542" t="s">
        <v>4972</v>
      </c>
      <c r="C170" s="542">
        <v>2020.0</v>
      </c>
      <c r="D170" s="543">
        <v>43881.0</v>
      </c>
      <c r="E170" s="542" t="s">
        <v>4973</v>
      </c>
      <c r="F170" s="542" t="s">
        <v>171</v>
      </c>
      <c r="G170" s="542" t="s">
        <v>17</v>
      </c>
      <c r="H170" s="542" t="s">
        <v>3006</v>
      </c>
      <c r="I170" s="543">
        <v>44187.0</v>
      </c>
      <c r="J170" s="542">
        <v>12.0</v>
      </c>
      <c r="K170" s="544" t="s">
        <v>19</v>
      </c>
      <c r="L170" s="542" t="s">
        <v>256</v>
      </c>
      <c r="M170" s="528">
        <f t="shared" si="1"/>
        <v>306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546" t="s">
        <v>4974</v>
      </c>
      <c r="B171" s="547" t="s">
        <v>4975</v>
      </c>
      <c r="C171" s="547">
        <v>2018.0</v>
      </c>
      <c r="D171" s="548">
        <v>43439.0</v>
      </c>
      <c r="E171" s="547" t="s">
        <v>4976</v>
      </c>
      <c r="F171" s="547" t="s">
        <v>1464</v>
      </c>
      <c r="G171" s="547" t="s">
        <v>17</v>
      </c>
      <c r="H171" s="547" t="s">
        <v>153</v>
      </c>
      <c r="I171" s="548">
        <v>44187.0</v>
      </c>
      <c r="J171" s="547">
        <v>12.0</v>
      </c>
      <c r="K171" s="544" t="s">
        <v>19</v>
      </c>
      <c r="L171" s="547" t="s">
        <v>256</v>
      </c>
      <c r="M171" s="529">
        <f t="shared" si="1"/>
        <v>748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2.75" customHeight="1">
      <c r="A172" s="541" t="s">
        <v>4977</v>
      </c>
      <c r="B172" s="542" t="s">
        <v>4978</v>
      </c>
      <c r="C172" s="542">
        <v>2009.0</v>
      </c>
      <c r="D172" s="543">
        <v>39875.0</v>
      </c>
      <c r="E172" s="542" t="s">
        <v>4979</v>
      </c>
      <c r="F172" s="542" t="s">
        <v>4980</v>
      </c>
      <c r="G172" s="542" t="s">
        <v>34</v>
      </c>
      <c r="H172" s="542" t="s">
        <v>705</v>
      </c>
      <c r="I172" s="543">
        <v>44188.0</v>
      </c>
      <c r="J172" s="542">
        <v>12.0</v>
      </c>
      <c r="K172" s="549" t="s">
        <v>602</v>
      </c>
      <c r="L172" s="542" t="s">
        <v>258</v>
      </c>
      <c r="M172" s="528">
        <f t="shared" si="1"/>
        <v>4313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546" t="s">
        <v>4981</v>
      </c>
      <c r="B173" s="547" t="s">
        <v>4982</v>
      </c>
      <c r="C173" s="547">
        <v>2013.0</v>
      </c>
      <c r="D173" s="548">
        <v>41360.0</v>
      </c>
      <c r="E173" s="547" t="s">
        <v>4983</v>
      </c>
      <c r="F173" s="547" t="s">
        <v>4984</v>
      </c>
      <c r="G173" s="547" t="s">
        <v>34</v>
      </c>
      <c r="H173" s="547" t="s">
        <v>18</v>
      </c>
      <c r="I173" s="548">
        <v>44193.0</v>
      </c>
      <c r="J173" s="547">
        <v>12.0</v>
      </c>
      <c r="K173" s="549" t="s">
        <v>602</v>
      </c>
      <c r="L173" s="547" t="s">
        <v>258</v>
      </c>
      <c r="M173" s="529">
        <f t="shared" si="1"/>
        <v>2833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551">
        <v>120.0</v>
      </c>
      <c r="B174" s="552" t="s">
        <v>4985</v>
      </c>
      <c r="C174" s="552">
        <v>2015.0</v>
      </c>
      <c r="D174" s="553">
        <v>42146.0</v>
      </c>
      <c r="E174" s="552" t="s">
        <v>4986</v>
      </c>
      <c r="F174" s="552" t="s">
        <v>2268</v>
      </c>
      <c r="G174" s="552" t="s">
        <v>552</v>
      </c>
      <c r="H174" s="552" t="s">
        <v>130</v>
      </c>
      <c r="I174" s="553">
        <v>43836.0</v>
      </c>
      <c r="J174" s="552">
        <v>1.0</v>
      </c>
      <c r="K174" s="554" t="s">
        <v>242</v>
      </c>
      <c r="L174" s="542" t="s">
        <v>2855</v>
      </c>
      <c r="M174" s="528">
        <f t="shared" si="1"/>
        <v>1690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546">
        <v>220.0</v>
      </c>
      <c r="B175" s="547" t="s">
        <v>4987</v>
      </c>
      <c r="C175" s="547">
        <v>2016.0</v>
      </c>
      <c r="D175" s="548">
        <v>42515.0</v>
      </c>
      <c r="E175" s="547" t="s">
        <v>4988</v>
      </c>
      <c r="F175" s="547" t="s">
        <v>3536</v>
      </c>
      <c r="G175" s="547" t="s">
        <v>552</v>
      </c>
      <c r="H175" s="547" t="s">
        <v>596</v>
      </c>
      <c r="I175" s="548">
        <v>43847.0</v>
      </c>
      <c r="J175" s="547">
        <v>1.0</v>
      </c>
      <c r="K175" s="555" t="s">
        <v>242</v>
      </c>
      <c r="L175" s="547" t="s">
        <v>2860</v>
      </c>
      <c r="M175" s="529">
        <f t="shared" si="1"/>
        <v>1332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541">
        <v>320.0</v>
      </c>
      <c r="B176" s="542" t="s">
        <v>4989</v>
      </c>
      <c r="C176" s="542">
        <v>2017.0</v>
      </c>
      <c r="D176" s="543">
        <v>43089.0</v>
      </c>
      <c r="E176" s="542" t="s">
        <v>4990</v>
      </c>
      <c r="F176" s="542" t="s">
        <v>1762</v>
      </c>
      <c r="G176" s="542" t="s">
        <v>552</v>
      </c>
      <c r="H176" s="542" t="s">
        <v>66</v>
      </c>
      <c r="I176" s="543">
        <v>43865.0</v>
      </c>
      <c r="J176" s="542">
        <v>2.0</v>
      </c>
      <c r="K176" s="555" t="s">
        <v>238</v>
      </c>
      <c r="L176" s="542" t="s">
        <v>2860</v>
      </c>
      <c r="M176" s="528">
        <f t="shared" si="1"/>
        <v>776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customHeight="1">
      <c r="A177" s="546">
        <v>420.0</v>
      </c>
      <c r="B177" s="547" t="s">
        <v>4991</v>
      </c>
      <c r="C177" s="547">
        <v>2019.0</v>
      </c>
      <c r="D177" s="548">
        <v>43629.0</v>
      </c>
      <c r="E177" s="547" t="s">
        <v>4992</v>
      </c>
      <c r="F177" s="556" t="s">
        <v>4993</v>
      </c>
      <c r="G177" s="547" t="s">
        <v>565</v>
      </c>
      <c r="H177" s="547" t="s">
        <v>2550</v>
      </c>
      <c r="I177" s="548">
        <v>43865.0</v>
      </c>
      <c r="J177" s="547">
        <v>2.0</v>
      </c>
      <c r="K177" s="555" t="s">
        <v>242</v>
      </c>
      <c r="L177" s="547" t="s">
        <v>3310</v>
      </c>
      <c r="M177" s="529">
        <f t="shared" si="1"/>
        <v>236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541">
        <v>520.0</v>
      </c>
      <c r="B178" s="542" t="s">
        <v>4994</v>
      </c>
      <c r="C178" s="542">
        <v>2019.0</v>
      </c>
      <c r="D178" s="543">
        <v>43591.0</v>
      </c>
      <c r="E178" s="542" t="s">
        <v>4995</v>
      </c>
      <c r="F178" s="557" t="s">
        <v>4993</v>
      </c>
      <c r="G178" s="542" t="s">
        <v>565</v>
      </c>
      <c r="H178" s="542" t="s">
        <v>2550</v>
      </c>
      <c r="I178" s="543">
        <v>43865.0</v>
      </c>
      <c r="J178" s="542">
        <v>2.0</v>
      </c>
      <c r="K178" s="555" t="s">
        <v>242</v>
      </c>
      <c r="L178" s="542" t="s">
        <v>3310</v>
      </c>
      <c r="M178" s="528">
        <f t="shared" si="1"/>
        <v>274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2.75" customHeight="1">
      <c r="A179" s="546">
        <v>620.0</v>
      </c>
      <c r="B179" s="547" t="s">
        <v>4996</v>
      </c>
      <c r="C179" s="547">
        <v>2016.0</v>
      </c>
      <c r="D179" s="548">
        <v>42523.0</v>
      </c>
      <c r="E179" s="547" t="s">
        <v>4997</v>
      </c>
      <c r="F179" s="547" t="s">
        <v>3572</v>
      </c>
      <c r="G179" s="547" t="s">
        <v>552</v>
      </c>
      <c r="H179" s="547" t="s">
        <v>775</v>
      </c>
      <c r="I179" s="548">
        <v>43865.0</v>
      </c>
      <c r="J179" s="547">
        <v>2.0</v>
      </c>
      <c r="K179" s="555" t="s">
        <v>240</v>
      </c>
      <c r="L179" s="547" t="s">
        <v>2860</v>
      </c>
      <c r="M179" s="529">
        <f t="shared" si="1"/>
        <v>1342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541">
        <v>720.0</v>
      </c>
      <c r="B180" s="542" t="s">
        <v>4998</v>
      </c>
      <c r="C180" s="542">
        <v>2017.0</v>
      </c>
      <c r="D180" s="543">
        <v>43053.0</v>
      </c>
      <c r="E180" s="542" t="s">
        <v>4999</v>
      </c>
      <c r="F180" s="542" t="s">
        <v>1846</v>
      </c>
      <c r="G180" s="542" t="s">
        <v>552</v>
      </c>
      <c r="H180" s="542" t="s">
        <v>5000</v>
      </c>
      <c r="I180" s="543">
        <v>43865.0</v>
      </c>
      <c r="J180" s="542">
        <v>2.0</v>
      </c>
      <c r="K180" s="555" t="s">
        <v>242</v>
      </c>
      <c r="L180" s="542" t="s">
        <v>2855</v>
      </c>
      <c r="M180" s="528">
        <f t="shared" si="1"/>
        <v>812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546">
        <v>820.0</v>
      </c>
      <c r="B181" s="547" t="s">
        <v>5001</v>
      </c>
      <c r="C181" s="547">
        <v>2016.0</v>
      </c>
      <c r="D181" s="548">
        <v>42705.0</v>
      </c>
      <c r="E181" s="547" t="s">
        <v>5002</v>
      </c>
      <c r="F181" s="547" t="s">
        <v>1554</v>
      </c>
      <c r="G181" s="547" t="s">
        <v>552</v>
      </c>
      <c r="H181" s="547" t="s">
        <v>775</v>
      </c>
      <c r="I181" s="548">
        <v>43878.0</v>
      </c>
      <c r="J181" s="547">
        <v>2.0</v>
      </c>
      <c r="K181" s="549" t="s">
        <v>822</v>
      </c>
      <c r="L181" s="547" t="s">
        <v>2855</v>
      </c>
      <c r="M181" s="529">
        <f t="shared" si="1"/>
        <v>1173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541">
        <v>920.0</v>
      </c>
      <c r="B182" s="558" t="s">
        <v>3889</v>
      </c>
      <c r="C182" s="558" t="s">
        <v>3889</v>
      </c>
      <c r="D182" s="559" t="s">
        <v>3889</v>
      </c>
      <c r="E182" s="558" t="s">
        <v>3889</v>
      </c>
      <c r="F182" s="558" t="s">
        <v>3889</v>
      </c>
      <c r="G182" s="558" t="s">
        <v>3889</v>
      </c>
      <c r="H182" s="558" t="s">
        <v>3889</v>
      </c>
      <c r="I182" s="559" t="s">
        <v>3889</v>
      </c>
      <c r="J182" s="558" t="s">
        <v>3889</v>
      </c>
      <c r="K182" s="558" t="s">
        <v>3889</v>
      </c>
      <c r="L182" s="558" t="s">
        <v>3889</v>
      </c>
      <c r="M182" s="560" t="s">
        <v>3889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546">
        <v>1020.0</v>
      </c>
      <c r="B183" s="547" t="s">
        <v>5003</v>
      </c>
      <c r="C183" s="547">
        <v>2013.0</v>
      </c>
      <c r="D183" s="548">
        <v>41605.0</v>
      </c>
      <c r="E183" s="547" t="s">
        <v>5004</v>
      </c>
      <c r="F183" s="547" t="s">
        <v>3993</v>
      </c>
      <c r="G183" s="547" t="s">
        <v>650</v>
      </c>
      <c r="H183" s="547" t="s">
        <v>158</v>
      </c>
      <c r="I183" s="548">
        <v>43878.0</v>
      </c>
      <c r="J183" s="547">
        <v>2.0</v>
      </c>
      <c r="K183" s="561" t="s">
        <v>236</v>
      </c>
      <c r="L183" s="547" t="s">
        <v>2860</v>
      </c>
      <c r="M183" s="529">
        <f t="shared" ref="M183:M347" si="2">I183-D183</f>
        <v>2273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541">
        <v>1120.0</v>
      </c>
      <c r="B184" s="542" t="s">
        <v>5005</v>
      </c>
      <c r="C184" s="542">
        <v>2014.0</v>
      </c>
      <c r="D184" s="543">
        <v>41978.0</v>
      </c>
      <c r="E184" s="542" t="s">
        <v>5006</v>
      </c>
      <c r="F184" s="542" t="s">
        <v>148</v>
      </c>
      <c r="G184" s="542" t="s">
        <v>552</v>
      </c>
      <c r="H184" s="542" t="s">
        <v>130</v>
      </c>
      <c r="I184" s="543">
        <v>43878.0</v>
      </c>
      <c r="J184" s="542">
        <v>2.0</v>
      </c>
      <c r="K184" s="555" t="s">
        <v>242</v>
      </c>
      <c r="L184" s="542" t="s">
        <v>2860</v>
      </c>
      <c r="M184" s="528">
        <f t="shared" si="2"/>
        <v>1900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546">
        <v>1220.0</v>
      </c>
      <c r="B185" s="547" t="s">
        <v>5007</v>
      </c>
      <c r="C185" s="547">
        <v>2013.0</v>
      </c>
      <c r="D185" s="548">
        <v>41516.0</v>
      </c>
      <c r="E185" s="547" t="s">
        <v>5008</v>
      </c>
      <c r="F185" s="547" t="s">
        <v>711</v>
      </c>
      <c r="G185" s="547" t="s">
        <v>552</v>
      </c>
      <c r="H185" s="547" t="s">
        <v>153</v>
      </c>
      <c r="I185" s="548">
        <v>43878.0</v>
      </c>
      <c r="J185" s="547">
        <v>2.0</v>
      </c>
      <c r="K185" s="555" t="s">
        <v>242</v>
      </c>
      <c r="L185" s="547" t="s">
        <v>2855</v>
      </c>
      <c r="M185" s="529">
        <f t="shared" si="2"/>
        <v>2362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541">
        <v>1320.0</v>
      </c>
      <c r="B186" s="542" t="s">
        <v>5009</v>
      </c>
      <c r="C186" s="542">
        <v>2015.0</v>
      </c>
      <c r="D186" s="543">
        <v>42114.0</v>
      </c>
      <c r="E186" s="542" t="s">
        <v>5010</v>
      </c>
      <c r="F186" s="542" t="s">
        <v>753</v>
      </c>
      <c r="G186" s="542" t="s">
        <v>552</v>
      </c>
      <c r="H186" s="542" t="s">
        <v>130</v>
      </c>
      <c r="I186" s="543">
        <v>43878.0</v>
      </c>
      <c r="J186" s="542">
        <v>2.0</v>
      </c>
      <c r="K186" s="555" t="s">
        <v>242</v>
      </c>
      <c r="L186" s="542" t="s">
        <v>2855</v>
      </c>
      <c r="M186" s="528">
        <f t="shared" si="2"/>
        <v>1764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546">
        <v>1420.0</v>
      </c>
      <c r="B187" s="547" t="s">
        <v>5011</v>
      </c>
      <c r="C187" s="547">
        <v>2015.0</v>
      </c>
      <c r="D187" s="548">
        <v>42278.0</v>
      </c>
      <c r="E187" s="547" t="s">
        <v>5012</v>
      </c>
      <c r="F187" s="547" t="s">
        <v>909</v>
      </c>
      <c r="G187" s="547" t="s">
        <v>552</v>
      </c>
      <c r="H187" s="547" t="s">
        <v>66</v>
      </c>
      <c r="I187" s="548">
        <v>43878.0</v>
      </c>
      <c r="J187" s="547">
        <v>2.0</v>
      </c>
      <c r="K187" s="555" t="s">
        <v>242</v>
      </c>
      <c r="L187" s="547" t="s">
        <v>2855</v>
      </c>
      <c r="M187" s="529">
        <f t="shared" si="2"/>
        <v>1600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541">
        <v>1520.0</v>
      </c>
      <c r="B188" s="542" t="s">
        <v>5013</v>
      </c>
      <c r="C188" s="542">
        <v>2015.0</v>
      </c>
      <c r="D188" s="543">
        <v>42369.0</v>
      </c>
      <c r="E188" s="542" t="s">
        <v>5014</v>
      </c>
      <c r="F188" s="542" t="s">
        <v>5015</v>
      </c>
      <c r="G188" s="542" t="s">
        <v>552</v>
      </c>
      <c r="H188" s="542" t="s">
        <v>5016</v>
      </c>
      <c r="I188" s="543">
        <v>43878.0</v>
      </c>
      <c r="J188" s="542">
        <v>2.0</v>
      </c>
      <c r="K188" s="555" t="s">
        <v>240</v>
      </c>
      <c r="L188" s="542" t="s">
        <v>2860</v>
      </c>
      <c r="M188" s="528">
        <f t="shared" si="2"/>
        <v>1509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546">
        <v>1620.0</v>
      </c>
      <c r="B189" s="547" t="s">
        <v>5017</v>
      </c>
      <c r="C189" s="547">
        <v>2012.0</v>
      </c>
      <c r="D189" s="548">
        <v>41253.0</v>
      </c>
      <c r="E189" s="547" t="s">
        <v>5018</v>
      </c>
      <c r="F189" s="547" t="s">
        <v>5019</v>
      </c>
      <c r="G189" s="547" t="s">
        <v>650</v>
      </c>
      <c r="H189" s="547" t="s">
        <v>158</v>
      </c>
      <c r="I189" s="548">
        <v>43878.0</v>
      </c>
      <c r="J189" s="547">
        <v>2.0</v>
      </c>
      <c r="K189" s="562" t="s">
        <v>232</v>
      </c>
      <c r="L189" s="547" t="s">
        <v>2860</v>
      </c>
      <c r="M189" s="529">
        <f t="shared" si="2"/>
        <v>2625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541">
        <v>1720.0</v>
      </c>
      <c r="B190" s="542" t="s">
        <v>5020</v>
      </c>
      <c r="C190" s="542">
        <v>2019.0</v>
      </c>
      <c r="D190" s="543">
        <v>43693.0</v>
      </c>
      <c r="E190" s="542" t="s">
        <v>5021</v>
      </c>
      <c r="F190" s="557" t="s">
        <v>2343</v>
      </c>
      <c r="G190" s="542" t="s">
        <v>569</v>
      </c>
      <c r="H190" s="542" t="s">
        <v>5022</v>
      </c>
      <c r="I190" s="543">
        <v>43889.0</v>
      </c>
      <c r="J190" s="542">
        <v>2.0</v>
      </c>
      <c r="K190" s="555" t="s">
        <v>242</v>
      </c>
      <c r="L190" s="542" t="s">
        <v>3310</v>
      </c>
      <c r="M190" s="528">
        <f t="shared" si="2"/>
        <v>196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customHeight="1">
      <c r="A191" s="546">
        <v>1820.0</v>
      </c>
      <c r="B191" s="547" t="s">
        <v>5023</v>
      </c>
      <c r="C191" s="547">
        <v>2019.0</v>
      </c>
      <c r="D191" s="548">
        <v>43629.0</v>
      </c>
      <c r="E191" s="547" t="s">
        <v>5024</v>
      </c>
      <c r="F191" s="556" t="s">
        <v>4993</v>
      </c>
      <c r="G191" s="547" t="s">
        <v>565</v>
      </c>
      <c r="H191" s="547" t="s">
        <v>2550</v>
      </c>
      <c r="I191" s="548">
        <v>43889.0</v>
      </c>
      <c r="J191" s="547">
        <v>2.0</v>
      </c>
      <c r="K191" s="555" t="s">
        <v>242</v>
      </c>
      <c r="L191" s="547" t="s">
        <v>3310</v>
      </c>
      <c r="M191" s="529">
        <f t="shared" si="2"/>
        <v>260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541">
        <v>1920.0</v>
      </c>
      <c r="B192" s="542" t="s">
        <v>5025</v>
      </c>
      <c r="C192" s="542">
        <v>2016.0</v>
      </c>
      <c r="D192" s="543">
        <v>42577.0</v>
      </c>
      <c r="E192" s="542" t="s">
        <v>5026</v>
      </c>
      <c r="F192" s="542" t="s">
        <v>171</v>
      </c>
      <c r="G192" s="542" t="s">
        <v>552</v>
      </c>
      <c r="H192" s="542" t="s">
        <v>775</v>
      </c>
      <c r="I192" s="543">
        <v>43889.0</v>
      </c>
      <c r="J192" s="542">
        <v>2.0</v>
      </c>
      <c r="K192" s="555" t="s">
        <v>240</v>
      </c>
      <c r="L192" s="542" t="s">
        <v>2860</v>
      </c>
      <c r="M192" s="528">
        <f t="shared" si="2"/>
        <v>1312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546">
        <v>2020.0</v>
      </c>
      <c r="B193" s="547" t="s">
        <v>5027</v>
      </c>
      <c r="C193" s="547">
        <v>2018.0</v>
      </c>
      <c r="D193" s="548">
        <v>43216.0</v>
      </c>
      <c r="E193" s="547" t="s">
        <v>5028</v>
      </c>
      <c r="F193" s="547" t="s">
        <v>595</v>
      </c>
      <c r="G193" s="547" t="s">
        <v>552</v>
      </c>
      <c r="H193" s="547" t="s">
        <v>775</v>
      </c>
      <c r="I193" s="548">
        <v>43889.0</v>
      </c>
      <c r="J193" s="547">
        <v>2.0</v>
      </c>
      <c r="K193" s="561" t="s">
        <v>234</v>
      </c>
      <c r="L193" s="547" t="s">
        <v>2860</v>
      </c>
      <c r="M193" s="529">
        <f t="shared" si="2"/>
        <v>673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541">
        <v>2120.0</v>
      </c>
      <c r="B194" s="542" t="s">
        <v>5029</v>
      </c>
      <c r="C194" s="542">
        <v>2011.0</v>
      </c>
      <c r="D194" s="543">
        <v>40801.0</v>
      </c>
      <c r="E194" s="542" t="s">
        <v>5030</v>
      </c>
      <c r="F194" s="542" t="s">
        <v>5031</v>
      </c>
      <c r="G194" s="542" t="s">
        <v>650</v>
      </c>
      <c r="H194" s="542" t="s">
        <v>158</v>
      </c>
      <c r="I194" s="543">
        <v>43889.0</v>
      </c>
      <c r="J194" s="542">
        <v>2.0</v>
      </c>
      <c r="K194" s="555" t="s">
        <v>242</v>
      </c>
      <c r="L194" s="542" t="s">
        <v>2860</v>
      </c>
      <c r="M194" s="528">
        <f t="shared" si="2"/>
        <v>3088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546">
        <v>2220.0</v>
      </c>
      <c r="B195" s="547" t="s">
        <v>5032</v>
      </c>
      <c r="C195" s="547">
        <v>2011.0</v>
      </c>
      <c r="D195" s="548">
        <v>40646.0</v>
      </c>
      <c r="E195" s="547" t="s">
        <v>5033</v>
      </c>
      <c r="F195" s="547" t="s">
        <v>5034</v>
      </c>
      <c r="G195" s="547" t="s">
        <v>650</v>
      </c>
      <c r="H195" s="547" t="s">
        <v>3695</v>
      </c>
      <c r="I195" s="548">
        <v>43889.0</v>
      </c>
      <c r="J195" s="547">
        <v>2.0</v>
      </c>
      <c r="K195" s="555" t="s">
        <v>242</v>
      </c>
      <c r="L195" s="547" t="s">
        <v>2855</v>
      </c>
      <c r="M195" s="529">
        <f t="shared" si="2"/>
        <v>3243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541">
        <v>2320.0</v>
      </c>
      <c r="B196" s="542" t="s">
        <v>5035</v>
      </c>
      <c r="C196" s="542">
        <v>2017.0</v>
      </c>
      <c r="D196" s="543">
        <v>42758.0</v>
      </c>
      <c r="E196" s="542" t="s">
        <v>5036</v>
      </c>
      <c r="F196" s="542" t="s">
        <v>2085</v>
      </c>
      <c r="G196" s="542" t="s">
        <v>650</v>
      </c>
      <c r="H196" s="542" t="s">
        <v>651</v>
      </c>
      <c r="I196" s="543">
        <v>43902.0</v>
      </c>
      <c r="J196" s="542">
        <v>3.0</v>
      </c>
      <c r="K196" s="562" t="s">
        <v>228</v>
      </c>
      <c r="L196" s="542" t="s">
        <v>2860</v>
      </c>
      <c r="M196" s="528">
        <f t="shared" si="2"/>
        <v>1144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546">
        <v>2420.0</v>
      </c>
      <c r="B197" s="547" t="s">
        <v>5037</v>
      </c>
      <c r="C197" s="547">
        <v>2019.0</v>
      </c>
      <c r="D197" s="548">
        <v>43698.0</v>
      </c>
      <c r="E197" s="547" t="s">
        <v>5038</v>
      </c>
      <c r="F197" s="556" t="s">
        <v>3544</v>
      </c>
      <c r="G197" s="547" t="s">
        <v>569</v>
      </c>
      <c r="H197" s="547" t="s">
        <v>2502</v>
      </c>
      <c r="I197" s="548">
        <v>43902.0</v>
      </c>
      <c r="J197" s="547">
        <v>3.0</v>
      </c>
      <c r="K197" s="555" t="s">
        <v>242</v>
      </c>
      <c r="L197" s="547" t="s">
        <v>3310</v>
      </c>
      <c r="M197" s="529">
        <f t="shared" si="2"/>
        <v>204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541">
        <v>2520.0</v>
      </c>
      <c r="B198" s="542" t="s">
        <v>5039</v>
      </c>
      <c r="C198" s="542">
        <v>2013.0</v>
      </c>
      <c r="D198" s="543">
        <v>41451.0</v>
      </c>
      <c r="E198" s="542" t="s">
        <v>5040</v>
      </c>
      <c r="F198" s="542" t="s">
        <v>563</v>
      </c>
      <c r="G198" s="542" t="s">
        <v>552</v>
      </c>
      <c r="H198" s="542" t="s">
        <v>712</v>
      </c>
      <c r="I198" s="543">
        <v>43920.0</v>
      </c>
      <c r="J198" s="542">
        <v>3.0</v>
      </c>
      <c r="K198" s="561" t="s">
        <v>236</v>
      </c>
      <c r="L198" s="542" t="s">
        <v>2860</v>
      </c>
      <c r="M198" s="528">
        <f t="shared" si="2"/>
        <v>2469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546">
        <v>2620.0</v>
      </c>
      <c r="B199" s="547" t="s">
        <v>5041</v>
      </c>
      <c r="C199" s="547">
        <v>2018.0</v>
      </c>
      <c r="D199" s="548">
        <v>43342.0</v>
      </c>
      <c r="E199" s="547" t="s">
        <v>5042</v>
      </c>
      <c r="F199" s="547" t="s">
        <v>5043</v>
      </c>
      <c r="G199" s="547" t="s">
        <v>650</v>
      </c>
      <c r="H199" s="547" t="s">
        <v>5044</v>
      </c>
      <c r="I199" s="548">
        <v>43902.0</v>
      </c>
      <c r="J199" s="547">
        <v>3.0</v>
      </c>
      <c r="K199" s="549" t="s">
        <v>822</v>
      </c>
      <c r="L199" s="547" t="s">
        <v>2855</v>
      </c>
      <c r="M199" s="529">
        <f t="shared" si="2"/>
        <v>560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541">
        <v>2720.0</v>
      </c>
      <c r="B200" s="542" t="s">
        <v>5045</v>
      </c>
      <c r="C200" s="542">
        <v>2016.0</v>
      </c>
      <c r="D200" s="543">
        <v>42705.0</v>
      </c>
      <c r="E200" s="542" t="s">
        <v>5046</v>
      </c>
      <c r="F200" s="542" t="s">
        <v>551</v>
      </c>
      <c r="G200" s="542" t="s">
        <v>650</v>
      </c>
      <c r="H200" s="542" t="s">
        <v>1002</v>
      </c>
      <c r="I200" s="543">
        <v>43902.0</v>
      </c>
      <c r="J200" s="542">
        <v>3.0</v>
      </c>
      <c r="K200" s="555" t="s">
        <v>242</v>
      </c>
      <c r="L200" s="542" t="s">
        <v>2860</v>
      </c>
      <c r="M200" s="528">
        <f t="shared" si="2"/>
        <v>1197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4.25" customHeight="1">
      <c r="A201" s="546">
        <v>2820.0</v>
      </c>
      <c r="B201" s="547" t="s">
        <v>5047</v>
      </c>
      <c r="C201" s="547">
        <v>2016.0</v>
      </c>
      <c r="D201" s="548">
        <v>42471.0</v>
      </c>
      <c r="E201" s="547" t="s">
        <v>5048</v>
      </c>
      <c r="F201" s="547" t="s">
        <v>1108</v>
      </c>
      <c r="G201" s="547" t="s">
        <v>552</v>
      </c>
      <c r="H201" s="547" t="s">
        <v>5049</v>
      </c>
      <c r="I201" s="548">
        <v>43902.0</v>
      </c>
      <c r="J201" s="547">
        <v>3.0</v>
      </c>
      <c r="K201" s="555" t="s">
        <v>242</v>
      </c>
      <c r="L201" s="547" t="s">
        <v>2860</v>
      </c>
      <c r="M201" s="529">
        <f t="shared" si="2"/>
        <v>1431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541">
        <v>2920.0</v>
      </c>
      <c r="B202" s="542" t="s">
        <v>5050</v>
      </c>
      <c r="C202" s="542">
        <v>2014.0</v>
      </c>
      <c r="D202" s="543">
        <v>41807.0</v>
      </c>
      <c r="E202" s="542" t="s">
        <v>5051</v>
      </c>
      <c r="F202" s="542" t="s">
        <v>44</v>
      </c>
      <c r="G202" s="542" t="s">
        <v>552</v>
      </c>
      <c r="H202" s="542" t="s">
        <v>50</v>
      </c>
      <c r="I202" s="543">
        <v>43903.0</v>
      </c>
      <c r="J202" s="542">
        <v>3.0</v>
      </c>
      <c r="K202" s="555" t="s">
        <v>240</v>
      </c>
      <c r="L202" s="542" t="s">
        <v>2855</v>
      </c>
      <c r="M202" s="528">
        <f t="shared" si="2"/>
        <v>2096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546">
        <v>3020.0</v>
      </c>
      <c r="B203" s="547" t="s">
        <v>5052</v>
      </c>
      <c r="C203" s="547">
        <v>2012.0</v>
      </c>
      <c r="D203" s="548">
        <v>41239.0</v>
      </c>
      <c r="E203" s="547" t="s">
        <v>5053</v>
      </c>
      <c r="F203" s="547" t="s">
        <v>2873</v>
      </c>
      <c r="G203" s="547" t="s">
        <v>552</v>
      </c>
      <c r="H203" s="547" t="s">
        <v>775</v>
      </c>
      <c r="I203" s="548">
        <v>43906.0</v>
      </c>
      <c r="J203" s="547">
        <v>3.0</v>
      </c>
      <c r="K203" s="555" t="s">
        <v>242</v>
      </c>
      <c r="L203" s="547" t="s">
        <v>2855</v>
      </c>
      <c r="M203" s="529">
        <f t="shared" si="2"/>
        <v>2667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541">
        <v>3120.0</v>
      </c>
      <c r="B204" s="542" t="s">
        <v>5054</v>
      </c>
      <c r="C204" s="542">
        <v>2019.0</v>
      </c>
      <c r="D204" s="543">
        <v>43601.0</v>
      </c>
      <c r="E204" s="542" t="s">
        <v>5055</v>
      </c>
      <c r="F204" s="557" t="s">
        <v>3725</v>
      </c>
      <c r="G204" s="542" t="s">
        <v>565</v>
      </c>
      <c r="H204" s="542" t="s">
        <v>3800</v>
      </c>
      <c r="I204" s="543">
        <v>43906.0</v>
      </c>
      <c r="J204" s="542">
        <v>3.0</v>
      </c>
      <c r="K204" s="549" t="s">
        <v>822</v>
      </c>
      <c r="L204" s="542" t="s">
        <v>3310</v>
      </c>
      <c r="M204" s="528">
        <f t="shared" si="2"/>
        <v>305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546">
        <v>3220.0</v>
      </c>
      <c r="B205" s="547" t="s">
        <v>5056</v>
      </c>
      <c r="C205" s="547">
        <v>2019.0</v>
      </c>
      <c r="D205" s="548">
        <v>43601.0</v>
      </c>
      <c r="E205" s="547" t="s">
        <v>5057</v>
      </c>
      <c r="F205" s="556" t="s">
        <v>3725</v>
      </c>
      <c r="G205" s="547" t="s">
        <v>565</v>
      </c>
      <c r="H205" s="547" t="s">
        <v>3800</v>
      </c>
      <c r="I205" s="548">
        <v>43906.0</v>
      </c>
      <c r="J205" s="547">
        <v>3.0</v>
      </c>
      <c r="K205" s="549" t="s">
        <v>822</v>
      </c>
      <c r="L205" s="547" t="s">
        <v>3310</v>
      </c>
      <c r="M205" s="529">
        <f t="shared" si="2"/>
        <v>305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541">
        <v>3320.0</v>
      </c>
      <c r="B206" s="542" t="s">
        <v>5058</v>
      </c>
      <c r="C206" s="542">
        <v>2019.0</v>
      </c>
      <c r="D206" s="543">
        <v>43601.0</v>
      </c>
      <c r="E206" s="542" t="s">
        <v>5059</v>
      </c>
      <c r="F206" s="557" t="s">
        <v>3725</v>
      </c>
      <c r="G206" s="542" t="s">
        <v>565</v>
      </c>
      <c r="H206" s="542" t="s">
        <v>3800</v>
      </c>
      <c r="I206" s="543">
        <v>43906.0</v>
      </c>
      <c r="J206" s="542">
        <v>3.0</v>
      </c>
      <c r="K206" s="549" t="s">
        <v>822</v>
      </c>
      <c r="L206" s="542" t="s">
        <v>3310</v>
      </c>
      <c r="M206" s="528">
        <f t="shared" si="2"/>
        <v>305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546">
        <v>3420.0</v>
      </c>
      <c r="B207" s="547" t="s">
        <v>5060</v>
      </c>
      <c r="C207" s="547">
        <v>2019.0</v>
      </c>
      <c r="D207" s="548">
        <v>43601.0</v>
      </c>
      <c r="E207" s="547" t="s">
        <v>5061</v>
      </c>
      <c r="F207" s="556" t="s">
        <v>3725</v>
      </c>
      <c r="G207" s="547" t="s">
        <v>565</v>
      </c>
      <c r="H207" s="547" t="s">
        <v>3800</v>
      </c>
      <c r="I207" s="548">
        <v>43906.0</v>
      </c>
      <c r="J207" s="547">
        <v>3.0</v>
      </c>
      <c r="K207" s="549" t="s">
        <v>822</v>
      </c>
      <c r="L207" s="547" t="s">
        <v>3310</v>
      </c>
      <c r="M207" s="529">
        <f t="shared" si="2"/>
        <v>305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541">
        <v>3520.0</v>
      </c>
      <c r="B208" s="542" t="s">
        <v>5062</v>
      </c>
      <c r="C208" s="542">
        <v>2019.0</v>
      </c>
      <c r="D208" s="543">
        <v>43601.0</v>
      </c>
      <c r="E208" s="542" t="s">
        <v>5063</v>
      </c>
      <c r="F208" s="557" t="s">
        <v>3647</v>
      </c>
      <c r="G208" s="542" t="s">
        <v>565</v>
      </c>
      <c r="H208" s="542" t="s">
        <v>3800</v>
      </c>
      <c r="I208" s="543">
        <v>43906.0</v>
      </c>
      <c r="J208" s="542">
        <v>3.0</v>
      </c>
      <c r="K208" s="555" t="s">
        <v>242</v>
      </c>
      <c r="L208" s="542" t="s">
        <v>3310</v>
      </c>
      <c r="M208" s="528">
        <f t="shared" si="2"/>
        <v>305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546">
        <v>3620.0</v>
      </c>
      <c r="B209" s="547" t="s">
        <v>5064</v>
      </c>
      <c r="C209" s="547">
        <v>2019.0</v>
      </c>
      <c r="D209" s="548">
        <v>43626.0</v>
      </c>
      <c r="E209" s="547" t="s">
        <v>5065</v>
      </c>
      <c r="F209" s="556" t="s">
        <v>5066</v>
      </c>
      <c r="G209" s="547" t="s">
        <v>565</v>
      </c>
      <c r="H209" s="547" t="s">
        <v>3523</v>
      </c>
      <c r="I209" s="548">
        <v>43906.0</v>
      </c>
      <c r="J209" s="547">
        <v>3.0</v>
      </c>
      <c r="K209" s="549" t="s">
        <v>822</v>
      </c>
      <c r="L209" s="547" t="s">
        <v>260</v>
      </c>
      <c r="M209" s="529">
        <f t="shared" si="2"/>
        <v>280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541">
        <v>3720.0</v>
      </c>
      <c r="B210" s="542" t="s">
        <v>5067</v>
      </c>
      <c r="C210" s="542">
        <v>2019.0</v>
      </c>
      <c r="D210" s="543">
        <v>43706.0</v>
      </c>
      <c r="E210" s="542" t="s">
        <v>5068</v>
      </c>
      <c r="F210" s="542" t="s">
        <v>5069</v>
      </c>
      <c r="G210" s="542" t="s">
        <v>565</v>
      </c>
      <c r="H210" s="542" t="s">
        <v>5070</v>
      </c>
      <c r="I210" s="543">
        <v>43906.0</v>
      </c>
      <c r="J210" s="542">
        <v>3.0</v>
      </c>
      <c r="K210" s="555" t="s">
        <v>242</v>
      </c>
      <c r="L210" s="542" t="s">
        <v>3310</v>
      </c>
      <c r="M210" s="528">
        <f t="shared" si="2"/>
        <v>200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546">
        <v>3820.0</v>
      </c>
      <c r="B211" s="547" t="s">
        <v>5071</v>
      </c>
      <c r="C211" s="547">
        <v>2016.0</v>
      </c>
      <c r="D211" s="548">
        <v>42488.0</v>
      </c>
      <c r="E211" s="547" t="s">
        <v>5072</v>
      </c>
      <c r="F211" s="547" t="s">
        <v>1762</v>
      </c>
      <c r="G211" s="547" t="s">
        <v>552</v>
      </c>
      <c r="H211" s="547" t="s">
        <v>1896</v>
      </c>
      <c r="I211" s="548">
        <v>43913.0</v>
      </c>
      <c r="J211" s="547">
        <v>3.0</v>
      </c>
      <c r="K211" s="555" t="s">
        <v>238</v>
      </c>
      <c r="L211" s="547" t="s">
        <v>2860</v>
      </c>
      <c r="M211" s="529">
        <f t="shared" si="2"/>
        <v>1425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541">
        <v>3920.0</v>
      </c>
      <c r="B212" s="542" t="s">
        <v>5073</v>
      </c>
      <c r="C212" s="542">
        <v>2019.0</v>
      </c>
      <c r="D212" s="543">
        <v>43601.0</v>
      </c>
      <c r="E212" s="542" t="s">
        <v>5074</v>
      </c>
      <c r="F212" s="557" t="s">
        <v>3647</v>
      </c>
      <c r="G212" s="542" t="s">
        <v>565</v>
      </c>
      <c r="H212" s="542" t="s">
        <v>3800</v>
      </c>
      <c r="I212" s="543">
        <v>43913.0</v>
      </c>
      <c r="J212" s="542">
        <v>3.0</v>
      </c>
      <c r="K212" s="555" t="s">
        <v>242</v>
      </c>
      <c r="L212" s="542" t="s">
        <v>3310</v>
      </c>
      <c r="M212" s="528">
        <f t="shared" si="2"/>
        <v>312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546">
        <v>4020.0</v>
      </c>
      <c r="B213" s="547" t="s">
        <v>5075</v>
      </c>
      <c r="C213" s="547">
        <v>2019.0</v>
      </c>
      <c r="D213" s="548">
        <v>43601.0</v>
      </c>
      <c r="E213" s="547" t="s">
        <v>5076</v>
      </c>
      <c r="F213" s="556" t="s">
        <v>2343</v>
      </c>
      <c r="G213" s="547" t="s">
        <v>565</v>
      </c>
      <c r="H213" s="547" t="s">
        <v>3800</v>
      </c>
      <c r="I213" s="548">
        <v>43913.0</v>
      </c>
      <c r="J213" s="547">
        <v>3.0</v>
      </c>
      <c r="K213" s="555" t="s">
        <v>242</v>
      </c>
      <c r="L213" s="547" t="s">
        <v>3310</v>
      </c>
      <c r="M213" s="529">
        <f t="shared" si="2"/>
        <v>312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541">
        <v>4120.0</v>
      </c>
      <c r="B214" s="542" t="s">
        <v>5077</v>
      </c>
      <c r="C214" s="542">
        <v>2018.0</v>
      </c>
      <c r="D214" s="543">
        <v>43374.0</v>
      </c>
      <c r="E214" s="542" t="s">
        <v>5078</v>
      </c>
      <c r="F214" s="557" t="s">
        <v>2614</v>
      </c>
      <c r="G214" s="542" t="s">
        <v>569</v>
      </c>
      <c r="H214" s="542" t="s">
        <v>5079</v>
      </c>
      <c r="I214" s="543">
        <v>43913.0</v>
      </c>
      <c r="J214" s="542">
        <v>3.0</v>
      </c>
      <c r="K214" s="555" t="s">
        <v>242</v>
      </c>
      <c r="L214" s="542" t="s">
        <v>3310</v>
      </c>
      <c r="M214" s="528">
        <f t="shared" si="2"/>
        <v>539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546">
        <v>4220.0</v>
      </c>
      <c r="B215" s="547" t="s">
        <v>5080</v>
      </c>
      <c r="C215" s="547">
        <v>2017.0</v>
      </c>
      <c r="D215" s="548">
        <v>43089.0</v>
      </c>
      <c r="E215" s="547" t="s">
        <v>5081</v>
      </c>
      <c r="F215" s="547" t="s">
        <v>2268</v>
      </c>
      <c r="G215" s="547" t="s">
        <v>552</v>
      </c>
      <c r="H215" s="547" t="s">
        <v>66</v>
      </c>
      <c r="I215" s="548">
        <v>43913.0</v>
      </c>
      <c r="J215" s="547">
        <v>3.0</v>
      </c>
      <c r="K215" s="555" t="s">
        <v>240</v>
      </c>
      <c r="L215" s="547" t="s">
        <v>2855</v>
      </c>
      <c r="M215" s="529">
        <f t="shared" si="2"/>
        <v>824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541">
        <v>4320.0</v>
      </c>
      <c r="B216" s="542" t="s">
        <v>5082</v>
      </c>
      <c r="C216" s="542">
        <v>2019.0</v>
      </c>
      <c r="D216" s="543">
        <v>43601.0</v>
      </c>
      <c r="E216" s="542" t="s">
        <v>5083</v>
      </c>
      <c r="F216" s="557" t="s">
        <v>2343</v>
      </c>
      <c r="G216" s="542" t="s">
        <v>569</v>
      </c>
      <c r="H216" s="542" t="s">
        <v>3800</v>
      </c>
      <c r="I216" s="543">
        <v>43914.0</v>
      </c>
      <c r="J216" s="542">
        <v>3.0</v>
      </c>
      <c r="K216" s="555" t="s">
        <v>242</v>
      </c>
      <c r="L216" s="542" t="s">
        <v>3310</v>
      </c>
      <c r="M216" s="528">
        <f t="shared" si="2"/>
        <v>313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546">
        <v>4420.0</v>
      </c>
      <c r="B217" s="547" t="s">
        <v>5084</v>
      </c>
      <c r="C217" s="547">
        <v>2013.0</v>
      </c>
      <c r="D217" s="548">
        <v>41408.0</v>
      </c>
      <c r="E217" s="547" t="s">
        <v>5085</v>
      </c>
      <c r="F217" s="547" t="s">
        <v>5086</v>
      </c>
      <c r="G217" s="547" t="s">
        <v>650</v>
      </c>
      <c r="H217" s="547" t="s">
        <v>3695</v>
      </c>
      <c r="I217" s="548">
        <v>43915.0</v>
      </c>
      <c r="J217" s="547">
        <v>3.0</v>
      </c>
      <c r="K217" s="555" t="s">
        <v>240</v>
      </c>
      <c r="L217" s="547" t="s">
        <v>2855</v>
      </c>
      <c r="M217" s="529">
        <f t="shared" si="2"/>
        <v>2507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541">
        <v>4520.0</v>
      </c>
      <c r="B218" s="542" t="s">
        <v>5087</v>
      </c>
      <c r="C218" s="542">
        <v>2013.0</v>
      </c>
      <c r="D218" s="543">
        <v>41450.0</v>
      </c>
      <c r="E218" s="542" t="s">
        <v>5088</v>
      </c>
      <c r="F218" s="542" t="s">
        <v>5086</v>
      </c>
      <c r="G218" s="542" t="s">
        <v>650</v>
      </c>
      <c r="H218" s="542" t="s">
        <v>3695</v>
      </c>
      <c r="I218" s="543">
        <v>43915.0</v>
      </c>
      <c r="J218" s="542">
        <v>3.0</v>
      </c>
      <c r="K218" s="555" t="s">
        <v>240</v>
      </c>
      <c r="L218" s="542" t="s">
        <v>2855</v>
      </c>
      <c r="M218" s="528">
        <f t="shared" si="2"/>
        <v>2465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546">
        <v>4620.0</v>
      </c>
      <c r="B219" s="547" t="s">
        <v>5089</v>
      </c>
      <c r="C219" s="547">
        <v>2013.0</v>
      </c>
      <c r="D219" s="548">
        <v>41470.0</v>
      </c>
      <c r="E219" s="547" t="s">
        <v>5090</v>
      </c>
      <c r="F219" s="547" t="s">
        <v>5086</v>
      </c>
      <c r="G219" s="547" t="s">
        <v>650</v>
      </c>
      <c r="H219" s="547" t="s">
        <v>3695</v>
      </c>
      <c r="I219" s="548">
        <v>43915.0</v>
      </c>
      <c r="J219" s="547">
        <v>3.0</v>
      </c>
      <c r="K219" s="555" t="s">
        <v>240</v>
      </c>
      <c r="L219" s="547" t="s">
        <v>2855</v>
      </c>
      <c r="M219" s="529">
        <f t="shared" si="2"/>
        <v>2445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541">
        <v>4720.0</v>
      </c>
      <c r="B220" s="542" t="s">
        <v>5091</v>
      </c>
      <c r="C220" s="542">
        <v>2013.0</v>
      </c>
      <c r="D220" s="543">
        <v>41470.0</v>
      </c>
      <c r="E220" s="542" t="s">
        <v>5092</v>
      </c>
      <c r="F220" s="542" t="s">
        <v>5086</v>
      </c>
      <c r="G220" s="542" t="s">
        <v>650</v>
      </c>
      <c r="H220" s="542" t="s">
        <v>3695</v>
      </c>
      <c r="I220" s="543">
        <v>43915.0</v>
      </c>
      <c r="J220" s="542">
        <v>3.0</v>
      </c>
      <c r="K220" s="555" t="s">
        <v>240</v>
      </c>
      <c r="L220" s="542" t="s">
        <v>2855</v>
      </c>
      <c r="M220" s="528">
        <f t="shared" si="2"/>
        <v>2445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546">
        <v>4820.0</v>
      </c>
      <c r="B221" s="547" t="s">
        <v>5093</v>
      </c>
      <c r="C221" s="547">
        <v>2013.0</v>
      </c>
      <c r="D221" s="548">
        <v>41543.0</v>
      </c>
      <c r="E221" s="547" t="s">
        <v>5094</v>
      </c>
      <c r="F221" s="547" t="s">
        <v>5095</v>
      </c>
      <c r="G221" s="547" t="s">
        <v>650</v>
      </c>
      <c r="H221" s="547" t="s">
        <v>3695</v>
      </c>
      <c r="I221" s="548">
        <v>43915.0</v>
      </c>
      <c r="J221" s="547">
        <v>3.0</v>
      </c>
      <c r="K221" s="549" t="s">
        <v>822</v>
      </c>
      <c r="L221" s="547" t="s">
        <v>2860</v>
      </c>
      <c r="M221" s="529">
        <f t="shared" si="2"/>
        <v>2372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541">
        <v>4920.0</v>
      </c>
      <c r="B222" s="542" t="s">
        <v>5096</v>
      </c>
      <c r="C222" s="542">
        <v>2013.0</v>
      </c>
      <c r="D222" s="543">
        <v>41561.0</v>
      </c>
      <c r="E222" s="542" t="s">
        <v>5097</v>
      </c>
      <c r="F222" s="542" t="s">
        <v>5095</v>
      </c>
      <c r="G222" s="542" t="s">
        <v>650</v>
      </c>
      <c r="H222" s="542" t="s">
        <v>3695</v>
      </c>
      <c r="I222" s="543">
        <v>43915.0</v>
      </c>
      <c r="J222" s="542">
        <v>3.0</v>
      </c>
      <c r="K222" s="549" t="s">
        <v>822</v>
      </c>
      <c r="L222" s="542" t="s">
        <v>2860</v>
      </c>
      <c r="M222" s="528">
        <f t="shared" si="2"/>
        <v>2354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2.75" customHeight="1">
      <c r="A223" s="546">
        <v>5020.0</v>
      </c>
      <c r="B223" s="547" t="s">
        <v>5098</v>
      </c>
      <c r="C223" s="547">
        <v>2013.0</v>
      </c>
      <c r="D223" s="548">
        <v>41561.0</v>
      </c>
      <c r="E223" s="547" t="s">
        <v>5099</v>
      </c>
      <c r="F223" s="547" t="s">
        <v>5095</v>
      </c>
      <c r="G223" s="547" t="s">
        <v>650</v>
      </c>
      <c r="H223" s="547" t="s">
        <v>3695</v>
      </c>
      <c r="I223" s="548">
        <v>43915.0</v>
      </c>
      <c r="J223" s="547">
        <v>3.0</v>
      </c>
      <c r="K223" s="549" t="s">
        <v>822</v>
      </c>
      <c r="L223" s="547" t="s">
        <v>2860</v>
      </c>
      <c r="M223" s="529">
        <f t="shared" si="2"/>
        <v>2354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541">
        <v>5120.0</v>
      </c>
      <c r="B224" s="542" t="s">
        <v>5100</v>
      </c>
      <c r="C224" s="542">
        <v>2018.0</v>
      </c>
      <c r="D224" s="543">
        <v>43305.0</v>
      </c>
      <c r="E224" s="542" t="s">
        <v>5101</v>
      </c>
      <c r="F224" s="557" t="s">
        <v>2611</v>
      </c>
      <c r="G224" s="542" t="s">
        <v>569</v>
      </c>
      <c r="H224" s="542" t="s">
        <v>5102</v>
      </c>
      <c r="I224" s="543">
        <v>43915.0</v>
      </c>
      <c r="J224" s="542">
        <v>3.0</v>
      </c>
      <c r="K224" s="549" t="s">
        <v>244</v>
      </c>
      <c r="L224" s="542" t="s">
        <v>3310</v>
      </c>
      <c r="M224" s="528">
        <f t="shared" si="2"/>
        <v>610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546">
        <v>5220.0</v>
      </c>
      <c r="B225" s="547" t="s">
        <v>5103</v>
      </c>
      <c r="C225" s="547">
        <v>2019.0</v>
      </c>
      <c r="D225" s="548">
        <v>43620.0</v>
      </c>
      <c r="E225" s="547" t="s">
        <v>5104</v>
      </c>
      <c r="F225" s="556" t="s">
        <v>2343</v>
      </c>
      <c r="G225" s="547" t="s">
        <v>569</v>
      </c>
      <c r="H225" s="547" t="s">
        <v>5079</v>
      </c>
      <c r="I225" s="548">
        <v>43915.0</v>
      </c>
      <c r="J225" s="547">
        <v>3.0</v>
      </c>
      <c r="K225" s="549" t="s">
        <v>244</v>
      </c>
      <c r="L225" s="547" t="s">
        <v>3310</v>
      </c>
      <c r="M225" s="529">
        <f t="shared" si="2"/>
        <v>295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541">
        <v>5320.0</v>
      </c>
      <c r="B226" s="542" t="s">
        <v>5105</v>
      </c>
      <c r="C226" s="542">
        <v>2019.0</v>
      </c>
      <c r="D226" s="543">
        <v>43698.0</v>
      </c>
      <c r="E226" s="542" t="s">
        <v>5106</v>
      </c>
      <c r="F226" s="557" t="s">
        <v>5107</v>
      </c>
      <c r="G226" s="542" t="s">
        <v>569</v>
      </c>
      <c r="H226" s="542" t="s">
        <v>2093</v>
      </c>
      <c r="I226" s="543">
        <v>43915.0</v>
      </c>
      <c r="J226" s="542">
        <v>3.0</v>
      </c>
      <c r="K226" s="555" t="s">
        <v>242</v>
      </c>
      <c r="L226" s="542" t="s">
        <v>3310</v>
      </c>
      <c r="M226" s="528">
        <f t="shared" si="2"/>
        <v>217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546">
        <v>5420.0</v>
      </c>
      <c r="B227" s="547" t="s">
        <v>5108</v>
      </c>
      <c r="C227" s="547">
        <v>2019.0</v>
      </c>
      <c r="D227" s="548">
        <v>43565.0</v>
      </c>
      <c r="E227" s="547" t="s">
        <v>5109</v>
      </c>
      <c r="F227" s="547" t="s">
        <v>4398</v>
      </c>
      <c r="G227" s="547" t="s">
        <v>565</v>
      </c>
      <c r="H227" s="547" t="s">
        <v>3662</v>
      </c>
      <c r="I227" s="548">
        <v>43915.0</v>
      </c>
      <c r="J227" s="547">
        <v>3.0</v>
      </c>
      <c r="K227" s="555" t="s">
        <v>242</v>
      </c>
      <c r="L227" s="547" t="s">
        <v>3310</v>
      </c>
      <c r="M227" s="529">
        <f t="shared" si="2"/>
        <v>350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customHeight="1">
      <c r="A228" s="563">
        <v>5520.0</v>
      </c>
      <c r="B228" s="542" t="s">
        <v>5110</v>
      </c>
      <c r="C228" s="542">
        <v>2019.0</v>
      </c>
      <c r="D228" s="543">
        <v>43621.0</v>
      </c>
      <c r="E228" s="542" t="s">
        <v>5111</v>
      </c>
      <c r="F228" s="542" t="s">
        <v>3627</v>
      </c>
      <c r="G228" s="542" t="s">
        <v>565</v>
      </c>
      <c r="H228" s="542" t="s">
        <v>3662</v>
      </c>
      <c r="I228" s="543">
        <v>43915.0</v>
      </c>
      <c r="J228" s="542">
        <v>3.0</v>
      </c>
      <c r="K228" s="549" t="s">
        <v>822</v>
      </c>
      <c r="L228" s="542" t="s">
        <v>3310</v>
      </c>
      <c r="M228" s="528">
        <f t="shared" si="2"/>
        <v>294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564">
        <v>5620.0</v>
      </c>
      <c r="B229" s="547" t="s">
        <v>5112</v>
      </c>
      <c r="C229" s="547">
        <v>2019.0</v>
      </c>
      <c r="D229" s="548">
        <v>43698.0</v>
      </c>
      <c r="E229" s="547" t="s">
        <v>5113</v>
      </c>
      <c r="F229" s="556" t="s">
        <v>2343</v>
      </c>
      <c r="G229" s="547" t="s">
        <v>569</v>
      </c>
      <c r="H229" s="547" t="s">
        <v>2126</v>
      </c>
      <c r="I229" s="548">
        <v>43915.0</v>
      </c>
      <c r="J229" s="547">
        <v>3.0</v>
      </c>
      <c r="K229" s="555" t="s">
        <v>242</v>
      </c>
      <c r="L229" s="547" t="s">
        <v>3310</v>
      </c>
      <c r="M229" s="529">
        <f t="shared" si="2"/>
        <v>217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565">
        <v>5720.0</v>
      </c>
      <c r="B230" s="542" t="s">
        <v>5114</v>
      </c>
      <c r="C230" s="542">
        <v>2013.0</v>
      </c>
      <c r="D230" s="543">
        <v>41394.0</v>
      </c>
      <c r="E230" s="542" t="s">
        <v>5115</v>
      </c>
      <c r="F230" s="542" t="s">
        <v>5086</v>
      </c>
      <c r="G230" s="542" t="s">
        <v>650</v>
      </c>
      <c r="H230" s="542" t="s">
        <v>3695</v>
      </c>
      <c r="I230" s="543">
        <v>43921.0</v>
      </c>
      <c r="J230" s="542">
        <v>3.0</v>
      </c>
      <c r="K230" s="555" t="s">
        <v>240</v>
      </c>
      <c r="L230" s="542" t="s">
        <v>2855</v>
      </c>
      <c r="M230" s="528">
        <f t="shared" si="2"/>
        <v>2527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546">
        <v>5820.0</v>
      </c>
      <c r="B231" s="547" t="s">
        <v>5116</v>
      </c>
      <c r="C231" s="547">
        <v>2013.0</v>
      </c>
      <c r="D231" s="548">
        <v>41408.0</v>
      </c>
      <c r="E231" s="547" t="s">
        <v>5117</v>
      </c>
      <c r="F231" s="547" t="s">
        <v>5086</v>
      </c>
      <c r="G231" s="547" t="s">
        <v>650</v>
      </c>
      <c r="H231" s="547" t="s">
        <v>3695</v>
      </c>
      <c r="I231" s="548">
        <v>43921.0</v>
      </c>
      <c r="J231" s="547">
        <v>3.0</v>
      </c>
      <c r="K231" s="555" t="s">
        <v>240</v>
      </c>
      <c r="L231" s="547" t="s">
        <v>2855</v>
      </c>
      <c r="M231" s="529">
        <f t="shared" si="2"/>
        <v>2513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541">
        <v>5920.0</v>
      </c>
      <c r="B232" s="542" t="s">
        <v>5118</v>
      </c>
      <c r="C232" s="542">
        <v>2010.0</v>
      </c>
      <c r="D232" s="543">
        <v>40329.0</v>
      </c>
      <c r="E232" s="542" t="s">
        <v>5119</v>
      </c>
      <c r="F232" s="542" t="s">
        <v>5120</v>
      </c>
      <c r="G232" s="542" t="s">
        <v>650</v>
      </c>
      <c r="H232" s="542" t="s">
        <v>651</v>
      </c>
      <c r="I232" s="543">
        <v>43921.0</v>
      </c>
      <c r="J232" s="542">
        <v>3.0</v>
      </c>
      <c r="K232" s="555" t="s">
        <v>240</v>
      </c>
      <c r="L232" s="542" t="s">
        <v>2860</v>
      </c>
      <c r="M232" s="528">
        <f t="shared" si="2"/>
        <v>3592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546">
        <v>6020.0</v>
      </c>
      <c r="B233" s="547" t="s">
        <v>5121</v>
      </c>
      <c r="C233" s="547">
        <v>2014.0</v>
      </c>
      <c r="D233" s="548">
        <v>41855.0</v>
      </c>
      <c r="E233" s="547" t="s">
        <v>5122</v>
      </c>
      <c r="F233" s="547" t="s">
        <v>660</v>
      </c>
      <c r="G233" s="547" t="s">
        <v>552</v>
      </c>
      <c r="H233" s="547" t="s">
        <v>50</v>
      </c>
      <c r="I233" s="548">
        <v>43921.0</v>
      </c>
      <c r="J233" s="547">
        <v>3.0</v>
      </c>
      <c r="K233" s="562" t="s">
        <v>232</v>
      </c>
      <c r="L233" s="547" t="s">
        <v>2860</v>
      </c>
      <c r="M233" s="529">
        <f t="shared" si="2"/>
        <v>2066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541">
        <v>6120.0</v>
      </c>
      <c r="B234" s="542" t="s">
        <v>5123</v>
      </c>
      <c r="C234" s="542">
        <v>2012.0</v>
      </c>
      <c r="D234" s="543">
        <v>41108.0</v>
      </c>
      <c r="E234" s="542" t="s">
        <v>5124</v>
      </c>
      <c r="F234" s="542" t="s">
        <v>3078</v>
      </c>
      <c r="G234" s="542" t="s">
        <v>552</v>
      </c>
      <c r="H234" s="542" t="s">
        <v>125</v>
      </c>
      <c r="I234" s="543">
        <v>43921.0</v>
      </c>
      <c r="J234" s="542">
        <v>3.0</v>
      </c>
      <c r="K234" s="555" t="s">
        <v>242</v>
      </c>
      <c r="L234" s="542" t="s">
        <v>2860</v>
      </c>
      <c r="M234" s="528">
        <f t="shared" si="2"/>
        <v>2813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546">
        <v>6220.0</v>
      </c>
      <c r="B235" s="547" t="s">
        <v>5125</v>
      </c>
      <c r="C235" s="547">
        <v>2013.0</v>
      </c>
      <c r="D235" s="548">
        <v>41620.0</v>
      </c>
      <c r="E235" s="547" t="s">
        <v>5126</v>
      </c>
      <c r="F235" s="547" t="s">
        <v>162</v>
      </c>
      <c r="G235" s="547" t="s">
        <v>552</v>
      </c>
      <c r="H235" s="547" t="s">
        <v>5127</v>
      </c>
      <c r="I235" s="548">
        <v>43921.0</v>
      </c>
      <c r="J235" s="547">
        <v>3.0</v>
      </c>
      <c r="K235" s="555" t="s">
        <v>242</v>
      </c>
      <c r="L235" s="547" t="s">
        <v>2855</v>
      </c>
      <c r="M235" s="529">
        <f t="shared" si="2"/>
        <v>2301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541">
        <v>6320.0</v>
      </c>
      <c r="B236" s="542" t="s">
        <v>5128</v>
      </c>
      <c r="C236" s="542">
        <v>2019.0</v>
      </c>
      <c r="D236" s="543">
        <v>43798.0</v>
      </c>
      <c r="E236" s="542" t="s">
        <v>5129</v>
      </c>
      <c r="F236" s="557" t="s">
        <v>5130</v>
      </c>
      <c r="G236" s="542" t="s">
        <v>569</v>
      </c>
      <c r="H236" s="542" t="s">
        <v>2539</v>
      </c>
      <c r="I236" s="543">
        <v>43941.0</v>
      </c>
      <c r="J236" s="542">
        <v>4.0</v>
      </c>
      <c r="K236" s="555" t="s">
        <v>242</v>
      </c>
      <c r="L236" s="542" t="s">
        <v>3310</v>
      </c>
      <c r="M236" s="528">
        <f t="shared" si="2"/>
        <v>143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546">
        <v>6420.0</v>
      </c>
      <c r="B237" s="547" t="s">
        <v>5131</v>
      </c>
      <c r="C237" s="547">
        <v>2019.0</v>
      </c>
      <c r="D237" s="548">
        <v>43601.0</v>
      </c>
      <c r="E237" s="547" t="s">
        <v>5132</v>
      </c>
      <c r="F237" s="556" t="s">
        <v>3761</v>
      </c>
      <c r="G237" s="547" t="s">
        <v>565</v>
      </c>
      <c r="H237" s="547" t="s">
        <v>3800</v>
      </c>
      <c r="I237" s="548">
        <v>43941.0</v>
      </c>
      <c r="J237" s="547">
        <v>4.0</v>
      </c>
      <c r="K237" s="549" t="s">
        <v>822</v>
      </c>
      <c r="L237" s="547" t="s">
        <v>3310</v>
      </c>
      <c r="M237" s="529">
        <f t="shared" si="2"/>
        <v>340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541">
        <v>6520.0</v>
      </c>
      <c r="B238" s="542" t="s">
        <v>5133</v>
      </c>
      <c r="C238" s="542">
        <v>2016.0</v>
      </c>
      <c r="D238" s="543">
        <v>42509.0</v>
      </c>
      <c r="E238" s="542" t="s">
        <v>5134</v>
      </c>
      <c r="F238" s="542" t="s">
        <v>1170</v>
      </c>
      <c r="G238" s="542" t="s">
        <v>552</v>
      </c>
      <c r="H238" s="542" t="s">
        <v>130</v>
      </c>
      <c r="I238" s="543">
        <v>43941.0</v>
      </c>
      <c r="J238" s="542">
        <v>4.0</v>
      </c>
      <c r="K238" s="555" t="s">
        <v>240</v>
      </c>
      <c r="L238" s="542" t="s">
        <v>2860</v>
      </c>
      <c r="M238" s="528">
        <f t="shared" si="2"/>
        <v>1432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546">
        <v>6620.0</v>
      </c>
      <c r="B239" s="547" t="s">
        <v>5135</v>
      </c>
      <c r="C239" s="547">
        <v>2010.0</v>
      </c>
      <c r="D239" s="548">
        <v>40451.0</v>
      </c>
      <c r="E239" s="547" t="s">
        <v>5136</v>
      </c>
      <c r="F239" s="547" t="s">
        <v>5137</v>
      </c>
      <c r="G239" s="547" t="s">
        <v>650</v>
      </c>
      <c r="H239" s="547" t="s">
        <v>573</v>
      </c>
      <c r="I239" s="548">
        <v>43941.0</v>
      </c>
      <c r="J239" s="547">
        <v>4.0</v>
      </c>
      <c r="K239" s="555" t="s">
        <v>240</v>
      </c>
      <c r="L239" s="547" t="s">
        <v>2860</v>
      </c>
      <c r="M239" s="529">
        <f t="shared" si="2"/>
        <v>3490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541">
        <v>6720.0</v>
      </c>
      <c r="B240" s="542" t="s">
        <v>5138</v>
      </c>
      <c r="C240" s="542">
        <v>2011.0</v>
      </c>
      <c r="D240" s="543">
        <v>40695.0</v>
      </c>
      <c r="E240" s="542" t="s">
        <v>5139</v>
      </c>
      <c r="F240" s="542" t="s">
        <v>5140</v>
      </c>
      <c r="G240" s="542" t="s">
        <v>650</v>
      </c>
      <c r="H240" s="542" t="s">
        <v>3695</v>
      </c>
      <c r="I240" s="543">
        <v>43941.0</v>
      </c>
      <c r="J240" s="542">
        <v>4.0</v>
      </c>
      <c r="K240" s="555" t="s">
        <v>242</v>
      </c>
      <c r="L240" s="542" t="s">
        <v>2860</v>
      </c>
      <c r="M240" s="528">
        <f t="shared" si="2"/>
        <v>3246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546">
        <v>6820.0</v>
      </c>
      <c r="B241" s="547" t="s">
        <v>5141</v>
      </c>
      <c r="C241" s="547">
        <v>2014.0</v>
      </c>
      <c r="D241" s="548">
        <v>41992.0</v>
      </c>
      <c r="E241" s="547" t="s">
        <v>5142</v>
      </c>
      <c r="F241" s="547" t="s">
        <v>2453</v>
      </c>
      <c r="G241" s="547" t="s">
        <v>552</v>
      </c>
      <c r="H241" s="547" t="s">
        <v>596</v>
      </c>
      <c r="I241" s="548">
        <v>43941.0</v>
      </c>
      <c r="J241" s="547">
        <v>4.0</v>
      </c>
      <c r="K241" s="555" t="s">
        <v>240</v>
      </c>
      <c r="L241" s="547" t="s">
        <v>2855</v>
      </c>
      <c r="M241" s="529">
        <f t="shared" si="2"/>
        <v>1949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541">
        <v>6920.0</v>
      </c>
      <c r="B242" s="542" t="s">
        <v>5143</v>
      </c>
      <c r="C242" s="542">
        <v>2014.0</v>
      </c>
      <c r="D242" s="543">
        <v>41978.0</v>
      </c>
      <c r="E242" s="542" t="s">
        <v>5144</v>
      </c>
      <c r="F242" s="542" t="s">
        <v>2667</v>
      </c>
      <c r="G242" s="542" t="s">
        <v>552</v>
      </c>
      <c r="H242" s="542" t="s">
        <v>26</v>
      </c>
      <c r="I242" s="543">
        <v>43941.0</v>
      </c>
      <c r="J242" s="542">
        <v>4.0</v>
      </c>
      <c r="K242" s="555" t="s">
        <v>240</v>
      </c>
      <c r="L242" s="542" t="s">
        <v>2855</v>
      </c>
      <c r="M242" s="528">
        <f t="shared" si="2"/>
        <v>1963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546">
        <v>7020.0</v>
      </c>
      <c r="B243" s="547" t="s">
        <v>5145</v>
      </c>
      <c r="C243" s="547">
        <v>2014.0</v>
      </c>
      <c r="D243" s="548">
        <v>41978.0</v>
      </c>
      <c r="E243" s="547" t="s">
        <v>5146</v>
      </c>
      <c r="F243" s="547" t="s">
        <v>2667</v>
      </c>
      <c r="G243" s="547" t="s">
        <v>552</v>
      </c>
      <c r="H243" s="547" t="s">
        <v>596</v>
      </c>
      <c r="I243" s="548">
        <v>43941.0</v>
      </c>
      <c r="J243" s="547">
        <v>4.0</v>
      </c>
      <c r="K243" s="555" t="s">
        <v>240</v>
      </c>
      <c r="L243" s="547" t="s">
        <v>2855</v>
      </c>
      <c r="M243" s="529">
        <f t="shared" si="2"/>
        <v>1963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541">
        <v>7120.0</v>
      </c>
      <c r="B244" s="542" t="s">
        <v>5147</v>
      </c>
      <c r="C244" s="542">
        <v>2014.0</v>
      </c>
      <c r="D244" s="543">
        <v>41978.0</v>
      </c>
      <c r="E244" s="542" t="s">
        <v>5148</v>
      </c>
      <c r="F244" s="542" t="s">
        <v>148</v>
      </c>
      <c r="G244" s="542" t="s">
        <v>552</v>
      </c>
      <c r="H244" s="542" t="s">
        <v>130</v>
      </c>
      <c r="I244" s="543">
        <v>43941.0</v>
      </c>
      <c r="J244" s="542">
        <v>4.0</v>
      </c>
      <c r="K244" s="555" t="s">
        <v>242</v>
      </c>
      <c r="L244" s="542" t="s">
        <v>2860</v>
      </c>
      <c r="M244" s="528">
        <f t="shared" si="2"/>
        <v>1963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546">
        <v>7220.0</v>
      </c>
      <c r="B245" s="547" t="s">
        <v>5149</v>
      </c>
      <c r="C245" s="547">
        <v>2010.0</v>
      </c>
      <c r="D245" s="548">
        <v>40473.0</v>
      </c>
      <c r="E245" s="547" t="s">
        <v>5150</v>
      </c>
      <c r="F245" s="547" t="s">
        <v>5151</v>
      </c>
      <c r="G245" s="547" t="s">
        <v>650</v>
      </c>
      <c r="H245" s="547" t="s">
        <v>651</v>
      </c>
      <c r="I245" s="548">
        <v>43941.0</v>
      </c>
      <c r="J245" s="547">
        <v>4.0</v>
      </c>
      <c r="K245" s="555" t="s">
        <v>240</v>
      </c>
      <c r="L245" s="547" t="s">
        <v>2860</v>
      </c>
      <c r="M245" s="529">
        <f t="shared" si="2"/>
        <v>3468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541">
        <v>7320.0</v>
      </c>
      <c r="B246" s="542" t="s">
        <v>5152</v>
      </c>
      <c r="C246" s="542">
        <v>2013.0</v>
      </c>
      <c r="D246" s="543">
        <v>41408.0</v>
      </c>
      <c r="E246" s="542" t="s">
        <v>5153</v>
      </c>
      <c r="F246" s="542" t="s">
        <v>1823</v>
      </c>
      <c r="G246" s="542" t="s">
        <v>552</v>
      </c>
      <c r="H246" s="542" t="s">
        <v>934</v>
      </c>
      <c r="I246" s="543">
        <v>43941.0</v>
      </c>
      <c r="J246" s="542">
        <v>4.0</v>
      </c>
      <c r="K246" s="562" t="s">
        <v>232</v>
      </c>
      <c r="L246" s="542" t="s">
        <v>2860</v>
      </c>
      <c r="M246" s="528">
        <f t="shared" si="2"/>
        <v>2533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546">
        <v>7420.0</v>
      </c>
      <c r="B247" s="547" t="s">
        <v>5154</v>
      </c>
      <c r="C247" s="547">
        <v>2012.0</v>
      </c>
      <c r="D247" s="548">
        <v>41002.0</v>
      </c>
      <c r="E247" s="547" t="s">
        <v>5155</v>
      </c>
      <c r="F247" s="547" t="s">
        <v>5156</v>
      </c>
      <c r="G247" s="547" t="s">
        <v>650</v>
      </c>
      <c r="H247" s="547" t="s">
        <v>158</v>
      </c>
      <c r="I247" s="548">
        <v>43941.0</v>
      </c>
      <c r="J247" s="547">
        <v>4.0</v>
      </c>
      <c r="K247" s="555" t="s">
        <v>240</v>
      </c>
      <c r="L247" s="547" t="s">
        <v>2860</v>
      </c>
      <c r="M247" s="529">
        <f t="shared" si="2"/>
        <v>2939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541">
        <v>7520.0</v>
      </c>
      <c r="B248" s="542" t="s">
        <v>5157</v>
      </c>
      <c r="C248" s="542">
        <v>2015.0</v>
      </c>
      <c r="D248" s="543">
        <v>42153.0</v>
      </c>
      <c r="E248" s="542" t="s">
        <v>5158</v>
      </c>
      <c r="F248" s="542" t="s">
        <v>2268</v>
      </c>
      <c r="G248" s="542" t="s">
        <v>552</v>
      </c>
      <c r="H248" s="542" t="s">
        <v>130</v>
      </c>
      <c r="I248" s="543">
        <v>43941.0</v>
      </c>
      <c r="J248" s="542">
        <v>4.0</v>
      </c>
      <c r="K248" s="555" t="s">
        <v>242</v>
      </c>
      <c r="L248" s="542" t="s">
        <v>2855</v>
      </c>
      <c r="M248" s="528">
        <f t="shared" si="2"/>
        <v>1788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546">
        <v>7620.0</v>
      </c>
      <c r="B249" s="547" t="s">
        <v>5159</v>
      </c>
      <c r="C249" s="547">
        <v>2013.0</v>
      </c>
      <c r="D249" s="548">
        <v>41497.0</v>
      </c>
      <c r="E249" s="547" t="s">
        <v>5160</v>
      </c>
      <c r="F249" s="547" t="s">
        <v>44</v>
      </c>
      <c r="G249" s="547" t="s">
        <v>552</v>
      </c>
      <c r="H249" s="547" t="s">
        <v>583</v>
      </c>
      <c r="I249" s="548">
        <v>43941.0</v>
      </c>
      <c r="J249" s="547">
        <v>4.0</v>
      </c>
      <c r="K249" s="555" t="s">
        <v>240</v>
      </c>
      <c r="L249" s="547" t="s">
        <v>2855</v>
      </c>
      <c r="M249" s="529">
        <f t="shared" si="2"/>
        <v>2444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541">
        <v>7720.0</v>
      </c>
      <c r="B250" s="542" t="s">
        <v>5161</v>
      </c>
      <c r="C250" s="542">
        <v>2017.0</v>
      </c>
      <c r="D250" s="543">
        <v>43069.0</v>
      </c>
      <c r="E250" s="542" t="s">
        <v>5162</v>
      </c>
      <c r="F250" s="542" t="s">
        <v>5163</v>
      </c>
      <c r="G250" s="542" t="s">
        <v>650</v>
      </c>
      <c r="H250" s="542" t="s">
        <v>1727</v>
      </c>
      <c r="I250" s="543">
        <v>43941.0</v>
      </c>
      <c r="J250" s="542">
        <v>4.0</v>
      </c>
      <c r="K250" s="555" t="s">
        <v>240</v>
      </c>
      <c r="L250" s="542" t="s">
        <v>2860</v>
      </c>
      <c r="M250" s="528">
        <f t="shared" si="2"/>
        <v>872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546">
        <v>7820.0</v>
      </c>
      <c r="B251" s="547" t="s">
        <v>5164</v>
      </c>
      <c r="C251" s="547">
        <v>2019.0</v>
      </c>
      <c r="D251" s="548">
        <v>43565.0</v>
      </c>
      <c r="E251" s="547" t="s">
        <v>5165</v>
      </c>
      <c r="F251" s="547" t="s">
        <v>5166</v>
      </c>
      <c r="G251" s="547" t="s">
        <v>565</v>
      </c>
      <c r="H251" s="547" t="s">
        <v>3662</v>
      </c>
      <c r="I251" s="548">
        <v>43950.0</v>
      </c>
      <c r="J251" s="547">
        <v>4.0</v>
      </c>
      <c r="K251" s="549" t="s">
        <v>822</v>
      </c>
      <c r="L251" s="547" t="s">
        <v>3310</v>
      </c>
      <c r="M251" s="529">
        <f t="shared" si="2"/>
        <v>385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541">
        <v>7920.0</v>
      </c>
      <c r="B252" s="542" t="s">
        <v>5167</v>
      </c>
      <c r="C252" s="542">
        <v>2017.0</v>
      </c>
      <c r="D252" s="543">
        <v>42782.0</v>
      </c>
      <c r="E252" s="542" t="s">
        <v>5168</v>
      </c>
      <c r="F252" s="542" t="s">
        <v>1255</v>
      </c>
      <c r="G252" s="542" t="s">
        <v>552</v>
      </c>
      <c r="H252" s="542" t="s">
        <v>5049</v>
      </c>
      <c r="I252" s="543">
        <v>43950.0</v>
      </c>
      <c r="J252" s="542">
        <v>4.0</v>
      </c>
      <c r="K252" s="555" t="s">
        <v>242</v>
      </c>
      <c r="L252" s="542" t="s">
        <v>2860</v>
      </c>
      <c r="M252" s="528">
        <f t="shared" si="2"/>
        <v>1168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546">
        <v>8020.0</v>
      </c>
      <c r="B253" s="547" t="s">
        <v>5169</v>
      </c>
      <c r="C253" s="547">
        <v>2014.0</v>
      </c>
      <c r="D253" s="548">
        <v>41671.0</v>
      </c>
      <c r="E253" s="547" t="s">
        <v>5170</v>
      </c>
      <c r="F253" s="547" t="s">
        <v>963</v>
      </c>
      <c r="G253" s="547" t="s">
        <v>552</v>
      </c>
      <c r="H253" s="547" t="s">
        <v>5171</v>
      </c>
      <c r="I253" s="548">
        <v>43950.0</v>
      </c>
      <c r="J253" s="547">
        <v>4.0</v>
      </c>
      <c r="K253" s="562" t="s">
        <v>232</v>
      </c>
      <c r="L253" s="547" t="s">
        <v>2855</v>
      </c>
      <c r="M253" s="529">
        <f t="shared" si="2"/>
        <v>2279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541">
        <v>8120.0</v>
      </c>
      <c r="B254" s="542" t="s">
        <v>5172</v>
      </c>
      <c r="C254" s="542">
        <v>2015.0</v>
      </c>
      <c r="D254" s="543">
        <v>42251.0</v>
      </c>
      <c r="E254" s="542" t="s">
        <v>5173</v>
      </c>
      <c r="F254" s="542" t="s">
        <v>186</v>
      </c>
      <c r="G254" s="542" t="s">
        <v>650</v>
      </c>
      <c r="H254" s="542" t="s">
        <v>651</v>
      </c>
      <c r="I254" s="543">
        <v>43950.0</v>
      </c>
      <c r="J254" s="542">
        <v>4.0</v>
      </c>
      <c r="K254" s="555" t="s">
        <v>242</v>
      </c>
      <c r="L254" s="542" t="s">
        <v>2855</v>
      </c>
      <c r="M254" s="528">
        <f t="shared" si="2"/>
        <v>1699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546">
        <v>8220.0</v>
      </c>
      <c r="B255" s="547" t="s">
        <v>5174</v>
      </c>
      <c r="C255" s="547">
        <v>2015.0</v>
      </c>
      <c r="D255" s="548">
        <v>42153.0</v>
      </c>
      <c r="E255" s="547" t="s">
        <v>5175</v>
      </c>
      <c r="F255" s="547" t="s">
        <v>2268</v>
      </c>
      <c r="G255" s="547" t="s">
        <v>552</v>
      </c>
      <c r="H255" s="547" t="s">
        <v>130</v>
      </c>
      <c r="I255" s="548">
        <v>43950.0</v>
      </c>
      <c r="J255" s="547">
        <v>4.0</v>
      </c>
      <c r="K255" s="555" t="s">
        <v>242</v>
      </c>
      <c r="L255" s="547" t="s">
        <v>2855</v>
      </c>
      <c r="M255" s="529">
        <f t="shared" si="2"/>
        <v>1797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541">
        <v>8320.0</v>
      </c>
      <c r="B256" s="542" t="s">
        <v>5176</v>
      </c>
      <c r="C256" s="542">
        <v>2020.0</v>
      </c>
      <c r="D256" s="543">
        <v>43839.0</v>
      </c>
      <c r="E256" s="542" t="s">
        <v>5177</v>
      </c>
      <c r="F256" s="557" t="s">
        <v>2614</v>
      </c>
      <c r="G256" s="542" t="s">
        <v>569</v>
      </c>
      <c r="H256" s="542" t="s">
        <v>3545</v>
      </c>
      <c r="I256" s="543">
        <v>43950.0</v>
      </c>
      <c r="J256" s="542">
        <v>4.0</v>
      </c>
      <c r="K256" s="555" t="s">
        <v>242</v>
      </c>
      <c r="L256" s="542" t="s">
        <v>3310</v>
      </c>
      <c r="M256" s="528">
        <f t="shared" si="2"/>
        <v>111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546">
        <v>8420.0</v>
      </c>
      <c r="B257" s="547" t="s">
        <v>5178</v>
      </c>
      <c r="C257" s="547">
        <v>2010.0</v>
      </c>
      <c r="D257" s="548">
        <v>40181.0</v>
      </c>
      <c r="E257" s="547" t="s">
        <v>5179</v>
      </c>
      <c r="F257" s="547" t="s">
        <v>16</v>
      </c>
      <c r="G257" s="547" t="s">
        <v>650</v>
      </c>
      <c r="H257" s="547" t="s">
        <v>5180</v>
      </c>
      <c r="I257" s="548">
        <v>43950.0</v>
      </c>
      <c r="J257" s="547">
        <v>4.0</v>
      </c>
      <c r="K257" s="555" t="s">
        <v>242</v>
      </c>
      <c r="L257" s="547" t="s">
        <v>2860</v>
      </c>
      <c r="M257" s="529">
        <f t="shared" si="2"/>
        <v>3769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541">
        <v>8520.0</v>
      </c>
      <c r="B258" s="542" t="s">
        <v>5181</v>
      </c>
      <c r="C258" s="542">
        <v>2019.0</v>
      </c>
      <c r="D258" s="543">
        <v>43738.0</v>
      </c>
      <c r="E258" s="542" t="s">
        <v>5182</v>
      </c>
      <c r="F258" s="557" t="s">
        <v>5183</v>
      </c>
      <c r="G258" s="542" t="s">
        <v>565</v>
      </c>
      <c r="H258" s="542" t="s">
        <v>5184</v>
      </c>
      <c r="I258" s="543">
        <v>43955.0</v>
      </c>
      <c r="J258" s="542">
        <v>5.0</v>
      </c>
      <c r="K258" s="549" t="s">
        <v>822</v>
      </c>
      <c r="L258" s="542" t="s">
        <v>3310</v>
      </c>
      <c r="M258" s="528">
        <f t="shared" si="2"/>
        <v>217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546">
        <v>8620.0</v>
      </c>
      <c r="B259" s="547" t="s">
        <v>5185</v>
      </c>
      <c r="C259" s="547">
        <v>2008.0</v>
      </c>
      <c r="D259" s="548">
        <v>39521.0</v>
      </c>
      <c r="E259" s="547" t="s">
        <v>5186</v>
      </c>
      <c r="F259" s="547" t="s">
        <v>5187</v>
      </c>
      <c r="G259" s="547" t="s">
        <v>650</v>
      </c>
      <c r="H259" s="547" t="s">
        <v>573</v>
      </c>
      <c r="I259" s="548">
        <v>43957.0</v>
      </c>
      <c r="J259" s="547">
        <v>5.0</v>
      </c>
      <c r="K259" s="555" t="s">
        <v>240</v>
      </c>
      <c r="L259" s="547" t="s">
        <v>2860</v>
      </c>
      <c r="M259" s="529">
        <f t="shared" si="2"/>
        <v>4436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541">
        <v>8720.0</v>
      </c>
      <c r="B260" s="542" t="s">
        <v>5188</v>
      </c>
      <c r="C260" s="542">
        <v>2011.0</v>
      </c>
      <c r="D260" s="543">
        <v>40812.0</v>
      </c>
      <c r="E260" s="542" t="s">
        <v>5189</v>
      </c>
      <c r="F260" s="542" t="s">
        <v>654</v>
      </c>
      <c r="G260" s="542" t="s">
        <v>650</v>
      </c>
      <c r="H260" s="542" t="s">
        <v>158</v>
      </c>
      <c r="I260" s="543">
        <v>43957.0</v>
      </c>
      <c r="J260" s="542">
        <v>5.0</v>
      </c>
      <c r="K260" s="549" t="s">
        <v>822</v>
      </c>
      <c r="L260" s="542" t="s">
        <v>2855</v>
      </c>
      <c r="M260" s="528">
        <f t="shared" si="2"/>
        <v>3145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546">
        <v>8820.0</v>
      </c>
      <c r="B261" s="547" t="s">
        <v>5190</v>
      </c>
      <c r="C261" s="547">
        <v>2018.0</v>
      </c>
      <c r="D261" s="548">
        <v>43447.0</v>
      </c>
      <c r="E261" s="547" t="s">
        <v>5191</v>
      </c>
      <c r="F261" s="547" t="s">
        <v>5192</v>
      </c>
      <c r="G261" s="547" t="s">
        <v>565</v>
      </c>
      <c r="H261" s="547" t="s">
        <v>740</v>
      </c>
      <c r="I261" s="548">
        <v>43969.0</v>
      </c>
      <c r="J261" s="547">
        <v>5.0</v>
      </c>
      <c r="K261" s="549" t="s">
        <v>822</v>
      </c>
      <c r="L261" s="547" t="s">
        <v>3310</v>
      </c>
      <c r="M261" s="529">
        <f t="shared" si="2"/>
        <v>522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541">
        <v>8920.0</v>
      </c>
      <c r="B262" s="542" t="s">
        <v>5193</v>
      </c>
      <c r="C262" s="542">
        <v>2016.0</v>
      </c>
      <c r="D262" s="543">
        <v>42600.0</v>
      </c>
      <c r="E262" s="542" t="s">
        <v>5194</v>
      </c>
      <c r="F262" s="542" t="s">
        <v>5195</v>
      </c>
      <c r="G262" s="542" t="s">
        <v>650</v>
      </c>
      <c r="H262" s="542" t="s">
        <v>573</v>
      </c>
      <c r="I262" s="543">
        <v>43969.0</v>
      </c>
      <c r="J262" s="542">
        <v>5.0</v>
      </c>
      <c r="K262" s="555" t="s">
        <v>242</v>
      </c>
      <c r="L262" s="542" t="s">
        <v>2860</v>
      </c>
      <c r="M262" s="528">
        <f t="shared" si="2"/>
        <v>1369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546">
        <v>9020.0</v>
      </c>
      <c r="B263" s="547" t="s">
        <v>5196</v>
      </c>
      <c r="C263" s="547">
        <v>2019.0</v>
      </c>
      <c r="D263" s="548">
        <v>43693.0</v>
      </c>
      <c r="E263" s="547" t="s">
        <v>5197</v>
      </c>
      <c r="F263" s="556" t="s">
        <v>2614</v>
      </c>
      <c r="G263" s="547" t="s">
        <v>569</v>
      </c>
      <c r="H263" s="547" t="s">
        <v>5022</v>
      </c>
      <c r="I263" s="548">
        <v>43969.0</v>
      </c>
      <c r="J263" s="547">
        <v>5.0</v>
      </c>
      <c r="K263" s="555" t="s">
        <v>242</v>
      </c>
      <c r="L263" s="547" t="s">
        <v>3310</v>
      </c>
      <c r="M263" s="529">
        <f t="shared" si="2"/>
        <v>276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541">
        <v>9120.0</v>
      </c>
      <c r="B264" s="542" t="s">
        <v>5198</v>
      </c>
      <c r="C264" s="542">
        <v>2011.0</v>
      </c>
      <c r="D264" s="543">
        <v>40662.0</v>
      </c>
      <c r="E264" s="542" t="s">
        <v>5199</v>
      </c>
      <c r="F264" s="542" t="s">
        <v>16</v>
      </c>
      <c r="G264" s="542" t="s">
        <v>650</v>
      </c>
      <c r="H264" s="542" t="s">
        <v>5180</v>
      </c>
      <c r="I264" s="543">
        <v>43973.0</v>
      </c>
      <c r="J264" s="542">
        <v>5.0</v>
      </c>
      <c r="K264" s="555" t="s">
        <v>242</v>
      </c>
      <c r="L264" s="542" t="s">
        <v>2860</v>
      </c>
      <c r="M264" s="528">
        <f t="shared" si="2"/>
        <v>3311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546">
        <v>9220.0</v>
      </c>
      <c r="B265" s="547" t="s">
        <v>5200</v>
      </c>
      <c r="C265" s="547">
        <v>2011.0</v>
      </c>
      <c r="D265" s="548">
        <v>40718.0</v>
      </c>
      <c r="E265" s="547" t="s">
        <v>5201</v>
      </c>
      <c r="F265" s="547" t="s">
        <v>4561</v>
      </c>
      <c r="G265" s="547" t="s">
        <v>552</v>
      </c>
      <c r="H265" s="547" t="s">
        <v>130</v>
      </c>
      <c r="I265" s="548">
        <v>43973.0</v>
      </c>
      <c r="J265" s="547">
        <v>5.0</v>
      </c>
      <c r="K265" s="555" t="s">
        <v>242</v>
      </c>
      <c r="L265" s="547" t="s">
        <v>2855</v>
      </c>
      <c r="M265" s="529">
        <f t="shared" si="2"/>
        <v>3255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541">
        <v>9320.0</v>
      </c>
      <c r="B266" s="542" t="s">
        <v>5202</v>
      </c>
      <c r="C266" s="542">
        <v>2011.0</v>
      </c>
      <c r="D266" s="543">
        <v>40731.0</v>
      </c>
      <c r="E266" s="542" t="s">
        <v>5203</v>
      </c>
      <c r="F266" s="542" t="s">
        <v>5204</v>
      </c>
      <c r="G266" s="542" t="s">
        <v>552</v>
      </c>
      <c r="H266" s="542" t="s">
        <v>3695</v>
      </c>
      <c r="I266" s="543">
        <v>43973.0</v>
      </c>
      <c r="J266" s="542">
        <v>5.0</v>
      </c>
      <c r="K266" s="555" t="s">
        <v>242</v>
      </c>
      <c r="L266" s="542" t="s">
        <v>2860</v>
      </c>
      <c r="M266" s="528">
        <f t="shared" si="2"/>
        <v>3242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546">
        <v>9420.0</v>
      </c>
      <c r="B267" s="547" t="s">
        <v>5205</v>
      </c>
      <c r="C267" s="547">
        <v>2017.0</v>
      </c>
      <c r="D267" s="548">
        <v>42858.0</v>
      </c>
      <c r="E267" s="547" t="s">
        <v>5206</v>
      </c>
      <c r="F267" s="547" t="s">
        <v>4029</v>
      </c>
      <c r="G267" s="547" t="s">
        <v>552</v>
      </c>
      <c r="H267" s="547" t="s">
        <v>3482</v>
      </c>
      <c r="I267" s="548">
        <v>43971.0</v>
      </c>
      <c r="J267" s="547">
        <v>5.0</v>
      </c>
      <c r="K267" s="555" t="s">
        <v>242</v>
      </c>
      <c r="L267" s="547" t="s">
        <v>2860</v>
      </c>
      <c r="M267" s="529">
        <f t="shared" si="2"/>
        <v>1113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customHeight="1">
      <c r="A268" s="541">
        <v>9520.0</v>
      </c>
      <c r="B268" s="542" t="s">
        <v>5207</v>
      </c>
      <c r="C268" s="542">
        <v>2016.0</v>
      </c>
      <c r="D268" s="543">
        <v>42495.0</v>
      </c>
      <c r="E268" s="542" t="s">
        <v>5208</v>
      </c>
      <c r="F268" s="542" t="s">
        <v>1108</v>
      </c>
      <c r="G268" s="542" t="s">
        <v>552</v>
      </c>
      <c r="H268" s="542" t="s">
        <v>5209</v>
      </c>
      <c r="I268" s="543">
        <v>43971.0</v>
      </c>
      <c r="J268" s="542">
        <v>5.0</v>
      </c>
      <c r="K268" s="555" t="s">
        <v>242</v>
      </c>
      <c r="L268" s="542" t="s">
        <v>2860</v>
      </c>
      <c r="M268" s="528">
        <f t="shared" si="2"/>
        <v>1476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546">
        <v>9620.0</v>
      </c>
      <c r="B269" s="547" t="s">
        <v>5210</v>
      </c>
      <c r="C269" s="547">
        <v>2019.0</v>
      </c>
      <c r="D269" s="548">
        <v>43511.0</v>
      </c>
      <c r="E269" s="547" t="s">
        <v>5211</v>
      </c>
      <c r="F269" s="547" t="s">
        <v>2831</v>
      </c>
      <c r="G269" s="547" t="s">
        <v>565</v>
      </c>
      <c r="H269" s="547" t="s">
        <v>26</v>
      </c>
      <c r="I269" s="548">
        <v>43971.0</v>
      </c>
      <c r="J269" s="547">
        <v>5.0</v>
      </c>
      <c r="K269" s="555" t="s">
        <v>242</v>
      </c>
      <c r="L269" s="547" t="s">
        <v>3310</v>
      </c>
      <c r="M269" s="529">
        <f t="shared" si="2"/>
        <v>460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541">
        <v>9720.0</v>
      </c>
      <c r="B270" s="542" t="s">
        <v>5212</v>
      </c>
      <c r="C270" s="542">
        <v>2014.0</v>
      </c>
      <c r="D270" s="543">
        <v>41971.0</v>
      </c>
      <c r="E270" s="542" t="s">
        <v>5213</v>
      </c>
      <c r="F270" s="542" t="s">
        <v>148</v>
      </c>
      <c r="G270" s="542" t="s">
        <v>552</v>
      </c>
      <c r="H270" s="542" t="s">
        <v>130</v>
      </c>
      <c r="I270" s="543">
        <v>43971.0</v>
      </c>
      <c r="J270" s="542">
        <v>5.0</v>
      </c>
      <c r="K270" s="555" t="s">
        <v>242</v>
      </c>
      <c r="L270" s="542" t="s">
        <v>2860</v>
      </c>
      <c r="M270" s="528">
        <f t="shared" si="2"/>
        <v>2000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546">
        <v>9820.0</v>
      </c>
      <c r="B271" s="547" t="s">
        <v>5214</v>
      </c>
      <c r="C271" s="547">
        <v>2010.0</v>
      </c>
      <c r="D271" s="548">
        <v>40422.0</v>
      </c>
      <c r="E271" s="547" t="s">
        <v>5215</v>
      </c>
      <c r="F271" s="547" t="s">
        <v>3705</v>
      </c>
      <c r="G271" s="547" t="s">
        <v>552</v>
      </c>
      <c r="H271" s="547" t="s">
        <v>5171</v>
      </c>
      <c r="I271" s="548">
        <v>43973.0</v>
      </c>
      <c r="J271" s="547">
        <v>5.0</v>
      </c>
      <c r="K271" s="555" t="s">
        <v>242</v>
      </c>
      <c r="L271" s="547" t="s">
        <v>2860</v>
      </c>
      <c r="M271" s="529">
        <f t="shared" si="2"/>
        <v>3551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541">
        <v>9920.0</v>
      </c>
      <c r="B272" s="542" t="s">
        <v>5216</v>
      </c>
      <c r="C272" s="542">
        <v>2014.0</v>
      </c>
      <c r="D272" s="543">
        <v>41981.0</v>
      </c>
      <c r="E272" s="542" t="s">
        <v>5217</v>
      </c>
      <c r="F272" s="542" t="s">
        <v>1762</v>
      </c>
      <c r="G272" s="542" t="s">
        <v>552</v>
      </c>
      <c r="H272" s="542" t="s">
        <v>130</v>
      </c>
      <c r="I272" s="543">
        <v>43973.0</v>
      </c>
      <c r="J272" s="542">
        <v>5.0</v>
      </c>
      <c r="K272" s="555" t="s">
        <v>242</v>
      </c>
      <c r="L272" s="542" t="s">
        <v>2860</v>
      </c>
      <c r="M272" s="528">
        <f t="shared" si="2"/>
        <v>1992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546">
        <v>10020.0</v>
      </c>
      <c r="B273" s="547" t="s">
        <v>5218</v>
      </c>
      <c r="C273" s="547">
        <v>2013.0</v>
      </c>
      <c r="D273" s="548">
        <v>41607.0</v>
      </c>
      <c r="E273" s="547" t="s">
        <v>5219</v>
      </c>
      <c r="F273" s="547" t="s">
        <v>5220</v>
      </c>
      <c r="G273" s="547" t="s">
        <v>650</v>
      </c>
      <c r="H273" s="547" t="s">
        <v>2444</v>
      </c>
      <c r="I273" s="548">
        <v>43973.0</v>
      </c>
      <c r="J273" s="547">
        <v>5.0</v>
      </c>
      <c r="K273" s="562" t="s">
        <v>230</v>
      </c>
      <c r="L273" s="547" t="s">
        <v>2855</v>
      </c>
      <c r="M273" s="529">
        <f t="shared" si="2"/>
        <v>2366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customHeight="1">
      <c r="A274" s="541">
        <v>10120.0</v>
      </c>
      <c r="B274" s="542" t="s">
        <v>5221</v>
      </c>
      <c r="C274" s="542">
        <v>2019.0</v>
      </c>
      <c r="D274" s="543">
        <v>43745.0</v>
      </c>
      <c r="E274" s="542" t="s">
        <v>5222</v>
      </c>
      <c r="F274" s="557" t="s">
        <v>5223</v>
      </c>
      <c r="G274" s="542" t="s">
        <v>565</v>
      </c>
      <c r="H274" s="542" t="s">
        <v>2093</v>
      </c>
      <c r="I274" s="543">
        <v>43973.0</v>
      </c>
      <c r="J274" s="542">
        <v>5.0</v>
      </c>
      <c r="K274" s="555" t="s">
        <v>242</v>
      </c>
      <c r="L274" s="542" t="s">
        <v>3310</v>
      </c>
      <c r="M274" s="528">
        <f t="shared" si="2"/>
        <v>228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546">
        <v>10220.0</v>
      </c>
      <c r="B275" s="547" t="s">
        <v>5224</v>
      </c>
      <c r="C275" s="547">
        <v>2016.0</v>
      </c>
      <c r="D275" s="548">
        <v>42374.0</v>
      </c>
      <c r="E275" s="547" t="s">
        <v>5225</v>
      </c>
      <c r="F275" s="547" t="s">
        <v>1968</v>
      </c>
      <c r="G275" s="547" t="s">
        <v>552</v>
      </c>
      <c r="H275" s="547" t="s">
        <v>573</v>
      </c>
      <c r="I275" s="548">
        <v>43979.0</v>
      </c>
      <c r="J275" s="547">
        <v>5.0</v>
      </c>
      <c r="K275" s="555" t="s">
        <v>242</v>
      </c>
      <c r="L275" s="547" t="s">
        <v>2860</v>
      </c>
      <c r="M275" s="529">
        <f t="shared" si="2"/>
        <v>1605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541">
        <v>10320.0</v>
      </c>
      <c r="B276" s="542" t="s">
        <v>5226</v>
      </c>
      <c r="C276" s="542">
        <v>2015.0</v>
      </c>
      <c r="D276" s="543">
        <v>42250.0</v>
      </c>
      <c r="E276" s="542" t="s">
        <v>5227</v>
      </c>
      <c r="F276" s="542" t="s">
        <v>186</v>
      </c>
      <c r="G276" s="542" t="s">
        <v>552</v>
      </c>
      <c r="H276" s="542" t="s">
        <v>130</v>
      </c>
      <c r="I276" s="543">
        <v>43979.0</v>
      </c>
      <c r="J276" s="542">
        <v>5.0</v>
      </c>
      <c r="K276" s="555" t="s">
        <v>238</v>
      </c>
      <c r="L276" s="542" t="s">
        <v>2855</v>
      </c>
      <c r="M276" s="528">
        <f t="shared" si="2"/>
        <v>1729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546">
        <v>10420.0</v>
      </c>
      <c r="B277" s="547" t="s">
        <v>5228</v>
      </c>
      <c r="C277" s="547">
        <v>2013.0</v>
      </c>
      <c r="D277" s="548">
        <v>41479.0</v>
      </c>
      <c r="E277" s="547" t="s">
        <v>5229</v>
      </c>
      <c r="F277" s="547" t="s">
        <v>2575</v>
      </c>
      <c r="G277" s="547" t="s">
        <v>552</v>
      </c>
      <c r="H277" s="547" t="s">
        <v>5049</v>
      </c>
      <c r="I277" s="548">
        <v>43979.0</v>
      </c>
      <c r="J277" s="547">
        <v>5.0</v>
      </c>
      <c r="K277" s="555" t="s">
        <v>240</v>
      </c>
      <c r="L277" s="547" t="s">
        <v>2855</v>
      </c>
      <c r="M277" s="529">
        <f t="shared" si="2"/>
        <v>2500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541">
        <v>10520.0</v>
      </c>
      <c r="B278" s="542" t="s">
        <v>5230</v>
      </c>
      <c r="C278" s="542">
        <v>2016.0</v>
      </c>
      <c r="D278" s="543">
        <v>42566.0</v>
      </c>
      <c r="E278" s="542" t="s">
        <v>5231</v>
      </c>
      <c r="F278" s="542" t="s">
        <v>5232</v>
      </c>
      <c r="G278" s="542" t="s">
        <v>650</v>
      </c>
      <c r="H278" s="542" t="s">
        <v>158</v>
      </c>
      <c r="I278" s="543">
        <v>43979.0</v>
      </c>
      <c r="J278" s="542">
        <v>5.0</v>
      </c>
      <c r="K278" s="555" t="s">
        <v>240</v>
      </c>
      <c r="L278" s="542" t="s">
        <v>2860</v>
      </c>
      <c r="M278" s="528">
        <f t="shared" si="2"/>
        <v>1413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546">
        <v>10620.0</v>
      </c>
      <c r="B279" s="547" t="s">
        <v>5233</v>
      </c>
      <c r="C279" s="547">
        <v>2017.0</v>
      </c>
      <c r="D279" s="548">
        <v>42775.0</v>
      </c>
      <c r="E279" s="547" t="s">
        <v>5234</v>
      </c>
      <c r="F279" s="547" t="s">
        <v>2268</v>
      </c>
      <c r="G279" s="547" t="s">
        <v>552</v>
      </c>
      <c r="H279" s="547" t="s">
        <v>775</v>
      </c>
      <c r="I279" s="548">
        <v>43984.0</v>
      </c>
      <c r="J279" s="547">
        <v>6.0</v>
      </c>
      <c r="K279" s="555" t="s">
        <v>242</v>
      </c>
      <c r="L279" s="547" t="s">
        <v>2855</v>
      </c>
      <c r="M279" s="529">
        <f t="shared" si="2"/>
        <v>1209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541">
        <v>10720.0</v>
      </c>
      <c r="B280" s="542" t="s">
        <v>5235</v>
      </c>
      <c r="C280" s="542">
        <v>2020.0</v>
      </c>
      <c r="D280" s="543">
        <v>43857.0</v>
      </c>
      <c r="E280" s="542" t="s">
        <v>5236</v>
      </c>
      <c r="F280" s="557" t="s">
        <v>4300</v>
      </c>
      <c r="G280" s="542" t="s">
        <v>569</v>
      </c>
      <c r="H280" s="542" t="s">
        <v>5237</v>
      </c>
      <c r="I280" s="543">
        <v>43985.0</v>
      </c>
      <c r="J280" s="542">
        <v>6.0</v>
      </c>
      <c r="K280" s="555" t="s">
        <v>242</v>
      </c>
      <c r="L280" s="542" t="s">
        <v>3310</v>
      </c>
      <c r="M280" s="528">
        <f t="shared" si="2"/>
        <v>128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546">
        <v>10820.0</v>
      </c>
      <c r="B281" s="547" t="s">
        <v>5238</v>
      </c>
      <c r="C281" s="547">
        <v>2018.0</v>
      </c>
      <c r="D281" s="548">
        <v>43252.0</v>
      </c>
      <c r="E281" s="547" t="s">
        <v>5239</v>
      </c>
      <c r="F281" s="547" t="s">
        <v>5240</v>
      </c>
      <c r="G281" s="547" t="s">
        <v>650</v>
      </c>
      <c r="H281" s="547" t="s">
        <v>651</v>
      </c>
      <c r="I281" s="548">
        <v>43985.0</v>
      </c>
      <c r="J281" s="547">
        <v>6.0</v>
      </c>
      <c r="K281" s="555" t="s">
        <v>242</v>
      </c>
      <c r="L281" s="547" t="s">
        <v>2860</v>
      </c>
      <c r="M281" s="529">
        <f t="shared" si="2"/>
        <v>733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541">
        <v>10920.0</v>
      </c>
      <c r="B282" s="542" t="s">
        <v>5241</v>
      </c>
      <c r="C282" s="542">
        <v>2016.0</v>
      </c>
      <c r="D282" s="543">
        <v>42524.0</v>
      </c>
      <c r="E282" s="542" t="s">
        <v>5242</v>
      </c>
      <c r="F282" s="542" t="s">
        <v>134</v>
      </c>
      <c r="G282" s="542" t="s">
        <v>552</v>
      </c>
      <c r="H282" s="542" t="s">
        <v>66</v>
      </c>
      <c r="I282" s="543">
        <v>43985.0</v>
      </c>
      <c r="J282" s="542">
        <v>6.0</v>
      </c>
      <c r="K282" s="555" t="s">
        <v>242</v>
      </c>
      <c r="L282" s="542" t="s">
        <v>2860</v>
      </c>
      <c r="M282" s="528">
        <f t="shared" si="2"/>
        <v>1461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546">
        <v>11020.0</v>
      </c>
      <c r="B283" s="547" t="s">
        <v>5243</v>
      </c>
      <c r="C283" s="547">
        <v>2018.0</v>
      </c>
      <c r="D283" s="548">
        <v>43368.0</v>
      </c>
      <c r="E283" s="547" t="s">
        <v>5244</v>
      </c>
      <c r="F283" s="547" t="s">
        <v>3078</v>
      </c>
      <c r="G283" s="547" t="s">
        <v>552</v>
      </c>
      <c r="H283" s="547" t="s">
        <v>66</v>
      </c>
      <c r="I283" s="548">
        <v>43985.0</v>
      </c>
      <c r="J283" s="547">
        <v>6.0</v>
      </c>
      <c r="K283" s="555" t="s">
        <v>242</v>
      </c>
      <c r="L283" s="547" t="s">
        <v>2855</v>
      </c>
      <c r="M283" s="529">
        <f t="shared" si="2"/>
        <v>617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541">
        <v>11120.0</v>
      </c>
      <c r="B284" s="542" t="s">
        <v>5245</v>
      </c>
      <c r="C284" s="542">
        <v>2016.0</v>
      </c>
      <c r="D284" s="543">
        <v>42616.0</v>
      </c>
      <c r="E284" s="542" t="s">
        <v>5246</v>
      </c>
      <c r="F284" s="542" t="s">
        <v>5247</v>
      </c>
      <c r="G284" s="542" t="s">
        <v>552</v>
      </c>
      <c r="H284" s="542" t="s">
        <v>26</v>
      </c>
      <c r="I284" s="543">
        <v>43985.0</v>
      </c>
      <c r="J284" s="542">
        <v>6.0</v>
      </c>
      <c r="K284" s="555" t="s">
        <v>242</v>
      </c>
      <c r="L284" s="542" t="s">
        <v>2855</v>
      </c>
      <c r="M284" s="528">
        <f t="shared" si="2"/>
        <v>1369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546">
        <v>11220.0</v>
      </c>
      <c r="B285" s="547" t="s">
        <v>5248</v>
      </c>
      <c r="C285" s="547">
        <v>2010.0</v>
      </c>
      <c r="D285" s="548">
        <v>40295.0</v>
      </c>
      <c r="E285" s="547" t="s">
        <v>5249</v>
      </c>
      <c r="F285" s="547" t="s">
        <v>5250</v>
      </c>
      <c r="G285" s="547" t="s">
        <v>650</v>
      </c>
      <c r="H285" s="547" t="s">
        <v>143</v>
      </c>
      <c r="I285" s="548">
        <v>44014.0</v>
      </c>
      <c r="J285" s="547">
        <v>7.0</v>
      </c>
      <c r="K285" s="555" t="s">
        <v>240</v>
      </c>
      <c r="L285" s="547" t="s">
        <v>2860</v>
      </c>
      <c r="M285" s="529">
        <f t="shared" si="2"/>
        <v>3719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541">
        <v>11320.0</v>
      </c>
      <c r="B286" s="542" t="s">
        <v>5251</v>
      </c>
      <c r="C286" s="542">
        <v>2013.0</v>
      </c>
      <c r="D286" s="543">
        <v>41439.0</v>
      </c>
      <c r="E286" s="542" t="s">
        <v>5252</v>
      </c>
      <c r="F286" s="542" t="s">
        <v>563</v>
      </c>
      <c r="G286" s="542" t="s">
        <v>552</v>
      </c>
      <c r="H286" s="542" t="s">
        <v>712</v>
      </c>
      <c r="I286" s="543">
        <v>44014.0</v>
      </c>
      <c r="J286" s="542">
        <v>7.0</v>
      </c>
      <c r="K286" s="561" t="s">
        <v>236</v>
      </c>
      <c r="L286" s="542" t="s">
        <v>2860</v>
      </c>
      <c r="M286" s="528">
        <f t="shared" si="2"/>
        <v>2575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546">
        <v>11420.0</v>
      </c>
      <c r="B287" s="547" t="s">
        <v>5253</v>
      </c>
      <c r="C287" s="547">
        <v>2017.0</v>
      </c>
      <c r="D287" s="548">
        <v>42786.0</v>
      </c>
      <c r="E287" s="547" t="s">
        <v>5254</v>
      </c>
      <c r="F287" s="547" t="s">
        <v>563</v>
      </c>
      <c r="G287" s="547" t="s">
        <v>552</v>
      </c>
      <c r="H287" s="547" t="s">
        <v>596</v>
      </c>
      <c r="I287" s="548">
        <v>44014.0</v>
      </c>
      <c r="J287" s="547">
        <v>7.0</v>
      </c>
      <c r="K287" s="561" t="s">
        <v>236</v>
      </c>
      <c r="L287" s="547" t="s">
        <v>2860</v>
      </c>
      <c r="M287" s="529">
        <f t="shared" si="2"/>
        <v>1228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541">
        <v>11520.0</v>
      </c>
      <c r="B288" s="542" t="s">
        <v>5255</v>
      </c>
      <c r="C288" s="542">
        <v>2010.0</v>
      </c>
      <c r="D288" s="543">
        <v>40415.0</v>
      </c>
      <c r="E288" s="542" t="s">
        <v>5256</v>
      </c>
      <c r="F288" s="542" t="s">
        <v>5120</v>
      </c>
      <c r="G288" s="542" t="s">
        <v>650</v>
      </c>
      <c r="H288" s="542" t="s">
        <v>651</v>
      </c>
      <c r="I288" s="543">
        <v>44015.0</v>
      </c>
      <c r="J288" s="542">
        <v>7.0</v>
      </c>
      <c r="K288" s="555" t="s">
        <v>240</v>
      </c>
      <c r="L288" s="542" t="s">
        <v>2860</v>
      </c>
      <c r="M288" s="528">
        <f t="shared" si="2"/>
        <v>3600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546">
        <v>11620.0</v>
      </c>
      <c r="B289" s="547" t="s">
        <v>5257</v>
      </c>
      <c r="C289" s="547">
        <v>2019.0</v>
      </c>
      <c r="D289" s="548">
        <v>43504.0</v>
      </c>
      <c r="E289" s="547" t="s">
        <v>5258</v>
      </c>
      <c r="F289" s="556" t="s">
        <v>3647</v>
      </c>
      <c r="G289" s="547" t="s">
        <v>565</v>
      </c>
      <c r="H289" s="547" t="s">
        <v>2331</v>
      </c>
      <c r="I289" s="548">
        <v>44015.0</v>
      </c>
      <c r="J289" s="547">
        <v>7.0</v>
      </c>
      <c r="K289" s="549" t="s">
        <v>244</v>
      </c>
      <c r="L289" s="547" t="s">
        <v>3310</v>
      </c>
      <c r="M289" s="529">
        <f t="shared" si="2"/>
        <v>511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541">
        <v>11720.0</v>
      </c>
      <c r="B290" s="542" t="s">
        <v>5259</v>
      </c>
      <c r="C290" s="542">
        <v>2019.0</v>
      </c>
      <c r="D290" s="543">
        <v>43514.0</v>
      </c>
      <c r="E290" s="542" t="s">
        <v>5260</v>
      </c>
      <c r="F290" s="557" t="s">
        <v>3647</v>
      </c>
      <c r="G290" s="542" t="s">
        <v>565</v>
      </c>
      <c r="H290" s="542" t="s">
        <v>2331</v>
      </c>
      <c r="I290" s="543">
        <v>44015.0</v>
      </c>
      <c r="J290" s="542">
        <v>7.0</v>
      </c>
      <c r="K290" s="549" t="s">
        <v>244</v>
      </c>
      <c r="L290" s="542" t="s">
        <v>3310</v>
      </c>
      <c r="M290" s="528">
        <f t="shared" si="2"/>
        <v>501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546">
        <v>11820.0</v>
      </c>
      <c r="B291" s="547" t="s">
        <v>5261</v>
      </c>
      <c r="C291" s="547">
        <v>2019.0</v>
      </c>
      <c r="D291" s="548">
        <v>43514.0</v>
      </c>
      <c r="E291" s="547" t="s">
        <v>5262</v>
      </c>
      <c r="F291" s="556" t="s">
        <v>3647</v>
      </c>
      <c r="G291" s="547" t="s">
        <v>565</v>
      </c>
      <c r="H291" s="547" t="s">
        <v>2331</v>
      </c>
      <c r="I291" s="548">
        <v>44015.0</v>
      </c>
      <c r="J291" s="547">
        <v>7.0</v>
      </c>
      <c r="K291" s="549" t="s">
        <v>244</v>
      </c>
      <c r="L291" s="547" t="s">
        <v>3310</v>
      </c>
      <c r="M291" s="529">
        <f t="shared" si="2"/>
        <v>501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541">
        <v>11920.0</v>
      </c>
      <c r="B292" s="542" t="s">
        <v>5263</v>
      </c>
      <c r="C292" s="542">
        <v>2016.0</v>
      </c>
      <c r="D292" s="543">
        <v>42557.0</v>
      </c>
      <c r="E292" s="542" t="s">
        <v>5264</v>
      </c>
      <c r="F292" s="542" t="s">
        <v>3934</v>
      </c>
      <c r="G292" s="542" t="s">
        <v>552</v>
      </c>
      <c r="H292" s="542" t="s">
        <v>583</v>
      </c>
      <c r="I292" s="543">
        <v>44015.0</v>
      </c>
      <c r="J292" s="542">
        <v>7.0</v>
      </c>
      <c r="K292" s="549" t="s">
        <v>822</v>
      </c>
      <c r="L292" s="542" t="s">
        <v>2860</v>
      </c>
      <c r="M292" s="528">
        <f t="shared" si="2"/>
        <v>1458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546">
        <v>12020.0</v>
      </c>
      <c r="B293" s="547" t="s">
        <v>5265</v>
      </c>
      <c r="C293" s="547">
        <v>2019.0</v>
      </c>
      <c r="D293" s="548">
        <v>43748.0</v>
      </c>
      <c r="E293" s="547" t="s">
        <v>5266</v>
      </c>
      <c r="F293" s="556" t="s">
        <v>2614</v>
      </c>
      <c r="G293" s="547" t="s">
        <v>569</v>
      </c>
      <c r="H293" s="547" t="s">
        <v>2126</v>
      </c>
      <c r="I293" s="548">
        <v>44015.0</v>
      </c>
      <c r="J293" s="547">
        <v>7.0</v>
      </c>
      <c r="K293" s="555" t="s">
        <v>242</v>
      </c>
      <c r="L293" s="547" t="s">
        <v>3310</v>
      </c>
      <c r="M293" s="529">
        <f t="shared" si="2"/>
        <v>267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541">
        <v>12120.0</v>
      </c>
      <c r="B294" s="542" t="s">
        <v>5267</v>
      </c>
      <c r="C294" s="542">
        <v>2017.0</v>
      </c>
      <c r="D294" s="543">
        <v>43075.0</v>
      </c>
      <c r="E294" s="542" t="s">
        <v>5268</v>
      </c>
      <c r="F294" s="542" t="s">
        <v>5269</v>
      </c>
      <c r="G294" s="542" t="s">
        <v>552</v>
      </c>
      <c r="H294" s="542" t="s">
        <v>50</v>
      </c>
      <c r="I294" s="543">
        <v>44015.0</v>
      </c>
      <c r="J294" s="542">
        <v>7.0</v>
      </c>
      <c r="K294" s="555" t="s">
        <v>242</v>
      </c>
      <c r="L294" s="542" t="s">
        <v>2855</v>
      </c>
      <c r="M294" s="528">
        <f t="shared" si="2"/>
        <v>940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546">
        <v>12220.0</v>
      </c>
      <c r="B295" s="547" t="s">
        <v>5270</v>
      </c>
      <c r="C295" s="547">
        <v>2014.0</v>
      </c>
      <c r="D295" s="548">
        <v>41948.0</v>
      </c>
      <c r="E295" s="547" t="s">
        <v>5271</v>
      </c>
      <c r="F295" s="547" t="s">
        <v>5272</v>
      </c>
      <c r="G295" s="547" t="s">
        <v>552</v>
      </c>
      <c r="H295" s="547" t="s">
        <v>775</v>
      </c>
      <c r="I295" s="548">
        <v>44015.0</v>
      </c>
      <c r="J295" s="547">
        <v>7.0</v>
      </c>
      <c r="K295" s="555" t="s">
        <v>242</v>
      </c>
      <c r="L295" s="547" t="s">
        <v>2860</v>
      </c>
      <c r="M295" s="529">
        <f t="shared" si="2"/>
        <v>2067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541">
        <v>12320.0</v>
      </c>
      <c r="B296" s="542" t="s">
        <v>5273</v>
      </c>
      <c r="C296" s="542">
        <v>2019.0</v>
      </c>
      <c r="D296" s="543">
        <v>43809.0</v>
      </c>
      <c r="E296" s="542" t="s">
        <v>5274</v>
      </c>
      <c r="F296" s="557" t="s">
        <v>3647</v>
      </c>
      <c r="G296" s="542" t="s">
        <v>565</v>
      </c>
      <c r="H296" s="542" t="s">
        <v>18</v>
      </c>
      <c r="I296" s="543">
        <v>44019.0</v>
      </c>
      <c r="J296" s="542">
        <v>7.0</v>
      </c>
      <c r="K296" s="549" t="s">
        <v>822</v>
      </c>
      <c r="L296" s="542" t="s">
        <v>3310</v>
      </c>
      <c r="M296" s="528">
        <f t="shared" si="2"/>
        <v>210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546">
        <v>12420.0</v>
      </c>
      <c r="B297" s="547" t="s">
        <v>5275</v>
      </c>
      <c r="C297" s="547">
        <v>2019.0</v>
      </c>
      <c r="D297" s="548">
        <v>43809.0</v>
      </c>
      <c r="E297" s="547" t="s">
        <v>5276</v>
      </c>
      <c r="F297" s="556" t="s">
        <v>3647</v>
      </c>
      <c r="G297" s="547" t="s">
        <v>565</v>
      </c>
      <c r="H297" s="547" t="s">
        <v>18</v>
      </c>
      <c r="I297" s="548">
        <v>44019.0</v>
      </c>
      <c r="J297" s="547">
        <v>7.0</v>
      </c>
      <c r="K297" s="549" t="s">
        <v>822</v>
      </c>
      <c r="L297" s="547" t="s">
        <v>3310</v>
      </c>
      <c r="M297" s="529">
        <f t="shared" si="2"/>
        <v>210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541">
        <v>12520.0</v>
      </c>
      <c r="B298" s="542" t="s">
        <v>5277</v>
      </c>
      <c r="C298" s="542">
        <v>2017.0</v>
      </c>
      <c r="D298" s="543">
        <v>43087.0</v>
      </c>
      <c r="E298" s="542" t="s">
        <v>5278</v>
      </c>
      <c r="F298" s="542" t="s">
        <v>5279</v>
      </c>
      <c r="G298" s="542" t="s">
        <v>552</v>
      </c>
      <c r="H298" s="542" t="s">
        <v>740</v>
      </c>
      <c r="I298" s="543">
        <v>44019.0</v>
      </c>
      <c r="J298" s="542">
        <v>7.0</v>
      </c>
      <c r="K298" s="555" t="s">
        <v>240</v>
      </c>
      <c r="L298" s="542" t="s">
        <v>2860</v>
      </c>
      <c r="M298" s="528">
        <f t="shared" si="2"/>
        <v>932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0" customHeight="1">
      <c r="A299" s="546">
        <v>12620.0</v>
      </c>
      <c r="B299" s="547" t="s">
        <v>5280</v>
      </c>
      <c r="C299" s="547">
        <v>2017.0</v>
      </c>
      <c r="D299" s="548">
        <v>42895.0</v>
      </c>
      <c r="E299" s="547" t="s">
        <v>5281</v>
      </c>
      <c r="F299" s="547" t="s">
        <v>1255</v>
      </c>
      <c r="G299" s="547" t="s">
        <v>552</v>
      </c>
      <c r="H299" s="547" t="s">
        <v>5209</v>
      </c>
      <c r="I299" s="548">
        <v>44022.0</v>
      </c>
      <c r="J299" s="547">
        <v>7.0</v>
      </c>
      <c r="K299" s="555" t="s">
        <v>242</v>
      </c>
      <c r="L299" s="547" t="s">
        <v>2860</v>
      </c>
      <c r="M299" s="529">
        <f t="shared" si="2"/>
        <v>1127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541">
        <v>12720.0</v>
      </c>
      <c r="B300" s="542" t="s">
        <v>5282</v>
      </c>
      <c r="C300" s="542">
        <v>2010.0</v>
      </c>
      <c r="D300" s="543">
        <v>40473.0</v>
      </c>
      <c r="E300" s="542" t="s">
        <v>5283</v>
      </c>
      <c r="F300" s="542" t="s">
        <v>3078</v>
      </c>
      <c r="G300" s="542" t="s">
        <v>552</v>
      </c>
      <c r="H300" s="542" t="s">
        <v>929</v>
      </c>
      <c r="I300" s="543">
        <v>44022.0</v>
      </c>
      <c r="J300" s="542">
        <v>7.0</v>
      </c>
      <c r="K300" s="555" t="s">
        <v>242</v>
      </c>
      <c r="L300" s="542" t="s">
        <v>2860</v>
      </c>
      <c r="M300" s="528">
        <f t="shared" si="2"/>
        <v>3549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546">
        <v>12820.0</v>
      </c>
      <c r="B301" s="547" t="s">
        <v>5284</v>
      </c>
      <c r="C301" s="547">
        <v>2016.0</v>
      </c>
      <c r="D301" s="548">
        <v>42446.0</v>
      </c>
      <c r="E301" s="547" t="s">
        <v>5285</v>
      </c>
      <c r="F301" s="547" t="s">
        <v>874</v>
      </c>
      <c r="G301" s="547" t="s">
        <v>552</v>
      </c>
      <c r="H301" s="547" t="s">
        <v>740</v>
      </c>
      <c r="I301" s="548">
        <v>44022.0</v>
      </c>
      <c r="J301" s="547">
        <v>7.0</v>
      </c>
      <c r="K301" s="562" t="s">
        <v>232</v>
      </c>
      <c r="L301" s="547" t="s">
        <v>2860</v>
      </c>
      <c r="M301" s="529">
        <f t="shared" si="2"/>
        <v>1576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541">
        <v>12920.0</v>
      </c>
      <c r="B302" s="542" t="s">
        <v>5286</v>
      </c>
      <c r="C302" s="542">
        <v>2012.0</v>
      </c>
      <c r="D302" s="543">
        <v>41264.0</v>
      </c>
      <c r="E302" s="542" t="s">
        <v>5287</v>
      </c>
      <c r="F302" s="542" t="s">
        <v>1108</v>
      </c>
      <c r="G302" s="542" t="s">
        <v>552</v>
      </c>
      <c r="H302" s="542" t="s">
        <v>87</v>
      </c>
      <c r="I302" s="543">
        <v>44022.0</v>
      </c>
      <c r="J302" s="542">
        <v>7.0</v>
      </c>
      <c r="K302" s="555" t="s">
        <v>242</v>
      </c>
      <c r="L302" s="542" t="s">
        <v>2860</v>
      </c>
      <c r="M302" s="528">
        <f t="shared" si="2"/>
        <v>2758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546">
        <v>13020.0</v>
      </c>
      <c r="B303" s="547" t="s">
        <v>5288</v>
      </c>
      <c r="C303" s="547">
        <v>2013.0</v>
      </c>
      <c r="D303" s="548">
        <v>41583.0</v>
      </c>
      <c r="E303" s="547" t="s">
        <v>5289</v>
      </c>
      <c r="F303" s="547" t="s">
        <v>3510</v>
      </c>
      <c r="G303" s="547" t="s">
        <v>650</v>
      </c>
      <c r="H303" s="547" t="s">
        <v>2560</v>
      </c>
      <c r="I303" s="548">
        <v>44022.0</v>
      </c>
      <c r="J303" s="547">
        <v>7.0</v>
      </c>
      <c r="K303" s="555" t="s">
        <v>242</v>
      </c>
      <c r="L303" s="547" t="s">
        <v>2855</v>
      </c>
      <c r="M303" s="529">
        <f t="shared" si="2"/>
        <v>2439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541">
        <v>13120.0</v>
      </c>
      <c r="B304" s="542" t="s">
        <v>5290</v>
      </c>
      <c r="C304" s="542">
        <v>2015.0</v>
      </c>
      <c r="D304" s="543">
        <v>42311.0</v>
      </c>
      <c r="E304" s="542" t="s">
        <v>5291</v>
      </c>
      <c r="F304" s="542" t="s">
        <v>3572</v>
      </c>
      <c r="G304" s="542" t="s">
        <v>552</v>
      </c>
      <c r="H304" s="542" t="s">
        <v>50</v>
      </c>
      <c r="I304" s="543">
        <v>44022.0</v>
      </c>
      <c r="J304" s="542">
        <v>7.0</v>
      </c>
      <c r="K304" s="555" t="s">
        <v>240</v>
      </c>
      <c r="L304" s="542" t="s">
        <v>2860</v>
      </c>
      <c r="M304" s="528">
        <f t="shared" si="2"/>
        <v>1711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546">
        <v>13220.0</v>
      </c>
      <c r="B305" s="547" t="s">
        <v>5292</v>
      </c>
      <c r="C305" s="547">
        <v>2020.0</v>
      </c>
      <c r="D305" s="548">
        <v>43854.0</v>
      </c>
      <c r="E305" s="547" t="s">
        <v>5293</v>
      </c>
      <c r="F305" s="556" t="s">
        <v>2606</v>
      </c>
      <c r="G305" s="547" t="s">
        <v>565</v>
      </c>
      <c r="H305" s="547" t="s">
        <v>2093</v>
      </c>
      <c r="I305" s="548">
        <v>44022.0</v>
      </c>
      <c r="J305" s="547">
        <v>7.0</v>
      </c>
      <c r="K305" s="555" t="s">
        <v>242</v>
      </c>
      <c r="L305" s="547" t="s">
        <v>3310</v>
      </c>
      <c r="M305" s="529">
        <f t="shared" si="2"/>
        <v>168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541">
        <v>13320.0</v>
      </c>
      <c r="B306" s="542" t="s">
        <v>5294</v>
      </c>
      <c r="C306" s="542">
        <v>2012.0</v>
      </c>
      <c r="D306" s="543">
        <v>40931.0</v>
      </c>
      <c r="E306" s="542" t="s">
        <v>5295</v>
      </c>
      <c r="F306" s="542" t="s">
        <v>5296</v>
      </c>
      <c r="G306" s="542" t="s">
        <v>552</v>
      </c>
      <c r="H306" s="542" t="s">
        <v>3695</v>
      </c>
      <c r="I306" s="543">
        <v>44022.0</v>
      </c>
      <c r="J306" s="542">
        <v>7.0</v>
      </c>
      <c r="K306" s="555" t="s">
        <v>240</v>
      </c>
      <c r="L306" s="542" t="s">
        <v>2860</v>
      </c>
      <c r="M306" s="528">
        <f t="shared" si="2"/>
        <v>3091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546">
        <v>13420.0</v>
      </c>
      <c r="B307" s="547" t="s">
        <v>5297</v>
      </c>
      <c r="C307" s="547">
        <v>2015.0</v>
      </c>
      <c r="D307" s="548">
        <v>42060.0</v>
      </c>
      <c r="E307" s="547" t="s">
        <v>5298</v>
      </c>
      <c r="F307" s="547" t="s">
        <v>5299</v>
      </c>
      <c r="G307" s="547" t="s">
        <v>650</v>
      </c>
      <c r="H307" s="547" t="s">
        <v>5180</v>
      </c>
      <c r="I307" s="548">
        <v>44022.0</v>
      </c>
      <c r="J307" s="547">
        <v>7.0</v>
      </c>
      <c r="K307" s="555" t="s">
        <v>240</v>
      </c>
      <c r="L307" s="547" t="s">
        <v>840</v>
      </c>
      <c r="M307" s="529">
        <f t="shared" si="2"/>
        <v>1962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541">
        <v>13520.0</v>
      </c>
      <c r="B308" s="542" t="s">
        <v>5300</v>
      </c>
      <c r="C308" s="542">
        <v>2013.0</v>
      </c>
      <c r="D308" s="543">
        <v>41339.0</v>
      </c>
      <c r="E308" s="542" t="s">
        <v>5301</v>
      </c>
      <c r="F308" s="542" t="s">
        <v>3705</v>
      </c>
      <c r="G308" s="542" t="s">
        <v>552</v>
      </c>
      <c r="H308" s="542" t="s">
        <v>130</v>
      </c>
      <c r="I308" s="543">
        <v>44027.0</v>
      </c>
      <c r="J308" s="542">
        <v>7.0</v>
      </c>
      <c r="K308" s="555" t="s">
        <v>242</v>
      </c>
      <c r="L308" s="542" t="s">
        <v>2855</v>
      </c>
      <c r="M308" s="528">
        <f t="shared" si="2"/>
        <v>2688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546">
        <v>13620.0</v>
      </c>
      <c r="B309" s="547" t="s">
        <v>5302</v>
      </c>
      <c r="C309" s="547">
        <v>2013.0</v>
      </c>
      <c r="D309" s="548">
        <v>41344.0</v>
      </c>
      <c r="E309" s="547" t="s">
        <v>5303</v>
      </c>
      <c r="F309" s="547" t="s">
        <v>3705</v>
      </c>
      <c r="G309" s="547" t="s">
        <v>552</v>
      </c>
      <c r="H309" s="547" t="s">
        <v>130</v>
      </c>
      <c r="I309" s="548">
        <v>44027.0</v>
      </c>
      <c r="J309" s="547">
        <v>7.0</v>
      </c>
      <c r="K309" s="555" t="s">
        <v>242</v>
      </c>
      <c r="L309" s="547" t="s">
        <v>2855</v>
      </c>
      <c r="M309" s="529">
        <f t="shared" si="2"/>
        <v>2683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541">
        <v>13720.0</v>
      </c>
      <c r="B310" s="542" t="s">
        <v>5304</v>
      </c>
      <c r="C310" s="542">
        <v>2013.0</v>
      </c>
      <c r="D310" s="543">
        <v>41376.0</v>
      </c>
      <c r="E310" s="542" t="s">
        <v>5305</v>
      </c>
      <c r="F310" s="542" t="s">
        <v>3505</v>
      </c>
      <c r="G310" s="542" t="s">
        <v>552</v>
      </c>
      <c r="H310" s="542" t="s">
        <v>130</v>
      </c>
      <c r="I310" s="543">
        <v>44027.0</v>
      </c>
      <c r="J310" s="542">
        <v>7.0</v>
      </c>
      <c r="K310" s="555" t="s">
        <v>242</v>
      </c>
      <c r="L310" s="542" t="s">
        <v>2860</v>
      </c>
      <c r="M310" s="528">
        <f t="shared" si="2"/>
        <v>2651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546">
        <v>13820.0</v>
      </c>
      <c r="B311" s="547" t="s">
        <v>5306</v>
      </c>
      <c r="C311" s="547">
        <v>2020.0</v>
      </c>
      <c r="D311" s="548">
        <v>43846.0</v>
      </c>
      <c r="E311" s="547" t="s">
        <v>5307</v>
      </c>
      <c r="F311" s="556" t="s">
        <v>5308</v>
      </c>
      <c r="G311" s="547" t="s">
        <v>569</v>
      </c>
      <c r="H311" s="547" t="s">
        <v>577</v>
      </c>
      <c r="I311" s="548">
        <v>44027.0</v>
      </c>
      <c r="J311" s="547">
        <v>7.0</v>
      </c>
      <c r="K311" s="555" t="s">
        <v>242</v>
      </c>
      <c r="L311" s="547" t="s">
        <v>3310</v>
      </c>
      <c r="M311" s="529">
        <f t="shared" si="2"/>
        <v>181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541">
        <v>13920.0</v>
      </c>
      <c r="B312" s="542" t="s">
        <v>5309</v>
      </c>
      <c r="C312" s="542">
        <v>2012.0</v>
      </c>
      <c r="D312" s="543">
        <v>41061.0</v>
      </c>
      <c r="E312" s="542" t="s">
        <v>5310</v>
      </c>
      <c r="F312" s="542" t="s">
        <v>5311</v>
      </c>
      <c r="G312" s="542" t="s">
        <v>650</v>
      </c>
      <c r="H312" s="542" t="s">
        <v>651</v>
      </c>
      <c r="I312" s="543">
        <v>44027.0</v>
      </c>
      <c r="J312" s="542">
        <v>7.0</v>
      </c>
      <c r="K312" s="555" t="s">
        <v>240</v>
      </c>
      <c r="L312" s="542" t="s">
        <v>2860</v>
      </c>
      <c r="M312" s="528">
        <f t="shared" si="2"/>
        <v>2966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546">
        <v>14020.0</v>
      </c>
      <c r="B313" s="547" t="s">
        <v>5312</v>
      </c>
      <c r="C313" s="547">
        <v>2011.0</v>
      </c>
      <c r="D313" s="548">
        <v>40800.0</v>
      </c>
      <c r="E313" s="547" t="s">
        <v>5313</v>
      </c>
      <c r="F313" s="547" t="s">
        <v>5314</v>
      </c>
      <c r="G313" s="547" t="s">
        <v>650</v>
      </c>
      <c r="H313" s="547" t="s">
        <v>651</v>
      </c>
      <c r="I313" s="548">
        <v>44027.0</v>
      </c>
      <c r="J313" s="547">
        <v>7.0</v>
      </c>
      <c r="K313" s="549" t="s">
        <v>822</v>
      </c>
      <c r="L313" s="547" t="s">
        <v>2855</v>
      </c>
      <c r="M313" s="529">
        <f t="shared" si="2"/>
        <v>3227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541">
        <v>14120.0</v>
      </c>
      <c r="B314" s="542" t="s">
        <v>5315</v>
      </c>
      <c r="C314" s="542">
        <v>2020.0</v>
      </c>
      <c r="D314" s="543">
        <v>43893.0</v>
      </c>
      <c r="E314" s="542" t="s">
        <v>5316</v>
      </c>
      <c r="F314" s="557" t="s">
        <v>2343</v>
      </c>
      <c r="G314" s="542" t="s">
        <v>569</v>
      </c>
      <c r="H314" s="542" t="s">
        <v>5317</v>
      </c>
      <c r="I314" s="543">
        <v>44027.0</v>
      </c>
      <c r="J314" s="542">
        <v>7.0</v>
      </c>
      <c r="K314" s="555" t="s">
        <v>242</v>
      </c>
      <c r="L314" s="542" t="s">
        <v>3310</v>
      </c>
      <c r="M314" s="528">
        <f t="shared" si="2"/>
        <v>134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0" customHeight="1">
      <c r="A315" s="546">
        <v>14220.0</v>
      </c>
      <c r="B315" s="547" t="s">
        <v>5318</v>
      </c>
      <c r="C315" s="547">
        <v>2019.0</v>
      </c>
      <c r="D315" s="548">
        <v>43718.0</v>
      </c>
      <c r="E315" s="547" t="s">
        <v>5319</v>
      </c>
      <c r="F315" s="556" t="s">
        <v>5320</v>
      </c>
      <c r="G315" s="547" t="s">
        <v>569</v>
      </c>
      <c r="H315" s="547" t="s">
        <v>639</v>
      </c>
      <c r="I315" s="548">
        <v>44027.0</v>
      </c>
      <c r="J315" s="547">
        <v>7.0</v>
      </c>
      <c r="K315" s="549" t="s">
        <v>822</v>
      </c>
      <c r="L315" s="547" t="s">
        <v>3310</v>
      </c>
      <c r="M315" s="529">
        <f t="shared" si="2"/>
        <v>309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541">
        <v>14320.0</v>
      </c>
      <c r="B316" s="542" t="s">
        <v>5321</v>
      </c>
      <c r="C316" s="542">
        <v>2019.0</v>
      </c>
      <c r="D316" s="543">
        <v>43692.0</v>
      </c>
      <c r="E316" s="542" t="s">
        <v>5322</v>
      </c>
      <c r="F316" s="557" t="s">
        <v>3544</v>
      </c>
      <c r="G316" s="542" t="s">
        <v>565</v>
      </c>
      <c r="H316" s="542" t="s">
        <v>2550</v>
      </c>
      <c r="I316" s="543">
        <v>44027.0</v>
      </c>
      <c r="J316" s="542">
        <v>7.0</v>
      </c>
      <c r="K316" s="555" t="s">
        <v>242</v>
      </c>
      <c r="L316" s="542" t="s">
        <v>260</v>
      </c>
      <c r="M316" s="528">
        <f t="shared" si="2"/>
        <v>335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546">
        <v>14420.0</v>
      </c>
      <c r="B317" s="547" t="s">
        <v>5323</v>
      </c>
      <c r="C317" s="547">
        <v>2010.0</v>
      </c>
      <c r="D317" s="548">
        <v>40443.0</v>
      </c>
      <c r="E317" s="547" t="s">
        <v>5324</v>
      </c>
      <c r="F317" s="547" t="s">
        <v>5325</v>
      </c>
      <c r="G317" s="547" t="s">
        <v>650</v>
      </c>
      <c r="H317" s="547" t="s">
        <v>573</v>
      </c>
      <c r="I317" s="548">
        <v>44029.0</v>
      </c>
      <c r="J317" s="547">
        <v>7.0</v>
      </c>
      <c r="K317" s="555" t="s">
        <v>240</v>
      </c>
      <c r="L317" s="547" t="s">
        <v>2855</v>
      </c>
      <c r="M317" s="529">
        <f t="shared" si="2"/>
        <v>3586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541">
        <v>14520.0</v>
      </c>
      <c r="B318" s="542" t="s">
        <v>5326</v>
      </c>
      <c r="C318" s="542">
        <v>2013.0</v>
      </c>
      <c r="D318" s="543">
        <v>41537.0</v>
      </c>
      <c r="E318" s="542" t="s">
        <v>5327</v>
      </c>
      <c r="F318" s="542" t="s">
        <v>3078</v>
      </c>
      <c r="G318" s="542" t="s">
        <v>552</v>
      </c>
      <c r="H318" s="542" t="s">
        <v>775</v>
      </c>
      <c r="I318" s="543">
        <v>44029.0</v>
      </c>
      <c r="J318" s="542">
        <v>7.0</v>
      </c>
      <c r="K318" s="555" t="s">
        <v>242</v>
      </c>
      <c r="L318" s="542" t="s">
        <v>2860</v>
      </c>
      <c r="M318" s="528">
        <f t="shared" si="2"/>
        <v>2492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546">
        <v>14620.0</v>
      </c>
      <c r="B319" s="547" t="s">
        <v>5328</v>
      </c>
      <c r="C319" s="547">
        <v>2013.0</v>
      </c>
      <c r="D319" s="548">
        <v>41628.0</v>
      </c>
      <c r="E319" s="547" t="s">
        <v>5329</v>
      </c>
      <c r="F319" s="547" t="s">
        <v>1170</v>
      </c>
      <c r="G319" s="547" t="s">
        <v>552</v>
      </c>
      <c r="H319" s="547" t="s">
        <v>50</v>
      </c>
      <c r="I319" s="548">
        <v>44029.0</v>
      </c>
      <c r="J319" s="547">
        <v>7.0</v>
      </c>
      <c r="K319" s="555" t="s">
        <v>240</v>
      </c>
      <c r="L319" s="547" t="s">
        <v>2860</v>
      </c>
      <c r="M319" s="529">
        <f t="shared" si="2"/>
        <v>2401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0" customHeight="1">
      <c r="A320" s="541">
        <v>14720.0</v>
      </c>
      <c r="B320" s="542" t="s">
        <v>5330</v>
      </c>
      <c r="C320" s="542">
        <v>2019.0</v>
      </c>
      <c r="D320" s="543">
        <v>43815.0</v>
      </c>
      <c r="E320" s="542" t="s">
        <v>5331</v>
      </c>
      <c r="F320" s="557" t="s">
        <v>5332</v>
      </c>
      <c r="G320" s="542" t="s">
        <v>569</v>
      </c>
      <c r="H320" s="542" t="s">
        <v>5333</v>
      </c>
      <c r="I320" s="543">
        <v>44029.0</v>
      </c>
      <c r="J320" s="542">
        <v>7.0</v>
      </c>
      <c r="K320" s="549" t="s">
        <v>822</v>
      </c>
      <c r="L320" s="542" t="s">
        <v>3310</v>
      </c>
      <c r="M320" s="528">
        <f t="shared" si="2"/>
        <v>214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546">
        <v>14820.0</v>
      </c>
      <c r="B321" s="547" t="s">
        <v>5334</v>
      </c>
      <c r="C321" s="547">
        <v>2019.0</v>
      </c>
      <c r="D321" s="548">
        <v>43699.0</v>
      </c>
      <c r="E321" s="547" t="s">
        <v>5335</v>
      </c>
      <c r="F321" s="556" t="s">
        <v>3544</v>
      </c>
      <c r="G321" s="547" t="s">
        <v>565</v>
      </c>
      <c r="H321" s="547" t="s">
        <v>2550</v>
      </c>
      <c r="I321" s="548">
        <v>44029.0</v>
      </c>
      <c r="J321" s="547">
        <v>7.0</v>
      </c>
      <c r="K321" s="555" t="s">
        <v>242</v>
      </c>
      <c r="L321" s="547" t="s">
        <v>3310</v>
      </c>
      <c r="M321" s="529">
        <f t="shared" si="2"/>
        <v>330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541">
        <v>14920.0</v>
      </c>
      <c r="B322" s="542" t="s">
        <v>5336</v>
      </c>
      <c r="C322" s="542">
        <v>2012.0</v>
      </c>
      <c r="D322" s="543">
        <v>41078.0</v>
      </c>
      <c r="E322" s="542" t="s">
        <v>5337</v>
      </c>
      <c r="F322" s="542" t="s">
        <v>5338</v>
      </c>
      <c r="G322" s="542" t="s">
        <v>552</v>
      </c>
      <c r="H322" s="542" t="s">
        <v>583</v>
      </c>
      <c r="I322" s="543">
        <v>44032.0</v>
      </c>
      <c r="J322" s="542">
        <v>7.0</v>
      </c>
      <c r="K322" s="555" t="s">
        <v>240</v>
      </c>
      <c r="L322" s="542" t="s">
        <v>2855</v>
      </c>
      <c r="M322" s="528">
        <f t="shared" si="2"/>
        <v>2954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546">
        <v>15020.0</v>
      </c>
      <c r="B323" s="547" t="s">
        <v>5339</v>
      </c>
      <c r="C323" s="547">
        <v>2013.0</v>
      </c>
      <c r="D323" s="548">
        <v>41501.0</v>
      </c>
      <c r="E323" s="547" t="s">
        <v>5340</v>
      </c>
      <c r="F323" s="547" t="s">
        <v>1203</v>
      </c>
      <c r="G323" s="547" t="s">
        <v>552</v>
      </c>
      <c r="H323" s="547" t="s">
        <v>5016</v>
      </c>
      <c r="I323" s="548">
        <v>44040.0</v>
      </c>
      <c r="J323" s="547">
        <v>7.0</v>
      </c>
      <c r="K323" s="555" t="s">
        <v>242</v>
      </c>
      <c r="L323" s="547" t="s">
        <v>2860</v>
      </c>
      <c r="M323" s="529">
        <f t="shared" si="2"/>
        <v>2539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541">
        <v>15120.0</v>
      </c>
      <c r="B324" s="542" t="s">
        <v>5341</v>
      </c>
      <c r="C324" s="542">
        <v>2020.0</v>
      </c>
      <c r="D324" s="543">
        <v>43895.0</v>
      </c>
      <c r="E324" s="542" t="s">
        <v>5342</v>
      </c>
      <c r="F324" s="557" t="s">
        <v>4044</v>
      </c>
      <c r="G324" s="542" t="s">
        <v>565</v>
      </c>
      <c r="H324" s="542" t="s">
        <v>2093</v>
      </c>
      <c r="I324" s="543">
        <v>44040.0</v>
      </c>
      <c r="J324" s="542">
        <v>7.0</v>
      </c>
      <c r="K324" s="555" t="s">
        <v>242</v>
      </c>
      <c r="L324" s="542" t="s">
        <v>3310</v>
      </c>
      <c r="M324" s="528">
        <f t="shared" si="2"/>
        <v>145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546">
        <v>15220.0</v>
      </c>
      <c r="B325" s="547" t="s">
        <v>5343</v>
      </c>
      <c r="C325" s="547">
        <v>2020.0</v>
      </c>
      <c r="D325" s="548">
        <v>43879.0</v>
      </c>
      <c r="E325" s="547" t="s">
        <v>5344</v>
      </c>
      <c r="F325" s="556" t="s">
        <v>3725</v>
      </c>
      <c r="G325" s="547" t="s">
        <v>565</v>
      </c>
      <c r="H325" s="547" t="s">
        <v>577</v>
      </c>
      <c r="I325" s="548">
        <v>44041.0</v>
      </c>
      <c r="J325" s="547">
        <v>7.0</v>
      </c>
      <c r="K325" s="549" t="s">
        <v>822</v>
      </c>
      <c r="L325" s="547" t="s">
        <v>3310</v>
      </c>
      <c r="M325" s="529">
        <f t="shared" si="2"/>
        <v>162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541">
        <v>15320.0</v>
      </c>
      <c r="B326" s="542" t="s">
        <v>5345</v>
      </c>
      <c r="C326" s="542">
        <v>2014.0</v>
      </c>
      <c r="D326" s="543">
        <v>41729.0</v>
      </c>
      <c r="E326" s="542" t="s">
        <v>5346</v>
      </c>
      <c r="F326" s="542" t="s">
        <v>4740</v>
      </c>
      <c r="G326" s="542" t="s">
        <v>547</v>
      </c>
      <c r="H326" s="542" t="s">
        <v>1002</v>
      </c>
      <c r="I326" s="543">
        <v>44043.0</v>
      </c>
      <c r="J326" s="542">
        <v>7.0</v>
      </c>
      <c r="K326" s="555" t="s">
        <v>242</v>
      </c>
      <c r="L326" s="542" t="s">
        <v>2855</v>
      </c>
      <c r="M326" s="528">
        <f t="shared" si="2"/>
        <v>2314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546">
        <v>15420.0</v>
      </c>
      <c r="B327" s="547" t="s">
        <v>5347</v>
      </c>
      <c r="C327" s="547">
        <v>2015.0</v>
      </c>
      <c r="D327" s="548">
        <v>42153.0</v>
      </c>
      <c r="E327" s="547" t="s">
        <v>5348</v>
      </c>
      <c r="F327" s="547" t="s">
        <v>5349</v>
      </c>
      <c r="G327" s="547" t="s">
        <v>547</v>
      </c>
      <c r="H327" s="547" t="s">
        <v>1002</v>
      </c>
      <c r="I327" s="548">
        <v>44043.0</v>
      </c>
      <c r="J327" s="547">
        <v>7.0</v>
      </c>
      <c r="K327" s="555" t="s">
        <v>242</v>
      </c>
      <c r="L327" s="547" t="s">
        <v>2855</v>
      </c>
      <c r="M327" s="529">
        <f t="shared" si="2"/>
        <v>1890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541">
        <v>15520.0</v>
      </c>
      <c r="B328" s="542" t="s">
        <v>5350</v>
      </c>
      <c r="C328" s="542">
        <v>2015.0</v>
      </c>
      <c r="D328" s="543">
        <v>42311.0</v>
      </c>
      <c r="E328" s="542" t="s">
        <v>5351</v>
      </c>
      <c r="F328" s="542" t="s">
        <v>5352</v>
      </c>
      <c r="G328" s="542" t="s">
        <v>547</v>
      </c>
      <c r="H328" s="542" t="s">
        <v>1002</v>
      </c>
      <c r="I328" s="543">
        <v>44043.0</v>
      </c>
      <c r="J328" s="542">
        <v>7.0</v>
      </c>
      <c r="K328" s="555" t="s">
        <v>242</v>
      </c>
      <c r="L328" s="542" t="s">
        <v>2855</v>
      </c>
      <c r="M328" s="528">
        <f t="shared" si="2"/>
        <v>1732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546">
        <v>15620.0</v>
      </c>
      <c r="B329" s="547" t="s">
        <v>5353</v>
      </c>
      <c r="C329" s="547">
        <v>2015.0</v>
      </c>
      <c r="D329" s="548">
        <v>42311.0</v>
      </c>
      <c r="E329" s="547" t="s">
        <v>5354</v>
      </c>
      <c r="F329" s="547" t="s">
        <v>5349</v>
      </c>
      <c r="G329" s="547" t="s">
        <v>547</v>
      </c>
      <c r="H329" s="547" t="s">
        <v>1002</v>
      </c>
      <c r="I329" s="548">
        <v>44043.0</v>
      </c>
      <c r="J329" s="547">
        <v>7.0</v>
      </c>
      <c r="K329" s="555" t="s">
        <v>242</v>
      </c>
      <c r="L329" s="547" t="s">
        <v>2855</v>
      </c>
      <c r="M329" s="529">
        <f t="shared" si="2"/>
        <v>1732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541">
        <v>15720.0</v>
      </c>
      <c r="B330" s="542" t="s">
        <v>5355</v>
      </c>
      <c r="C330" s="542">
        <v>2016.0</v>
      </c>
      <c r="D330" s="543">
        <v>42733.0</v>
      </c>
      <c r="E330" s="542" t="s">
        <v>5356</v>
      </c>
      <c r="F330" s="542" t="s">
        <v>5357</v>
      </c>
      <c r="G330" s="542" t="s">
        <v>547</v>
      </c>
      <c r="H330" s="542" t="s">
        <v>1002</v>
      </c>
      <c r="I330" s="543">
        <v>44043.0</v>
      </c>
      <c r="J330" s="542">
        <v>7.0</v>
      </c>
      <c r="K330" s="555" t="s">
        <v>240</v>
      </c>
      <c r="L330" s="542" t="s">
        <v>2860</v>
      </c>
      <c r="M330" s="528">
        <f t="shared" si="2"/>
        <v>1310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546">
        <v>15820.0</v>
      </c>
      <c r="B331" s="547" t="s">
        <v>5358</v>
      </c>
      <c r="C331" s="547">
        <v>2011.0</v>
      </c>
      <c r="D331" s="548">
        <v>40819.0</v>
      </c>
      <c r="E331" s="547" t="s">
        <v>5359</v>
      </c>
      <c r="F331" s="547" t="s">
        <v>5360</v>
      </c>
      <c r="G331" s="547" t="s">
        <v>650</v>
      </c>
      <c r="H331" s="547" t="s">
        <v>573</v>
      </c>
      <c r="I331" s="548">
        <v>44043.0</v>
      </c>
      <c r="J331" s="547">
        <v>7.0</v>
      </c>
      <c r="K331" s="555" t="s">
        <v>242</v>
      </c>
      <c r="L331" s="547" t="s">
        <v>2860</v>
      </c>
      <c r="M331" s="529">
        <f t="shared" si="2"/>
        <v>3224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541">
        <v>15920.0</v>
      </c>
      <c r="B332" s="542" t="s">
        <v>5361</v>
      </c>
      <c r="C332" s="542">
        <v>2017.0</v>
      </c>
      <c r="D332" s="543">
        <v>42797.0</v>
      </c>
      <c r="E332" s="542" t="s">
        <v>5362</v>
      </c>
      <c r="F332" s="542" t="s">
        <v>5363</v>
      </c>
      <c r="G332" s="542" t="s">
        <v>552</v>
      </c>
      <c r="H332" s="542" t="s">
        <v>50</v>
      </c>
      <c r="I332" s="543">
        <v>44043.0</v>
      </c>
      <c r="J332" s="542">
        <v>7.0</v>
      </c>
      <c r="K332" s="555" t="s">
        <v>242</v>
      </c>
      <c r="L332" s="542" t="s">
        <v>2860</v>
      </c>
      <c r="M332" s="528">
        <f t="shared" si="2"/>
        <v>1246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546">
        <v>16020.0</v>
      </c>
      <c r="B333" s="547" t="s">
        <v>5364</v>
      </c>
      <c r="C333" s="547">
        <v>2017.0</v>
      </c>
      <c r="D333" s="548">
        <v>43091.0</v>
      </c>
      <c r="E333" s="547" t="s">
        <v>5365</v>
      </c>
      <c r="F333" s="547" t="s">
        <v>3536</v>
      </c>
      <c r="G333" s="547" t="s">
        <v>552</v>
      </c>
      <c r="H333" s="547" t="s">
        <v>596</v>
      </c>
      <c r="I333" s="548">
        <v>44046.0</v>
      </c>
      <c r="J333" s="547">
        <v>8.0</v>
      </c>
      <c r="K333" s="555" t="s">
        <v>240</v>
      </c>
      <c r="L333" s="547" t="s">
        <v>2860</v>
      </c>
      <c r="M333" s="529">
        <f t="shared" si="2"/>
        <v>955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541">
        <v>16120.0</v>
      </c>
      <c r="B334" s="542" t="s">
        <v>5366</v>
      </c>
      <c r="C334" s="542">
        <v>2011.0</v>
      </c>
      <c r="D334" s="543">
        <v>40900.0</v>
      </c>
      <c r="E334" s="542" t="s">
        <v>5367</v>
      </c>
      <c r="F334" s="542" t="s">
        <v>5368</v>
      </c>
      <c r="G334" s="542" t="s">
        <v>650</v>
      </c>
      <c r="H334" s="542" t="s">
        <v>727</v>
      </c>
      <c r="I334" s="543">
        <v>44047.0</v>
      </c>
      <c r="J334" s="542">
        <v>8.0</v>
      </c>
      <c r="K334" s="555" t="s">
        <v>242</v>
      </c>
      <c r="L334" s="542" t="s">
        <v>2855</v>
      </c>
      <c r="M334" s="528">
        <f t="shared" si="2"/>
        <v>3147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546">
        <v>16220.0</v>
      </c>
      <c r="B335" s="547" t="s">
        <v>5369</v>
      </c>
      <c r="C335" s="547">
        <v>2016.0</v>
      </c>
      <c r="D335" s="548">
        <v>42571.0</v>
      </c>
      <c r="E335" s="547" t="s">
        <v>5370</v>
      </c>
      <c r="F335" s="547" t="s">
        <v>3934</v>
      </c>
      <c r="G335" s="547" t="s">
        <v>552</v>
      </c>
      <c r="H335" s="547" t="s">
        <v>50</v>
      </c>
      <c r="I335" s="548">
        <v>44048.0</v>
      </c>
      <c r="J335" s="547">
        <v>8.0</v>
      </c>
      <c r="K335" s="555" t="s">
        <v>242</v>
      </c>
      <c r="L335" s="547" t="s">
        <v>2860</v>
      </c>
      <c r="M335" s="529">
        <f t="shared" si="2"/>
        <v>1477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541">
        <v>16320.0</v>
      </c>
      <c r="B336" s="542" t="s">
        <v>5371</v>
      </c>
      <c r="C336" s="542">
        <v>2016.0</v>
      </c>
      <c r="D336" s="543">
        <v>42580.0</v>
      </c>
      <c r="E336" s="542" t="s">
        <v>5372</v>
      </c>
      <c r="F336" s="542" t="s">
        <v>5373</v>
      </c>
      <c r="G336" s="542" t="s">
        <v>552</v>
      </c>
      <c r="H336" s="542" t="s">
        <v>4922</v>
      </c>
      <c r="I336" s="543">
        <v>44048.0</v>
      </c>
      <c r="J336" s="542">
        <v>8.0</v>
      </c>
      <c r="K336" s="555" t="s">
        <v>242</v>
      </c>
      <c r="L336" s="542" t="s">
        <v>2855</v>
      </c>
      <c r="M336" s="528">
        <f t="shared" si="2"/>
        <v>1468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546">
        <v>16420.0</v>
      </c>
      <c r="B337" s="547" t="s">
        <v>5374</v>
      </c>
      <c r="C337" s="547">
        <v>2019.0</v>
      </c>
      <c r="D337" s="548">
        <v>43808.0</v>
      </c>
      <c r="E337" s="547" t="s">
        <v>5375</v>
      </c>
      <c r="F337" s="556" t="s">
        <v>2343</v>
      </c>
      <c r="G337" s="547" t="s">
        <v>565</v>
      </c>
      <c r="H337" s="547" t="s">
        <v>2093</v>
      </c>
      <c r="I337" s="548">
        <v>44049.0</v>
      </c>
      <c r="J337" s="547">
        <v>8.0</v>
      </c>
      <c r="K337" s="555" t="s">
        <v>242</v>
      </c>
      <c r="L337" s="547" t="s">
        <v>3310</v>
      </c>
      <c r="M337" s="529">
        <f t="shared" si="2"/>
        <v>241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0" customHeight="1">
      <c r="A338" s="541">
        <v>16520.0</v>
      </c>
      <c r="B338" s="542" t="s">
        <v>5376</v>
      </c>
      <c r="C338" s="542">
        <v>2020.0</v>
      </c>
      <c r="D338" s="543">
        <v>43859.0</v>
      </c>
      <c r="E338" s="542" t="s">
        <v>5377</v>
      </c>
      <c r="F338" s="542" t="s">
        <v>4370</v>
      </c>
      <c r="G338" s="542" t="s">
        <v>565</v>
      </c>
      <c r="H338" s="542" t="s">
        <v>4371</v>
      </c>
      <c r="I338" s="543">
        <v>44049.0</v>
      </c>
      <c r="J338" s="542">
        <v>8.0</v>
      </c>
      <c r="K338" s="549" t="s">
        <v>822</v>
      </c>
      <c r="L338" s="542" t="s">
        <v>3310</v>
      </c>
      <c r="M338" s="528">
        <f t="shared" si="2"/>
        <v>190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546">
        <v>16620.0</v>
      </c>
      <c r="B339" s="547" t="s">
        <v>5378</v>
      </c>
      <c r="C339" s="547">
        <v>2015.0</v>
      </c>
      <c r="D339" s="548">
        <v>42341.0</v>
      </c>
      <c r="E339" s="547" t="s">
        <v>5379</v>
      </c>
      <c r="F339" s="547" t="s">
        <v>31</v>
      </c>
      <c r="G339" s="547" t="s">
        <v>552</v>
      </c>
      <c r="H339" s="547" t="s">
        <v>50</v>
      </c>
      <c r="I339" s="548">
        <v>44049.0</v>
      </c>
      <c r="J339" s="547">
        <v>8.0</v>
      </c>
      <c r="K339" s="555" t="s">
        <v>242</v>
      </c>
      <c r="L339" s="547" t="s">
        <v>2855</v>
      </c>
      <c r="M339" s="529">
        <f t="shared" si="2"/>
        <v>1708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541">
        <v>16720.0</v>
      </c>
      <c r="B340" s="542" t="s">
        <v>5380</v>
      </c>
      <c r="C340" s="542">
        <v>2012.0</v>
      </c>
      <c r="D340" s="543">
        <v>40998.0</v>
      </c>
      <c r="E340" s="542" t="s">
        <v>5381</v>
      </c>
      <c r="F340" s="542" t="s">
        <v>5368</v>
      </c>
      <c r="G340" s="542" t="s">
        <v>650</v>
      </c>
      <c r="H340" s="542" t="s">
        <v>112</v>
      </c>
      <c r="I340" s="543">
        <v>44049.0</v>
      </c>
      <c r="J340" s="542">
        <v>8.0</v>
      </c>
      <c r="K340" s="555" t="s">
        <v>242</v>
      </c>
      <c r="L340" s="542" t="s">
        <v>2855</v>
      </c>
      <c r="M340" s="528">
        <f t="shared" si="2"/>
        <v>3051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546">
        <v>16820.0</v>
      </c>
      <c r="B341" s="547" t="s">
        <v>5382</v>
      </c>
      <c r="C341" s="547">
        <v>2011.0</v>
      </c>
      <c r="D341" s="548">
        <v>40742.0</v>
      </c>
      <c r="E341" s="547" t="s">
        <v>5383</v>
      </c>
      <c r="F341" s="547" t="s">
        <v>1203</v>
      </c>
      <c r="G341" s="547" t="s">
        <v>552</v>
      </c>
      <c r="H341" s="547" t="s">
        <v>130</v>
      </c>
      <c r="I341" s="548">
        <v>44054.0</v>
      </c>
      <c r="J341" s="547">
        <v>8.0</v>
      </c>
      <c r="K341" s="555" t="s">
        <v>242</v>
      </c>
      <c r="L341" s="547" t="s">
        <v>2860</v>
      </c>
      <c r="M341" s="529">
        <f t="shared" si="2"/>
        <v>3312</v>
      </c>
      <c r="N341" s="25"/>
      <c r="O341" s="133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541">
        <v>16920.0</v>
      </c>
      <c r="B342" s="542" t="s">
        <v>5384</v>
      </c>
      <c r="C342" s="542">
        <v>2020.0</v>
      </c>
      <c r="D342" s="543">
        <v>43916.0</v>
      </c>
      <c r="E342" s="542" t="s">
        <v>5385</v>
      </c>
      <c r="F342" s="557" t="s">
        <v>3725</v>
      </c>
      <c r="G342" s="542" t="s">
        <v>565</v>
      </c>
      <c r="H342" s="542" t="s">
        <v>577</v>
      </c>
      <c r="I342" s="543">
        <v>44054.0</v>
      </c>
      <c r="J342" s="542">
        <v>8.0</v>
      </c>
      <c r="K342" s="549" t="s">
        <v>822</v>
      </c>
      <c r="L342" s="542" t="s">
        <v>3310</v>
      </c>
      <c r="M342" s="528">
        <f t="shared" si="2"/>
        <v>138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546">
        <v>17020.0</v>
      </c>
      <c r="B343" s="547" t="s">
        <v>5386</v>
      </c>
      <c r="C343" s="547">
        <v>2020.0</v>
      </c>
      <c r="D343" s="548">
        <v>43920.0</v>
      </c>
      <c r="E343" s="547" t="s">
        <v>5387</v>
      </c>
      <c r="F343" s="556" t="s">
        <v>3725</v>
      </c>
      <c r="G343" s="547" t="s">
        <v>565</v>
      </c>
      <c r="H343" s="547" t="s">
        <v>577</v>
      </c>
      <c r="I343" s="548">
        <v>44054.0</v>
      </c>
      <c r="J343" s="547">
        <v>8.0</v>
      </c>
      <c r="K343" s="549" t="s">
        <v>822</v>
      </c>
      <c r="L343" s="547" t="s">
        <v>3310</v>
      </c>
      <c r="M343" s="529">
        <f t="shared" si="2"/>
        <v>134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0" customHeight="1">
      <c r="A344" s="541">
        <v>17120.0</v>
      </c>
      <c r="B344" s="542" t="s">
        <v>5388</v>
      </c>
      <c r="C344" s="542">
        <v>2020.0</v>
      </c>
      <c r="D344" s="543">
        <v>43934.0</v>
      </c>
      <c r="E344" s="542" t="s">
        <v>5389</v>
      </c>
      <c r="F344" s="557" t="s">
        <v>5390</v>
      </c>
      <c r="G344" s="542" t="s">
        <v>565</v>
      </c>
      <c r="H344" s="542" t="s">
        <v>2353</v>
      </c>
      <c r="I344" s="543">
        <v>44054.0</v>
      </c>
      <c r="J344" s="542">
        <v>8.0</v>
      </c>
      <c r="K344" s="555" t="s">
        <v>242</v>
      </c>
      <c r="L344" s="542" t="s">
        <v>3310</v>
      </c>
      <c r="M344" s="528">
        <f t="shared" si="2"/>
        <v>120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546">
        <v>17220.0</v>
      </c>
      <c r="B345" s="547" t="s">
        <v>5391</v>
      </c>
      <c r="C345" s="547">
        <v>2020.0</v>
      </c>
      <c r="D345" s="548">
        <v>43936.0</v>
      </c>
      <c r="E345" s="547" t="s">
        <v>5392</v>
      </c>
      <c r="F345" s="556" t="s">
        <v>5390</v>
      </c>
      <c r="G345" s="547" t="s">
        <v>565</v>
      </c>
      <c r="H345" s="547" t="s">
        <v>2353</v>
      </c>
      <c r="I345" s="548">
        <v>44054.0</v>
      </c>
      <c r="J345" s="547">
        <v>8.0</v>
      </c>
      <c r="K345" s="555" t="s">
        <v>242</v>
      </c>
      <c r="L345" s="547" t="s">
        <v>3310</v>
      </c>
      <c r="M345" s="529">
        <f t="shared" si="2"/>
        <v>118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541">
        <v>17320.0</v>
      </c>
      <c r="B346" s="542" t="s">
        <v>5393</v>
      </c>
      <c r="C346" s="542">
        <v>2020.0</v>
      </c>
      <c r="D346" s="543">
        <v>43941.0</v>
      </c>
      <c r="E346" s="542" t="s">
        <v>5394</v>
      </c>
      <c r="F346" s="557" t="s">
        <v>5390</v>
      </c>
      <c r="G346" s="542" t="s">
        <v>565</v>
      </c>
      <c r="H346" s="542" t="s">
        <v>2353</v>
      </c>
      <c r="I346" s="543">
        <v>44054.0</v>
      </c>
      <c r="J346" s="542">
        <v>8.0</v>
      </c>
      <c r="K346" s="555" t="s">
        <v>242</v>
      </c>
      <c r="L346" s="542" t="s">
        <v>3310</v>
      </c>
      <c r="M346" s="528">
        <f t="shared" si="2"/>
        <v>113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546">
        <v>17420.0</v>
      </c>
      <c r="B347" s="547" t="s">
        <v>5395</v>
      </c>
      <c r="C347" s="547">
        <v>2019.0</v>
      </c>
      <c r="D347" s="548">
        <v>43790.0</v>
      </c>
      <c r="E347" s="547" t="s">
        <v>5396</v>
      </c>
      <c r="F347" s="556" t="s">
        <v>3823</v>
      </c>
      <c r="G347" s="547" t="s">
        <v>565</v>
      </c>
      <c r="H347" s="547" t="s">
        <v>5397</v>
      </c>
      <c r="I347" s="548">
        <v>44054.0</v>
      </c>
      <c r="J347" s="547">
        <v>8.0</v>
      </c>
      <c r="K347" s="549" t="s">
        <v>822</v>
      </c>
      <c r="L347" s="547" t="s">
        <v>3310</v>
      </c>
      <c r="M347" s="529">
        <f t="shared" si="2"/>
        <v>264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2.75" customHeight="1">
      <c r="A348" s="541">
        <v>17520.0</v>
      </c>
      <c r="B348" s="542" t="s">
        <v>5398</v>
      </c>
      <c r="C348" s="542">
        <v>2019.0</v>
      </c>
      <c r="D348" s="543">
        <v>43790.0</v>
      </c>
      <c r="E348" s="542" t="s">
        <v>5399</v>
      </c>
      <c r="F348" s="557" t="s">
        <v>2614</v>
      </c>
      <c r="G348" s="542" t="s">
        <v>565</v>
      </c>
      <c r="H348" s="542" t="s">
        <v>2331</v>
      </c>
      <c r="I348" s="543">
        <v>44054.0</v>
      </c>
      <c r="J348" s="542">
        <v>8.0</v>
      </c>
      <c r="K348" s="555" t="s">
        <v>242</v>
      </c>
      <c r="L348" s="542" t="s">
        <v>3310</v>
      </c>
      <c r="M348" s="528" t="s">
        <v>3889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546">
        <v>17620.0</v>
      </c>
      <c r="B349" s="547" t="s">
        <v>5400</v>
      </c>
      <c r="C349" s="547">
        <v>2015.0</v>
      </c>
      <c r="D349" s="548">
        <v>42121.0</v>
      </c>
      <c r="E349" s="547" t="s">
        <v>5401</v>
      </c>
      <c r="F349" s="547" t="s">
        <v>1902</v>
      </c>
      <c r="G349" s="547" t="s">
        <v>552</v>
      </c>
      <c r="H349" s="547" t="s">
        <v>5402</v>
      </c>
      <c r="I349" s="548">
        <v>44055.0</v>
      </c>
      <c r="J349" s="547">
        <v>8.0</v>
      </c>
      <c r="K349" s="555" t="s">
        <v>240</v>
      </c>
      <c r="L349" s="547" t="s">
        <v>2855</v>
      </c>
      <c r="M349" s="529">
        <f t="shared" ref="M349:M495" si="3">I349-D349</f>
        <v>1934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541">
        <v>17720.0</v>
      </c>
      <c r="B350" s="542" t="s">
        <v>5403</v>
      </c>
      <c r="C350" s="542">
        <v>2013.0</v>
      </c>
      <c r="D350" s="543">
        <v>41393.0</v>
      </c>
      <c r="E350" s="542" t="s">
        <v>5404</v>
      </c>
      <c r="F350" s="542" t="s">
        <v>5405</v>
      </c>
      <c r="G350" s="542" t="s">
        <v>552</v>
      </c>
      <c r="H350" s="542" t="s">
        <v>130</v>
      </c>
      <c r="I350" s="543">
        <v>44055.0</v>
      </c>
      <c r="J350" s="542">
        <v>8.0</v>
      </c>
      <c r="K350" s="555" t="s">
        <v>242</v>
      </c>
      <c r="L350" s="542" t="s">
        <v>2860</v>
      </c>
      <c r="M350" s="528">
        <f t="shared" si="3"/>
        <v>2662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546">
        <v>17820.0</v>
      </c>
      <c r="B351" s="547" t="s">
        <v>5406</v>
      </c>
      <c r="C351" s="547">
        <v>2012.0</v>
      </c>
      <c r="D351" s="548">
        <v>40970.0</v>
      </c>
      <c r="E351" s="547" t="s">
        <v>5407</v>
      </c>
      <c r="F351" s="547" t="s">
        <v>1846</v>
      </c>
      <c r="G351" s="547" t="s">
        <v>552</v>
      </c>
      <c r="H351" s="547" t="s">
        <v>39</v>
      </c>
      <c r="I351" s="548">
        <v>44060.0</v>
      </c>
      <c r="J351" s="547">
        <v>8.0</v>
      </c>
      <c r="K351" s="555" t="s">
        <v>242</v>
      </c>
      <c r="L351" s="547" t="s">
        <v>2855</v>
      </c>
      <c r="M351" s="529">
        <f t="shared" si="3"/>
        <v>3090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541">
        <v>17920.0</v>
      </c>
      <c r="B352" s="542" t="s">
        <v>5408</v>
      </c>
      <c r="C352" s="542">
        <v>2013.0</v>
      </c>
      <c r="D352" s="543">
        <v>41513.0</v>
      </c>
      <c r="E352" s="542" t="s">
        <v>5409</v>
      </c>
      <c r="F352" s="542" t="s">
        <v>5410</v>
      </c>
      <c r="G352" s="542" t="s">
        <v>552</v>
      </c>
      <c r="H352" s="542" t="s">
        <v>596</v>
      </c>
      <c r="I352" s="543">
        <v>44060.0</v>
      </c>
      <c r="J352" s="542">
        <v>8.0</v>
      </c>
      <c r="K352" s="555" t="s">
        <v>240</v>
      </c>
      <c r="L352" s="542" t="s">
        <v>2860</v>
      </c>
      <c r="M352" s="528">
        <f t="shared" si="3"/>
        <v>2547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546">
        <v>18020.0</v>
      </c>
      <c r="B353" s="547" t="s">
        <v>5411</v>
      </c>
      <c r="C353" s="547">
        <v>2010.0</v>
      </c>
      <c r="D353" s="548">
        <v>40477.0</v>
      </c>
      <c r="E353" s="547" t="s">
        <v>5412</v>
      </c>
      <c r="F353" s="547" t="s">
        <v>71</v>
      </c>
      <c r="G353" s="547" t="s">
        <v>650</v>
      </c>
      <c r="H353" s="547" t="s">
        <v>18</v>
      </c>
      <c r="I353" s="548">
        <v>44060.0</v>
      </c>
      <c r="J353" s="547">
        <v>8.0</v>
      </c>
      <c r="K353" s="555" t="s">
        <v>242</v>
      </c>
      <c r="L353" s="547" t="s">
        <v>2855</v>
      </c>
      <c r="M353" s="529">
        <f t="shared" si="3"/>
        <v>3583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541">
        <v>18120.0</v>
      </c>
      <c r="B354" s="542" t="s">
        <v>5413</v>
      </c>
      <c r="C354" s="542">
        <v>2016.0</v>
      </c>
      <c r="D354" s="543">
        <v>42461.0</v>
      </c>
      <c r="E354" s="542" t="s">
        <v>5414</v>
      </c>
      <c r="F354" s="542" t="s">
        <v>5415</v>
      </c>
      <c r="G354" s="542" t="s">
        <v>552</v>
      </c>
      <c r="H354" s="542" t="s">
        <v>50</v>
      </c>
      <c r="I354" s="543">
        <v>44060.0</v>
      </c>
      <c r="J354" s="542">
        <v>8.0</v>
      </c>
      <c r="K354" s="555" t="s">
        <v>240</v>
      </c>
      <c r="L354" s="542" t="s">
        <v>2855</v>
      </c>
      <c r="M354" s="528">
        <f t="shared" si="3"/>
        <v>1599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546">
        <v>18220.0</v>
      </c>
      <c r="B355" s="547" t="s">
        <v>5416</v>
      </c>
      <c r="C355" s="547">
        <v>2017.0</v>
      </c>
      <c r="D355" s="548">
        <v>43052.0</v>
      </c>
      <c r="E355" s="547" t="s">
        <v>5417</v>
      </c>
      <c r="F355" s="547" t="s">
        <v>3536</v>
      </c>
      <c r="G355" s="547" t="s">
        <v>552</v>
      </c>
      <c r="H355" s="547" t="s">
        <v>5049</v>
      </c>
      <c r="I355" s="548">
        <v>44060.0</v>
      </c>
      <c r="J355" s="547">
        <v>8.0</v>
      </c>
      <c r="K355" s="555" t="s">
        <v>240</v>
      </c>
      <c r="L355" s="547" t="s">
        <v>2860</v>
      </c>
      <c r="M355" s="529">
        <f t="shared" si="3"/>
        <v>1008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0" customHeight="1">
      <c r="A356" s="541">
        <v>18320.0</v>
      </c>
      <c r="B356" s="542" t="s">
        <v>5418</v>
      </c>
      <c r="C356" s="542">
        <v>2019.0</v>
      </c>
      <c r="D356" s="543">
        <v>43718.0</v>
      </c>
      <c r="E356" s="542" t="s">
        <v>5419</v>
      </c>
      <c r="F356" s="557" t="s">
        <v>5420</v>
      </c>
      <c r="G356" s="542" t="s">
        <v>565</v>
      </c>
      <c r="H356" s="542" t="s">
        <v>5421</v>
      </c>
      <c r="I356" s="543">
        <v>44060.0</v>
      </c>
      <c r="J356" s="542">
        <v>8.0</v>
      </c>
      <c r="K356" s="555" t="s">
        <v>242</v>
      </c>
      <c r="L356" s="542" t="s">
        <v>3310</v>
      </c>
      <c r="M356" s="528">
        <f t="shared" si="3"/>
        <v>342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546">
        <v>18420.0</v>
      </c>
      <c r="B357" s="547" t="s">
        <v>5422</v>
      </c>
      <c r="C357" s="547">
        <v>2012.0</v>
      </c>
      <c r="D357" s="548">
        <v>41057.0</v>
      </c>
      <c r="E357" s="547" t="s">
        <v>5423</v>
      </c>
      <c r="F357" s="547" t="s">
        <v>5424</v>
      </c>
      <c r="G357" s="547" t="s">
        <v>650</v>
      </c>
      <c r="H357" s="547" t="s">
        <v>18</v>
      </c>
      <c r="I357" s="548">
        <v>44062.0</v>
      </c>
      <c r="J357" s="547">
        <v>8.0</v>
      </c>
      <c r="K357" s="555" t="s">
        <v>242</v>
      </c>
      <c r="L357" s="547" t="s">
        <v>2855</v>
      </c>
      <c r="M357" s="529">
        <f t="shared" si="3"/>
        <v>3005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541">
        <v>18520.0</v>
      </c>
      <c r="B358" s="542" t="s">
        <v>5425</v>
      </c>
      <c r="C358" s="542">
        <v>2012.0</v>
      </c>
      <c r="D358" s="543">
        <v>41050.0</v>
      </c>
      <c r="E358" s="542" t="s">
        <v>5426</v>
      </c>
      <c r="F358" s="542" t="s">
        <v>1150</v>
      </c>
      <c r="G358" s="542" t="s">
        <v>552</v>
      </c>
      <c r="H358" s="542" t="s">
        <v>740</v>
      </c>
      <c r="I358" s="543">
        <v>44062.0</v>
      </c>
      <c r="J358" s="542">
        <v>8.0</v>
      </c>
      <c r="K358" s="555" t="s">
        <v>232</v>
      </c>
      <c r="L358" s="542" t="s">
        <v>2860</v>
      </c>
      <c r="M358" s="528">
        <f t="shared" si="3"/>
        <v>3012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546">
        <v>18620.0</v>
      </c>
      <c r="B359" s="547" t="s">
        <v>5427</v>
      </c>
      <c r="C359" s="547">
        <v>2015.0</v>
      </c>
      <c r="D359" s="548">
        <v>42207.0</v>
      </c>
      <c r="E359" s="547" t="s">
        <v>5428</v>
      </c>
      <c r="F359" s="547" t="s">
        <v>102</v>
      </c>
      <c r="G359" s="547" t="s">
        <v>552</v>
      </c>
      <c r="H359" s="547" t="s">
        <v>5429</v>
      </c>
      <c r="I359" s="548">
        <v>44062.0</v>
      </c>
      <c r="J359" s="547">
        <v>8.0</v>
      </c>
      <c r="K359" s="549" t="s">
        <v>822</v>
      </c>
      <c r="L359" s="547" t="s">
        <v>2855</v>
      </c>
      <c r="M359" s="529">
        <f t="shared" si="3"/>
        <v>1855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0" customHeight="1">
      <c r="A360" s="541">
        <v>18720.0</v>
      </c>
      <c r="B360" s="542" t="s">
        <v>5430</v>
      </c>
      <c r="C360" s="542">
        <v>2010.0</v>
      </c>
      <c r="D360" s="543">
        <v>40204.0</v>
      </c>
      <c r="E360" s="542" t="s">
        <v>5431</v>
      </c>
      <c r="F360" s="542" t="s">
        <v>5432</v>
      </c>
      <c r="G360" s="542" t="s">
        <v>650</v>
      </c>
      <c r="H360" s="542" t="s">
        <v>158</v>
      </c>
      <c r="I360" s="543">
        <v>44062.0</v>
      </c>
      <c r="J360" s="542">
        <v>8.0</v>
      </c>
      <c r="K360" s="555" t="s">
        <v>240</v>
      </c>
      <c r="L360" s="542" t="s">
        <v>2860</v>
      </c>
      <c r="M360" s="528">
        <f t="shared" si="3"/>
        <v>3858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546">
        <v>18820.0</v>
      </c>
      <c r="B361" s="547" t="s">
        <v>5433</v>
      </c>
      <c r="C361" s="547">
        <v>2010.0</v>
      </c>
      <c r="D361" s="548">
        <v>40473.0</v>
      </c>
      <c r="E361" s="547" t="s">
        <v>5434</v>
      </c>
      <c r="F361" s="547" t="s">
        <v>5435</v>
      </c>
      <c r="G361" s="547" t="s">
        <v>650</v>
      </c>
      <c r="H361" s="547" t="s">
        <v>705</v>
      </c>
      <c r="I361" s="548">
        <v>44062.0</v>
      </c>
      <c r="J361" s="547">
        <v>8.0</v>
      </c>
      <c r="K361" s="561" t="s">
        <v>236</v>
      </c>
      <c r="L361" s="547" t="s">
        <v>2855</v>
      </c>
      <c r="M361" s="529">
        <f t="shared" si="3"/>
        <v>3589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541">
        <v>18920.0</v>
      </c>
      <c r="B362" s="542" t="s">
        <v>5436</v>
      </c>
      <c r="C362" s="542">
        <v>2011.0</v>
      </c>
      <c r="D362" s="543">
        <v>40711.0</v>
      </c>
      <c r="E362" s="542" t="s">
        <v>5437</v>
      </c>
      <c r="F362" s="542" t="s">
        <v>1255</v>
      </c>
      <c r="G362" s="542" t="s">
        <v>552</v>
      </c>
      <c r="H362" s="542" t="s">
        <v>130</v>
      </c>
      <c r="I362" s="543">
        <v>44062.0</v>
      </c>
      <c r="J362" s="542">
        <v>8.0</v>
      </c>
      <c r="K362" s="555" t="s">
        <v>240</v>
      </c>
      <c r="L362" s="542" t="s">
        <v>2860</v>
      </c>
      <c r="M362" s="528">
        <f t="shared" si="3"/>
        <v>3351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546">
        <v>19020.0</v>
      </c>
      <c r="B363" s="547" t="s">
        <v>5438</v>
      </c>
      <c r="C363" s="547">
        <v>2016.0</v>
      </c>
      <c r="D363" s="548">
        <v>42405.0</v>
      </c>
      <c r="E363" s="547" t="s">
        <v>5439</v>
      </c>
      <c r="F363" s="547" t="s">
        <v>874</v>
      </c>
      <c r="G363" s="547" t="s">
        <v>552</v>
      </c>
      <c r="H363" s="547" t="s">
        <v>50</v>
      </c>
      <c r="I363" s="548">
        <v>44062.0</v>
      </c>
      <c r="J363" s="547">
        <v>8.0</v>
      </c>
      <c r="K363" s="555" t="s">
        <v>240</v>
      </c>
      <c r="L363" s="547" t="s">
        <v>2860</v>
      </c>
      <c r="M363" s="529">
        <f t="shared" si="3"/>
        <v>1657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541">
        <v>19120.0</v>
      </c>
      <c r="B364" s="542" t="s">
        <v>5440</v>
      </c>
      <c r="C364" s="542">
        <v>2016.0</v>
      </c>
      <c r="D364" s="543">
        <v>42587.0</v>
      </c>
      <c r="E364" s="542" t="s">
        <v>5441</v>
      </c>
      <c r="F364" s="542" t="s">
        <v>874</v>
      </c>
      <c r="G364" s="542" t="s">
        <v>552</v>
      </c>
      <c r="H364" s="542" t="s">
        <v>583</v>
      </c>
      <c r="I364" s="543">
        <v>44062.0</v>
      </c>
      <c r="J364" s="542">
        <v>8.0</v>
      </c>
      <c r="K364" s="555" t="s">
        <v>240</v>
      </c>
      <c r="L364" s="542" t="s">
        <v>2860</v>
      </c>
      <c r="M364" s="528">
        <f t="shared" si="3"/>
        <v>1475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546">
        <v>19220.0</v>
      </c>
      <c r="B365" s="547" t="s">
        <v>5442</v>
      </c>
      <c r="C365" s="547">
        <v>2015.0</v>
      </c>
      <c r="D365" s="548">
        <v>42090.0</v>
      </c>
      <c r="E365" s="547" t="s">
        <v>5443</v>
      </c>
      <c r="F365" s="547" t="s">
        <v>5444</v>
      </c>
      <c r="G365" s="547" t="s">
        <v>552</v>
      </c>
      <c r="H365" s="547" t="s">
        <v>929</v>
      </c>
      <c r="I365" s="548">
        <v>44082.0</v>
      </c>
      <c r="J365" s="547">
        <v>9.0</v>
      </c>
      <c r="K365" s="555" t="s">
        <v>240</v>
      </c>
      <c r="L365" s="547" t="s">
        <v>2855</v>
      </c>
      <c r="M365" s="529">
        <f t="shared" si="3"/>
        <v>1992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541">
        <v>19320.0</v>
      </c>
      <c r="B366" s="542" t="s">
        <v>5445</v>
      </c>
      <c r="C366" s="542">
        <v>2010.0</v>
      </c>
      <c r="D366" s="543">
        <v>40295.0</v>
      </c>
      <c r="E366" s="542" t="s">
        <v>5446</v>
      </c>
      <c r="F366" s="542" t="s">
        <v>5447</v>
      </c>
      <c r="G366" s="542" t="s">
        <v>650</v>
      </c>
      <c r="H366" s="542" t="s">
        <v>143</v>
      </c>
      <c r="I366" s="543">
        <v>44082.0</v>
      </c>
      <c r="J366" s="542">
        <v>9.0</v>
      </c>
      <c r="K366" s="561" t="s">
        <v>236</v>
      </c>
      <c r="L366" s="542" t="s">
        <v>2860</v>
      </c>
      <c r="M366" s="528">
        <f t="shared" si="3"/>
        <v>3787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546">
        <v>19420.0</v>
      </c>
      <c r="B367" s="547" t="s">
        <v>5448</v>
      </c>
      <c r="C367" s="547">
        <v>2012.0</v>
      </c>
      <c r="D367" s="548">
        <v>41094.0</v>
      </c>
      <c r="E367" s="547" t="s">
        <v>5449</v>
      </c>
      <c r="F367" s="547" t="s">
        <v>1255</v>
      </c>
      <c r="G367" s="547" t="s">
        <v>552</v>
      </c>
      <c r="H367" s="547" t="s">
        <v>130</v>
      </c>
      <c r="I367" s="548">
        <v>44082.0</v>
      </c>
      <c r="J367" s="547">
        <v>9.0</v>
      </c>
      <c r="K367" s="555" t="s">
        <v>240</v>
      </c>
      <c r="L367" s="547" t="s">
        <v>2860</v>
      </c>
      <c r="M367" s="529">
        <f t="shared" si="3"/>
        <v>2988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541">
        <v>19520.0</v>
      </c>
      <c r="B368" s="542" t="s">
        <v>5450</v>
      </c>
      <c r="C368" s="542">
        <v>2019.0</v>
      </c>
      <c r="D368" s="543">
        <v>43647.0</v>
      </c>
      <c r="E368" s="542" t="s">
        <v>5451</v>
      </c>
      <c r="F368" s="542" t="s">
        <v>4029</v>
      </c>
      <c r="G368" s="542" t="s">
        <v>552</v>
      </c>
      <c r="H368" s="542" t="s">
        <v>66</v>
      </c>
      <c r="I368" s="543">
        <v>44082.0</v>
      </c>
      <c r="J368" s="542">
        <v>9.0</v>
      </c>
      <c r="K368" s="555" t="s">
        <v>240</v>
      </c>
      <c r="L368" s="542" t="s">
        <v>2860</v>
      </c>
      <c r="M368" s="528">
        <f t="shared" si="3"/>
        <v>435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546">
        <v>19620.0</v>
      </c>
      <c r="B369" s="547" t="s">
        <v>5452</v>
      </c>
      <c r="C369" s="547">
        <v>2012.0</v>
      </c>
      <c r="D369" s="548">
        <v>41254.0</v>
      </c>
      <c r="E369" s="547" t="s">
        <v>5453</v>
      </c>
      <c r="F369" s="547" t="s">
        <v>5454</v>
      </c>
      <c r="G369" s="547" t="s">
        <v>650</v>
      </c>
      <c r="H369" s="547" t="s">
        <v>158</v>
      </c>
      <c r="I369" s="548">
        <v>44082.0</v>
      </c>
      <c r="J369" s="547">
        <v>9.0</v>
      </c>
      <c r="K369" s="555" t="s">
        <v>232</v>
      </c>
      <c r="L369" s="547" t="s">
        <v>2860</v>
      </c>
      <c r="M369" s="529">
        <f t="shared" si="3"/>
        <v>2828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541">
        <v>19720.0</v>
      </c>
      <c r="B370" s="542" t="s">
        <v>5455</v>
      </c>
      <c r="C370" s="542">
        <v>2015.0</v>
      </c>
      <c r="D370" s="543">
        <v>42306.0</v>
      </c>
      <c r="E370" s="542" t="s">
        <v>5456</v>
      </c>
      <c r="F370" s="542" t="s">
        <v>5457</v>
      </c>
      <c r="G370" s="542" t="s">
        <v>650</v>
      </c>
      <c r="H370" s="542" t="s">
        <v>651</v>
      </c>
      <c r="I370" s="543">
        <v>44082.0</v>
      </c>
      <c r="J370" s="542">
        <v>9.0</v>
      </c>
      <c r="K370" s="549" t="s">
        <v>822</v>
      </c>
      <c r="L370" s="542" t="s">
        <v>2855</v>
      </c>
      <c r="M370" s="528">
        <f t="shared" si="3"/>
        <v>1776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546">
        <v>19820.0</v>
      </c>
      <c r="B371" s="547" t="s">
        <v>5458</v>
      </c>
      <c r="C371" s="547">
        <v>2012.0</v>
      </c>
      <c r="D371" s="548">
        <v>41094.0</v>
      </c>
      <c r="E371" s="547" t="s">
        <v>5459</v>
      </c>
      <c r="F371" s="547" t="s">
        <v>2060</v>
      </c>
      <c r="G371" s="547" t="s">
        <v>552</v>
      </c>
      <c r="H371" s="547" t="s">
        <v>130</v>
      </c>
      <c r="I371" s="548">
        <v>44082.0</v>
      </c>
      <c r="J371" s="547">
        <v>9.0</v>
      </c>
      <c r="K371" s="555" t="s">
        <v>240</v>
      </c>
      <c r="L371" s="547" t="s">
        <v>2860</v>
      </c>
      <c r="M371" s="529">
        <f t="shared" si="3"/>
        <v>2988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0" customHeight="1">
      <c r="A372" s="541">
        <v>19920.0</v>
      </c>
      <c r="B372" s="542" t="s">
        <v>5460</v>
      </c>
      <c r="C372" s="542">
        <v>2019.0</v>
      </c>
      <c r="D372" s="543">
        <v>43790.0</v>
      </c>
      <c r="E372" s="542" t="s">
        <v>5461</v>
      </c>
      <c r="F372" s="557" t="s">
        <v>5462</v>
      </c>
      <c r="G372" s="542" t="s">
        <v>565</v>
      </c>
      <c r="H372" s="542" t="s">
        <v>5463</v>
      </c>
      <c r="I372" s="543">
        <v>44082.0</v>
      </c>
      <c r="J372" s="542">
        <v>9.0</v>
      </c>
      <c r="K372" s="549" t="s">
        <v>822</v>
      </c>
      <c r="L372" s="542" t="s">
        <v>3310</v>
      </c>
      <c r="M372" s="528">
        <f t="shared" si="3"/>
        <v>292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546">
        <v>20020.0</v>
      </c>
      <c r="B373" s="547" t="s">
        <v>5464</v>
      </c>
      <c r="C373" s="547">
        <v>2017.0</v>
      </c>
      <c r="D373" s="548">
        <v>43098.0</v>
      </c>
      <c r="E373" s="547" t="s">
        <v>5465</v>
      </c>
      <c r="F373" s="547" t="s">
        <v>5466</v>
      </c>
      <c r="G373" s="547" t="s">
        <v>552</v>
      </c>
      <c r="H373" s="547" t="s">
        <v>573</v>
      </c>
      <c r="I373" s="548">
        <v>44082.0</v>
      </c>
      <c r="J373" s="547">
        <v>9.0</v>
      </c>
      <c r="K373" s="555" t="s">
        <v>242</v>
      </c>
      <c r="L373" s="547" t="s">
        <v>2860</v>
      </c>
      <c r="M373" s="529">
        <f t="shared" si="3"/>
        <v>984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541">
        <v>20120.0</v>
      </c>
      <c r="B374" s="542" t="s">
        <v>5467</v>
      </c>
      <c r="C374" s="542">
        <v>2019.0</v>
      </c>
      <c r="D374" s="543">
        <v>43762.0</v>
      </c>
      <c r="E374" s="542" t="s">
        <v>5468</v>
      </c>
      <c r="F374" s="557" t="s">
        <v>4300</v>
      </c>
      <c r="G374" s="542" t="s">
        <v>569</v>
      </c>
      <c r="H374" s="542" t="s">
        <v>5469</v>
      </c>
      <c r="I374" s="543">
        <v>44082.0</v>
      </c>
      <c r="J374" s="542">
        <v>9.0</v>
      </c>
      <c r="K374" s="555" t="s">
        <v>242</v>
      </c>
      <c r="L374" s="542" t="s">
        <v>3310</v>
      </c>
      <c r="M374" s="528">
        <f t="shared" si="3"/>
        <v>320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546">
        <v>20220.0</v>
      </c>
      <c r="B375" s="547" t="s">
        <v>5470</v>
      </c>
      <c r="C375" s="547">
        <v>2019.0</v>
      </c>
      <c r="D375" s="548">
        <v>43669.0</v>
      </c>
      <c r="E375" s="547" t="s">
        <v>5471</v>
      </c>
      <c r="F375" s="556" t="s">
        <v>5472</v>
      </c>
      <c r="G375" s="547" t="s">
        <v>569</v>
      </c>
      <c r="H375" s="547" t="s">
        <v>2408</v>
      </c>
      <c r="I375" s="548">
        <v>44082.0</v>
      </c>
      <c r="J375" s="547">
        <v>9.0</v>
      </c>
      <c r="K375" s="549" t="s">
        <v>822</v>
      </c>
      <c r="L375" s="547" t="s">
        <v>3310</v>
      </c>
      <c r="M375" s="529">
        <f t="shared" si="3"/>
        <v>413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541">
        <v>20320.0</v>
      </c>
      <c r="B376" s="542" t="s">
        <v>5473</v>
      </c>
      <c r="C376" s="542">
        <v>2016.0</v>
      </c>
      <c r="D376" s="543">
        <v>42725.0</v>
      </c>
      <c r="E376" s="542" t="s">
        <v>5474</v>
      </c>
      <c r="F376" s="542" t="s">
        <v>5475</v>
      </c>
      <c r="G376" s="542" t="s">
        <v>552</v>
      </c>
      <c r="H376" s="542" t="s">
        <v>2509</v>
      </c>
      <c r="I376" s="543">
        <v>44082.0</v>
      </c>
      <c r="J376" s="542">
        <v>9.0</v>
      </c>
      <c r="K376" s="555" t="s">
        <v>240</v>
      </c>
      <c r="L376" s="542" t="s">
        <v>2860</v>
      </c>
      <c r="M376" s="528">
        <f t="shared" si="3"/>
        <v>1357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546">
        <v>20420.0</v>
      </c>
      <c r="B377" s="547" t="s">
        <v>5476</v>
      </c>
      <c r="C377" s="547">
        <v>2014.0</v>
      </c>
      <c r="D377" s="548">
        <v>42002.0</v>
      </c>
      <c r="E377" s="547" t="s">
        <v>5477</v>
      </c>
      <c r="F377" s="547" t="s">
        <v>2450</v>
      </c>
      <c r="G377" s="547" t="s">
        <v>552</v>
      </c>
      <c r="H377" s="547" t="s">
        <v>66</v>
      </c>
      <c r="I377" s="548">
        <v>44082.0</v>
      </c>
      <c r="J377" s="547">
        <v>9.0</v>
      </c>
      <c r="K377" s="555" t="s">
        <v>240</v>
      </c>
      <c r="L377" s="547" t="s">
        <v>2860</v>
      </c>
      <c r="M377" s="529">
        <f t="shared" si="3"/>
        <v>2080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541">
        <v>20520.0</v>
      </c>
      <c r="B378" s="542" t="s">
        <v>5478</v>
      </c>
      <c r="C378" s="542">
        <v>2015.0</v>
      </c>
      <c r="D378" s="543">
        <v>42298.0</v>
      </c>
      <c r="E378" s="542" t="s">
        <v>5479</v>
      </c>
      <c r="F378" s="542" t="s">
        <v>1762</v>
      </c>
      <c r="G378" s="542" t="s">
        <v>552</v>
      </c>
      <c r="H378" s="542" t="s">
        <v>97</v>
      </c>
      <c r="I378" s="543">
        <v>44082.0</v>
      </c>
      <c r="J378" s="542">
        <v>9.0</v>
      </c>
      <c r="K378" s="555" t="s">
        <v>242</v>
      </c>
      <c r="L378" s="542" t="s">
        <v>2860</v>
      </c>
      <c r="M378" s="528">
        <f t="shared" si="3"/>
        <v>1784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546">
        <v>20620.0</v>
      </c>
      <c r="B379" s="547" t="s">
        <v>5480</v>
      </c>
      <c r="C379" s="547">
        <v>2018.0</v>
      </c>
      <c r="D379" s="548">
        <v>43396.0</v>
      </c>
      <c r="E379" s="547" t="s">
        <v>5481</v>
      </c>
      <c r="F379" s="547" t="s">
        <v>1408</v>
      </c>
      <c r="G379" s="547" t="s">
        <v>552</v>
      </c>
      <c r="H379" s="547" t="s">
        <v>66</v>
      </c>
      <c r="I379" s="548">
        <v>44082.0</v>
      </c>
      <c r="J379" s="547">
        <v>9.0</v>
      </c>
      <c r="K379" s="555" t="s">
        <v>242</v>
      </c>
      <c r="L379" s="547" t="s">
        <v>2855</v>
      </c>
      <c r="M379" s="529">
        <f t="shared" si="3"/>
        <v>686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541">
        <v>20720.0</v>
      </c>
      <c r="B380" s="542" t="s">
        <v>5482</v>
      </c>
      <c r="C380" s="542">
        <v>2017.0</v>
      </c>
      <c r="D380" s="543">
        <v>42964.0</v>
      </c>
      <c r="E380" s="542" t="s">
        <v>5483</v>
      </c>
      <c r="F380" s="542" t="s">
        <v>753</v>
      </c>
      <c r="G380" s="542" t="s">
        <v>552</v>
      </c>
      <c r="H380" s="542" t="s">
        <v>163</v>
      </c>
      <c r="I380" s="543">
        <v>44082.0</v>
      </c>
      <c r="J380" s="542">
        <v>9.0</v>
      </c>
      <c r="K380" s="549" t="s">
        <v>822</v>
      </c>
      <c r="L380" s="542" t="s">
        <v>2855</v>
      </c>
      <c r="M380" s="528">
        <f t="shared" si="3"/>
        <v>1118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546">
        <v>20820.0</v>
      </c>
      <c r="B381" s="547" t="s">
        <v>5484</v>
      </c>
      <c r="C381" s="547">
        <v>2012.0</v>
      </c>
      <c r="D381" s="548">
        <v>41124.0</v>
      </c>
      <c r="E381" s="547" t="s">
        <v>5485</v>
      </c>
      <c r="F381" s="547" t="s">
        <v>963</v>
      </c>
      <c r="G381" s="547" t="s">
        <v>552</v>
      </c>
      <c r="H381" s="547" t="s">
        <v>573</v>
      </c>
      <c r="I381" s="548">
        <v>44088.0</v>
      </c>
      <c r="J381" s="547">
        <v>9.0</v>
      </c>
      <c r="K381" s="555" t="s">
        <v>242</v>
      </c>
      <c r="L381" s="547" t="s">
        <v>2855</v>
      </c>
      <c r="M381" s="529">
        <f t="shared" si="3"/>
        <v>2964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541">
        <v>20920.0</v>
      </c>
      <c r="B382" s="542" t="s">
        <v>5486</v>
      </c>
      <c r="C382" s="542">
        <v>2016.0</v>
      </c>
      <c r="D382" s="543">
        <v>42607.0</v>
      </c>
      <c r="E382" s="542" t="s">
        <v>5487</v>
      </c>
      <c r="F382" s="542" t="s">
        <v>559</v>
      </c>
      <c r="G382" s="542" t="s">
        <v>552</v>
      </c>
      <c r="H382" s="542" t="s">
        <v>125</v>
      </c>
      <c r="I382" s="543">
        <v>44106.0</v>
      </c>
      <c r="J382" s="542">
        <v>10.0</v>
      </c>
      <c r="K382" s="555" t="s">
        <v>240</v>
      </c>
      <c r="L382" s="542" t="s">
        <v>2860</v>
      </c>
      <c r="M382" s="528">
        <f t="shared" si="3"/>
        <v>1499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546">
        <v>21020.0</v>
      </c>
      <c r="B383" s="547" t="s">
        <v>5488</v>
      </c>
      <c r="C383" s="547">
        <v>2020.0</v>
      </c>
      <c r="D383" s="548">
        <v>43983.0</v>
      </c>
      <c r="E383" s="547" t="s">
        <v>5489</v>
      </c>
      <c r="F383" s="556" t="s">
        <v>4300</v>
      </c>
      <c r="G383" s="547" t="s">
        <v>569</v>
      </c>
      <c r="H383" s="547" t="s">
        <v>5490</v>
      </c>
      <c r="I383" s="548">
        <v>44106.0</v>
      </c>
      <c r="J383" s="547">
        <v>10.0</v>
      </c>
      <c r="K383" s="555" t="s">
        <v>242</v>
      </c>
      <c r="L383" s="547" t="s">
        <v>3310</v>
      </c>
      <c r="M383" s="529">
        <f t="shared" si="3"/>
        <v>123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0" customHeight="1">
      <c r="A384" s="541">
        <v>21120.0</v>
      </c>
      <c r="B384" s="542" t="s">
        <v>5491</v>
      </c>
      <c r="C384" s="542">
        <v>2020.0</v>
      </c>
      <c r="D384" s="543">
        <v>43950.0</v>
      </c>
      <c r="E384" s="542" t="s">
        <v>5492</v>
      </c>
      <c r="F384" s="557" t="s">
        <v>5493</v>
      </c>
      <c r="G384" s="542" t="s">
        <v>565</v>
      </c>
      <c r="H384" s="542" t="s">
        <v>2353</v>
      </c>
      <c r="I384" s="543">
        <v>44106.0</v>
      </c>
      <c r="J384" s="542">
        <v>10.0</v>
      </c>
      <c r="K384" s="549" t="s">
        <v>822</v>
      </c>
      <c r="L384" s="542" t="s">
        <v>3310</v>
      </c>
      <c r="M384" s="528">
        <f t="shared" si="3"/>
        <v>156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0" customHeight="1">
      <c r="A385" s="546">
        <v>21220.0</v>
      </c>
      <c r="B385" s="547" t="s">
        <v>5494</v>
      </c>
      <c r="C385" s="547">
        <v>2020.0</v>
      </c>
      <c r="D385" s="548">
        <v>43945.0</v>
      </c>
      <c r="E385" s="547" t="s">
        <v>5495</v>
      </c>
      <c r="F385" s="556" t="s">
        <v>5493</v>
      </c>
      <c r="G385" s="547" t="s">
        <v>565</v>
      </c>
      <c r="H385" s="547" t="s">
        <v>2353</v>
      </c>
      <c r="I385" s="548">
        <v>44106.0</v>
      </c>
      <c r="J385" s="547">
        <v>10.0</v>
      </c>
      <c r="K385" s="549" t="s">
        <v>822</v>
      </c>
      <c r="L385" s="547" t="s">
        <v>3310</v>
      </c>
      <c r="M385" s="529">
        <f t="shared" si="3"/>
        <v>161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2.75" customHeight="1">
      <c r="A386" s="541">
        <v>21320.0</v>
      </c>
      <c r="B386" s="542" t="s">
        <v>5496</v>
      </c>
      <c r="C386" s="542">
        <v>2018.0</v>
      </c>
      <c r="D386" s="543">
        <v>43919.0</v>
      </c>
      <c r="E386" s="542" t="s">
        <v>5497</v>
      </c>
      <c r="F386" s="542" t="s">
        <v>5498</v>
      </c>
      <c r="G386" s="542" t="s">
        <v>650</v>
      </c>
      <c r="H386" s="542" t="s">
        <v>705</v>
      </c>
      <c r="I386" s="543">
        <v>44106.0</v>
      </c>
      <c r="J386" s="542">
        <v>10.0</v>
      </c>
      <c r="K386" s="555" t="s">
        <v>242</v>
      </c>
      <c r="L386" s="542" t="s">
        <v>2855</v>
      </c>
      <c r="M386" s="528">
        <f t="shared" si="3"/>
        <v>187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546">
        <v>21420.0</v>
      </c>
      <c r="B387" s="547" t="s">
        <v>5499</v>
      </c>
      <c r="C387" s="547">
        <v>2018.0</v>
      </c>
      <c r="D387" s="548">
        <v>43237.0</v>
      </c>
      <c r="E387" s="547" t="s">
        <v>5500</v>
      </c>
      <c r="F387" s="547" t="s">
        <v>5501</v>
      </c>
      <c r="G387" s="547" t="s">
        <v>552</v>
      </c>
      <c r="H387" s="547" t="s">
        <v>587</v>
      </c>
      <c r="I387" s="548">
        <v>44106.0</v>
      </c>
      <c r="J387" s="547">
        <v>10.0</v>
      </c>
      <c r="K387" s="555" t="s">
        <v>242</v>
      </c>
      <c r="L387" s="547" t="s">
        <v>2860</v>
      </c>
      <c r="M387" s="529">
        <f t="shared" si="3"/>
        <v>869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541">
        <v>21520.0</v>
      </c>
      <c r="B388" s="542" t="s">
        <v>5502</v>
      </c>
      <c r="C388" s="542">
        <v>2018.0</v>
      </c>
      <c r="D388" s="543">
        <v>43236.0</v>
      </c>
      <c r="E388" s="542" t="s">
        <v>5503</v>
      </c>
      <c r="F388" s="542" t="s">
        <v>5504</v>
      </c>
      <c r="G388" s="542" t="s">
        <v>552</v>
      </c>
      <c r="H388" s="542" t="s">
        <v>4922</v>
      </c>
      <c r="I388" s="543">
        <v>44106.0</v>
      </c>
      <c r="J388" s="542">
        <v>10.0</v>
      </c>
      <c r="K388" s="555" t="s">
        <v>242</v>
      </c>
      <c r="L388" s="542" t="s">
        <v>2855</v>
      </c>
      <c r="M388" s="528">
        <f t="shared" si="3"/>
        <v>870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546">
        <v>21620.0</v>
      </c>
      <c r="B389" s="547" t="s">
        <v>5505</v>
      </c>
      <c r="C389" s="547">
        <v>2013.0</v>
      </c>
      <c r="D389" s="548">
        <v>41411.0</v>
      </c>
      <c r="E389" s="547" t="s">
        <v>5506</v>
      </c>
      <c r="F389" s="547" t="s">
        <v>5507</v>
      </c>
      <c r="G389" s="547" t="s">
        <v>552</v>
      </c>
      <c r="H389" s="547" t="s">
        <v>18</v>
      </c>
      <c r="I389" s="548">
        <v>44109.0</v>
      </c>
      <c r="J389" s="547">
        <v>10.0</v>
      </c>
      <c r="K389" s="555" t="s">
        <v>242</v>
      </c>
      <c r="L389" s="547" t="s">
        <v>2860</v>
      </c>
      <c r="M389" s="529">
        <f t="shared" si="3"/>
        <v>2698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541">
        <v>21720.0</v>
      </c>
      <c r="B390" s="542" t="s">
        <v>5508</v>
      </c>
      <c r="C390" s="542">
        <v>2013.0</v>
      </c>
      <c r="D390" s="543">
        <v>41415.0</v>
      </c>
      <c r="E390" s="542" t="s">
        <v>5509</v>
      </c>
      <c r="F390" s="542" t="s">
        <v>1108</v>
      </c>
      <c r="G390" s="542" t="s">
        <v>552</v>
      </c>
      <c r="H390" s="542" t="s">
        <v>5510</v>
      </c>
      <c r="I390" s="543">
        <v>44109.0</v>
      </c>
      <c r="J390" s="542">
        <v>10.0</v>
      </c>
      <c r="K390" s="555" t="s">
        <v>240</v>
      </c>
      <c r="L390" s="542" t="s">
        <v>2860</v>
      </c>
      <c r="M390" s="528">
        <f t="shared" si="3"/>
        <v>2694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546">
        <v>21820.0</v>
      </c>
      <c r="B391" s="547" t="s">
        <v>5511</v>
      </c>
      <c r="C391" s="547">
        <v>2014.0</v>
      </c>
      <c r="D391" s="548">
        <v>41963.0</v>
      </c>
      <c r="E391" s="547" t="s">
        <v>5512</v>
      </c>
      <c r="F391" s="547" t="s">
        <v>1957</v>
      </c>
      <c r="G391" s="547" t="s">
        <v>552</v>
      </c>
      <c r="H391" s="547" t="s">
        <v>2078</v>
      </c>
      <c r="I391" s="548">
        <v>44109.0</v>
      </c>
      <c r="J391" s="547">
        <v>10.0</v>
      </c>
      <c r="K391" s="555" t="s">
        <v>240</v>
      </c>
      <c r="L391" s="547" t="s">
        <v>2855</v>
      </c>
      <c r="M391" s="529">
        <f t="shared" si="3"/>
        <v>2146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541">
        <v>21920.0</v>
      </c>
      <c r="B392" s="542" t="s">
        <v>5513</v>
      </c>
      <c r="C392" s="542">
        <v>2014.0</v>
      </c>
      <c r="D392" s="543">
        <v>41983.0</v>
      </c>
      <c r="E392" s="542" t="s">
        <v>5514</v>
      </c>
      <c r="F392" s="542" t="s">
        <v>5515</v>
      </c>
      <c r="G392" s="542" t="s">
        <v>552</v>
      </c>
      <c r="H392" s="542" t="s">
        <v>66</v>
      </c>
      <c r="I392" s="543">
        <v>44109.0</v>
      </c>
      <c r="J392" s="542">
        <v>10.0</v>
      </c>
      <c r="K392" s="555" t="s">
        <v>242</v>
      </c>
      <c r="L392" s="542" t="s">
        <v>2855</v>
      </c>
      <c r="M392" s="528">
        <f t="shared" si="3"/>
        <v>2126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546">
        <v>22020.0</v>
      </c>
      <c r="B393" s="547" t="s">
        <v>5516</v>
      </c>
      <c r="C393" s="547">
        <v>2011.0</v>
      </c>
      <c r="D393" s="548">
        <v>40806.0</v>
      </c>
      <c r="E393" s="547" t="s">
        <v>5517</v>
      </c>
      <c r="F393" s="547" t="s">
        <v>5518</v>
      </c>
      <c r="G393" s="547" t="s">
        <v>650</v>
      </c>
      <c r="H393" s="547" t="s">
        <v>158</v>
      </c>
      <c r="I393" s="548">
        <v>44111.0</v>
      </c>
      <c r="J393" s="547">
        <v>10.0</v>
      </c>
      <c r="K393" s="555" t="s">
        <v>242</v>
      </c>
      <c r="L393" s="547" t="s">
        <v>2860</v>
      </c>
      <c r="M393" s="529">
        <f t="shared" si="3"/>
        <v>3305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541">
        <v>22120.0</v>
      </c>
      <c r="B394" s="542" t="s">
        <v>5519</v>
      </c>
      <c r="C394" s="542">
        <v>2012.0</v>
      </c>
      <c r="D394" s="543">
        <v>41262.0</v>
      </c>
      <c r="E394" s="542" t="s">
        <v>5520</v>
      </c>
      <c r="F394" s="542" t="s">
        <v>5521</v>
      </c>
      <c r="G394" s="542" t="s">
        <v>650</v>
      </c>
      <c r="H394" s="542" t="s">
        <v>158</v>
      </c>
      <c r="I394" s="543">
        <v>44109.0</v>
      </c>
      <c r="J394" s="542">
        <v>10.0</v>
      </c>
      <c r="K394" s="549" t="s">
        <v>822</v>
      </c>
      <c r="L394" s="542" t="s">
        <v>2860</v>
      </c>
      <c r="M394" s="528">
        <f t="shared" si="3"/>
        <v>2847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546">
        <v>22220.0</v>
      </c>
      <c r="B395" s="547" t="s">
        <v>5522</v>
      </c>
      <c r="C395" s="547">
        <v>2012.0</v>
      </c>
      <c r="D395" s="548">
        <v>41218.0</v>
      </c>
      <c r="E395" s="547" t="s">
        <v>5523</v>
      </c>
      <c r="F395" s="547" t="s">
        <v>5524</v>
      </c>
      <c r="G395" s="547" t="s">
        <v>650</v>
      </c>
      <c r="H395" s="547" t="s">
        <v>3695</v>
      </c>
      <c r="I395" s="548">
        <v>44109.0</v>
      </c>
      <c r="J395" s="547">
        <v>10.0</v>
      </c>
      <c r="K395" s="555" t="s">
        <v>240</v>
      </c>
      <c r="L395" s="547" t="s">
        <v>2860</v>
      </c>
      <c r="M395" s="529">
        <f t="shared" si="3"/>
        <v>2891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541">
        <v>22320.0</v>
      </c>
      <c r="B396" s="542" t="s">
        <v>5525</v>
      </c>
      <c r="C396" s="542">
        <v>2010.0</v>
      </c>
      <c r="D396" s="543">
        <v>40441.0</v>
      </c>
      <c r="E396" s="542" t="s">
        <v>5526</v>
      </c>
      <c r="F396" s="542" t="s">
        <v>5527</v>
      </c>
      <c r="G396" s="542" t="s">
        <v>552</v>
      </c>
      <c r="H396" s="542" t="s">
        <v>5528</v>
      </c>
      <c r="I396" s="543">
        <v>44109.0</v>
      </c>
      <c r="J396" s="542">
        <v>10.0</v>
      </c>
      <c r="K396" s="555" t="s">
        <v>240</v>
      </c>
      <c r="L396" s="542" t="s">
        <v>2855</v>
      </c>
      <c r="M396" s="528">
        <f t="shared" si="3"/>
        <v>3668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546">
        <v>22420.0</v>
      </c>
      <c r="B397" s="547" t="s">
        <v>5529</v>
      </c>
      <c r="C397" s="547">
        <v>2018.0</v>
      </c>
      <c r="D397" s="548">
        <v>43250.0</v>
      </c>
      <c r="E397" s="547" t="s">
        <v>5530</v>
      </c>
      <c r="F397" s="547" t="s">
        <v>5531</v>
      </c>
      <c r="G397" s="547" t="s">
        <v>650</v>
      </c>
      <c r="H397" s="547" t="s">
        <v>651</v>
      </c>
      <c r="I397" s="548">
        <v>44117.0</v>
      </c>
      <c r="J397" s="547">
        <v>10.0</v>
      </c>
      <c r="K397" s="561" t="s">
        <v>236</v>
      </c>
      <c r="L397" s="547" t="s">
        <v>840</v>
      </c>
      <c r="M397" s="529">
        <f t="shared" si="3"/>
        <v>867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541">
        <v>22520.0</v>
      </c>
      <c r="B398" s="542" t="s">
        <v>5532</v>
      </c>
      <c r="C398" s="542">
        <v>2017.0</v>
      </c>
      <c r="D398" s="543">
        <v>42844.0</v>
      </c>
      <c r="E398" s="542" t="s">
        <v>5533</v>
      </c>
      <c r="F398" s="542" t="s">
        <v>3536</v>
      </c>
      <c r="G398" s="542" t="s">
        <v>552</v>
      </c>
      <c r="H398" s="542" t="s">
        <v>5534</v>
      </c>
      <c r="I398" s="543">
        <v>44124.0</v>
      </c>
      <c r="J398" s="542">
        <v>10.0</v>
      </c>
      <c r="K398" s="555" t="s">
        <v>240</v>
      </c>
      <c r="L398" s="542" t="s">
        <v>2860</v>
      </c>
      <c r="M398" s="528">
        <f t="shared" si="3"/>
        <v>1280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546">
        <v>22620.0</v>
      </c>
      <c r="B399" s="547" t="s">
        <v>5535</v>
      </c>
      <c r="C399" s="547">
        <v>2020.0</v>
      </c>
      <c r="D399" s="548">
        <v>43949.0</v>
      </c>
      <c r="E399" s="547" t="s">
        <v>5536</v>
      </c>
      <c r="F399" s="556" t="s">
        <v>3647</v>
      </c>
      <c r="G399" s="547" t="s">
        <v>569</v>
      </c>
      <c r="H399" s="547" t="s">
        <v>5237</v>
      </c>
      <c r="I399" s="548">
        <v>44126.0</v>
      </c>
      <c r="J399" s="547">
        <v>10.0</v>
      </c>
      <c r="K399" s="555" t="s">
        <v>242</v>
      </c>
      <c r="L399" s="547" t="s">
        <v>3310</v>
      </c>
      <c r="M399" s="529">
        <f t="shared" si="3"/>
        <v>177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541">
        <v>22720.0</v>
      </c>
      <c r="B400" s="542" t="s">
        <v>5537</v>
      </c>
      <c r="C400" s="542">
        <v>2017.0</v>
      </c>
      <c r="D400" s="543">
        <v>43098.0</v>
      </c>
      <c r="E400" s="542" t="s">
        <v>5538</v>
      </c>
      <c r="F400" s="542" t="s">
        <v>5539</v>
      </c>
      <c r="G400" s="542" t="s">
        <v>650</v>
      </c>
      <c r="H400" s="542" t="s">
        <v>5180</v>
      </c>
      <c r="I400" s="543">
        <v>44139.0</v>
      </c>
      <c r="J400" s="542">
        <v>11.0</v>
      </c>
      <c r="K400" s="549" t="s">
        <v>822</v>
      </c>
      <c r="L400" s="542" t="s">
        <v>2860</v>
      </c>
      <c r="M400" s="528">
        <f t="shared" si="3"/>
        <v>1041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546">
        <v>22820.0</v>
      </c>
      <c r="B401" s="547" t="s">
        <v>5540</v>
      </c>
      <c r="C401" s="547">
        <v>2017.0</v>
      </c>
      <c r="D401" s="548">
        <v>43069.0</v>
      </c>
      <c r="E401" s="547" t="s">
        <v>5541</v>
      </c>
      <c r="F401" s="547" t="s">
        <v>5542</v>
      </c>
      <c r="G401" s="547" t="s">
        <v>552</v>
      </c>
      <c r="H401" s="547" t="s">
        <v>573</v>
      </c>
      <c r="I401" s="548">
        <v>44133.0</v>
      </c>
      <c r="J401" s="547">
        <v>10.0</v>
      </c>
      <c r="K401" s="555" t="s">
        <v>242</v>
      </c>
      <c r="L401" s="547" t="s">
        <v>2860</v>
      </c>
      <c r="M401" s="529">
        <f t="shared" si="3"/>
        <v>1064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541">
        <v>22920.0</v>
      </c>
      <c r="B402" s="542" t="s">
        <v>5543</v>
      </c>
      <c r="C402" s="542">
        <v>2019.0</v>
      </c>
      <c r="D402" s="543">
        <v>43665.0</v>
      </c>
      <c r="E402" s="542" t="s">
        <v>5544</v>
      </c>
      <c r="F402" s="557" t="s">
        <v>2614</v>
      </c>
      <c r="G402" s="542" t="s">
        <v>565</v>
      </c>
      <c r="H402" s="542" t="s">
        <v>2331</v>
      </c>
      <c r="I402" s="543">
        <v>44133.0</v>
      </c>
      <c r="J402" s="542">
        <v>10.0</v>
      </c>
      <c r="K402" s="555" t="s">
        <v>242</v>
      </c>
      <c r="L402" s="542" t="s">
        <v>3310</v>
      </c>
      <c r="M402" s="528">
        <f t="shared" si="3"/>
        <v>468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546">
        <v>23020.0</v>
      </c>
      <c r="B403" s="547" t="s">
        <v>5545</v>
      </c>
      <c r="C403" s="547">
        <v>2011.0</v>
      </c>
      <c r="D403" s="548">
        <v>40906.0</v>
      </c>
      <c r="E403" s="547" t="s">
        <v>5546</v>
      </c>
      <c r="F403" s="547" t="s">
        <v>5547</v>
      </c>
      <c r="G403" s="547" t="s">
        <v>650</v>
      </c>
      <c r="H403" s="547" t="s">
        <v>3695</v>
      </c>
      <c r="I403" s="548">
        <v>44133.0</v>
      </c>
      <c r="J403" s="547">
        <v>10.0</v>
      </c>
      <c r="K403" s="555" t="s">
        <v>240</v>
      </c>
      <c r="L403" s="547" t="s">
        <v>2860</v>
      </c>
      <c r="M403" s="529">
        <f t="shared" si="3"/>
        <v>3227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541">
        <v>23120.0</v>
      </c>
      <c r="B404" s="542" t="s">
        <v>5548</v>
      </c>
      <c r="C404" s="542">
        <v>2008.0</v>
      </c>
      <c r="D404" s="543">
        <v>39811.0</v>
      </c>
      <c r="E404" s="542" t="s">
        <v>5549</v>
      </c>
      <c r="F404" s="542" t="s">
        <v>4511</v>
      </c>
      <c r="G404" s="542" t="s">
        <v>565</v>
      </c>
      <c r="H404" s="542" t="s">
        <v>775</v>
      </c>
      <c r="I404" s="543">
        <v>44133.0</v>
      </c>
      <c r="J404" s="542">
        <v>10.0</v>
      </c>
      <c r="K404" s="555" t="s">
        <v>242</v>
      </c>
      <c r="L404" s="542" t="s">
        <v>3310</v>
      </c>
      <c r="M404" s="528">
        <f t="shared" si="3"/>
        <v>4322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0" customHeight="1">
      <c r="A405" s="546">
        <v>23220.0</v>
      </c>
      <c r="B405" s="547" t="s">
        <v>5550</v>
      </c>
      <c r="C405" s="547">
        <v>2011.0</v>
      </c>
      <c r="D405" s="548">
        <v>40792.0</v>
      </c>
      <c r="E405" s="547" t="s">
        <v>5551</v>
      </c>
      <c r="F405" s="547" t="s">
        <v>4511</v>
      </c>
      <c r="G405" s="547" t="s">
        <v>565</v>
      </c>
      <c r="H405" s="547" t="s">
        <v>5552</v>
      </c>
      <c r="I405" s="548">
        <v>44133.0</v>
      </c>
      <c r="J405" s="547">
        <v>10.0</v>
      </c>
      <c r="K405" s="555" t="s">
        <v>242</v>
      </c>
      <c r="L405" s="547" t="s">
        <v>3310</v>
      </c>
      <c r="M405" s="529">
        <f t="shared" si="3"/>
        <v>3341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0" customHeight="1">
      <c r="A406" s="541">
        <v>23320.0</v>
      </c>
      <c r="B406" s="542" t="s">
        <v>5553</v>
      </c>
      <c r="C406" s="542">
        <v>2012.0</v>
      </c>
      <c r="D406" s="543">
        <v>41256.0</v>
      </c>
      <c r="E406" s="542" t="s">
        <v>5554</v>
      </c>
      <c r="F406" s="542" t="s">
        <v>3705</v>
      </c>
      <c r="G406" s="542" t="s">
        <v>552</v>
      </c>
      <c r="H406" s="542" t="s">
        <v>56</v>
      </c>
      <c r="I406" s="543">
        <v>44133.0</v>
      </c>
      <c r="J406" s="542">
        <v>10.0</v>
      </c>
      <c r="K406" s="555" t="s">
        <v>242</v>
      </c>
      <c r="L406" s="542" t="s">
        <v>2855</v>
      </c>
      <c r="M406" s="528">
        <f t="shared" si="3"/>
        <v>2877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546">
        <v>23420.0</v>
      </c>
      <c r="B407" s="547" t="s">
        <v>5555</v>
      </c>
      <c r="C407" s="547">
        <v>2013.0</v>
      </c>
      <c r="D407" s="548">
        <v>41309.0</v>
      </c>
      <c r="E407" s="547" t="s">
        <v>5556</v>
      </c>
      <c r="F407" s="547" t="s">
        <v>5557</v>
      </c>
      <c r="G407" s="547" t="s">
        <v>650</v>
      </c>
      <c r="H407" s="547" t="s">
        <v>651</v>
      </c>
      <c r="I407" s="548">
        <v>44138.0</v>
      </c>
      <c r="J407" s="547">
        <v>11.0</v>
      </c>
      <c r="K407" s="555" t="s">
        <v>240</v>
      </c>
      <c r="L407" s="547" t="s">
        <v>2860</v>
      </c>
      <c r="M407" s="529">
        <f t="shared" si="3"/>
        <v>2829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541">
        <v>23520.0</v>
      </c>
      <c r="B408" s="542" t="s">
        <v>5558</v>
      </c>
      <c r="C408" s="542">
        <v>2012.0</v>
      </c>
      <c r="D408" s="543">
        <v>41089.0</v>
      </c>
      <c r="E408" s="542" t="s">
        <v>5559</v>
      </c>
      <c r="F408" s="542" t="s">
        <v>5432</v>
      </c>
      <c r="G408" s="542" t="s">
        <v>650</v>
      </c>
      <c r="H408" s="542" t="s">
        <v>158</v>
      </c>
      <c r="I408" s="543">
        <v>44138.0</v>
      </c>
      <c r="J408" s="542">
        <v>11.0</v>
      </c>
      <c r="K408" s="555" t="s">
        <v>242</v>
      </c>
      <c r="L408" s="542" t="s">
        <v>2860</v>
      </c>
      <c r="M408" s="528">
        <f t="shared" si="3"/>
        <v>3049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2.75" customHeight="1">
      <c r="A409" s="546">
        <v>23620.0</v>
      </c>
      <c r="B409" s="547" t="s">
        <v>5560</v>
      </c>
      <c r="C409" s="547">
        <v>2014.0</v>
      </c>
      <c r="D409" s="548">
        <v>41704.0</v>
      </c>
      <c r="E409" s="547" t="s">
        <v>5561</v>
      </c>
      <c r="F409" s="547" t="s">
        <v>711</v>
      </c>
      <c r="G409" s="547" t="s">
        <v>552</v>
      </c>
      <c r="H409" s="547" t="s">
        <v>50</v>
      </c>
      <c r="I409" s="548">
        <v>44138.0</v>
      </c>
      <c r="J409" s="547">
        <v>11.0</v>
      </c>
      <c r="K409" s="555" t="s">
        <v>242</v>
      </c>
      <c r="L409" s="547" t="s">
        <v>2855</v>
      </c>
      <c r="M409" s="529">
        <f t="shared" si="3"/>
        <v>2434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541">
        <v>23720.0</v>
      </c>
      <c r="B410" s="542" t="s">
        <v>5562</v>
      </c>
      <c r="C410" s="542">
        <v>2013.0</v>
      </c>
      <c r="D410" s="543">
        <v>41368.0</v>
      </c>
      <c r="E410" s="542" t="s">
        <v>5563</v>
      </c>
      <c r="F410" s="542" t="s">
        <v>711</v>
      </c>
      <c r="G410" s="542" t="s">
        <v>552</v>
      </c>
      <c r="H410" s="542" t="s">
        <v>50</v>
      </c>
      <c r="I410" s="543">
        <v>44138.0</v>
      </c>
      <c r="J410" s="542">
        <v>11.0</v>
      </c>
      <c r="K410" s="555" t="s">
        <v>242</v>
      </c>
      <c r="L410" s="542" t="s">
        <v>2855</v>
      </c>
      <c r="M410" s="528">
        <f t="shared" si="3"/>
        <v>2770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546">
        <v>23820.0</v>
      </c>
      <c r="B411" s="547" t="s">
        <v>5564</v>
      </c>
      <c r="C411" s="547">
        <v>2014.0</v>
      </c>
      <c r="D411" s="548">
        <v>41852.0</v>
      </c>
      <c r="E411" s="547" t="s">
        <v>5565</v>
      </c>
      <c r="F411" s="547" t="s">
        <v>5299</v>
      </c>
      <c r="G411" s="547" t="s">
        <v>650</v>
      </c>
      <c r="H411" s="547" t="s">
        <v>5180</v>
      </c>
      <c r="I411" s="548">
        <v>44138.0</v>
      </c>
      <c r="J411" s="547">
        <v>11.0</v>
      </c>
      <c r="K411" s="555" t="s">
        <v>240</v>
      </c>
      <c r="L411" s="547" t="s">
        <v>840</v>
      </c>
      <c r="M411" s="529">
        <f t="shared" si="3"/>
        <v>2286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541">
        <v>23920.0</v>
      </c>
      <c r="B412" s="542" t="s">
        <v>5566</v>
      </c>
      <c r="C412" s="542">
        <v>2014.0</v>
      </c>
      <c r="D412" s="543">
        <v>42002.0</v>
      </c>
      <c r="E412" s="542" t="s">
        <v>5567</v>
      </c>
      <c r="F412" s="542" t="s">
        <v>1150</v>
      </c>
      <c r="G412" s="542" t="s">
        <v>552</v>
      </c>
      <c r="H412" s="542" t="s">
        <v>50</v>
      </c>
      <c r="I412" s="543">
        <v>44140.0</v>
      </c>
      <c r="J412" s="542">
        <v>11.0</v>
      </c>
      <c r="K412" s="555" t="s">
        <v>232</v>
      </c>
      <c r="L412" s="542" t="s">
        <v>2860</v>
      </c>
      <c r="M412" s="528">
        <f t="shared" si="3"/>
        <v>2138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546">
        <v>24020.0</v>
      </c>
      <c r="B413" s="547" t="s">
        <v>5568</v>
      </c>
      <c r="C413" s="547">
        <v>2020.0</v>
      </c>
      <c r="D413" s="548">
        <v>44023.0</v>
      </c>
      <c r="E413" s="547" t="s">
        <v>5569</v>
      </c>
      <c r="F413" s="556" t="s">
        <v>2614</v>
      </c>
      <c r="G413" s="547" t="s">
        <v>569</v>
      </c>
      <c r="H413" s="547" t="s">
        <v>3523</v>
      </c>
      <c r="I413" s="548">
        <v>44140.0</v>
      </c>
      <c r="J413" s="547">
        <v>11.0</v>
      </c>
      <c r="K413" s="555" t="s">
        <v>242</v>
      </c>
      <c r="L413" s="547" t="s">
        <v>3310</v>
      </c>
      <c r="M413" s="529">
        <f t="shared" si="3"/>
        <v>117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541">
        <v>24120.0</v>
      </c>
      <c r="B414" s="542" t="s">
        <v>5570</v>
      </c>
      <c r="C414" s="542">
        <v>2020.0</v>
      </c>
      <c r="D414" s="543">
        <v>44023.0</v>
      </c>
      <c r="E414" s="542" t="s">
        <v>5571</v>
      </c>
      <c r="F414" s="557" t="s">
        <v>2343</v>
      </c>
      <c r="G414" s="542" t="s">
        <v>569</v>
      </c>
      <c r="H414" s="542" t="s">
        <v>3523</v>
      </c>
      <c r="I414" s="543">
        <v>44140.0</v>
      </c>
      <c r="J414" s="542">
        <v>11.0</v>
      </c>
      <c r="K414" s="555" t="s">
        <v>242</v>
      </c>
      <c r="L414" s="542" t="s">
        <v>3310</v>
      </c>
      <c r="M414" s="528">
        <f t="shared" si="3"/>
        <v>117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546">
        <v>24220.0</v>
      </c>
      <c r="B415" s="547" t="s">
        <v>5572</v>
      </c>
      <c r="C415" s="547">
        <v>2020.0</v>
      </c>
      <c r="D415" s="548">
        <v>44014.0</v>
      </c>
      <c r="E415" s="547" t="s">
        <v>5573</v>
      </c>
      <c r="F415" s="556" t="s">
        <v>5574</v>
      </c>
      <c r="G415" s="547" t="s">
        <v>569</v>
      </c>
      <c r="H415" s="547" t="s">
        <v>1850</v>
      </c>
      <c r="I415" s="548">
        <v>44140.0</v>
      </c>
      <c r="J415" s="547">
        <v>11.0</v>
      </c>
      <c r="K415" s="549" t="s">
        <v>822</v>
      </c>
      <c r="L415" s="547" t="s">
        <v>3310</v>
      </c>
      <c r="M415" s="529">
        <f t="shared" si="3"/>
        <v>126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541">
        <v>24320.0</v>
      </c>
      <c r="B416" s="542" t="s">
        <v>5575</v>
      </c>
      <c r="C416" s="542">
        <v>2020.0</v>
      </c>
      <c r="D416" s="543">
        <v>43453.0</v>
      </c>
      <c r="E416" s="542" t="s">
        <v>5576</v>
      </c>
      <c r="F416" s="542" t="s">
        <v>1464</v>
      </c>
      <c r="G416" s="542" t="s">
        <v>552</v>
      </c>
      <c r="H416" s="542" t="s">
        <v>130</v>
      </c>
      <c r="I416" s="543">
        <v>44140.0</v>
      </c>
      <c r="J416" s="542">
        <v>11.0</v>
      </c>
      <c r="K416" s="555" t="s">
        <v>240</v>
      </c>
      <c r="L416" s="542" t="s">
        <v>2860</v>
      </c>
      <c r="M416" s="528">
        <f t="shared" si="3"/>
        <v>687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546">
        <v>24420.0</v>
      </c>
      <c r="B417" s="547" t="s">
        <v>5577</v>
      </c>
      <c r="C417" s="547">
        <v>2018.0</v>
      </c>
      <c r="D417" s="548">
        <v>43376.0</v>
      </c>
      <c r="E417" s="547" t="s">
        <v>5578</v>
      </c>
      <c r="F417" s="547" t="s">
        <v>5579</v>
      </c>
      <c r="G417" s="547" t="s">
        <v>552</v>
      </c>
      <c r="H417" s="547" t="s">
        <v>573</v>
      </c>
      <c r="I417" s="548">
        <v>44140.0</v>
      </c>
      <c r="J417" s="547">
        <v>11.0</v>
      </c>
      <c r="K417" s="555" t="s">
        <v>240</v>
      </c>
      <c r="L417" s="547" t="s">
        <v>2860</v>
      </c>
      <c r="M417" s="529">
        <f t="shared" si="3"/>
        <v>764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541">
        <v>24520.0</v>
      </c>
      <c r="B418" s="542" t="s">
        <v>5580</v>
      </c>
      <c r="C418" s="542">
        <v>2012.0</v>
      </c>
      <c r="D418" s="543">
        <v>41262.0</v>
      </c>
      <c r="E418" s="542" t="s">
        <v>5581</v>
      </c>
      <c r="F418" s="542" t="s">
        <v>5582</v>
      </c>
      <c r="G418" s="542" t="s">
        <v>650</v>
      </c>
      <c r="H418" s="542" t="s">
        <v>158</v>
      </c>
      <c r="I418" s="543">
        <v>44140.0</v>
      </c>
      <c r="J418" s="542">
        <v>11.0</v>
      </c>
      <c r="K418" s="549" t="s">
        <v>822</v>
      </c>
      <c r="L418" s="542" t="s">
        <v>2855</v>
      </c>
      <c r="M418" s="528">
        <f t="shared" si="3"/>
        <v>2878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546">
        <v>24620.0</v>
      </c>
      <c r="B419" s="547" t="s">
        <v>5583</v>
      </c>
      <c r="C419" s="547">
        <v>2019.0</v>
      </c>
      <c r="D419" s="548">
        <v>43741.0</v>
      </c>
      <c r="E419" s="547" t="s">
        <v>5584</v>
      </c>
      <c r="F419" s="556" t="s">
        <v>2614</v>
      </c>
      <c r="G419" s="547" t="s">
        <v>569</v>
      </c>
      <c r="H419" s="547" t="s">
        <v>3800</v>
      </c>
      <c r="I419" s="548">
        <v>44144.0</v>
      </c>
      <c r="J419" s="547">
        <v>11.0</v>
      </c>
      <c r="K419" s="549" t="s">
        <v>822</v>
      </c>
      <c r="L419" s="547" t="s">
        <v>3310</v>
      </c>
      <c r="M419" s="529">
        <f t="shared" si="3"/>
        <v>403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541">
        <v>24720.0</v>
      </c>
      <c r="B420" s="542" t="s">
        <v>5585</v>
      </c>
      <c r="C420" s="542">
        <v>2020.0</v>
      </c>
      <c r="D420" s="543">
        <v>43987.0</v>
      </c>
      <c r="E420" s="542" t="s">
        <v>5586</v>
      </c>
      <c r="F420" s="557" t="s">
        <v>5587</v>
      </c>
      <c r="G420" s="542" t="s">
        <v>569</v>
      </c>
      <c r="H420" s="542" t="s">
        <v>5588</v>
      </c>
      <c r="I420" s="543">
        <v>44144.0</v>
      </c>
      <c r="J420" s="542">
        <v>11.0</v>
      </c>
      <c r="K420" s="555" t="s">
        <v>242</v>
      </c>
      <c r="L420" s="542" t="s">
        <v>3310</v>
      </c>
      <c r="M420" s="528">
        <f t="shared" si="3"/>
        <v>157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546">
        <v>24820.0</v>
      </c>
      <c r="B421" s="547" t="s">
        <v>5589</v>
      </c>
      <c r="C421" s="547">
        <v>2020.0</v>
      </c>
      <c r="D421" s="548">
        <v>43962.0</v>
      </c>
      <c r="E421" s="547" t="s">
        <v>5590</v>
      </c>
      <c r="F421" s="556" t="s">
        <v>3647</v>
      </c>
      <c r="G421" s="547" t="s">
        <v>565</v>
      </c>
      <c r="H421" s="547" t="s">
        <v>5588</v>
      </c>
      <c r="I421" s="548">
        <v>44144.0</v>
      </c>
      <c r="J421" s="547">
        <v>11.0</v>
      </c>
      <c r="K421" s="549" t="s">
        <v>822</v>
      </c>
      <c r="L421" s="547" t="s">
        <v>3310</v>
      </c>
      <c r="M421" s="529">
        <f t="shared" si="3"/>
        <v>182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541">
        <v>24920.0</v>
      </c>
      <c r="B422" s="542" t="s">
        <v>5591</v>
      </c>
      <c r="C422" s="542">
        <v>2020.0</v>
      </c>
      <c r="D422" s="543">
        <v>43973.0</v>
      </c>
      <c r="E422" s="542" t="s">
        <v>5592</v>
      </c>
      <c r="F422" s="557" t="s">
        <v>5593</v>
      </c>
      <c r="G422" s="542" t="s">
        <v>565</v>
      </c>
      <c r="H422" s="542" t="s">
        <v>5490</v>
      </c>
      <c r="I422" s="543">
        <v>44144.0</v>
      </c>
      <c r="J422" s="542">
        <v>11.0</v>
      </c>
      <c r="K422" s="549" t="s">
        <v>822</v>
      </c>
      <c r="L422" s="542" t="s">
        <v>3310</v>
      </c>
      <c r="M422" s="528">
        <f t="shared" si="3"/>
        <v>171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546">
        <v>25020.0</v>
      </c>
      <c r="B423" s="547" t="s">
        <v>5594</v>
      </c>
      <c r="C423" s="547">
        <v>2012.0</v>
      </c>
      <c r="D423" s="548">
        <v>41246.0</v>
      </c>
      <c r="E423" s="547" t="s">
        <v>5595</v>
      </c>
      <c r="F423" s="547" t="s">
        <v>134</v>
      </c>
      <c r="G423" s="547" t="s">
        <v>552</v>
      </c>
      <c r="H423" s="547" t="s">
        <v>1091</v>
      </c>
      <c r="I423" s="548">
        <v>44144.0</v>
      </c>
      <c r="J423" s="547">
        <v>11.0</v>
      </c>
      <c r="K423" s="555" t="s">
        <v>242</v>
      </c>
      <c r="L423" s="547" t="s">
        <v>2855</v>
      </c>
      <c r="M423" s="529">
        <f t="shared" si="3"/>
        <v>2898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541">
        <v>25120.0</v>
      </c>
      <c r="B424" s="542" t="s">
        <v>5596</v>
      </c>
      <c r="C424" s="542">
        <v>2020.0</v>
      </c>
      <c r="D424" s="543">
        <v>43959.0</v>
      </c>
      <c r="E424" s="542" t="s">
        <v>5597</v>
      </c>
      <c r="F424" s="557" t="s">
        <v>3647</v>
      </c>
      <c r="G424" s="542" t="s">
        <v>565</v>
      </c>
      <c r="H424" s="542" t="s">
        <v>5588</v>
      </c>
      <c r="I424" s="543">
        <v>44146.0</v>
      </c>
      <c r="J424" s="542">
        <v>11.0</v>
      </c>
      <c r="K424" s="549" t="s">
        <v>822</v>
      </c>
      <c r="L424" s="542" t="s">
        <v>3310</v>
      </c>
      <c r="M424" s="528">
        <f t="shared" si="3"/>
        <v>187</v>
      </c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2.75" customHeight="1">
      <c r="A425" s="546">
        <v>25220.0</v>
      </c>
      <c r="B425" s="547" t="s">
        <v>5598</v>
      </c>
      <c r="C425" s="547">
        <v>2018.0</v>
      </c>
      <c r="D425" s="548">
        <v>43237.0</v>
      </c>
      <c r="E425" s="547" t="s">
        <v>5599</v>
      </c>
      <c r="F425" s="547" t="s">
        <v>5600</v>
      </c>
      <c r="G425" s="547" t="s">
        <v>552</v>
      </c>
      <c r="H425" s="547" t="s">
        <v>587</v>
      </c>
      <c r="I425" s="548">
        <v>44146.0</v>
      </c>
      <c r="J425" s="547">
        <v>11.0</v>
      </c>
      <c r="K425" s="555" t="s">
        <v>242</v>
      </c>
      <c r="L425" s="547" t="s">
        <v>2860</v>
      </c>
      <c r="M425" s="529">
        <f t="shared" si="3"/>
        <v>909</v>
      </c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2.75" customHeight="1">
      <c r="A426" s="541">
        <v>25320.0</v>
      </c>
      <c r="B426" s="542" t="s">
        <v>5601</v>
      </c>
      <c r="C426" s="542">
        <v>2017.0</v>
      </c>
      <c r="D426" s="543">
        <v>43052.0</v>
      </c>
      <c r="E426" s="542" t="s">
        <v>5602</v>
      </c>
      <c r="F426" s="542" t="s">
        <v>1762</v>
      </c>
      <c r="G426" s="542" t="s">
        <v>552</v>
      </c>
      <c r="H426" s="542" t="s">
        <v>1896</v>
      </c>
      <c r="I426" s="543">
        <v>44146.0</v>
      </c>
      <c r="J426" s="542">
        <v>11.0</v>
      </c>
      <c r="K426" s="549" t="s">
        <v>822</v>
      </c>
      <c r="L426" s="542" t="s">
        <v>2860</v>
      </c>
      <c r="M426" s="528">
        <f t="shared" si="3"/>
        <v>1094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customHeight="1">
      <c r="A427" s="546">
        <v>25420.0</v>
      </c>
      <c r="B427" s="547" t="s">
        <v>5603</v>
      </c>
      <c r="C427" s="547">
        <v>2017.0</v>
      </c>
      <c r="D427" s="548">
        <v>43049.0</v>
      </c>
      <c r="E427" s="547" t="s">
        <v>5604</v>
      </c>
      <c r="F427" s="547" t="s">
        <v>1762</v>
      </c>
      <c r="G427" s="547" t="s">
        <v>552</v>
      </c>
      <c r="H427" s="547" t="s">
        <v>1896</v>
      </c>
      <c r="I427" s="548">
        <v>44146.0</v>
      </c>
      <c r="J427" s="547">
        <v>11.0</v>
      </c>
      <c r="K427" s="549" t="s">
        <v>822</v>
      </c>
      <c r="L427" s="547" t="s">
        <v>2860</v>
      </c>
      <c r="M427" s="529">
        <f t="shared" si="3"/>
        <v>1097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customHeight="1">
      <c r="A428" s="541">
        <v>25520.0</v>
      </c>
      <c r="B428" s="542" t="s">
        <v>5605</v>
      </c>
      <c r="C428" s="542">
        <v>2015.0</v>
      </c>
      <c r="D428" s="543">
        <v>42221.0</v>
      </c>
      <c r="E428" s="542" t="s">
        <v>5606</v>
      </c>
      <c r="F428" s="542" t="s">
        <v>5607</v>
      </c>
      <c r="G428" s="542" t="s">
        <v>552</v>
      </c>
      <c r="H428" s="542" t="s">
        <v>712</v>
      </c>
      <c r="I428" s="543">
        <v>44146.0</v>
      </c>
      <c r="J428" s="542">
        <v>11.0</v>
      </c>
      <c r="K428" s="561" t="s">
        <v>236</v>
      </c>
      <c r="L428" s="542" t="s">
        <v>2860</v>
      </c>
      <c r="M428" s="528">
        <f t="shared" si="3"/>
        <v>1925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customHeight="1">
      <c r="A429" s="546">
        <v>25620.0</v>
      </c>
      <c r="B429" s="547" t="s">
        <v>5608</v>
      </c>
      <c r="C429" s="547">
        <v>2018.0</v>
      </c>
      <c r="D429" s="548">
        <v>43138.0</v>
      </c>
      <c r="E429" s="547" t="s">
        <v>5609</v>
      </c>
      <c r="F429" s="547" t="s">
        <v>5610</v>
      </c>
      <c r="G429" s="547" t="s">
        <v>552</v>
      </c>
      <c r="H429" s="547" t="s">
        <v>5611</v>
      </c>
      <c r="I429" s="548">
        <v>44146.0</v>
      </c>
      <c r="J429" s="547">
        <v>11.0</v>
      </c>
      <c r="K429" s="555" t="s">
        <v>240</v>
      </c>
      <c r="L429" s="547" t="s">
        <v>2860</v>
      </c>
      <c r="M429" s="529">
        <f t="shared" si="3"/>
        <v>1008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customHeight="1">
      <c r="A430" s="541">
        <v>25720.0</v>
      </c>
      <c r="B430" s="542" t="s">
        <v>5612</v>
      </c>
      <c r="C430" s="542">
        <v>2020.0</v>
      </c>
      <c r="D430" s="543">
        <v>43993.0</v>
      </c>
      <c r="E430" s="542" t="s">
        <v>5613</v>
      </c>
      <c r="F430" s="557" t="s">
        <v>3647</v>
      </c>
      <c r="G430" s="542" t="s">
        <v>569</v>
      </c>
      <c r="H430" s="542" t="s">
        <v>2093</v>
      </c>
      <c r="I430" s="543">
        <v>44146.0</v>
      </c>
      <c r="J430" s="542">
        <v>11.0</v>
      </c>
      <c r="K430" s="555" t="s">
        <v>242</v>
      </c>
      <c r="L430" s="542" t="s">
        <v>3310</v>
      </c>
      <c r="M430" s="528">
        <f t="shared" si="3"/>
        <v>153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customHeight="1">
      <c r="A431" s="546">
        <v>25820.0</v>
      </c>
      <c r="B431" s="547" t="s">
        <v>5614</v>
      </c>
      <c r="C431" s="547">
        <v>2013.0</v>
      </c>
      <c r="D431" s="548">
        <v>43131.0</v>
      </c>
      <c r="E431" s="547" t="s">
        <v>5615</v>
      </c>
      <c r="F431" s="547" t="s">
        <v>5616</v>
      </c>
      <c r="G431" s="547" t="s">
        <v>552</v>
      </c>
      <c r="H431" s="547" t="s">
        <v>720</v>
      </c>
      <c r="I431" s="548">
        <v>44146.0</v>
      </c>
      <c r="J431" s="547">
        <v>11.0</v>
      </c>
      <c r="K431" s="555" t="s">
        <v>240</v>
      </c>
      <c r="L431" s="547" t="s">
        <v>2855</v>
      </c>
      <c r="M431" s="529">
        <f t="shared" si="3"/>
        <v>1015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customHeight="1">
      <c r="A432" s="541">
        <v>25920.0</v>
      </c>
      <c r="B432" s="542" t="s">
        <v>5617</v>
      </c>
      <c r="C432" s="542">
        <v>2013.0</v>
      </c>
      <c r="D432" s="543">
        <v>41291.0</v>
      </c>
      <c r="E432" s="542" t="s">
        <v>5618</v>
      </c>
      <c r="F432" s="542" t="s">
        <v>1006</v>
      </c>
      <c r="G432" s="542" t="s">
        <v>552</v>
      </c>
      <c r="H432" s="542" t="s">
        <v>583</v>
      </c>
      <c r="I432" s="543">
        <v>44148.0</v>
      </c>
      <c r="J432" s="542">
        <v>11.0</v>
      </c>
      <c r="K432" s="555" t="s">
        <v>242</v>
      </c>
      <c r="L432" s="542" t="s">
        <v>2860</v>
      </c>
      <c r="M432" s="528">
        <f t="shared" si="3"/>
        <v>2857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customHeight="1">
      <c r="A433" s="546">
        <v>26020.0</v>
      </c>
      <c r="B433" s="547" t="s">
        <v>5619</v>
      </c>
      <c r="C433" s="547">
        <v>2015.0</v>
      </c>
      <c r="D433" s="548">
        <v>42339.0</v>
      </c>
      <c r="E433" s="547" t="s">
        <v>5620</v>
      </c>
      <c r="F433" s="547" t="s">
        <v>171</v>
      </c>
      <c r="G433" s="547" t="s">
        <v>552</v>
      </c>
      <c r="H433" s="547" t="s">
        <v>596</v>
      </c>
      <c r="I433" s="548">
        <v>44148.0</v>
      </c>
      <c r="J433" s="547">
        <v>11.0</v>
      </c>
      <c r="K433" s="555" t="s">
        <v>240</v>
      </c>
      <c r="L433" s="547" t="s">
        <v>2860</v>
      </c>
      <c r="M433" s="529">
        <f t="shared" si="3"/>
        <v>1809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customHeight="1">
      <c r="A434" s="541">
        <v>26120.0</v>
      </c>
      <c r="B434" s="542" t="s">
        <v>5621</v>
      </c>
      <c r="C434" s="542">
        <v>2018.0</v>
      </c>
      <c r="D434" s="543">
        <v>43236.0</v>
      </c>
      <c r="E434" s="542" t="s">
        <v>5622</v>
      </c>
      <c r="F434" s="542" t="s">
        <v>5373</v>
      </c>
      <c r="G434" s="542" t="s">
        <v>552</v>
      </c>
      <c r="H434" s="542" t="s">
        <v>4922</v>
      </c>
      <c r="I434" s="543">
        <v>44148.0</v>
      </c>
      <c r="J434" s="542">
        <v>11.0</v>
      </c>
      <c r="K434" s="555" t="s">
        <v>242</v>
      </c>
      <c r="L434" s="542" t="s">
        <v>2855</v>
      </c>
      <c r="M434" s="528">
        <f t="shared" si="3"/>
        <v>912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customHeight="1">
      <c r="A435" s="546">
        <v>26220.0</v>
      </c>
      <c r="B435" s="547" t="s">
        <v>5623</v>
      </c>
      <c r="C435" s="547">
        <v>2018.0</v>
      </c>
      <c r="D435" s="548">
        <v>43431.0</v>
      </c>
      <c r="E435" s="547" t="s">
        <v>5624</v>
      </c>
      <c r="F435" s="547" t="s">
        <v>102</v>
      </c>
      <c r="G435" s="547" t="s">
        <v>552</v>
      </c>
      <c r="H435" s="547" t="s">
        <v>66</v>
      </c>
      <c r="I435" s="548">
        <v>44151.0</v>
      </c>
      <c r="J435" s="547">
        <v>11.0</v>
      </c>
      <c r="K435" s="555" t="s">
        <v>240</v>
      </c>
      <c r="L435" s="547" t="s">
        <v>2855</v>
      </c>
      <c r="M435" s="529">
        <f t="shared" si="3"/>
        <v>720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customHeight="1">
      <c r="A436" s="541">
        <v>26320.0</v>
      </c>
      <c r="B436" s="542" t="s">
        <v>5625</v>
      </c>
      <c r="C436" s="542">
        <v>2017.0</v>
      </c>
      <c r="D436" s="543">
        <v>42895.0</v>
      </c>
      <c r="E436" s="542" t="s">
        <v>5626</v>
      </c>
      <c r="F436" s="542" t="s">
        <v>1108</v>
      </c>
      <c r="G436" s="542" t="s">
        <v>552</v>
      </c>
      <c r="H436" s="542" t="s">
        <v>1588</v>
      </c>
      <c r="I436" s="543">
        <v>44151.0</v>
      </c>
      <c r="J436" s="542">
        <v>11.0</v>
      </c>
      <c r="K436" s="555" t="s">
        <v>242</v>
      </c>
      <c r="L436" s="542" t="s">
        <v>2860</v>
      </c>
      <c r="M436" s="528">
        <f t="shared" si="3"/>
        <v>1256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customHeight="1">
      <c r="A437" s="546">
        <v>26420.0</v>
      </c>
      <c r="B437" s="547" t="s">
        <v>5627</v>
      </c>
      <c r="C437" s="547">
        <v>2017.0</v>
      </c>
      <c r="D437" s="548">
        <v>42895.0</v>
      </c>
      <c r="E437" s="547" t="s">
        <v>5628</v>
      </c>
      <c r="F437" s="547" t="s">
        <v>1108</v>
      </c>
      <c r="G437" s="547" t="s">
        <v>552</v>
      </c>
      <c r="H437" s="547" t="s">
        <v>1588</v>
      </c>
      <c r="I437" s="548">
        <v>44151.0</v>
      </c>
      <c r="J437" s="547">
        <v>11.0</v>
      </c>
      <c r="K437" s="555" t="s">
        <v>242</v>
      </c>
      <c r="L437" s="547" t="s">
        <v>2860</v>
      </c>
      <c r="M437" s="529">
        <f t="shared" si="3"/>
        <v>1256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customHeight="1">
      <c r="A438" s="541">
        <v>26520.0</v>
      </c>
      <c r="B438" s="542" t="s">
        <v>5629</v>
      </c>
      <c r="C438" s="542">
        <v>2017.0</v>
      </c>
      <c r="D438" s="543">
        <v>42895.0</v>
      </c>
      <c r="E438" s="542" t="s">
        <v>5630</v>
      </c>
      <c r="F438" s="542" t="s">
        <v>1108</v>
      </c>
      <c r="G438" s="542" t="s">
        <v>552</v>
      </c>
      <c r="H438" s="542" t="s">
        <v>1588</v>
      </c>
      <c r="I438" s="543">
        <v>44151.0</v>
      </c>
      <c r="J438" s="542">
        <v>11.0</v>
      </c>
      <c r="K438" s="555" t="s">
        <v>242</v>
      </c>
      <c r="L438" s="542" t="s">
        <v>2860</v>
      </c>
      <c r="M438" s="528">
        <f t="shared" si="3"/>
        <v>1256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customHeight="1">
      <c r="A439" s="546">
        <v>26620.0</v>
      </c>
      <c r="B439" s="547" t="s">
        <v>5631</v>
      </c>
      <c r="C439" s="547">
        <v>2012.0</v>
      </c>
      <c r="D439" s="548">
        <v>43272.0</v>
      </c>
      <c r="E439" s="547" t="s">
        <v>5632</v>
      </c>
      <c r="F439" s="547" t="s">
        <v>1823</v>
      </c>
      <c r="G439" s="547" t="s">
        <v>650</v>
      </c>
      <c r="H439" s="547" t="s">
        <v>573</v>
      </c>
      <c r="I439" s="548">
        <v>44151.0</v>
      </c>
      <c r="J439" s="547">
        <v>11.0</v>
      </c>
      <c r="K439" s="562" t="s">
        <v>232</v>
      </c>
      <c r="L439" s="547" t="s">
        <v>2860</v>
      </c>
      <c r="M439" s="529">
        <f t="shared" si="3"/>
        <v>879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customHeight="1">
      <c r="A440" s="541">
        <v>26720.0</v>
      </c>
      <c r="B440" s="542" t="s">
        <v>5633</v>
      </c>
      <c r="C440" s="542">
        <v>2019.0</v>
      </c>
      <c r="D440" s="543">
        <v>43795.0</v>
      </c>
      <c r="E440" s="542" t="s">
        <v>5634</v>
      </c>
      <c r="F440" s="557" t="s">
        <v>5635</v>
      </c>
      <c r="G440" s="542" t="s">
        <v>565</v>
      </c>
      <c r="H440" s="542" t="s">
        <v>3717</v>
      </c>
      <c r="I440" s="543">
        <v>44172.0</v>
      </c>
      <c r="J440" s="542">
        <v>12.0</v>
      </c>
      <c r="K440" s="555" t="s">
        <v>242</v>
      </c>
      <c r="L440" s="542" t="s">
        <v>3310</v>
      </c>
      <c r="M440" s="528">
        <f t="shared" si="3"/>
        <v>377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customHeight="1">
      <c r="A441" s="546">
        <v>26820.0</v>
      </c>
      <c r="B441" s="547" t="s">
        <v>5636</v>
      </c>
      <c r="C441" s="547">
        <v>2013.0</v>
      </c>
      <c r="D441" s="548">
        <v>41400.0</v>
      </c>
      <c r="E441" s="547" t="s">
        <v>5637</v>
      </c>
      <c r="F441" s="547" t="s">
        <v>2046</v>
      </c>
      <c r="G441" s="547" t="s">
        <v>552</v>
      </c>
      <c r="H441" s="547" t="s">
        <v>881</v>
      </c>
      <c r="I441" s="548">
        <v>44172.0</v>
      </c>
      <c r="J441" s="547">
        <v>12.0</v>
      </c>
      <c r="K441" s="555" t="s">
        <v>240</v>
      </c>
      <c r="L441" s="547" t="s">
        <v>2860</v>
      </c>
      <c r="M441" s="529">
        <f t="shared" si="3"/>
        <v>2772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customHeight="1">
      <c r="A442" s="541">
        <v>26920.0</v>
      </c>
      <c r="B442" s="542" t="s">
        <v>5638</v>
      </c>
      <c r="C442" s="542">
        <v>2012.0</v>
      </c>
      <c r="D442" s="543">
        <v>41269.0</v>
      </c>
      <c r="E442" s="542" t="s">
        <v>5639</v>
      </c>
      <c r="F442" s="542" t="s">
        <v>5640</v>
      </c>
      <c r="G442" s="542" t="s">
        <v>552</v>
      </c>
      <c r="H442" s="542" t="s">
        <v>158</v>
      </c>
      <c r="I442" s="543">
        <v>44172.0</v>
      </c>
      <c r="J442" s="542">
        <v>12.0</v>
      </c>
      <c r="K442" s="555" t="s">
        <v>242</v>
      </c>
      <c r="L442" s="542" t="s">
        <v>2855</v>
      </c>
      <c r="M442" s="528">
        <f t="shared" si="3"/>
        <v>2903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0" customHeight="1">
      <c r="A443" s="546">
        <v>27020.0</v>
      </c>
      <c r="B443" s="547" t="s">
        <v>5641</v>
      </c>
      <c r="C443" s="547">
        <v>2020.0</v>
      </c>
      <c r="D443" s="548">
        <v>44018.0</v>
      </c>
      <c r="E443" s="547" t="s">
        <v>5642</v>
      </c>
      <c r="F443" s="547" t="s">
        <v>2614</v>
      </c>
      <c r="G443" s="547" t="s">
        <v>5643</v>
      </c>
      <c r="H443" s="547" t="s">
        <v>3550</v>
      </c>
      <c r="I443" s="548">
        <v>44172.0</v>
      </c>
      <c r="J443" s="547">
        <v>12.0</v>
      </c>
      <c r="K443" s="555" t="s">
        <v>242</v>
      </c>
      <c r="L443" s="547" t="s">
        <v>3310</v>
      </c>
      <c r="M443" s="529">
        <f t="shared" si="3"/>
        <v>154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customHeight="1">
      <c r="A444" s="541">
        <v>27120.0</v>
      </c>
      <c r="B444" s="542" t="s">
        <v>5644</v>
      </c>
      <c r="C444" s="542">
        <v>2013.0</v>
      </c>
      <c r="D444" s="543">
        <v>41632.0</v>
      </c>
      <c r="E444" s="542" t="s">
        <v>5645</v>
      </c>
      <c r="F444" s="542" t="s">
        <v>1823</v>
      </c>
      <c r="G444" s="542" t="s">
        <v>650</v>
      </c>
      <c r="H444" s="542" t="s">
        <v>587</v>
      </c>
      <c r="I444" s="543">
        <v>44172.0</v>
      </c>
      <c r="J444" s="542">
        <v>12.0</v>
      </c>
      <c r="K444" s="555" t="s">
        <v>242</v>
      </c>
      <c r="L444" s="542" t="s">
        <v>2860</v>
      </c>
      <c r="M444" s="528">
        <f t="shared" si="3"/>
        <v>2540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2.75" customHeight="1">
      <c r="A445" s="546">
        <v>27220.0</v>
      </c>
      <c r="B445" s="547" t="s">
        <v>5646</v>
      </c>
      <c r="C445" s="547">
        <v>2020.0</v>
      </c>
      <c r="D445" s="548">
        <v>44013.0</v>
      </c>
      <c r="E445" s="547" t="s">
        <v>5647</v>
      </c>
      <c r="F445" s="547" t="s">
        <v>3761</v>
      </c>
      <c r="G445" s="547" t="s">
        <v>569</v>
      </c>
      <c r="H445" s="547" t="s">
        <v>5648</v>
      </c>
      <c r="I445" s="548">
        <v>44172.0</v>
      </c>
      <c r="J445" s="547">
        <v>12.0</v>
      </c>
      <c r="K445" s="549" t="s">
        <v>822</v>
      </c>
      <c r="L445" s="547" t="s">
        <v>3310</v>
      </c>
      <c r="M445" s="529">
        <f t="shared" si="3"/>
        <v>159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customHeight="1">
      <c r="A446" s="541">
        <v>27320.0</v>
      </c>
      <c r="B446" s="542" t="s">
        <v>5649</v>
      </c>
      <c r="C446" s="542">
        <v>2014.0</v>
      </c>
      <c r="D446" s="543">
        <v>41737.0</v>
      </c>
      <c r="E446" s="542" t="s">
        <v>5650</v>
      </c>
      <c r="F446" s="542" t="s">
        <v>3990</v>
      </c>
      <c r="G446" s="542" t="s">
        <v>552</v>
      </c>
      <c r="H446" s="542" t="s">
        <v>130</v>
      </c>
      <c r="I446" s="543">
        <v>44172.0</v>
      </c>
      <c r="J446" s="542">
        <v>12.0</v>
      </c>
      <c r="K446" s="555" t="s">
        <v>242</v>
      </c>
      <c r="L446" s="542" t="s">
        <v>2855</v>
      </c>
      <c r="M446" s="528">
        <f t="shared" si="3"/>
        <v>2435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0" customHeight="1">
      <c r="A447" s="546">
        <v>27420.0</v>
      </c>
      <c r="B447" s="547" t="s">
        <v>5651</v>
      </c>
      <c r="C447" s="547">
        <v>2011.0</v>
      </c>
      <c r="D447" s="548">
        <v>40560.0</v>
      </c>
      <c r="E447" s="547" t="s">
        <v>5652</v>
      </c>
      <c r="F447" s="547" t="s">
        <v>5653</v>
      </c>
      <c r="G447" s="547" t="s">
        <v>552</v>
      </c>
      <c r="H447" s="547" t="s">
        <v>5654</v>
      </c>
      <c r="I447" s="548">
        <v>44172.0</v>
      </c>
      <c r="J447" s="547">
        <v>12.0</v>
      </c>
      <c r="K447" s="555" t="s">
        <v>240</v>
      </c>
      <c r="L447" s="547" t="s">
        <v>2855</v>
      </c>
      <c r="M447" s="529">
        <f t="shared" si="3"/>
        <v>3612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customHeight="1">
      <c r="A448" s="541">
        <v>27520.0</v>
      </c>
      <c r="B448" s="542" t="s">
        <v>5655</v>
      </c>
      <c r="C448" s="542">
        <v>2019.0</v>
      </c>
      <c r="D448" s="543">
        <v>43670.0</v>
      </c>
      <c r="E448" s="542" t="s">
        <v>5656</v>
      </c>
      <c r="F448" s="542" t="s">
        <v>5657</v>
      </c>
      <c r="G448" s="542" t="s">
        <v>569</v>
      </c>
      <c r="H448" s="542" t="s">
        <v>2353</v>
      </c>
      <c r="I448" s="543">
        <v>44172.0</v>
      </c>
      <c r="J448" s="542">
        <v>12.0</v>
      </c>
      <c r="K448" s="549" t="s">
        <v>822</v>
      </c>
      <c r="L448" s="542" t="s">
        <v>3310</v>
      </c>
      <c r="M448" s="528">
        <f t="shared" si="3"/>
        <v>502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2.75" customHeight="1">
      <c r="A449" s="546">
        <v>27620.0</v>
      </c>
      <c r="B449" s="547" t="s">
        <v>5658</v>
      </c>
      <c r="C449" s="547">
        <v>2015.0</v>
      </c>
      <c r="D449" s="548">
        <v>42118.0</v>
      </c>
      <c r="E449" s="547" t="s">
        <v>5659</v>
      </c>
      <c r="F449" s="547" t="s">
        <v>1150</v>
      </c>
      <c r="G449" s="547" t="s">
        <v>552</v>
      </c>
      <c r="H449" s="547" t="s">
        <v>929</v>
      </c>
      <c r="I449" s="548">
        <v>44172.0</v>
      </c>
      <c r="J449" s="547">
        <v>12.0</v>
      </c>
      <c r="K449" s="561" t="s">
        <v>236</v>
      </c>
      <c r="L449" s="547" t="s">
        <v>2860</v>
      </c>
      <c r="M449" s="529">
        <f t="shared" si="3"/>
        <v>2054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customHeight="1">
      <c r="A450" s="541">
        <v>27720.0</v>
      </c>
      <c r="B450" s="542" t="s">
        <v>5660</v>
      </c>
      <c r="C450" s="542">
        <v>2016.0</v>
      </c>
      <c r="D450" s="543">
        <v>42580.0</v>
      </c>
      <c r="E450" s="542" t="s">
        <v>5661</v>
      </c>
      <c r="F450" s="542" t="s">
        <v>5662</v>
      </c>
      <c r="G450" s="542" t="s">
        <v>552</v>
      </c>
      <c r="H450" s="542" t="s">
        <v>5663</v>
      </c>
      <c r="I450" s="543">
        <v>44172.0</v>
      </c>
      <c r="J450" s="542">
        <v>12.0</v>
      </c>
      <c r="K450" s="555" t="s">
        <v>242</v>
      </c>
      <c r="L450" s="542" t="s">
        <v>2855</v>
      </c>
      <c r="M450" s="528">
        <f t="shared" si="3"/>
        <v>1592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customHeight="1">
      <c r="A451" s="546">
        <v>27820.0</v>
      </c>
      <c r="B451" s="547" t="s">
        <v>5664</v>
      </c>
      <c r="C451" s="547">
        <v>2014.0</v>
      </c>
      <c r="D451" s="548">
        <v>41848.0</v>
      </c>
      <c r="E451" s="547" t="s">
        <v>5665</v>
      </c>
      <c r="F451" s="547" t="s">
        <v>5666</v>
      </c>
      <c r="G451" s="547" t="s">
        <v>552</v>
      </c>
      <c r="H451" s="547" t="s">
        <v>1091</v>
      </c>
      <c r="I451" s="548">
        <v>44172.0</v>
      </c>
      <c r="J451" s="547">
        <v>12.0</v>
      </c>
      <c r="K451" s="555" t="s">
        <v>242</v>
      </c>
      <c r="L451" s="547" t="s">
        <v>2860</v>
      </c>
      <c r="M451" s="529">
        <f t="shared" si="3"/>
        <v>2324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customHeight="1">
      <c r="A452" s="541">
        <v>27920.0</v>
      </c>
      <c r="B452" s="542" t="s">
        <v>5667</v>
      </c>
      <c r="C452" s="542">
        <v>2012.0</v>
      </c>
      <c r="D452" s="543">
        <v>41185.0</v>
      </c>
      <c r="E452" s="542" t="s">
        <v>5668</v>
      </c>
      <c r="F452" s="542" t="s">
        <v>55</v>
      </c>
      <c r="G452" s="542" t="s">
        <v>552</v>
      </c>
      <c r="H452" s="542" t="s">
        <v>3969</v>
      </c>
      <c r="I452" s="543">
        <v>44172.0</v>
      </c>
      <c r="J452" s="542">
        <v>12.0</v>
      </c>
      <c r="K452" s="555" t="s">
        <v>242</v>
      </c>
      <c r="L452" s="542" t="s">
        <v>2860</v>
      </c>
      <c r="M452" s="528">
        <f t="shared" si="3"/>
        <v>2987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customHeight="1">
      <c r="A453" s="546">
        <v>28020.0</v>
      </c>
      <c r="B453" s="547" t="s">
        <v>5669</v>
      </c>
      <c r="C453" s="547">
        <v>2012.0</v>
      </c>
      <c r="D453" s="548">
        <v>41128.0</v>
      </c>
      <c r="E453" s="547" t="s">
        <v>5670</v>
      </c>
      <c r="F453" s="547" t="s">
        <v>4561</v>
      </c>
      <c r="G453" s="547" t="s">
        <v>552</v>
      </c>
      <c r="H453" s="547" t="s">
        <v>130</v>
      </c>
      <c r="I453" s="548">
        <v>44172.0</v>
      </c>
      <c r="J453" s="547">
        <v>12.0</v>
      </c>
      <c r="K453" s="555" t="s">
        <v>242</v>
      </c>
      <c r="L453" s="547" t="s">
        <v>2855</v>
      </c>
      <c r="M453" s="529">
        <f t="shared" si="3"/>
        <v>3044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customHeight="1">
      <c r="A454" s="541">
        <v>28120.0</v>
      </c>
      <c r="B454" s="542" t="s">
        <v>5671</v>
      </c>
      <c r="C454" s="542">
        <v>2013.0</v>
      </c>
      <c r="D454" s="543">
        <v>41631.0</v>
      </c>
      <c r="E454" s="542" t="s">
        <v>5672</v>
      </c>
      <c r="F454" s="542" t="s">
        <v>5673</v>
      </c>
      <c r="G454" s="542" t="s">
        <v>552</v>
      </c>
      <c r="H454" s="542" t="s">
        <v>130</v>
      </c>
      <c r="I454" s="543">
        <v>44172.0</v>
      </c>
      <c r="J454" s="542">
        <v>12.0</v>
      </c>
      <c r="K454" s="555" t="s">
        <v>242</v>
      </c>
      <c r="L454" s="542" t="s">
        <v>2855</v>
      </c>
      <c r="M454" s="528">
        <f t="shared" si="3"/>
        <v>2541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customHeight="1">
      <c r="A455" s="546">
        <v>28220.0</v>
      </c>
      <c r="B455" s="547" t="s">
        <v>5674</v>
      </c>
      <c r="C455" s="547">
        <v>2011.0</v>
      </c>
      <c r="D455" s="548">
        <v>40743.0</v>
      </c>
      <c r="E455" s="547" t="s">
        <v>5675</v>
      </c>
      <c r="F455" s="547" t="s">
        <v>5676</v>
      </c>
      <c r="G455" s="547" t="s">
        <v>552</v>
      </c>
      <c r="H455" s="547" t="s">
        <v>5677</v>
      </c>
      <c r="I455" s="548">
        <v>44172.0</v>
      </c>
      <c r="J455" s="547">
        <v>12.0</v>
      </c>
      <c r="K455" s="555" t="s">
        <v>240</v>
      </c>
      <c r="L455" s="547" t="s">
        <v>2860</v>
      </c>
      <c r="M455" s="529">
        <f t="shared" si="3"/>
        <v>3429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customHeight="1">
      <c r="A456" s="541">
        <v>28320.0</v>
      </c>
      <c r="B456" s="542" t="s">
        <v>5678</v>
      </c>
      <c r="C456" s="542">
        <v>2017.0</v>
      </c>
      <c r="D456" s="543">
        <v>43096.0</v>
      </c>
      <c r="E456" s="542" t="s">
        <v>5679</v>
      </c>
      <c r="F456" s="542" t="s">
        <v>5680</v>
      </c>
      <c r="G456" s="542" t="s">
        <v>552</v>
      </c>
      <c r="H456" s="542" t="s">
        <v>56</v>
      </c>
      <c r="I456" s="543">
        <v>44172.0</v>
      </c>
      <c r="J456" s="542">
        <v>12.0</v>
      </c>
      <c r="K456" s="555" t="s">
        <v>242</v>
      </c>
      <c r="L456" s="542" t="s">
        <v>2860</v>
      </c>
      <c r="M456" s="528">
        <f t="shared" si="3"/>
        <v>1076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customHeight="1">
      <c r="A457" s="546">
        <v>28420.0</v>
      </c>
      <c r="B457" s="547" t="s">
        <v>5681</v>
      </c>
      <c r="C457" s="547">
        <v>2020.0</v>
      </c>
      <c r="D457" s="548">
        <v>44011.0</v>
      </c>
      <c r="E457" s="547" t="s">
        <v>5682</v>
      </c>
      <c r="F457" s="556" t="s">
        <v>2343</v>
      </c>
      <c r="G457" s="547" t="s">
        <v>569</v>
      </c>
      <c r="H457" s="547" t="s">
        <v>2089</v>
      </c>
      <c r="I457" s="548">
        <v>44172.0</v>
      </c>
      <c r="J457" s="547">
        <v>12.0</v>
      </c>
      <c r="K457" s="555" t="s">
        <v>242</v>
      </c>
      <c r="L457" s="547" t="s">
        <v>3310</v>
      </c>
      <c r="M457" s="529">
        <f t="shared" si="3"/>
        <v>161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customHeight="1">
      <c r="A458" s="541">
        <v>28520.0</v>
      </c>
      <c r="B458" s="542" t="s">
        <v>5683</v>
      </c>
      <c r="C458" s="542">
        <v>2018.0</v>
      </c>
      <c r="D458" s="543">
        <v>43461.0</v>
      </c>
      <c r="E458" s="542" t="s">
        <v>5684</v>
      </c>
      <c r="F458" s="542" t="s">
        <v>963</v>
      </c>
      <c r="G458" s="542" t="s">
        <v>552</v>
      </c>
      <c r="H458" s="542" t="s">
        <v>5685</v>
      </c>
      <c r="I458" s="543">
        <v>44172.0</v>
      </c>
      <c r="J458" s="542">
        <v>12.0</v>
      </c>
      <c r="K458" s="555" t="s">
        <v>242</v>
      </c>
      <c r="L458" s="542" t="s">
        <v>2855</v>
      </c>
      <c r="M458" s="528">
        <f t="shared" si="3"/>
        <v>711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customHeight="1">
      <c r="A459" s="546">
        <v>28620.0</v>
      </c>
      <c r="B459" s="547" t="s">
        <v>5686</v>
      </c>
      <c r="C459" s="547">
        <v>2019.0</v>
      </c>
      <c r="D459" s="548">
        <v>43543.0</v>
      </c>
      <c r="E459" s="547" t="s">
        <v>5687</v>
      </c>
      <c r="F459" s="547" t="s">
        <v>5688</v>
      </c>
      <c r="G459" s="547" t="s">
        <v>552</v>
      </c>
      <c r="H459" s="547" t="s">
        <v>130</v>
      </c>
      <c r="I459" s="548">
        <v>44172.0</v>
      </c>
      <c r="J459" s="547">
        <v>12.0</v>
      </c>
      <c r="K459" s="555" t="s">
        <v>240</v>
      </c>
      <c r="L459" s="547" t="s">
        <v>2860</v>
      </c>
      <c r="M459" s="529">
        <f t="shared" si="3"/>
        <v>629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customHeight="1">
      <c r="A460" s="541">
        <v>28720.0</v>
      </c>
      <c r="B460" s="542" t="s">
        <v>5689</v>
      </c>
      <c r="C460" s="542">
        <v>2016.0</v>
      </c>
      <c r="D460" s="543">
        <v>42503.0</v>
      </c>
      <c r="E460" s="542" t="s">
        <v>5690</v>
      </c>
      <c r="F460" s="542" t="s">
        <v>2268</v>
      </c>
      <c r="G460" s="542" t="s">
        <v>552</v>
      </c>
      <c r="H460" s="542" t="s">
        <v>2164</v>
      </c>
      <c r="I460" s="543">
        <v>44172.0</v>
      </c>
      <c r="J460" s="542">
        <v>12.0</v>
      </c>
      <c r="K460" s="555" t="s">
        <v>242</v>
      </c>
      <c r="L460" s="542" t="s">
        <v>2855</v>
      </c>
      <c r="M460" s="528">
        <f t="shared" si="3"/>
        <v>1669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customHeight="1">
      <c r="A461" s="546">
        <v>28820.0</v>
      </c>
      <c r="B461" s="547" t="s">
        <v>5691</v>
      </c>
      <c r="C461" s="547">
        <v>2018.0</v>
      </c>
      <c r="D461" s="548">
        <v>43331.0</v>
      </c>
      <c r="E461" s="547" t="s">
        <v>5692</v>
      </c>
      <c r="F461" s="547" t="s">
        <v>5693</v>
      </c>
      <c r="G461" s="547" t="s">
        <v>650</v>
      </c>
      <c r="H461" s="547" t="s">
        <v>158</v>
      </c>
      <c r="I461" s="548">
        <v>44172.0</v>
      </c>
      <c r="J461" s="547">
        <v>12.0</v>
      </c>
      <c r="K461" s="555" t="s">
        <v>242</v>
      </c>
      <c r="L461" s="547" t="s">
        <v>2860</v>
      </c>
      <c r="M461" s="529">
        <f t="shared" si="3"/>
        <v>841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customHeight="1">
      <c r="A462" s="541">
        <v>28920.0</v>
      </c>
      <c r="B462" s="542" t="s">
        <v>5694</v>
      </c>
      <c r="C462" s="542">
        <v>2016.0</v>
      </c>
      <c r="D462" s="543">
        <v>42733.0</v>
      </c>
      <c r="E462" s="542" t="s">
        <v>5695</v>
      </c>
      <c r="F462" s="542" t="s">
        <v>559</v>
      </c>
      <c r="G462" s="542" t="s">
        <v>552</v>
      </c>
      <c r="H462" s="542" t="s">
        <v>1002</v>
      </c>
      <c r="I462" s="543">
        <v>44173.0</v>
      </c>
      <c r="J462" s="542">
        <v>12.0</v>
      </c>
      <c r="K462" s="555" t="s">
        <v>240</v>
      </c>
      <c r="L462" s="542" t="s">
        <v>2860</v>
      </c>
      <c r="M462" s="528">
        <f t="shared" si="3"/>
        <v>1440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customHeight="1">
      <c r="A463" s="546">
        <v>29020.0</v>
      </c>
      <c r="B463" s="547" t="s">
        <v>5696</v>
      </c>
      <c r="C463" s="547">
        <v>2019.0</v>
      </c>
      <c r="D463" s="548">
        <v>43790.0</v>
      </c>
      <c r="E463" s="547" t="s">
        <v>5697</v>
      </c>
      <c r="F463" s="556" t="s">
        <v>2614</v>
      </c>
      <c r="G463" s="547" t="s">
        <v>565</v>
      </c>
      <c r="H463" s="547" t="s">
        <v>2331</v>
      </c>
      <c r="I463" s="548">
        <v>44173.0</v>
      </c>
      <c r="J463" s="547">
        <v>12.0</v>
      </c>
      <c r="K463" s="555" t="s">
        <v>242</v>
      </c>
      <c r="L463" s="547" t="s">
        <v>3310</v>
      </c>
      <c r="M463" s="529">
        <f t="shared" si="3"/>
        <v>383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customHeight="1">
      <c r="A464" s="541">
        <v>29120.0</v>
      </c>
      <c r="B464" s="542" t="s">
        <v>5698</v>
      </c>
      <c r="C464" s="542">
        <v>2016.0</v>
      </c>
      <c r="D464" s="543">
        <v>42418.0</v>
      </c>
      <c r="E464" s="542" t="s">
        <v>5699</v>
      </c>
      <c r="F464" s="542" t="s">
        <v>2268</v>
      </c>
      <c r="G464" s="542" t="s">
        <v>552</v>
      </c>
      <c r="H464" s="542" t="s">
        <v>50</v>
      </c>
      <c r="I464" s="543">
        <v>44174.0</v>
      </c>
      <c r="J464" s="542">
        <v>12.0</v>
      </c>
      <c r="K464" s="555" t="s">
        <v>242</v>
      </c>
      <c r="L464" s="542" t="s">
        <v>2855</v>
      </c>
      <c r="M464" s="528">
        <f t="shared" si="3"/>
        <v>1756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customHeight="1">
      <c r="A465" s="546">
        <v>29220.0</v>
      </c>
      <c r="B465" s="547" t="s">
        <v>5700</v>
      </c>
      <c r="C465" s="547">
        <v>2018.0</v>
      </c>
      <c r="D465" s="548">
        <v>43241.0</v>
      </c>
      <c r="E465" s="547" t="s">
        <v>5701</v>
      </c>
      <c r="F465" s="547" t="s">
        <v>2043</v>
      </c>
      <c r="G465" s="547" t="s">
        <v>552</v>
      </c>
      <c r="H465" s="547" t="s">
        <v>583</v>
      </c>
      <c r="I465" s="548">
        <v>44175.0</v>
      </c>
      <c r="J465" s="547">
        <v>12.0</v>
      </c>
      <c r="K465" s="555" t="s">
        <v>242</v>
      </c>
      <c r="L465" s="547" t="s">
        <v>2855</v>
      </c>
      <c r="M465" s="529">
        <f t="shared" si="3"/>
        <v>934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customHeight="1">
      <c r="A466" s="541">
        <v>29320.0</v>
      </c>
      <c r="B466" s="542" t="s">
        <v>5702</v>
      </c>
      <c r="C466" s="542">
        <v>2014.0</v>
      </c>
      <c r="D466" s="543">
        <v>41729.0</v>
      </c>
      <c r="E466" s="542" t="s">
        <v>5703</v>
      </c>
      <c r="F466" s="542" t="s">
        <v>4921</v>
      </c>
      <c r="G466" s="542" t="s">
        <v>547</v>
      </c>
      <c r="H466" s="542" t="s">
        <v>4922</v>
      </c>
      <c r="I466" s="543">
        <v>44176.0</v>
      </c>
      <c r="J466" s="542">
        <v>12.0</v>
      </c>
      <c r="K466" s="562" t="s">
        <v>232</v>
      </c>
      <c r="L466" s="542" t="s">
        <v>2860</v>
      </c>
      <c r="M466" s="528">
        <f t="shared" si="3"/>
        <v>2447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customHeight="1">
      <c r="A467" s="546">
        <v>29420.0</v>
      </c>
      <c r="B467" s="547" t="s">
        <v>5704</v>
      </c>
      <c r="C467" s="547">
        <v>2015.0</v>
      </c>
      <c r="D467" s="548">
        <v>42153.0</v>
      </c>
      <c r="E467" s="547" t="s">
        <v>5705</v>
      </c>
      <c r="F467" s="547" t="s">
        <v>4921</v>
      </c>
      <c r="G467" s="547" t="s">
        <v>547</v>
      </c>
      <c r="H467" s="547" t="s">
        <v>4922</v>
      </c>
      <c r="I467" s="548">
        <v>44176.0</v>
      </c>
      <c r="J467" s="547">
        <v>12.0</v>
      </c>
      <c r="K467" s="562" t="s">
        <v>232</v>
      </c>
      <c r="L467" s="547" t="s">
        <v>2860</v>
      </c>
      <c r="M467" s="529">
        <f t="shared" si="3"/>
        <v>2023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customHeight="1">
      <c r="A468" s="541">
        <v>29520.0</v>
      </c>
      <c r="B468" s="542" t="s">
        <v>5706</v>
      </c>
      <c r="C468" s="542">
        <v>2015.0</v>
      </c>
      <c r="D468" s="543">
        <v>42297.0</v>
      </c>
      <c r="E468" s="542" t="s">
        <v>5707</v>
      </c>
      <c r="F468" s="542" t="s">
        <v>5708</v>
      </c>
      <c r="G468" s="542" t="s">
        <v>547</v>
      </c>
      <c r="H468" s="542" t="s">
        <v>4922</v>
      </c>
      <c r="I468" s="543">
        <v>44176.0</v>
      </c>
      <c r="J468" s="542">
        <v>12.0</v>
      </c>
      <c r="K468" s="562" t="s">
        <v>232</v>
      </c>
      <c r="L468" s="542" t="s">
        <v>2860</v>
      </c>
      <c r="M468" s="528">
        <f t="shared" si="3"/>
        <v>1879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customHeight="1">
      <c r="A469" s="546">
        <v>29620.0</v>
      </c>
      <c r="B469" s="547" t="s">
        <v>5709</v>
      </c>
      <c r="C469" s="547">
        <v>2010.0</v>
      </c>
      <c r="D469" s="548">
        <v>40506.0</v>
      </c>
      <c r="E469" s="547" t="s">
        <v>5710</v>
      </c>
      <c r="F469" s="547" t="s">
        <v>4921</v>
      </c>
      <c r="G469" s="547" t="s">
        <v>547</v>
      </c>
      <c r="H469" s="547" t="s">
        <v>4922</v>
      </c>
      <c r="I469" s="548">
        <v>44176.0</v>
      </c>
      <c r="J469" s="547">
        <v>12.0</v>
      </c>
      <c r="K469" s="562" t="s">
        <v>232</v>
      </c>
      <c r="L469" s="547" t="s">
        <v>2860</v>
      </c>
      <c r="M469" s="529">
        <f t="shared" si="3"/>
        <v>3670</v>
      </c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</row>
    <row r="470" ht="12.75" customHeight="1">
      <c r="A470" s="541">
        <v>29720.0</v>
      </c>
      <c r="B470" s="542" t="s">
        <v>5711</v>
      </c>
      <c r="C470" s="542">
        <v>2020.0</v>
      </c>
      <c r="D470" s="543">
        <v>44090.0</v>
      </c>
      <c r="E470" s="542" t="s">
        <v>5712</v>
      </c>
      <c r="F470" s="557" t="s">
        <v>3820</v>
      </c>
      <c r="G470" s="542" t="s">
        <v>569</v>
      </c>
      <c r="H470" s="542" t="s">
        <v>2209</v>
      </c>
      <c r="I470" s="543">
        <v>44176.0</v>
      </c>
      <c r="J470" s="542">
        <v>12.0</v>
      </c>
      <c r="K470" s="555" t="s">
        <v>242</v>
      </c>
      <c r="L470" s="542" t="s">
        <v>3310</v>
      </c>
      <c r="M470" s="528">
        <f t="shared" si="3"/>
        <v>86</v>
      </c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customHeight="1">
      <c r="A471" s="546">
        <v>29820.0</v>
      </c>
      <c r="B471" s="547" t="s">
        <v>5713</v>
      </c>
      <c r="C471" s="547">
        <v>2011.0</v>
      </c>
      <c r="D471" s="548">
        <v>44089.0</v>
      </c>
      <c r="E471" s="547" t="s">
        <v>5714</v>
      </c>
      <c r="F471" s="547" t="s">
        <v>5715</v>
      </c>
      <c r="G471" s="547" t="s">
        <v>650</v>
      </c>
      <c r="H471" s="547" t="s">
        <v>158</v>
      </c>
      <c r="I471" s="548">
        <v>44180.0</v>
      </c>
      <c r="J471" s="547">
        <v>12.0</v>
      </c>
      <c r="K471" s="555" t="s">
        <v>242</v>
      </c>
      <c r="L471" s="547" t="s">
        <v>2860</v>
      </c>
      <c r="M471" s="529">
        <f t="shared" si="3"/>
        <v>91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2.75" customHeight="1">
      <c r="A472" s="541">
        <v>29920.0</v>
      </c>
      <c r="B472" s="542" t="s">
        <v>5716</v>
      </c>
      <c r="C472" s="542">
        <v>2020.0</v>
      </c>
      <c r="D472" s="543">
        <v>43973.0</v>
      </c>
      <c r="E472" s="542" t="s">
        <v>5717</v>
      </c>
      <c r="F472" s="557" t="s">
        <v>5718</v>
      </c>
      <c r="G472" s="542" t="s">
        <v>565</v>
      </c>
      <c r="H472" s="542" t="s">
        <v>3800</v>
      </c>
      <c r="I472" s="543">
        <v>44180.0</v>
      </c>
      <c r="J472" s="542">
        <v>12.0</v>
      </c>
      <c r="K472" s="549" t="s">
        <v>822</v>
      </c>
      <c r="L472" s="542" t="s">
        <v>3310</v>
      </c>
      <c r="M472" s="528">
        <f t="shared" si="3"/>
        <v>207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customHeight="1">
      <c r="A473" s="546">
        <v>30020.0</v>
      </c>
      <c r="B473" s="547" t="s">
        <v>5719</v>
      </c>
      <c r="C473" s="547">
        <v>2020.0</v>
      </c>
      <c r="D473" s="548">
        <v>43984.0</v>
      </c>
      <c r="E473" s="547" t="s">
        <v>5720</v>
      </c>
      <c r="F473" s="556" t="s">
        <v>5721</v>
      </c>
      <c r="G473" s="547" t="s">
        <v>565</v>
      </c>
      <c r="H473" s="547" t="s">
        <v>3800</v>
      </c>
      <c r="I473" s="548">
        <v>44180.0</v>
      </c>
      <c r="J473" s="547">
        <v>12.0</v>
      </c>
      <c r="K473" s="549" t="s">
        <v>822</v>
      </c>
      <c r="L473" s="547" t="s">
        <v>3310</v>
      </c>
      <c r="M473" s="529">
        <f t="shared" si="3"/>
        <v>196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customHeight="1">
      <c r="A474" s="541">
        <v>30120.0</v>
      </c>
      <c r="B474" s="542" t="s">
        <v>5722</v>
      </c>
      <c r="C474" s="542">
        <v>2020.0</v>
      </c>
      <c r="D474" s="543">
        <v>43984.0</v>
      </c>
      <c r="E474" s="542" t="s">
        <v>5723</v>
      </c>
      <c r="F474" s="557" t="s">
        <v>5718</v>
      </c>
      <c r="G474" s="542" t="s">
        <v>565</v>
      </c>
      <c r="H474" s="542" t="s">
        <v>3800</v>
      </c>
      <c r="I474" s="543">
        <v>44180.0</v>
      </c>
      <c r="J474" s="542">
        <v>12.0</v>
      </c>
      <c r="K474" s="549" t="s">
        <v>822</v>
      </c>
      <c r="L474" s="542" t="s">
        <v>3310</v>
      </c>
      <c r="M474" s="528">
        <f t="shared" si="3"/>
        <v>196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customHeight="1">
      <c r="A475" s="546">
        <v>30220.0</v>
      </c>
      <c r="B475" s="547" t="s">
        <v>5724</v>
      </c>
      <c r="C475" s="547">
        <v>2020.0</v>
      </c>
      <c r="D475" s="548">
        <v>44055.0</v>
      </c>
      <c r="E475" s="547" t="s">
        <v>5725</v>
      </c>
      <c r="F475" s="556" t="s">
        <v>2614</v>
      </c>
      <c r="G475" s="547" t="s">
        <v>569</v>
      </c>
      <c r="H475" s="547" t="s">
        <v>2209</v>
      </c>
      <c r="I475" s="548">
        <v>44180.0</v>
      </c>
      <c r="J475" s="547">
        <v>12.0</v>
      </c>
      <c r="K475" s="555" t="s">
        <v>242</v>
      </c>
      <c r="L475" s="547" t="s">
        <v>3310</v>
      </c>
      <c r="M475" s="529">
        <f t="shared" si="3"/>
        <v>125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customHeight="1">
      <c r="A476" s="541">
        <v>30320.0</v>
      </c>
      <c r="B476" s="542" t="s">
        <v>5726</v>
      </c>
      <c r="C476" s="542">
        <v>2020.0</v>
      </c>
      <c r="D476" s="543">
        <v>44096.0</v>
      </c>
      <c r="E476" s="542" t="s">
        <v>5727</v>
      </c>
      <c r="F476" s="557" t="s">
        <v>2614</v>
      </c>
      <c r="G476" s="542" t="s">
        <v>565</v>
      </c>
      <c r="H476" s="542" t="s">
        <v>4408</v>
      </c>
      <c r="I476" s="543">
        <v>44180.0</v>
      </c>
      <c r="J476" s="542">
        <v>12.0</v>
      </c>
      <c r="K476" s="555" t="s">
        <v>242</v>
      </c>
      <c r="L476" s="542" t="s">
        <v>3310</v>
      </c>
      <c r="M476" s="528">
        <f t="shared" si="3"/>
        <v>84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customHeight="1">
      <c r="A477" s="546">
        <v>30420.0</v>
      </c>
      <c r="B477" s="547" t="s">
        <v>5728</v>
      </c>
      <c r="C477" s="547">
        <v>2015.0</v>
      </c>
      <c r="D477" s="548">
        <v>42103.0</v>
      </c>
      <c r="E477" s="547" t="s">
        <v>5729</v>
      </c>
      <c r="F477" s="547" t="s">
        <v>2311</v>
      </c>
      <c r="G477" s="547" t="s">
        <v>552</v>
      </c>
      <c r="H477" s="547" t="s">
        <v>775</v>
      </c>
      <c r="I477" s="548">
        <v>44180.0</v>
      </c>
      <c r="J477" s="547">
        <v>12.0</v>
      </c>
      <c r="K477" s="555" t="s">
        <v>242</v>
      </c>
      <c r="L477" s="547" t="s">
        <v>2860</v>
      </c>
      <c r="M477" s="529">
        <f t="shared" si="3"/>
        <v>2077</v>
      </c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customHeight="1">
      <c r="A478" s="541">
        <v>30520.0</v>
      </c>
      <c r="B478" s="542" t="s">
        <v>5730</v>
      </c>
      <c r="C478" s="542">
        <v>2018.0</v>
      </c>
      <c r="D478" s="543">
        <v>43252.0</v>
      </c>
      <c r="E478" s="542" t="s">
        <v>5731</v>
      </c>
      <c r="F478" s="542" t="s">
        <v>663</v>
      </c>
      <c r="G478" s="542" t="s">
        <v>552</v>
      </c>
      <c r="H478" s="542" t="s">
        <v>5732</v>
      </c>
      <c r="I478" s="543">
        <v>44182.0</v>
      </c>
      <c r="J478" s="542">
        <v>12.0</v>
      </c>
      <c r="K478" s="555" t="s">
        <v>242</v>
      </c>
      <c r="L478" s="542" t="s">
        <v>2855</v>
      </c>
      <c r="M478" s="528">
        <f t="shared" si="3"/>
        <v>930</v>
      </c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customHeight="1">
      <c r="A479" s="546">
        <v>30620.0</v>
      </c>
      <c r="B479" s="547" t="s">
        <v>5733</v>
      </c>
      <c r="C479" s="547">
        <v>2020.0</v>
      </c>
      <c r="D479" s="548">
        <v>43850.0</v>
      </c>
      <c r="E479" s="547" t="s">
        <v>5734</v>
      </c>
      <c r="F479" s="556" t="s">
        <v>4069</v>
      </c>
      <c r="G479" s="547" t="s">
        <v>569</v>
      </c>
      <c r="H479" s="547" t="s">
        <v>5735</v>
      </c>
      <c r="I479" s="548">
        <v>44183.0</v>
      </c>
      <c r="J479" s="547">
        <v>12.0</v>
      </c>
      <c r="K479" s="549" t="s">
        <v>822</v>
      </c>
      <c r="L479" s="547" t="s">
        <v>3310</v>
      </c>
      <c r="M479" s="529">
        <f t="shared" si="3"/>
        <v>333</v>
      </c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customHeight="1">
      <c r="A480" s="541">
        <v>30720.0</v>
      </c>
      <c r="B480" s="542" t="s">
        <v>5736</v>
      </c>
      <c r="C480" s="542">
        <v>2020.0</v>
      </c>
      <c r="D480" s="543">
        <v>44014.0</v>
      </c>
      <c r="E480" s="542" t="s">
        <v>5737</v>
      </c>
      <c r="F480" s="557" t="s">
        <v>5738</v>
      </c>
      <c r="G480" s="542" t="s">
        <v>569</v>
      </c>
      <c r="H480" s="542" t="s">
        <v>1850</v>
      </c>
      <c r="I480" s="543">
        <v>44183.0</v>
      </c>
      <c r="J480" s="542">
        <v>12.0</v>
      </c>
      <c r="K480" s="549" t="s">
        <v>822</v>
      </c>
      <c r="L480" s="542" t="s">
        <v>3310</v>
      </c>
      <c r="M480" s="528">
        <f t="shared" si="3"/>
        <v>169</v>
      </c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customHeight="1">
      <c r="A481" s="546">
        <v>30820.0</v>
      </c>
      <c r="B481" s="547" t="s">
        <v>5739</v>
      </c>
      <c r="C481" s="547">
        <v>2020.0</v>
      </c>
      <c r="D481" s="548">
        <v>44000.0</v>
      </c>
      <c r="E481" s="547" t="s">
        <v>5740</v>
      </c>
      <c r="F481" s="556" t="s">
        <v>3647</v>
      </c>
      <c r="G481" s="547" t="s">
        <v>569</v>
      </c>
      <c r="H481" s="547" t="s">
        <v>639</v>
      </c>
      <c r="I481" s="548">
        <v>44183.0</v>
      </c>
      <c r="J481" s="547">
        <v>12.0</v>
      </c>
      <c r="K481" s="555" t="s">
        <v>242</v>
      </c>
      <c r="L481" s="547" t="s">
        <v>3310</v>
      </c>
      <c r="M481" s="529">
        <f t="shared" si="3"/>
        <v>183</v>
      </c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customHeight="1">
      <c r="A482" s="541">
        <v>30920.0</v>
      </c>
      <c r="B482" s="542" t="s">
        <v>5741</v>
      </c>
      <c r="C482" s="542">
        <v>2020.0</v>
      </c>
      <c r="D482" s="543">
        <v>43882.0</v>
      </c>
      <c r="E482" s="542" t="s">
        <v>5742</v>
      </c>
      <c r="F482" s="557" t="s">
        <v>3701</v>
      </c>
      <c r="G482" s="542" t="s">
        <v>565</v>
      </c>
      <c r="H482" s="542" t="s">
        <v>3800</v>
      </c>
      <c r="I482" s="543">
        <v>44183.0</v>
      </c>
      <c r="J482" s="542">
        <v>12.0</v>
      </c>
      <c r="K482" s="555" t="s">
        <v>242</v>
      </c>
      <c r="L482" s="542" t="s">
        <v>3310</v>
      </c>
      <c r="M482" s="528">
        <f t="shared" si="3"/>
        <v>301</v>
      </c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customHeight="1">
      <c r="A483" s="546">
        <v>31020.0</v>
      </c>
      <c r="B483" s="547" t="s">
        <v>5743</v>
      </c>
      <c r="C483" s="547">
        <v>2011.0</v>
      </c>
      <c r="D483" s="548">
        <v>40840.0</v>
      </c>
      <c r="E483" s="547" t="s">
        <v>5744</v>
      </c>
      <c r="F483" s="547" t="s">
        <v>5745</v>
      </c>
      <c r="G483" s="547" t="s">
        <v>650</v>
      </c>
      <c r="H483" s="547" t="s">
        <v>158</v>
      </c>
      <c r="I483" s="548">
        <v>44183.0</v>
      </c>
      <c r="J483" s="547">
        <v>12.0</v>
      </c>
      <c r="K483" s="555" t="s">
        <v>240</v>
      </c>
      <c r="L483" s="547" t="s">
        <v>2860</v>
      </c>
      <c r="M483" s="529">
        <f t="shared" si="3"/>
        <v>3343</v>
      </c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customHeight="1">
      <c r="A484" s="541">
        <v>31120.0</v>
      </c>
      <c r="B484" s="542" t="s">
        <v>5746</v>
      </c>
      <c r="C484" s="542">
        <v>2012.0</v>
      </c>
      <c r="D484" s="543">
        <v>44123.0</v>
      </c>
      <c r="E484" s="542" t="s">
        <v>5747</v>
      </c>
      <c r="F484" s="542" t="s">
        <v>5748</v>
      </c>
      <c r="G484" s="542" t="s">
        <v>650</v>
      </c>
      <c r="H484" s="542" t="s">
        <v>158</v>
      </c>
      <c r="I484" s="543">
        <v>44183.0</v>
      </c>
      <c r="J484" s="542">
        <v>12.0</v>
      </c>
      <c r="K484" s="549" t="s">
        <v>822</v>
      </c>
      <c r="L484" s="542" t="s">
        <v>2860</v>
      </c>
      <c r="M484" s="528">
        <f t="shared" si="3"/>
        <v>60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customHeight="1">
      <c r="A485" s="546">
        <v>31220.0</v>
      </c>
      <c r="B485" s="547" t="s">
        <v>5749</v>
      </c>
      <c r="C485" s="547">
        <v>2013.0</v>
      </c>
      <c r="D485" s="548">
        <v>41361.0</v>
      </c>
      <c r="E485" s="547" t="s">
        <v>5750</v>
      </c>
      <c r="F485" s="547" t="s">
        <v>5751</v>
      </c>
      <c r="G485" s="547" t="s">
        <v>650</v>
      </c>
      <c r="H485" s="547" t="s">
        <v>158</v>
      </c>
      <c r="I485" s="548">
        <v>44183.0</v>
      </c>
      <c r="J485" s="547">
        <v>12.0</v>
      </c>
      <c r="K485" s="555" t="s">
        <v>242</v>
      </c>
      <c r="L485" s="547" t="s">
        <v>2860</v>
      </c>
      <c r="M485" s="529">
        <f t="shared" si="3"/>
        <v>2822</v>
      </c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customHeight="1">
      <c r="A486" s="541">
        <v>31320.0</v>
      </c>
      <c r="B486" s="542" t="s">
        <v>5752</v>
      </c>
      <c r="C486" s="542">
        <v>2013.0</v>
      </c>
      <c r="D486" s="543">
        <v>41564.0</v>
      </c>
      <c r="E486" s="542" t="s">
        <v>5753</v>
      </c>
      <c r="F486" s="542" t="s">
        <v>5754</v>
      </c>
      <c r="G486" s="542" t="s">
        <v>650</v>
      </c>
      <c r="H486" s="542" t="s">
        <v>158</v>
      </c>
      <c r="I486" s="543">
        <v>44186.0</v>
      </c>
      <c r="J486" s="542">
        <v>12.0</v>
      </c>
      <c r="K486" s="555" t="s">
        <v>242</v>
      </c>
      <c r="L486" s="542" t="s">
        <v>2860</v>
      </c>
      <c r="M486" s="528">
        <f t="shared" si="3"/>
        <v>2622</v>
      </c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customHeight="1">
      <c r="A487" s="546">
        <v>31420.0</v>
      </c>
      <c r="B487" s="547" t="s">
        <v>5755</v>
      </c>
      <c r="C487" s="547">
        <v>2013.0</v>
      </c>
      <c r="D487" s="548">
        <v>41361.0</v>
      </c>
      <c r="E487" s="547" t="s">
        <v>5756</v>
      </c>
      <c r="F487" s="547" t="s">
        <v>5247</v>
      </c>
      <c r="G487" s="547" t="s">
        <v>650</v>
      </c>
      <c r="H487" s="547" t="s">
        <v>158</v>
      </c>
      <c r="I487" s="548">
        <v>44186.0</v>
      </c>
      <c r="J487" s="547">
        <v>12.0</v>
      </c>
      <c r="K487" s="555" t="s">
        <v>240</v>
      </c>
      <c r="L487" s="547" t="s">
        <v>2855</v>
      </c>
      <c r="M487" s="529">
        <f t="shared" si="3"/>
        <v>2825</v>
      </c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customHeight="1">
      <c r="A488" s="541">
        <v>31520.0</v>
      </c>
      <c r="B488" s="542" t="s">
        <v>5757</v>
      </c>
      <c r="C488" s="542">
        <v>2010.0</v>
      </c>
      <c r="D488" s="543">
        <v>40228.0</v>
      </c>
      <c r="E488" s="542" t="s">
        <v>5758</v>
      </c>
      <c r="F488" s="542" t="s">
        <v>134</v>
      </c>
      <c r="G488" s="542" t="s">
        <v>650</v>
      </c>
      <c r="H488" s="542" t="s">
        <v>740</v>
      </c>
      <c r="I488" s="543">
        <v>44186.0</v>
      </c>
      <c r="J488" s="542">
        <v>12.0</v>
      </c>
      <c r="K488" s="555" t="s">
        <v>242</v>
      </c>
      <c r="L488" s="542" t="s">
        <v>2860</v>
      </c>
      <c r="M488" s="528">
        <f t="shared" si="3"/>
        <v>3958</v>
      </c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customHeight="1">
      <c r="A489" s="546">
        <v>31620.0</v>
      </c>
      <c r="B489" s="547" t="s">
        <v>5759</v>
      </c>
      <c r="C489" s="547">
        <v>2013.0</v>
      </c>
      <c r="D489" s="548">
        <v>41411.0</v>
      </c>
      <c r="E489" s="547" t="s">
        <v>5760</v>
      </c>
      <c r="F489" s="547" t="s">
        <v>2060</v>
      </c>
      <c r="G489" s="547" t="s">
        <v>552</v>
      </c>
      <c r="H489" s="547" t="s">
        <v>5171</v>
      </c>
      <c r="I489" s="548">
        <v>44187.0</v>
      </c>
      <c r="J489" s="547">
        <v>12.0</v>
      </c>
      <c r="K489" s="555" t="s">
        <v>240</v>
      </c>
      <c r="L489" s="547" t="s">
        <v>2860</v>
      </c>
      <c r="M489" s="529">
        <f t="shared" si="3"/>
        <v>2776</v>
      </c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customHeight="1">
      <c r="A490" s="541">
        <v>31720.0</v>
      </c>
      <c r="B490" s="542" t="s">
        <v>5761</v>
      </c>
      <c r="C490" s="542">
        <v>2014.0</v>
      </c>
      <c r="D490" s="543">
        <v>41985.0</v>
      </c>
      <c r="E490" s="542" t="s">
        <v>5762</v>
      </c>
      <c r="F490" s="542" t="s">
        <v>4266</v>
      </c>
      <c r="G490" s="542" t="s">
        <v>552</v>
      </c>
      <c r="H490" s="542" t="s">
        <v>130</v>
      </c>
      <c r="I490" s="543">
        <v>44187.0</v>
      </c>
      <c r="J490" s="542">
        <v>12.0</v>
      </c>
      <c r="K490" s="555" t="s">
        <v>242</v>
      </c>
      <c r="L490" s="542" t="s">
        <v>2860</v>
      </c>
      <c r="M490" s="528">
        <f t="shared" si="3"/>
        <v>2202</v>
      </c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customHeight="1">
      <c r="A491" s="546">
        <v>31820.0</v>
      </c>
      <c r="B491" s="547" t="s">
        <v>5763</v>
      </c>
      <c r="C491" s="547">
        <v>2013.0</v>
      </c>
      <c r="D491" s="548">
        <v>41605.0</v>
      </c>
      <c r="E491" s="547" t="s">
        <v>5764</v>
      </c>
      <c r="F491" s="547" t="s">
        <v>120</v>
      </c>
      <c r="G491" s="547" t="s">
        <v>650</v>
      </c>
      <c r="H491" s="547" t="s">
        <v>705</v>
      </c>
      <c r="I491" s="548">
        <v>44187.0</v>
      </c>
      <c r="J491" s="547">
        <v>12.0</v>
      </c>
      <c r="K491" s="555" t="s">
        <v>242</v>
      </c>
      <c r="L491" s="547" t="s">
        <v>2860</v>
      </c>
      <c r="M491" s="529">
        <f t="shared" si="3"/>
        <v>2582</v>
      </c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customHeight="1">
      <c r="A492" s="541">
        <v>31920.0</v>
      </c>
      <c r="B492" s="542" t="s">
        <v>5765</v>
      </c>
      <c r="C492" s="542">
        <v>2019.0</v>
      </c>
      <c r="D492" s="543">
        <v>43780.0</v>
      </c>
      <c r="E492" s="542" t="s">
        <v>5766</v>
      </c>
      <c r="F492" s="542" t="s">
        <v>5767</v>
      </c>
      <c r="G492" s="542" t="s">
        <v>565</v>
      </c>
      <c r="H492" s="542" t="s">
        <v>5768</v>
      </c>
      <c r="I492" s="543">
        <v>44187.0</v>
      </c>
      <c r="J492" s="542">
        <v>12.0</v>
      </c>
      <c r="K492" s="549" t="s">
        <v>822</v>
      </c>
      <c r="L492" s="542" t="s">
        <v>3310</v>
      </c>
      <c r="M492" s="528">
        <f t="shared" si="3"/>
        <v>407</v>
      </c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customHeight="1">
      <c r="A493" s="546">
        <v>32020.0</v>
      </c>
      <c r="B493" s="547" t="s">
        <v>5769</v>
      </c>
      <c r="C493" s="547">
        <v>2014.0</v>
      </c>
      <c r="D493" s="548">
        <v>41737.0</v>
      </c>
      <c r="E493" s="547" t="s">
        <v>5770</v>
      </c>
      <c r="F493" s="547" t="s">
        <v>2046</v>
      </c>
      <c r="G493" s="547" t="s">
        <v>552</v>
      </c>
      <c r="H493" s="547" t="s">
        <v>881</v>
      </c>
      <c r="I493" s="548">
        <v>44187.0</v>
      </c>
      <c r="J493" s="547">
        <v>12.0</v>
      </c>
      <c r="K493" s="555" t="s">
        <v>240</v>
      </c>
      <c r="L493" s="547" t="s">
        <v>2860</v>
      </c>
      <c r="M493" s="529">
        <f t="shared" si="3"/>
        <v>2450</v>
      </c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customHeight="1">
      <c r="A494" s="541">
        <v>32120.0</v>
      </c>
      <c r="B494" s="542" t="s">
        <v>5771</v>
      </c>
      <c r="C494" s="542">
        <v>2020.0</v>
      </c>
      <c r="D494" s="543">
        <v>44014.0</v>
      </c>
      <c r="E494" s="542" t="s">
        <v>5772</v>
      </c>
      <c r="F494" s="557" t="s">
        <v>4014</v>
      </c>
      <c r="G494" s="542" t="s">
        <v>569</v>
      </c>
      <c r="H494" s="542" t="s">
        <v>5773</v>
      </c>
      <c r="I494" s="543">
        <v>44187.0</v>
      </c>
      <c r="J494" s="542">
        <v>12.0</v>
      </c>
      <c r="K494" s="549" t="s">
        <v>822</v>
      </c>
      <c r="L494" s="542" t="s">
        <v>3310</v>
      </c>
      <c r="M494" s="528">
        <f t="shared" si="3"/>
        <v>173</v>
      </c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customHeight="1">
      <c r="A495" s="546">
        <v>32220.0</v>
      </c>
      <c r="B495" s="547" t="s">
        <v>5774</v>
      </c>
      <c r="C495" s="547">
        <v>2019.0</v>
      </c>
      <c r="D495" s="548">
        <v>43691.0</v>
      </c>
      <c r="E495" s="547" t="s">
        <v>5775</v>
      </c>
      <c r="F495" s="556" t="s">
        <v>2614</v>
      </c>
      <c r="G495" s="547" t="s">
        <v>569</v>
      </c>
      <c r="H495" s="547" t="s">
        <v>639</v>
      </c>
      <c r="I495" s="548">
        <v>44188.0</v>
      </c>
      <c r="J495" s="547">
        <v>12.0</v>
      </c>
      <c r="K495" s="555" t="s">
        <v>242</v>
      </c>
      <c r="L495" s="547" t="s">
        <v>3310</v>
      </c>
      <c r="M495" s="529">
        <f t="shared" si="3"/>
        <v>497</v>
      </c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customHeight="1">
      <c r="A496" s="134"/>
      <c r="B496" s="135"/>
      <c r="C496" s="135"/>
      <c r="D496" s="516"/>
      <c r="E496" s="135"/>
      <c r="F496" s="135"/>
      <c r="G496" s="135"/>
      <c r="H496" s="135"/>
      <c r="I496" s="516"/>
      <c r="J496" s="135"/>
      <c r="K496" s="135"/>
      <c r="L496" s="135"/>
      <c r="M496" s="137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hidden="1" customHeight="1">
      <c r="A497" s="134"/>
      <c r="B497" s="135"/>
      <c r="C497" s="135"/>
      <c r="D497" s="516"/>
      <c r="E497" s="135"/>
      <c r="F497" s="135"/>
      <c r="G497" s="135"/>
      <c r="H497" s="135"/>
      <c r="I497" s="516"/>
      <c r="J497" s="135"/>
      <c r="K497" s="135"/>
      <c r="L497" s="135"/>
      <c r="M497" s="137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hidden="1" customHeight="1">
      <c r="A498" s="134"/>
      <c r="B498" s="135"/>
      <c r="C498" s="135"/>
      <c r="D498" s="516"/>
      <c r="E498" s="135"/>
      <c r="F498" s="135"/>
      <c r="G498" s="135"/>
      <c r="H498" s="135"/>
      <c r="I498" s="516"/>
      <c r="J498" s="135"/>
      <c r="K498" s="135"/>
      <c r="L498" s="135"/>
      <c r="M498" s="137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hidden="1" customHeight="1">
      <c r="A499" s="134"/>
      <c r="B499" s="135"/>
      <c r="C499" s="135"/>
      <c r="D499" s="516"/>
      <c r="E499" s="135"/>
      <c r="F499" s="135"/>
      <c r="G499" s="135"/>
      <c r="H499" s="135"/>
      <c r="I499" s="516"/>
      <c r="J499" s="135"/>
      <c r="K499" s="135"/>
      <c r="L499" s="135"/>
      <c r="M499" s="137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hidden="1" customHeight="1">
      <c r="A500" s="134"/>
      <c r="B500" s="135"/>
      <c r="C500" s="135"/>
      <c r="D500" s="516"/>
      <c r="E500" s="135"/>
      <c r="F500" s="135"/>
      <c r="G500" s="135"/>
      <c r="H500" s="135"/>
      <c r="I500" s="516"/>
      <c r="J500" s="135"/>
      <c r="K500" s="135"/>
      <c r="L500" s="135"/>
      <c r="M500" s="137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hidden="1" customHeight="1">
      <c r="A501" s="134"/>
      <c r="B501" s="135"/>
      <c r="C501" s="135"/>
      <c r="D501" s="516"/>
      <c r="E501" s="135"/>
      <c r="F501" s="135"/>
      <c r="G501" s="135"/>
      <c r="H501" s="135"/>
      <c r="I501" s="516"/>
      <c r="J501" s="135"/>
      <c r="K501" s="135"/>
      <c r="L501" s="135"/>
      <c r="M501" s="137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2.75" hidden="1" customHeight="1">
      <c r="A502" s="134"/>
      <c r="B502" s="135"/>
      <c r="C502" s="135"/>
      <c r="D502" s="516"/>
      <c r="E502" s="135"/>
      <c r="F502" s="135"/>
      <c r="G502" s="135"/>
      <c r="H502" s="135"/>
      <c r="I502" s="516"/>
      <c r="J502" s="135"/>
      <c r="K502" s="135"/>
      <c r="L502" s="135"/>
      <c r="M502" s="137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hidden="1" customHeight="1">
      <c r="A503" s="134"/>
      <c r="B503" s="135"/>
      <c r="C503" s="135"/>
      <c r="D503" s="516"/>
      <c r="E503" s="135"/>
      <c r="F503" s="135"/>
      <c r="G503" s="135"/>
      <c r="H503" s="135"/>
      <c r="I503" s="516"/>
      <c r="J503" s="135"/>
      <c r="K503" s="135"/>
      <c r="L503" s="135"/>
      <c r="M503" s="137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hidden="1" customHeight="1">
      <c r="A504" s="134"/>
      <c r="B504" s="135"/>
      <c r="C504" s="135"/>
      <c r="D504" s="516"/>
      <c r="E504" s="135"/>
      <c r="F504" s="135"/>
      <c r="G504" s="135"/>
      <c r="H504" s="135"/>
      <c r="I504" s="516"/>
      <c r="J504" s="135"/>
      <c r="K504" s="135"/>
      <c r="L504" s="135"/>
      <c r="M504" s="137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hidden="1" customHeight="1">
      <c r="A505" s="134"/>
      <c r="B505" s="135"/>
      <c r="C505" s="135"/>
      <c r="D505" s="516"/>
      <c r="E505" s="135"/>
      <c r="F505" s="135"/>
      <c r="G505" s="135"/>
      <c r="H505" s="135"/>
      <c r="I505" s="516"/>
      <c r="J505" s="135"/>
      <c r="K505" s="135"/>
      <c r="L505" s="135"/>
      <c r="M505" s="137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hidden="1" customHeight="1">
      <c r="A506" s="134"/>
      <c r="B506" s="135"/>
      <c r="C506" s="135"/>
      <c r="D506" s="516"/>
      <c r="E506" s="135"/>
      <c r="F506" s="135"/>
      <c r="G506" s="135"/>
      <c r="H506" s="135"/>
      <c r="I506" s="516"/>
      <c r="J506" s="135"/>
      <c r="K506" s="135"/>
      <c r="L506" s="135"/>
      <c r="M506" s="137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hidden="1" customHeight="1">
      <c r="A507" s="134"/>
      <c r="B507" s="135"/>
      <c r="C507" s="135"/>
      <c r="D507" s="516"/>
      <c r="E507" s="135"/>
      <c r="F507" s="135"/>
      <c r="G507" s="135"/>
      <c r="H507" s="135"/>
      <c r="I507" s="516"/>
      <c r="J507" s="135"/>
      <c r="K507" s="135"/>
      <c r="L507" s="135"/>
      <c r="M507" s="137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hidden="1" customHeight="1">
      <c r="A508" s="134"/>
      <c r="B508" s="135"/>
      <c r="C508" s="135"/>
      <c r="D508" s="516"/>
      <c r="E508" s="135"/>
      <c r="F508" s="135"/>
      <c r="G508" s="135"/>
      <c r="H508" s="135"/>
      <c r="I508" s="516"/>
      <c r="J508" s="135"/>
      <c r="K508" s="135"/>
      <c r="L508" s="135"/>
      <c r="M508" s="137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hidden="1" customHeight="1">
      <c r="A509" s="134"/>
      <c r="B509" s="135"/>
      <c r="C509" s="135"/>
      <c r="D509" s="516"/>
      <c r="E509" s="135"/>
      <c r="F509" s="135"/>
      <c r="G509" s="135"/>
      <c r="H509" s="135"/>
      <c r="I509" s="516"/>
      <c r="J509" s="135"/>
      <c r="K509" s="135"/>
      <c r="L509" s="135"/>
      <c r="M509" s="137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hidden="1" customHeight="1">
      <c r="A510" s="134"/>
      <c r="B510" s="135"/>
      <c r="C510" s="135"/>
      <c r="D510" s="516"/>
      <c r="E510" s="135"/>
      <c r="F510" s="135"/>
      <c r="G510" s="135"/>
      <c r="H510" s="135"/>
      <c r="I510" s="516"/>
      <c r="J510" s="135"/>
      <c r="K510" s="135"/>
      <c r="L510" s="135"/>
      <c r="M510" s="137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hidden="1" customHeight="1">
      <c r="A511" s="134"/>
      <c r="B511" s="135"/>
      <c r="C511" s="135"/>
      <c r="D511" s="516"/>
      <c r="E511" s="135"/>
      <c r="F511" s="135"/>
      <c r="G511" s="135"/>
      <c r="H511" s="135"/>
      <c r="I511" s="516"/>
      <c r="J511" s="135"/>
      <c r="K511" s="135"/>
      <c r="L511" s="135"/>
      <c r="M511" s="137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hidden="1" customHeight="1">
      <c r="A512" s="134"/>
      <c r="B512" s="135"/>
      <c r="C512" s="135"/>
      <c r="D512" s="516"/>
      <c r="E512" s="135"/>
      <c r="F512" s="135"/>
      <c r="G512" s="135"/>
      <c r="H512" s="135"/>
      <c r="I512" s="516"/>
      <c r="J512" s="135"/>
      <c r="K512" s="135"/>
      <c r="L512" s="135"/>
      <c r="M512" s="137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hidden="1" customHeight="1">
      <c r="A513" s="134"/>
      <c r="B513" s="135"/>
      <c r="C513" s="135"/>
      <c r="D513" s="516"/>
      <c r="E513" s="135"/>
      <c r="F513" s="135"/>
      <c r="G513" s="135"/>
      <c r="H513" s="135"/>
      <c r="I513" s="516"/>
      <c r="J513" s="135"/>
      <c r="K513" s="135"/>
      <c r="L513" s="135"/>
      <c r="M513" s="137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hidden="1" customHeight="1">
      <c r="A514" s="134"/>
      <c r="B514" s="135"/>
      <c r="C514" s="135"/>
      <c r="D514" s="516"/>
      <c r="E514" s="135"/>
      <c r="F514" s="135"/>
      <c r="G514" s="135"/>
      <c r="H514" s="135"/>
      <c r="I514" s="516"/>
      <c r="J514" s="135"/>
      <c r="K514" s="135"/>
      <c r="L514" s="135"/>
      <c r="M514" s="137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hidden="1" customHeight="1">
      <c r="A515" s="134"/>
      <c r="B515" s="135"/>
      <c r="C515" s="135"/>
      <c r="D515" s="516"/>
      <c r="E515" s="135"/>
      <c r="F515" s="135"/>
      <c r="G515" s="135"/>
      <c r="H515" s="135"/>
      <c r="I515" s="516"/>
      <c r="J515" s="135"/>
      <c r="K515" s="135"/>
      <c r="L515" s="135"/>
      <c r="M515" s="137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hidden="1" customHeight="1">
      <c r="A516" s="134"/>
      <c r="B516" s="135"/>
      <c r="C516" s="135"/>
      <c r="D516" s="516"/>
      <c r="E516" s="135"/>
      <c r="F516" s="135"/>
      <c r="G516" s="135"/>
      <c r="H516" s="135"/>
      <c r="I516" s="516"/>
      <c r="J516" s="135"/>
      <c r="K516" s="135"/>
      <c r="L516" s="135"/>
      <c r="M516" s="137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hidden="1" customHeight="1">
      <c r="A517" s="134"/>
      <c r="B517" s="135"/>
      <c r="C517" s="135"/>
      <c r="D517" s="516"/>
      <c r="E517" s="135"/>
      <c r="F517" s="135"/>
      <c r="G517" s="135"/>
      <c r="H517" s="135"/>
      <c r="I517" s="516"/>
      <c r="J517" s="135"/>
      <c r="K517" s="135"/>
      <c r="L517" s="135"/>
      <c r="M517" s="137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hidden="1" customHeight="1">
      <c r="A518" s="134"/>
      <c r="B518" s="135"/>
      <c r="C518" s="135"/>
      <c r="D518" s="516"/>
      <c r="E518" s="135"/>
      <c r="F518" s="135"/>
      <c r="G518" s="135"/>
      <c r="H518" s="135"/>
      <c r="I518" s="516"/>
      <c r="J518" s="135"/>
      <c r="K518" s="135"/>
      <c r="L518" s="135"/>
      <c r="M518" s="137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hidden="1" customHeight="1">
      <c r="A519" s="134"/>
      <c r="B519" s="135"/>
      <c r="C519" s="135"/>
      <c r="D519" s="516"/>
      <c r="E519" s="135"/>
      <c r="F519" s="135"/>
      <c r="G519" s="135"/>
      <c r="H519" s="135"/>
      <c r="I519" s="516"/>
      <c r="J519" s="135"/>
      <c r="K519" s="135"/>
      <c r="L519" s="135"/>
      <c r="M519" s="137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hidden="1" customHeight="1">
      <c r="A520" s="134"/>
      <c r="B520" s="135"/>
      <c r="C520" s="135"/>
      <c r="D520" s="516"/>
      <c r="E520" s="135"/>
      <c r="F520" s="135"/>
      <c r="G520" s="135"/>
      <c r="H520" s="135"/>
      <c r="I520" s="516"/>
      <c r="J520" s="135"/>
      <c r="K520" s="135"/>
      <c r="L520" s="135"/>
      <c r="M520" s="137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hidden="1" customHeight="1">
      <c r="A521" s="134"/>
      <c r="B521" s="135"/>
      <c r="C521" s="135"/>
      <c r="D521" s="516"/>
      <c r="E521" s="135"/>
      <c r="F521" s="135"/>
      <c r="G521" s="135"/>
      <c r="H521" s="135"/>
      <c r="I521" s="516"/>
      <c r="J521" s="135"/>
      <c r="K521" s="135"/>
      <c r="L521" s="135"/>
      <c r="M521" s="137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hidden="1" customHeight="1">
      <c r="A522" s="134"/>
      <c r="B522" s="135"/>
      <c r="C522" s="135"/>
      <c r="D522" s="516"/>
      <c r="E522" s="135"/>
      <c r="F522" s="135"/>
      <c r="G522" s="135"/>
      <c r="H522" s="135"/>
      <c r="I522" s="516"/>
      <c r="J522" s="135"/>
      <c r="K522" s="135"/>
      <c r="L522" s="135"/>
      <c r="M522" s="137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hidden="1" customHeight="1">
      <c r="A523" s="134"/>
      <c r="B523" s="135"/>
      <c r="C523" s="135"/>
      <c r="D523" s="516"/>
      <c r="E523" s="135"/>
      <c r="F523" s="135"/>
      <c r="G523" s="135"/>
      <c r="H523" s="135"/>
      <c r="I523" s="516"/>
      <c r="J523" s="135"/>
      <c r="K523" s="135"/>
      <c r="L523" s="135"/>
      <c r="M523" s="137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hidden="1" customHeight="1">
      <c r="A524" s="134"/>
      <c r="B524" s="135"/>
      <c r="C524" s="135"/>
      <c r="D524" s="516"/>
      <c r="E524" s="135"/>
      <c r="F524" s="135"/>
      <c r="G524" s="135"/>
      <c r="H524" s="135"/>
      <c r="I524" s="516"/>
      <c r="J524" s="135"/>
      <c r="K524" s="135"/>
      <c r="L524" s="135"/>
      <c r="M524" s="137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hidden="1" customHeight="1">
      <c r="A525" s="134"/>
      <c r="B525" s="135"/>
      <c r="C525" s="135"/>
      <c r="D525" s="516"/>
      <c r="E525" s="135"/>
      <c r="F525" s="135"/>
      <c r="G525" s="135"/>
      <c r="H525" s="135"/>
      <c r="I525" s="516"/>
      <c r="J525" s="135"/>
      <c r="K525" s="135"/>
      <c r="L525" s="135"/>
      <c r="M525" s="137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hidden="1" customHeight="1">
      <c r="A526" s="134"/>
      <c r="B526" s="135"/>
      <c r="C526" s="135"/>
      <c r="D526" s="516"/>
      <c r="E526" s="135"/>
      <c r="F526" s="135"/>
      <c r="G526" s="135"/>
      <c r="H526" s="135"/>
      <c r="I526" s="516"/>
      <c r="J526" s="135"/>
      <c r="K526" s="135"/>
      <c r="L526" s="135"/>
      <c r="M526" s="137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hidden="1" customHeight="1">
      <c r="A527" s="134"/>
      <c r="B527" s="135"/>
      <c r="C527" s="135"/>
      <c r="D527" s="516"/>
      <c r="E527" s="135"/>
      <c r="F527" s="135"/>
      <c r="G527" s="135"/>
      <c r="H527" s="135"/>
      <c r="I527" s="516"/>
      <c r="J527" s="135"/>
      <c r="K527" s="135"/>
      <c r="L527" s="135"/>
      <c r="M527" s="137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hidden="1" customHeight="1">
      <c r="A528" s="134"/>
      <c r="B528" s="135"/>
      <c r="C528" s="135"/>
      <c r="D528" s="516"/>
      <c r="E528" s="135"/>
      <c r="F528" s="135"/>
      <c r="G528" s="135"/>
      <c r="H528" s="135"/>
      <c r="I528" s="516"/>
      <c r="J528" s="135"/>
      <c r="K528" s="135"/>
      <c r="L528" s="135"/>
      <c r="M528" s="137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hidden="1" customHeight="1">
      <c r="A529" s="134"/>
      <c r="B529" s="135"/>
      <c r="C529" s="135"/>
      <c r="D529" s="516"/>
      <c r="E529" s="135"/>
      <c r="F529" s="135"/>
      <c r="G529" s="135"/>
      <c r="H529" s="135"/>
      <c r="I529" s="516"/>
      <c r="J529" s="135"/>
      <c r="K529" s="135"/>
      <c r="L529" s="135"/>
      <c r="M529" s="137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hidden="1" customHeight="1">
      <c r="A530" s="134"/>
      <c r="B530" s="135"/>
      <c r="C530" s="135"/>
      <c r="D530" s="516"/>
      <c r="E530" s="135"/>
      <c r="F530" s="135"/>
      <c r="G530" s="135"/>
      <c r="H530" s="135"/>
      <c r="I530" s="516"/>
      <c r="J530" s="135"/>
      <c r="K530" s="135"/>
      <c r="L530" s="135"/>
      <c r="M530" s="137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hidden="1" customHeight="1">
      <c r="A531" s="134"/>
      <c r="B531" s="135"/>
      <c r="C531" s="135"/>
      <c r="D531" s="516"/>
      <c r="E531" s="135"/>
      <c r="F531" s="135"/>
      <c r="G531" s="135"/>
      <c r="H531" s="135"/>
      <c r="I531" s="516"/>
      <c r="J531" s="135"/>
      <c r="K531" s="135"/>
      <c r="L531" s="135"/>
      <c r="M531" s="137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hidden="1" customHeight="1">
      <c r="A532" s="134"/>
      <c r="B532" s="135"/>
      <c r="C532" s="135"/>
      <c r="D532" s="516"/>
      <c r="E532" s="135"/>
      <c r="F532" s="135"/>
      <c r="G532" s="135"/>
      <c r="H532" s="135"/>
      <c r="I532" s="516"/>
      <c r="J532" s="135"/>
      <c r="K532" s="135"/>
      <c r="L532" s="135"/>
      <c r="M532" s="137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hidden="1" customHeight="1">
      <c r="A533" s="134"/>
      <c r="B533" s="135"/>
      <c r="C533" s="135"/>
      <c r="D533" s="516"/>
      <c r="E533" s="135"/>
      <c r="F533" s="135"/>
      <c r="G533" s="135"/>
      <c r="H533" s="135"/>
      <c r="I533" s="516"/>
      <c r="J533" s="135"/>
      <c r="K533" s="135"/>
      <c r="L533" s="135"/>
      <c r="M533" s="137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hidden="1" customHeight="1">
      <c r="A534" s="134"/>
      <c r="B534" s="135"/>
      <c r="C534" s="135"/>
      <c r="D534" s="516"/>
      <c r="E534" s="135"/>
      <c r="F534" s="135"/>
      <c r="G534" s="135"/>
      <c r="H534" s="135"/>
      <c r="I534" s="516"/>
      <c r="J534" s="135"/>
      <c r="K534" s="135"/>
      <c r="L534" s="135"/>
      <c r="M534" s="137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hidden="1" customHeight="1">
      <c r="A535" s="134"/>
      <c r="B535" s="135"/>
      <c r="C535" s="135"/>
      <c r="D535" s="516"/>
      <c r="E535" s="135"/>
      <c r="F535" s="135"/>
      <c r="G535" s="135"/>
      <c r="H535" s="135"/>
      <c r="I535" s="516"/>
      <c r="J535" s="135"/>
      <c r="K535" s="135"/>
      <c r="L535" s="135"/>
      <c r="M535" s="137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hidden="1" customHeight="1">
      <c r="A536" s="134"/>
      <c r="B536" s="135"/>
      <c r="C536" s="135"/>
      <c r="D536" s="516"/>
      <c r="E536" s="135"/>
      <c r="F536" s="135"/>
      <c r="G536" s="135"/>
      <c r="H536" s="135"/>
      <c r="I536" s="516"/>
      <c r="J536" s="135"/>
      <c r="K536" s="135"/>
      <c r="L536" s="135"/>
      <c r="M536" s="137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hidden="1" customHeight="1">
      <c r="A537" s="134"/>
      <c r="B537" s="135"/>
      <c r="C537" s="135"/>
      <c r="D537" s="516"/>
      <c r="E537" s="135"/>
      <c r="F537" s="135"/>
      <c r="G537" s="135"/>
      <c r="H537" s="135"/>
      <c r="I537" s="516"/>
      <c r="J537" s="135"/>
      <c r="K537" s="135"/>
      <c r="L537" s="135"/>
      <c r="M537" s="137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hidden="1" customHeight="1">
      <c r="A538" s="134"/>
      <c r="B538" s="135"/>
      <c r="C538" s="135"/>
      <c r="D538" s="516"/>
      <c r="E538" s="135"/>
      <c r="F538" s="135"/>
      <c r="G538" s="135"/>
      <c r="H538" s="135"/>
      <c r="I538" s="516"/>
      <c r="J538" s="135"/>
      <c r="K538" s="135"/>
      <c r="L538" s="135"/>
      <c r="M538" s="137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hidden="1" customHeight="1">
      <c r="A539" s="134"/>
      <c r="B539" s="135"/>
      <c r="C539" s="135"/>
      <c r="D539" s="516"/>
      <c r="E539" s="135"/>
      <c r="F539" s="135"/>
      <c r="G539" s="135"/>
      <c r="H539" s="135"/>
      <c r="I539" s="516"/>
      <c r="J539" s="135"/>
      <c r="K539" s="135"/>
      <c r="L539" s="135"/>
      <c r="M539" s="137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hidden="1" customHeight="1">
      <c r="A540" s="134"/>
      <c r="B540" s="135"/>
      <c r="C540" s="135"/>
      <c r="D540" s="516"/>
      <c r="E540" s="135"/>
      <c r="F540" s="135"/>
      <c r="G540" s="135"/>
      <c r="H540" s="135"/>
      <c r="I540" s="516"/>
      <c r="J540" s="135"/>
      <c r="K540" s="135"/>
      <c r="L540" s="135"/>
      <c r="M540" s="137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hidden="1" customHeight="1">
      <c r="A541" s="134"/>
      <c r="B541" s="135"/>
      <c r="C541" s="135"/>
      <c r="D541" s="516"/>
      <c r="E541" s="135"/>
      <c r="F541" s="135"/>
      <c r="G541" s="135"/>
      <c r="H541" s="135"/>
      <c r="I541" s="516"/>
      <c r="J541" s="135"/>
      <c r="K541" s="135"/>
      <c r="L541" s="135"/>
      <c r="M541" s="137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hidden="1" customHeight="1">
      <c r="A542" s="134"/>
      <c r="B542" s="135"/>
      <c r="C542" s="135"/>
      <c r="D542" s="516"/>
      <c r="E542" s="135"/>
      <c r="F542" s="135"/>
      <c r="G542" s="135"/>
      <c r="H542" s="135"/>
      <c r="I542" s="516"/>
      <c r="J542" s="135"/>
      <c r="K542" s="135"/>
      <c r="L542" s="135"/>
      <c r="M542" s="137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hidden="1" customHeight="1">
      <c r="A543" s="134"/>
      <c r="B543" s="135"/>
      <c r="C543" s="135"/>
      <c r="D543" s="516"/>
      <c r="E543" s="135"/>
      <c r="F543" s="135"/>
      <c r="G543" s="135"/>
      <c r="H543" s="135"/>
      <c r="I543" s="516"/>
      <c r="J543" s="135"/>
      <c r="K543" s="135"/>
      <c r="L543" s="135"/>
      <c r="M543" s="137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hidden="1" customHeight="1">
      <c r="A544" s="134"/>
      <c r="B544" s="135"/>
      <c r="C544" s="135"/>
      <c r="D544" s="516"/>
      <c r="E544" s="135"/>
      <c r="F544" s="135"/>
      <c r="G544" s="135"/>
      <c r="H544" s="135"/>
      <c r="I544" s="516"/>
      <c r="J544" s="135"/>
      <c r="K544" s="135"/>
      <c r="L544" s="135"/>
      <c r="M544" s="137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hidden="1" customHeight="1">
      <c r="A545" s="134"/>
      <c r="B545" s="135"/>
      <c r="C545" s="135"/>
      <c r="D545" s="516"/>
      <c r="E545" s="135"/>
      <c r="F545" s="135"/>
      <c r="G545" s="135"/>
      <c r="H545" s="135"/>
      <c r="I545" s="516"/>
      <c r="J545" s="135"/>
      <c r="K545" s="135"/>
      <c r="L545" s="135"/>
      <c r="M545" s="137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hidden="1" customHeight="1">
      <c r="A546" s="134"/>
      <c r="B546" s="135"/>
      <c r="C546" s="135"/>
      <c r="D546" s="516"/>
      <c r="E546" s="135"/>
      <c r="F546" s="135"/>
      <c r="G546" s="135"/>
      <c r="H546" s="135"/>
      <c r="I546" s="516"/>
      <c r="J546" s="135"/>
      <c r="K546" s="135"/>
      <c r="L546" s="135"/>
      <c r="M546" s="137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hidden="1" customHeight="1">
      <c r="A547" s="134"/>
      <c r="B547" s="135"/>
      <c r="C547" s="135"/>
      <c r="D547" s="516"/>
      <c r="E547" s="135"/>
      <c r="F547" s="135"/>
      <c r="G547" s="135"/>
      <c r="H547" s="135"/>
      <c r="I547" s="516"/>
      <c r="J547" s="135"/>
      <c r="K547" s="135"/>
      <c r="L547" s="135"/>
      <c r="M547" s="137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hidden="1" customHeight="1">
      <c r="A548" s="134"/>
      <c r="B548" s="135"/>
      <c r="C548" s="135"/>
      <c r="D548" s="516"/>
      <c r="E548" s="135"/>
      <c r="F548" s="135"/>
      <c r="G548" s="135"/>
      <c r="H548" s="135"/>
      <c r="I548" s="516"/>
      <c r="J548" s="135"/>
      <c r="K548" s="135"/>
      <c r="L548" s="135"/>
      <c r="M548" s="137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hidden="1" customHeight="1">
      <c r="A549" s="134"/>
      <c r="B549" s="135"/>
      <c r="C549" s="135"/>
      <c r="D549" s="516"/>
      <c r="E549" s="135"/>
      <c r="F549" s="135"/>
      <c r="G549" s="135"/>
      <c r="H549" s="135"/>
      <c r="I549" s="516"/>
      <c r="J549" s="135"/>
      <c r="K549" s="135"/>
      <c r="L549" s="135"/>
      <c r="M549" s="137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hidden="1" customHeight="1">
      <c r="A550" s="134"/>
      <c r="B550" s="135"/>
      <c r="C550" s="135"/>
      <c r="D550" s="516"/>
      <c r="E550" s="135"/>
      <c r="F550" s="135"/>
      <c r="G550" s="135"/>
      <c r="H550" s="135"/>
      <c r="I550" s="516"/>
      <c r="J550" s="135"/>
      <c r="K550" s="135"/>
      <c r="L550" s="135"/>
      <c r="M550" s="137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hidden="1" customHeight="1">
      <c r="A551" s="134"/>
      <c r="B551" s="135"/>
      <c r="C551" s="135"/>
      <c r="D551" s="516"/>
      <c r="E551" s="135"/>
      <c r="F551" s="135"/>
      <c r="G551" s="135"/>
      <c r="H551" s="135"/>
      <c r="I551" s="516"/>
      <c r="J551" s="135"/>
      <c r="K551" s="135"/>
      <c r="L551" s="135"/>
      <c r="M551" s="137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hidden="1" customHeight="1">
      <c r="A552" s="134"/>
      <c r="B552" s="135"/>
      <c r="C552" s="135"/>
      <c r="D552" s="516"/>
      <c r="E552" s="135"/>
      <c r="F552" s="135"/>
      <c r="G552" s="135"/>
      <c r="H552" s="135"/>
      <c r="I552" s="516"/>
      <c r="J552" s="135"/>
      <c r="K552" s="135"/>
      <c r="L552" s="135"/>
      <c r="M552" s="137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hidden="1" customHeight="1">
      <c r="A553" s="134"/>
      <c r="B553" s="135"/>
      <c r="C553" s="135"/>
      <c r="D553" s="516"/>
      <c r="E553" s="135"/>
      <c r="F553" s="135"/>
      <c r="G553" s="135"/>
      <c r="H553" s="135"/>
      <c r="I553" s="516"/>
      <c r="J553" s="135"/>
      <c r="K553" s="135"/>
      <c r="L553" s="135"/>
      <c r="M553" s="137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hidden="1" customHeight="1">
      <c r="A554" s="134"/>
      <c r="B554" s="135"/>
      <c r="C554" s="135"/>
      <c r="D554" s="516"/>
      <c r="E554" s="135"/>
      <c r="F554" s="135"/>
      <c r="G554" s="135"/>
      <c r="H554" s="135"/>
      <c r="I554" s="516"/>
      <c r="J554" s="135"/>
      <c r="K554" s="135"/>
      <c r="L554" s="135"/>
      <c r="M554" s="137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hidden="1" customHeight="1">
      <c r="A555" s="134"/>
      <c r="B555" s="135"/>
      <c r="C555" s="135"/>
      <c r="D555" s="516"/>
      <c r="E555" s="135"/>
      <c r="F555" s="135"/>
      <c r="G555" s="135"/>
      <c r="H555" s="135"/>
      <c r="I555" s="516"/>
      <c r="J555" s="135"/>
      <c r="K555" s="135"/>
      <c r="L555" s="135"/>
      <c r="M555" s="137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hidden="1" customHeight="1">
      <c r="A556" s="134"/>
      <c r="B556" s="135"/>
      <c r="C556" s="135"/>
      <c r="D556" s="516"/>
      <c r="E556" s="135"/>
      <c r="F556" s="135"/>
      <c r="G556" s="135"/>
      <c r="H556" s="135"/>
      <c r="I556" s="516"/>
      <c r="J556" s="135"/>
      <c r="K556" s="135"/>
      <c r="L556" s="135"/>
      <c r="M556" s="137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hidden="1" customHeight="1">
      <c r="A557" s="134"/>
      <c r="B557" s="135"/>
      <c r="C557" s="135"/>
      <c r="D557" s="516"/>
      <c r="E557" s="135"/>
      <c r="F557" s="135"/>
      <c r="G557" s="135"/>
      <c r="H557" s="135"/>
      <c r="I557" s="516"/>
      <c r="J557" s="135"/>
      <c r="K557" s="135"/>
      <c r="L557" s="135"/>
      <c r="M557" s="137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hidden="1" customHeight="1">
      <c r="A558" s="134"/>
      <c r="B558" s="135"/>
      <c r="C558" s="135"/>
      <c r="D558" s="516"/>
      <c r="E558" s="135"/>
      <c r="F558" s="135"/>
      <c r="G558" s="135"/>
      <c r="H558" s="135"/>
      <c r="I558" s="516"/>
      <c r="J558" s="135"/>
      <c r="K558" s="135"/>
      <c r="L558" s="135"/>
      <c r="M558" s="137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hidden="1" customHeight="1">
      <c r="A559" s="134"/>
      <c r="B559" s="135"/>
      <c r="C559" s="135"/>
      <c r="D559" s="516"/>
      <c r="E559" s="135"/>
      <c r="F559" s="135"/>
      <c r="G559" s="135"/>
      <c r="H559" s="135"/>
      <c r="I559" s="516"/>
      <c r="J559" s="135"/>
      <c r="K559" s="135"/>
      <c r="L559" s="135"/>
      <c r="M559" s="137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hidden="1" customHeight="1">
      <c r="A560" s="134"/>
      <c r="B560" s="135"/>
      <c r="C560" s="135"/>
      <c r="D560" s="516"/>
      <c r="E560" s="135"/>
      <c r="F560" s="135"/>
      <c r="G560" s="135"/>
      <c r="H560" s="135"/>
      <c r="I560" s="516"/>
      <c r="J560" s="135"/>
      <c r="K560" s="135"/>
      <c r="L560" s="135"/>
      <c r="M560" s="137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hidden="1" customHeight="1">
      <c r="A561" s="134"/>
      <c r="B561" s="135"/>
      <c r="C561" s="135"/>
      <c r="D561" s="516"/>
      <c r="E561" s="135"/>
      <c r="F561" s="135"/>
      <c r="G561" s="135"/>
      <c r="H561" s="135"/>
      <c r="I561" s="516"/>
      <c r="J561" s="135"/>
      <c r="K561" s="135"/>
      <c r="L561" s="135"/>
      <c r="M561" s="137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hidden="1" customHeight="1">
      <c r="A562" s="134"/>
      <c r="B562" s="135"/>
      <c r="C562" s="135"/>
      <c r="D562" s="516"/>
      <c r="E562" s="135"/>
      <c r="F562" s="135"/>
      <c r="G562" s="135"/>
      <c r="H562" s="135"/>
      <c r="I562" s="516"/>
      <c r="J562" s="135"/>
      <c r="K562" s="135"/>
      <c r="L562" s="135"/>
      <c r="M562" s="137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hidden="1" customHeight="1">
      <c r="A563" s="134"/>
      <c r="B563" s="135"/>
      <c r="C563" s="135"/>
      <c r="D563" s="516"/>
      <c r="E563" s="135"/>
      <c r="F563" s="135"/>
      <c r="G563" s="135"/>
      <c r="H563" s="135"/>
      <c r="I563" s="516"/>
      <c r="J563" s="135"/>
      <c r="K563" s="135"/>
      <c r="L563" s="135"/>
      <c r="M563" s="137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hidden="1" customHeight="1">
      <c r="A564" s="134"/>
      <c r="B564" s="135"/>
      <c r="C564" s="135"/>
      <c r="D564" s="516"/>
      <c r="E564" s="135"/>
      <c r="F564" s="135"/>
      <c r="G564" s="135"/>
      <c r="H564" s="135"/>
      <c r="I564" s="516"/>
      <c r="J564" s="135"/>
      <c r="K564" s="135"/>
      <c r="L564" s="135"/>
      <c r="M564" s="137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hidden="1" customHeight="1">
      <c r="A565" s="134"/>
      <c r="B565" s="135"/>
      <c r="C565" s="135"/>
      <c r="D565" s="516"/>
      <c r="E565" s="135"/>
      <c r="F565" s="135"/>
      <c r="G565" s="135"/>
      <c r="H565" s="135"/>
      <c r="I565" s="516"/>
      <c r="J565" s="135"/>
      <c r="K565" s="135"/>
      <c r="L565" s="135"/>
      <c r="M565" s="137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hidden="1" customHeight="1">
      <c r="A566" s="134"/>
      <c r="B566" s="135"/>
      <c r="C566" s="135"/>
      <c r="D566" s="516"/>
      <c r="E566" s="135"/>
      <c r="F566" s="135"/>
      <c r="G566" s="135"/>
      <c r="H566" s="135"/>
      <c r="I566" s="516"/>
      <c r="J566" s="135"/>
      <c r="K566" s="135"/>
      <c r="L566" s="135"/>
      <c r="M566" s="137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hidden="1" customHeight="1">
      <c r="A567" s="134"/>
      <c r="B567" s="135"/>
      <c r="C567" s="135"/>
      <c r="D567" s="516"/>
      <c r="E567" s="135"/>
      <c r="F567" s="135"/>
      <c r="G567" s="135"/>
      <c r="H567" s="135"/>
      <c r="I567" s="516"/>
      <c r="J567" s="135"/>
      <c r="K567" s="135"/>
      <c r="L567" s="135"/>
      <c r="M567" s="137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hidden="1" customHeight="1">
      <c r="A568" s="134"/>
      <c r="B568" s="135"/>
      <c r="C568" s="135"/>
      <c r="D568" s="516"/>
      <c r="E568" s="135"/>
      <c r="F568" s="135"/>
      <c r="G568" s="135"/>
      <c r="H568" s="135"/>
      <c r="I568" s="516"/>
      <c r="J568" s="135"/>
      <c r="K568" s="135"/>
      <c r="L568" s="135"/>
      <c r="M568" s="137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hidden="1" customHeight="1">
      <c r="A569" s="134"/>
      <c r="B569" s="135"/>
      <c r="C569" s="135"/>
      <c r="D569" s="516"/>
      <c r="E569" s="135"/>
      <c r="F569" s="135"/>
      <c r="G569" s="135"/>
      <c r="H569" s="135"/>
      <c r="I569" s="516"/>
      <c r="J569" s="135"/>
      <c r="K569" s="135"/>
      <c r="L569" s="135"/>
      <c r="M569" s="137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hidden="1" customHeight="1">
      <c r="A570" s="134"/>
      <c r="B570" s="135"/>
      <c r="C570" s="135"/>
      <c r="D570" s="516"/>
      <c r="E570" s="135"/>
      <c r="F570" s="135"/>
      <c r="G570" s="135"/>
      <c r="H570" s="135"/>
      <c r="I570" s="516"/>
      <c r="J570" s="135"/>
      <c r="K570" s="135"/>
      <c r="L570" s="135"/>
      <c r="M570" s="137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hidden="1" customHeight="1">
      <c r="A571" s="134"/>
      <c r="B571" s="135"/>
      <c r="C571" s="135"/>
      <c r="D571" s="516"/>
      <c r="E571" s="135"/>
      <c r="F571" s="135"/>
      <c r="G571" s="135"/>
      <c r="H571" s="135"/>
      <c r="I571" s="516"/>
      <c r="J571" s="135"/>
      <c r="K571" s="135"/>
      <c r="L571" s="135"/>
      <c r="M571" s="137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hidden="1" customHeight="1">
      <c r="A572" s="134"/>
      <c r="B572" s="135"/>
      <c r="C572" s="135"/>
      <c r="D572" s="516"/>
      <c r="E572" s="135"/>
      <c r="F572" s="135"/>
      <c r="G572" s="135"/>
      <c r="H572" s="135"/>
      <c r="I572" s="516"/>
      <c r="J572" s="135"/>
      <c r="K572" s="135"/>
      <c r="L572" s="135"/>
      <c r="M572" s="137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hidden="1" customHeight="1">
      <c r="A573" s="134"/>
      <c r="B573" s="135"/>
      <c r="C573" s="135"/>
      <c r="D573" s="516"/>
      <c r="E573" s="135"/>
      <c r="F573" s="135"/>
      <c r="G573" s="135"/>
      <c r="H573" s="135"/>
      <c r="I573" s="516"/>
      <c r="J573" s="135"/>
      <c r="K573" s="135"/>
      <c r="L573" s="135"/>
      <c r="M573" s="137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hidden="1" customHeight="1">
      <c r="A574" s="134"/>
      <c r="B574" s="135"/>
      <c r="C574" s="135"/>
      <c r="D574" s="516"/>
      <c r="E574" s="135"/>
      <c r="F574" s="135"/>
      <c r="G574" s="135"/>
      <c r="H574" s="135"/>
      <c r="I574" s="516"/>
      <c r="J574" s="135"/>
      <c r="K574" s="135"/>
      <c r="L574" s="135"/>
      <c r="M574" s="137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hidden="1" customHeight="1">
      <c r="A575" s="134"/>
      <c r="B575" s="135"/>
      <c r="C575" s="135"/>
      <c r="D575" s="516"/>
      <c r="E575" s="135"/>
      <c r="F575" s="135"/>
      <c r="G575" s="135"/>
      <c r="H575" s="135"/>
      <c r="I575" s="516"/>
      <c r="J575" s="135"/>
      <c r="K575" s="135"/>
      <c r="L575" s="135"/>
      <c r="M575" s="137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hidden="1" customHeight="1">
      <c r="A576" s="134"/>
      <c r="B576" s="135"/>
      <c r="C576" s="135"/>
      <c r="D576" s="516"/>
      <c r="E576" s="135"/>
      <c r="F576" s="135"/>
      <c r="G576" s="135"/>
      <c r="H576" s="135"/>
      <c r="I576" s="516"/>
      <c r="J576" s="135"/>
      <c r="K576" s="135"/>
      <c r="L576" s="135"/>
      <c r="M576" s="137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hidden="1" customHeight="1">
      <c r="A577" s="134"/>
      <c r="B577" s="135"/>
      <c r="C577" s="135"/>
      <c r="D577" s="516"/>
      <c r="E577" s="135"/>
      <c r="F577" s="135"/>
      <c r="G577" s="135"/>
      <c r="H577" s="135"/>
      <c r="I577" s="516"/>
      <c r="J577" s="135"/>
      <c r="K577" s="135"/>
      <c r="L577" s="135"/>
      <c r="M577" s="137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hidden="1" customHeight="1">
      <c r="A578" s="134"/>
      <c r="B578" s="135"/>
      <c r="C578" s="135"/>
      <c r="D578" s="516"/>
      <c r="E578" s="135"/>
      <c r="F578" s="135"/>
      <c r="G578" s="135"/>
      <c r="H578" s="135"/>
      <c r="I578" s="516"/>
      <c r="J578" s="135"/>
      <c r="K578" s="135"/>
      <c r="L578" s="135"/>
      <c r="M578" s="137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hidden="1" customHeight="1">
      <c r="A579" s="134"/>
      <c r="B579" s="135"/>
      <c r="C579" s="135"/>
      <c r="D579" s="516"/>
      <c r="E579" s="135"/>
      <c r="F579" s="135"/>
      <c r="G579" s="135"/>
      <c r="H579" s="135"/>
      <c r="I579" s="516"/>
      <c r="J579" s="135"/>
      <c r="K579" s="135"/>
      <c r="L579" s="135"/>
      <c r="M579" s="137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hidden="1" customHeight="1">
      <c r="A580" s="134"/>
      <c r="B580" s="135"/>
      <c r="C580" s="135"/>
      <c r="D580" s="516"/>
      <c r="E580" s="135"/>
      <c r="F580" s="135"/>
      <c r="G580" s="135"/>
      <c r="H580" s="135"/>
      <c r="I580" s="516"/>
      <c r="J580" s="135"/>
      <c r="K580" s="135"/>
      <c r="L580" s="135"/>
      <c r="M580" s="137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hidden="1" customHeight="1">
      <c r="A581" s="134"/>
      <c r="B581" s="135"/>
      <c r="C581" s="135"/>
      <c r="D581" s="516"/>
      <c r="E581" s="135"/>
      <c r="F581" s="135"/>
      <c r="G581" s="135"/>
      <c r="H581" s="135"/>
      <c r="I581" s="516"/>
      <c r="J581" s="135"/>
      <c r="K581" s="135"/>
      <c r="L581" s="135"/>
      <c r="M581" s="137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hidden="1" customHeight="1">
      <c r="A582" s="134"/>
      <c r="B582" s="135"/>
      <c r="C582" s="135"/>
      <c r="D582" s="516"/>
      <c r="E582" s="135"/>
      <c r="F582" s="135"/>
      <c r="G582" s="135"/>
      <c r="H582" s="135"/>
      <c r="I582" s="516"/>
      <c r="J582" s="135"/>
      <c r="K582" s="135"/>
      <c r="L582" s="135"/>
      <c r="M582" s="137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hidden="1" customHeight="1">
      <c r="A583" s="134"/>
      <c r="B583" s="135"/>
      <c r="C583" s="135"/>
      <c r="D583" s="516"/>
      <c r="E583" s="135"/>
      <c r="F583" s="135"/>
      <c r="G583" s="135"/>
      <c r="H583" s="135"/>
      <c r="I583" s="516"/>
      <c r="J583" s="135"/>
      <c r="K583" s="135"/>
      <c r="L583" s="135"/>
      <c r="M583" s="137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hidden="1" customHeight="1">
      <c r="A584" s="134"/>
      <c r="B584" s="135"/>
      <c r="C584" s="135"/>
      <c r="D584" s="516"/>
      <c r="E584" s="135"/>
      <c r="F584" s="135"/>
      <c r="G584" s="135"/>
      <c r="H584" s="135"/>
      <c r="I584" s="516"/>
      <c r="J584" s="135"/>
      <c r="K584" s="135"/>
      <c r="L584" s="135"/>
      <c r="M584" s="137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hidden="1" customHeight="1">
      <c r="A585" s="134"/>
      <c r="B585" s="135"/>
      <c r="C585" s="135"/>
      <c r="D585" s="516"/>
      <c r="E585" s="135"/>
      <c r="F585" s="135"/>
      <c r="G585" s="135"/>
      <c r="H585" s="135"/>
      <c r="I585" s="516"/>
      <c r="J585" s="135"/>
      <c r="K585" s="135"/>
      <c r="L585" s="135"/>
      <c r="M585" s="137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hidden="1" customHeight="1">
      <c r="A586" s="134"/>
      <c r="B586" s="135"/>
      <c r="C586" s="135"/>
      <c r="D586" s="516"/>
      <c r="E586" s="135"/>
      <c r="F586" s="135"/>
      <c r="G586" s="135"/>
      <c r="H586" s="135"/>
      <c r="I586" s="516"/>
      <c r="J586" s="135"/>
      <c r="K586" s="135"/>
      <c r="L586" s="135"/>
      <c r="M586" s="137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hidden="1" customHeight="1">
      <c r="A587" s="134"/>
      <c r="B587" s="135"/>
      <c r="C587" s="135"/>
      <c r="D587" s="516"/>
      <c r="E587" s="135"/>
      <c r="F587" s="135"/>
      <c r="G587" s="135"/>
      <c r="H587" s="135"/>
      <c r="I587" s="516"/>
      <c r="J587" s="135"/>
      <c r="K587" s="135"/>
      <c r="L587" s="135"/>
      <c r="M587" s="137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hidden="1" customHeight="1">
      <c r="A588" s="134"/>
      <c r="B588" s="135"/>
      <c r="C588" s="135"/>
      <c r="D588" s="516"/>
      <c r="E588" s="135"/>
      <c r="F588" s="135"/>
      <c r="G588" s="135"/>
      <c r="H588" s="135"/>
      <c r="I588" s="516"/>
      <c r="J588" s="135"/>
      <c r="K588" s="135"/>
      <c r="L588" s="135"/>
      <c r="M588" s="137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hidden="1" customHeight="1">
      <c r="A589" s="134"/>
      <c r="B589" s="135"/>
      <c r="C589" s="135"/>
      <c r="D589" s="516"/>
      <c r="E589" s="135"/>
      <c r="F589" s="135"/>
      <c r="G589" s="135"/>
      <c r="H589" s="135"/>
      <c r="I589" s="516"/>
      <c r="J589" s="135"/>
      <c r="K589" s="135"/>
      <c r="L589" s="135"/>
      <c r="M589" s="137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hidden="1" customHeight="1">
      <c r="A590" s="134"/>
      <c r="B590" s="135"/>
      <c r="C590" s="135"/>
      <c r="D590" s="516"/>
      <c r="E590" s="135"/>
      <c r="F590" s="135"/>
      <c r="G590" s="135"/>
      <c r="H590" s="135"/>
      <c r="I590" s="516"/>
      <c r="J590" s="135"/>
      <c r="K590" s="135"/>
      <c r="L590" s="135"/>
      <c r="M590" s="137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hidden="1" customHeight="1">
      <c r="A591" s="134"/>
      <c r="B591" s="135"/>
      <c r="C591" s="135"/>
      <c r="D591" s="516"/>
      <c r="E591" s="135"/>
      <c r="F591" s="135"/>
      <c r="G591" s="135"/>
      <c r="H591" s="135"/>
      <c r="I591" s="516"/>
      <c r="J591" s="135"/>
      <c r="K591" s="135"/>
      <c r="L591" s="135"/>
      <c r="M591" s="137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hidden="1" customHeight="1">
      <c r="A592" s="134"/>
      <c r="B592" s="135"/>
      <c r="C592" s="135"/>
      <c r="D592" s="516"/>
      <c r="E592" s="135"/>
      <c r="F592" s="135"/>
      <c r="G592" s="135"/>
      <c r="H592" s="135"/>
      <c r="I592" s="516"/>
      <c r="J592" s="135"/>
      <c r="K592" s="135"/>
      <c r="L592" s="135"/>
      <c r="M592" s="137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hidden="1" customHeight="1">
      <c r="A593" s="134"/>
      <c r="B593" s="135"/>
      <c r="C593" s="135"/>
      <c r="D593" s="516"/>
      <c r="E593" s="135"/>
      <c r="F593" s="135"/>
      <c r="G593" s="135"/>
      <c r="H593" s="135"/>
      <c r="I593" s="516"/>
      <c r="J593" s="135"/>
      <c r="K593" s="135"/>
      <c r="L593" s="135"/>
      <c r="M593" s="137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hidden="1" customHeight="1">
      <c r="A594" s="134"/>
      <c r="B594" s="135"/>
      <c r="C594" s="135"/>
      <c r="D594" s="516"/>
      <c r="E594" s="135"/>
      <c r="F594" s="135"/>
      <c r="G594" s="135"/>
      <c r="H594" s="135"/>
      <c r="I594" s="516"/>
      <c r="J594" s="135"/>
      <c r="K594" s="135"/>
      <c r="L594" s="135"/>
      <c r="M594" s="137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hidden="1" customHeight="1">
      <c r="A595" s="134"/>
      <c r="B595" s="135"/>
      <c r="C595" s="135"/>
      <c r="D595" s="516"/>
      <c r="E595" s="135"/>
      <c r="F595" s="135"/>
      <c r="G595" s="135"/>
      <c r="H595" s="135"/>
      <c r="I595" s="516"/>
      <c r="J595" s="135"/>
      <c r="K595" s="135"/>
      <c r="L595" s="135"/>
      <c r="M595" s="137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hidden="1" customHeight="1">
      <c r="A596" s="134"/>
      <c r="B596" s="135"/>
      <c r="C596" s="135"/>
      <c r="D596" s="516"/>
      <c r="E596" s="135"/>
      <c r="F596" s="135"/>
      <c r="G596" s="135"/>
      <c r="H596" s="135"/>
      <c r="I596" s="516"/>
      <c r="J596" s="135"/>
      <c r="K596" s="135"/>
      <c r="L596" s="135"/>
      <c r="M596" s="137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hidden="1" customHeight="1">
      <c r="A597" s="134"/>
      <c r="B597" s="135"/>
      <c r="C597" s="135"/>
      <c r="D597" s="516"/>
      <c r="E597" s="135"/>
      <c r="F597" s="135"/>
      <c r="G597" s="135"/>
      <c r="H597" s="135"/>
      <c r="I597" s="516"/>
      <c r="J597" s="135"/>
      <c r="K597" s="135"/>
      <c r="L597" s="135"/>
      <c r="M597" s="137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hidden="1" customHeight="1">
      <c r="A598" s="134"/>
      <c r="B598" s="135"/>
      <c r="C598" s="135"/>
      <c r="D598" s="516"/>
      <c r="E598" s="135"/>
      <c r="F598" s="135"/>
      <c r="G598" s="135"/>
      <c r="H598" s="135"/>
      <c r="I598" s="516"/>
      <c r="J598" s="135"/>
      <c r="K598" s="135"/>
      <c r="L598" s="135"/>
      <c r="M598" s="137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hidden="1" customHeight="1">
      <c r="A599" s="134"/>
      <c r="B599" s="135"/>
      <c r="C599" s="135"/>
      <c r="D599" s="516"/>
      <c r="E599" s="135"/>
      <c r="F599" s="135"/>
      <c r="G599" s="135"/>
      <c r="H599" s="135"/>
      <c r="I599" s="516"/>
      <c r="J599" s="135"/>
      <c r="K599" s="135"/>
      <c r="L599" s="135"/>
      <c r="M599" s="137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hidden="1" customHeight="1">
      <c r="A600" s="134"/>
      <c r="B600" s="135"/>
      <c r="C600" s="135"/>
      <c r="D600" s="516"/>
      <c r="E600" s="135"/>
      <c r="F600" s="135"/>
      <c r="G600" s="135"/>
      <c r="H600" s="135"/>
      <c r="I600" s="516"/>
      <c r="J600" s="135"/>
      <c r="K600" s="135"/>
      <c r="L600" s="135"/>
      <c r="M600" s="137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hidden="1" customHeight="1">
      <c r="A601" s="134"/>
      <c r="B601" s="135"/>
      <c r="C601" s="135"/>
      <c r="D601" s="516"/>
      <c r="E601" s="135"/>
      <c r="F601" s="135"/>
      <c r="G601" s="135"/>
      <c r="H601" s="135"/>
      <c r="I601" s="516"/>
      <c r="J601" s="135"/>
      <c r="K601" s="135"/>
      <c r="L601" s="135"/>
      <c r="M601" s="137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hidden="1" customHeight="1">
      <c r="A602" s="134"/>
      <c r="B602" s="135"/>
      <c r="C602" s="135"/>
      <c r="D602" s="516"/>
      <c r="E602" s="135"/>
      <c r="F602" s="135"/>
      <c r="G602" s="135"/>
      <c r="H602" s="135"/>
      <c r="I602" s="516"/>
      <c r="J602" s="135"/>
      <c r="K602" s="135"/>
      <c r="L602" s="135"/>
      <c r="M602" s="137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hidden="1" customHeight="1">
      <c r="A603" s="134"/>
      <c r="B603" s="135"/>
      <c r="C603" s="135"/>
      <c r="D603" s="516"/>
      <c r="E603" s="135"/>
      <c r="F603" s="135"/>
      <c r="G603" s="135"/>
      <c r="H603" s="135"/>
      <c r="I603" s="516"/>
      <c r="J603" s="135"/>
      <c r="K603" s="135"/>
      <c r="L603" s="135"/>
      <c r="M603" s="137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hidden="1" customHeight="1">
      <c r="A604" s="134"/>
      <c r="B604" s="135"/>
      <c r="C604" s="135"/>
      <c r="D604" s="516"/>
      <c r="E604" s="135"/>
      <c r="F604" s="135"/>
      <c r="G604" s="135"/>
      <c r="H604" s="135"/>
      <c r="I604" s="516"/>
      <c r="J604" s="135"/>
      <c r="K604" s="135"/>
      <c r="L604" s="135"/>
      <c r="M604" s="137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hidden="1" customHeight="1">
      <c r="A605" s="134"/>
      <c r="B605" s="135"/>
      <c r="C605" s="135"/>
      <c r="D605" s="516"/>
      <c r="E605" s="135"/>
      <c r="F605" s="135"/>
      <c r="G605" s="135"/>
      <c r="H605" s="135"/>
      <c r="I605" s="516"/>
      <c r="J605" s="135"/>
      <c r="K605" s="135"/>
      <c r="L605" s="135"/>
      <c r="M605" s="137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hidden="1" customHeight="1">
      <c r="A606" s="134"/>
      <c r="B606" s="135"/>
      <c r="C606" s="135"/>
      <c r="D606" s="516"/>
      <c r="E606" s="135"/>
      <c r="F606" s="135"/>
      <c r="G606" s="135"/>
      <c r="H606" s="135"/>
      <c r="I606" s="516"/>
      <c r="J606" s="135"/>
      <c r="K606" s="135"/>
      <c r="L606" s="135"/>
      <c r="M606" s="137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hidden="1" customHeight="1">
      <c r="A607" s="134"/>
      <c r="B607" s="135"/>
      <c r="C607" s="135"/>
      <c r="D607" s="516"/>
      <c r="E607" s="135"/>
      <c r="F607" s="135"/>
      <c r="G607" s="135"/>
      <c r="H607" s="135"/>
      <c r="I607" s="516"/>
      <c r="J607" s="135"/>
      <c r="K607" s="135"/>
      <c r="L607" s="135"/>
      <c r="M607" s="137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hidden="1" customHeight="1">
      <c r="A608" s="134"/>
      <c r="B608" s="135"/>
      <c r="C608" s="135"/>
      <c r="D608" s="516"/>
      <c r="E608" s="135"/>
      <c r="F608" s="135"/>
      <c r="G608" s="135"/>
      <c r="H608" s="135"/>
      <c r="I608" s="516"/>
      <c r="J608" s="135"/>
      <c r="K608" s="135"/>
      <c r="L608" s="135"/>
      <c r="M608" s="137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hidden="1" customHeight="1">
      <c r="A609" s="134"/>
      <c r="B609" s="135"/>
      <c r="C609" s="135"/>
      <c r="D609" s="516"/>
      <c r="E609" s="135"/>
      <c r="F609" s="135"/>
      <c r="G609" s="135"/>
      <c r="H609" s="135"/>
      <c r="I609" s="516"/>
      <c r="J609" s="135"/>
      <c r="K609" s="135"/>
      <c r="L609" s="135"/>
      <c r="M609" s="137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hidden="1" customHeight="1">
      <c r="A610" s="134"/>
      <c r="B610" s="135"/>
      <c r="C610" s="135"/>
      <c r="D610" s="516"/>
      <c r="E610" s="135"/>
      <c r="F610" s="135"/>
      <c r="G610" s="135"/>
      <c r="H610" s="135"/>
      <c r="I610" s="516"/>
      <c r="J610" s="135"/>
      <c r="K610" s="135"/>
      <c r="L610" s="135"/>
      <c r="M610" s="137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hidden="1" customHeight="1">
      <c r="A611" s="134"/>
      <c r="B611" s="135"/>
      <c r="C611" s="135"/>
      <c r="D611" s="516"/>
      <c r="E611" s="135"/>
      <c r="F611" s="135"/>
      <c r="G611" s="135"/>
      <c r="H611" s="135"/>
      <c r="I611" s="516"/>
      <c r="J611" s="135"/>
      <c r="K611" s="135"/>
      <c r="L611" s="135"/>
      <c r="M611" s="137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hidden="1" customHeight="1">
      <c r="A612" s="134"/>
      <c r="B612" s="135"/>
      <c r="C612" s="135"/>
      <c r="D612" s="516"/>
      <c r="E612" s="135"/>
      <c r="F612" s="135"/>
      <c r="G612" s="135"/>
      <c r="H612" s="135"/>
      <c r="I612" s="516"/>
      <c r="J612" s="135"/>
      <c r="K612" s="135"/>
      <c r="L612" s="135"/>
      <c r="M612" s="137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hidden="1" customHeight="1">
      <c r="A613" s="134"/>
      <c r="B613" s="135"/>
      <c r="C613" s="135"/>
      <c r="D613" s="516"/>
      <c r="E613" s="135"/>
      <c r="F613" s="135"/>
      <c r="G613" s="135"/>
      <c r="H613" s="135"/>
      <c r="I613" s="516"/>
      <c r="J613" s="135"/>
      <c r="K613" s="135"/>
      <c r="L613" s="135"/>
      <c r="M613" s="137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hidden="1" customHeight="1">
      <c r="A614" s="134"/>
      <c r="B614" s="135"/>
      <c r="C614" s="135"/>
      <c r="D614" s="516"/>
      <c r="E614" s="135"/>
      <c r="F614" s="135"/>
      <c r="G614" s="135"/>
      <c r="H614" s="135"/>
      <c r="I614" s="516"/>
      <c r="J614" s="135"/>
      <c r="K614" s="135"/>
      <c r="L614" s="135"/>
      <c r="M614" s="137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hidden="1" customHeight="1">
      <c r="A615" s="134"/>
      <c r="B615" s="135"/>
      <c r="C615" s="135"/>
      <c r="D615" s="516"/>
      <c r="E615" s="135"/>
      <c r="F615" s="135"/>
      <c r="G615" s="135"/>
      <c r="H615" s="135"/>
      <c r="I615" s="516"/>
      <c r="J615" s="135"/>
      <c r="K615" s="135"/>
      <c r="L615" s="135"/>
      <c r="M615" s="137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hidden="1" customHeight="1">
      <c r="A616" s="134"/>
      <c r="B616" s="135"/>
      <c r="C616" s="135"/>
      <c r="D616" s="516"/>
      <c r="E616" s="135"/>
      <c r="F616" s="135"/>
      <c r="G616" s="135"/>
      <c r="H616" s="135"/>
      <c r="I616" s="516"/>
      <c r="J616" s="135"/>
      <c r="K616" s="135"/>
      <c r="L616" s="135"/>
      <c r="M616" s="137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hidden="1" customHeight="1">
      <c r="A617" s="134"/>
      <c r="B617" s="135"/>
      <c r="C617" s="135"/>
      <c r="D617" s="516"/>
      <c r="E617" s="135"/>
      <c r="F617" s="135"/>
      <c r="G617" s="135"/>
      <c r="H617" s="135"/>
      <c r="I617" s="516"/>
      <c r="J617" s="135"/>
      <c r="K617" s="135"/>
      <c r="L617" s="135"/>
      <c r="M617" s="137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hidden="1" customHeight="1">
      <c r="A618" s="134"/>
      <c r="B618" s="135"/>
      <c r="C618" s="135"/>
      <c r="D618" s="516"/>
      <c r="E618" s="135"/>
      <c r="F618" s="135"/>
      <c r="G618" s="135"/>
      <c r="H618" s="135"/>
      <c r="I618" s="516"/>
      <c r="J618" s="135"/>
      <c r="K618" s="135"/>
      <c r="L618" s="135"/>
      <c r="M618" s="137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hidden="1" customHeight="1">
      <c r="A619" s="134"/>
      <c r="B619" s="135"/>
      <c r="C619" s="135"/>
      <c r="D619" s="516"/>
      <c r="E619" s="135"/>
      <c r="F619" s="135"/>
      <c r="G619" s="135"/>
      <c r="H619" s="135"/>
      <c r="I619" s="516"/>
      <c r="J619" s="135"/>
      <c r="K619" s="135"/>
      <c r="L619" s="135"/>
      <c r="M619" s="137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hidden="1" customHeight="1">
      <c r="A620" s="134"/>
      <c r="B620" s="135"/>
      <c r="C620" s="135"/>
      <c r="D620" s="516"/>
      <c r="E620" s="135"/>
      <c r="F620" s="135"/>
      <c r="G620" s="135"/>
      <c r="H620" s="135"/>
      <c r="I620" s="516"/>
      <c r="J620" s="135"/>
      <c r="K620" s="135"/>
      <c r="L620" s="135"/>
      <c r="M620" s="137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hidden="1" customHeight="1">
      <c r="A621" s="134"/>
      <c r="B621" s="135"/>
      <c r="C621" s="135"/>
      <c r="D621" s="516"/>
      <c r="E621" s="135"/>
      <c r="F621" s="135"/>
      <c r="G621" s="135"/>
      <c r="H621" s="135"/>
      <c r="I621" s="516"/>
      <c r="J621" s="135"/>
      <c r="K621" s="135"/>
      <c r="L621" s="135"/>
      <c r="M621" s="137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hidden="1" customHeight="1">
      <c r="A622" s="134"/>
      <c r="B622" s="135"/>
      <c r="C622" s="135"/>
      <c r="D622" s="516"/>
      <c r="E622" s="135"/>
      <c r="F622" s="135"/>
      <c r="G622" s="135"/>
      <c r="H622" s="135"/>
      <c r="I622" s="516"/>
      <c r="J622" s="135"/>
      <c r="K622" s="135"/>
      <c r="L622" s="135"/>
      <c r="M622" s="137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hidden="1" customHeight="1">
      <c r="A623" s="134"/>
      <c r="B623" s="135"/>
      <c r="C623" s="135"/>
      <c r="D623" s="516"/>
      <c r="E623" s="135"/>
      <c r="F623" s="135"/>
      <c r="G623" s="135"/>
      <c r="H623" s="135"/>
      <c r="I623" s="516"/>
      <c r="J623" s="135"/>
      <c r="K623" s="135"/>
      <c r="L623" s="135"/>
      <c r="M623" s="137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hidden="1" customHeight="1">
      <c r="A624" s="134"/>
      <c r="B624" s="135"/>
      <c r="C624" s="135"/>
      <c r="D624" s="516"/>
      <c r="E624" s="135"/>
      <c r="F624" s="135"/>
      <c r="G624" s="135"/>
      <c r="H624" s="135"/>
      <c r="I624" s="516"/>
      <c r="J624" s="135"/>
      <c r="K624" s="135"/>
      <c r="L624" s="135"/>
      <c r="M624" s="137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hidden="1" customHeight="1">
      <c r="A625" s="134"/>
      <c r="B625" s="135"/>
      <c r="C625" s="135"/>
      <c r="D625" s="516"/>
      <c r="E625" s="135"/>
      <c r="F625" s="135"/>
      <c r="G625" s="135"/>
      <c r="H625" s="135"/>
      <c r="I625" s="516"/>
      <c r="J625" s="135"/>
      <c r="K625" s="135"/>
      <c r="L625" s="135"/>
      <c r="M625" s="137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hidden="1" customHeight="1">
      <c r="A626" s="134"/>
      <c r="B626" s="135"/>
      <c r="C626" s="135"/>
      <c r="D626" s="516"/>
      <c r="E626" s="135"/>
      <c r="F626" s="135"/>
      <c r="G626" s="135"/>
      <c r="H626" s="135"/>
      <c r="I626" s="516"/>
      <c r="J626" s="135"/>
      <c r="K626" s="135"/>
      <c r="L626" s="135"/>
      <c r="M626" s="137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hidden="1" customHeight="1">
      <c r="A627" s="134"/>
      <c r="B627" s="135"/>
      <c r="C627" s="135"/>
      <c r="D627" s="516"/>
      <c r="E627" s="135"/>
      <c r="F627" s="135"/>
      <c r="G627" s="135"/>
      <c r="H627" s="135"/>
      <c r="I627" s="516"/>
      <c r="J627" s="135"/>
      <c r="K627" s="135"/>
      <c r="L627" s="135"/>
      <c r="M627" s="137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hidden="1" customHeight="1">
      <c r="A628" s="134"/>
      <c r="B628" s="135"/>
      <c r="C628" s="135"/>
      <c r="D628" s="516"/>
      <c r="E628" s="135"/>
      <c r="F628" s="135"/>
      <c r="G628" s="135"/>
      <c r="H628" s="135"/>
      <c r="I628" s="516"/>
      <c r="J628" s="135"/>
      <c r="K628" s="135"/>
      <c r="L628" s="135"/>
      <c r="M628" s="137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hidden="1" customHeight="1">
      <c r="A629" s="134"/>
      <c r="B629" s="135"/>
      <c r="C629" s="135"/>
      <c r="D629" s="516"/>
      <c r="E629" s="135"/>
      <c r="F629" s="135"/>
      <c r="G629" s="135"/>
      <c r="H629" s="135"/>
      <c r="I629" s="516"/>
      <c r="J629" s="135"/>
      <c r="K629" s="135"/>
      <c r="L629" s="135"/>
      <c r="M629" s="137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hidden="1" customHeight="1">
      <c r="A630" s="134"/>
      <c r="B630" s="135"/>
      <c r="C630" s="135"/>
      <c r="D630" s="516"/>
      <c r="E630" s="135"/>
      <c r="F630" s="135"/>
      <c r="G630" s="135"/>
      <c r="H630" s="135"/>
      <c r="I630" s="516"/>
      <c r="J630" s="135"/>
      <c r="K630" s="135"/>
      <c r="L630" s="135"/>
      <c r="M630" s="137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hidden="1" customHeight="1">
      <c r="A631" s="134"/>
      <c r="B631" s="135"/>
      <c r="C631" s="135"/>
      <c r="D631" s="516"/>
      <c r="E631" s="135"/>
      <c r="F631" s="135"/>
      <c r="G631" s="135"/>
      <c r="H631" s="135"/>
      <c r="I631" s="516"/>
      <c r="J631" s="135"/>
      <c r="K631" s="135"/>
      <c r="L631" s="135"/>
      <c r="M631" s="137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hidden="1" customHeight="1">
      <c r="A632" s="134"/>
      <c r="B632" s="135"/>
      <c r="C632" s="135"/>
      <c r="D632" s="516"/>
      <c r="E632" s="135"/>
      <c r="F632" s="135"/>
      <c r="G632" s="135"/>
      <c r="H632" s="135"/>
      <c r="I632" s="516"/>
      <c r="J632" s="135"/>
      <c r="K632" s="135"/>
      <c r="L632" s="135"/>
      <c r="M632" s="137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hidden="1" customHeight="1">
      <c r="A633" s="134"/>
      <c r="B633" s="135"/>
      <c r="C633" s="135"/>
      <c r="D633" s="516"/>
      <c r="E633" s="135"/>
      <c r="F633" s="135"/>
      <c r="G633" s="135"/>
      <c r="H633" s="135"/>
      <c r="I633" s="516"/>
      <c r="J633" s="135"/>
      <c r="K633" s="135"/>
      <c r="L633" s="135"/>
      <c r="M633" s="137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hidden="1" customHeight="1">
      <c r="A634" s="134"/>
      <c r="B634" s="135"/>
      <c r="C634" s="135"/>
      <c r="D634" s="516"/>
      <c r="E634" s="135"/>
      <c r="F634" s="135"/>
      <c r="G634" s="135"/>
      <c r="H634" s="135"/>
      <c r="I634" s="516"/>
      <c r="J634" s="135"/>
      <c r="K634" s="135"/>
      <c r="L634" s="135"/>
      <c r="M634" s="137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hidden="1" customHeight="1">
      <c r="A635" s="134"/>
      <c r="B635" s="135"/>
      <c r="C635" s="135"/>
      <c r="D635" s="516"/>
      <c r="E635" s="135"/>
      <c r="F635" s="135"/>
      <c r="G635" s="135"/>
      <c r="H635" s="135"/>
      <c r="I635" s="516"/>
      <c r="J635" s="135"/>
      <c r="K635" s="135"/>
      <c r="L635" s="135"/>
      <c r="M635" s="137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hidden="1" customHeight="1">
      <c r="A636" s="134"/>
      <c r="B636" s="135"/>
      <c r="C636" s="135"/>
      <c r="D636" s="516"/>
      <c r="E636" s="135"/>
      <c r="F636" s="135"/>
      <c r="G636" s="135"/>
      <c r="H636" s="135"/>
      <c r="I636" s="516"/>
      <c r="J636" s="135"/>
      <c r="K636" s="135"/>
      <c r="L636" s="135"/>
      <c r="M636" s="137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hidden="1" customHeight="1">
      <c r="A637" s="134"/>
      <c r="B637" s="135"/>
      <c r="C637" s="135"/>
      <c r="D637" s="516"/>
      <c r="E637" s="135"/>
      <c r="F637" s="135"/>
      <c r="G637" s="135"/>
      <c r="H637" s="135"/>
      <c r="I637" s="516"/>
      <c r="J637" s="135"/>
      <c r="K637" s="135"/>
      <c r="L637" s="135"/>
      <c r="M637" s="137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hidden="1" customHeight="1">
      <c r="A638" s="134"/>
      <c r="B638" s="135"/>
      <c r="C638" s="135"/>
      <c r="D638" s="516"/>
      <c r="E638" s="135"/>
      <c r="F638" s="135"/>
      <c r="G638" s="135"/>
      <c r="H638" s="135"/>
      <c r="I638" s="516"/>
      <c r="J638" s="135"/>
      <c r="K638" s="135"/>
      <c r="L638" s="135"/>
      <c r="M638" s="137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hidden="1" customHeight="1">
      <c r="A639" s="134"/>
      <c r="B639" s="135"/>
      <c r="C639" s="135"/>
      <c r="D639" s="516"/>
      <c r="E639" s="135"/>
      <c r="F639" s="135"/>
      <c r="G639" s="135"/>
      <c r="H639" s="135"/>
      <c r="I639" s="516"/>
      <c r="J639" s="135"/>
      <c r="K639" s="135"/>
      <c r="L639" s="135"/>
      <c r="M639" s="137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hidden="1" customHeight="1">
      <c r="A640" s="134"/>
      <c r="B640" s="135"/>
      <c r="C640" s="135"/>
      <c r="D640" s="516"/>
      <c r="E640" s="135"/>
      <c r="F640" s="135"/>
      <c r="G640" s="135"/>
      <c r="H640" s="135"/>
      <c r="I640" s="516"/>
      <c r="J640" s="135"/>
      <c r="K640" s="135"/>
      <c r="L640" s="135"/>
      <c r="M640" s="137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hidden="1" customHeight="1">
      <c r="A641" s="134"/>
      <c r="B641" s="135"/>
      <c r="C641" s="135"/>
      <c r="D641" s="516"/>
      <c r="E641" s="135"/>
      <c r="F641" s="135"/>
      <c r="G641" s="135"/>
      <c r="H641" s="135"/>
      <c r="I641" s="516"/>
      <c r="J641" s="135"/>
      <c r="K641" s="135"/>
      <c r="L641" s="135"/>
      <c r="M641" s="137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hidden="1" customHeight="1">
      <c r="A642" s="134"/>
      <c r="B642" s="135"/>
      <c r="C642" s="135"/>
      <c r="D642" s="516"/>
      <c r="E642" s="135"/>
      <c r="F642" s="135"/>
      <c r="G642" s="135"/>
      <c r="H642" s="135"/>
      <c r="I642" s="516"/>
      <c r="J642" s="135"/>
      <c r="K642" s="135"/>
      <c r="L642" s="135"/>
      <c r="M642" s="137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hidden="1" customHeight="1">
      <c r="A643" s="134"/>
      <c r="B643" s="135"/>
      <c r="C643" s="135"/>
      <c r="D643" s="516"/>
      <c r="E643" s="135"/>
      <c r="F643" s="135"/>
      <c r="G643" s="135"/>
      <c r="H643" s="135"/>
      <c r="I643" s="516"/>
      <c r="J643" s="135"/>
      <c r="K643" s="135"/>
      <c r="L643" s="135"/>
      <c r="M643" s="137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hidden="1" customHeight="1">
      <c r="A644" s="134"/>
      <c r="B644" s="135"/>
      <c r="C644" s="135"/>
      <c r="D644" s="516"/>
      <c r="E644" s="135"/>
      <c r="F644" s="135"/>
      <c r="G644" s="135"/>
      <c r="H644" s="135"/>
      <c r="I644" s="516"/>
      <c r="J644" s="135"/>
      <c r="K644" s="135"/>
      <c r="L644" s="135"/>
      <c r="M644" s="137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hidden="1" customHeight="1">
      <c r="A645" s="134"/>
      <c r="B645" s="135"/>
      <c r="C645" s="135"/>
      <c r="D645" s="516"/>
      <c r="E645" s="135"/>
      <c r="F645" s="135"/>
      <c r="G645" s="135"/>
      <c r="H645" s="135"/>
      <c r="I645" s="516"/>
      <c r="J645" s="135"/>
      <c r="K645" s="135"/>
      <c r="L645" s="135"/>
      <c r="M645" s="137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hidden="1" customHeight="1">
      <c r="A646" s="134"/>
      <c r="B646" s="135"/>
      <c r="C646" s="135"/>
      <c r="D646" s="516"/>
      <c r="E646" s="135"/>
      <c r="F646" s="135"/>
      <c r="G646" s="135"/>
      <c r="H646" s="135"/>
      <c r="I646" s="516"/>
      <c r="J646" s="135"/>
      <c r="K646" s="135"/>
      <c r="L646" s="135"/>
      <c r="M646" s="137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hidden="1" customHeight="1">
      <c r="A647" s="134"/>
      <c r="B647" s="135"/>
      <c r="C647" s="135"/>
      <c r="D647" s="516"/>
      <c r="E647" s="135"/>
      <c r="F647" s="135"/>
      <c r="G647" s="135"/>
      <c r="H647" s="135"/>
      <c r="I647" s="516"/>
      <c r="J647" s="135"/>
      <c r="K647" s="135"/>
      <c r="L647" s="135"/>
      <c r="M647" s="137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hidden="1" customHeight="1">
      <c r="A648" s="134"/>
      <c r="B648" s="135"/>
      <c r="C648" s="135"/>
      <c r="D648" s="516"/>
      <c r="E648" s="135"/>
      <c r="F648" s="135"/>
      <c r="G648" s="135"/>
      <c r="H648" s="135"/>
      <c r="I648" s="516"/>
      <c r="J648" s="135"/>
      <c r="K648" s="135"/>
      <c r="L648" s="135"/>
      <c r="M648" s="137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hidden="1" customHeight="1">
      <c r="A649" s="134"/>
      <c r="B649" s="135"/>
      <c r="C649" s="135"/>
      <c r="D649" s="516"/>
      <c r="E649" s="135"/>
      <c r="F649" s="135"/>
      <c r="G649" s="135"/>
      <c r="H649" s="135"/>
      <c r="I649" s="516"/>
      <c r="J649" s="135"/>
      <c r="K649" s="135"/>
      <c r="L649" s="135"/>
      <c r="M649" s="137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hidden="1" customHeight="1">
      <c r="A650" s="134"/>
      <c r="B650" s="135"/>
      <c r="C650" s="135"/>
      <c r="D650" s="516"/>
      <c r="E650" s="135"/>
      <c r="F650" s="135"/>
      <c r="G650" s="135"/>
      <c r="H650" s="135"/>
      <c r="I650" s="516"/>
      <c r="J650" s="135"/>
      <c r="K650" s="135"/>
      <c r="L650" s="135"/>
      <c r="M650" s="137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hidden="1" customHeight="1">
      <c r="A651" s="134"/>
      <c r="B651" s="135"/>
      <c r="C651" s="135"/>
      <c r="D651" s="516"/>
      <c r="E651" s="135"/>
      <c r="F651" s="135"/>
      <c r="G651" s="135"/>
      <c r="H651" s="135"/>
      <c r="I651" s="516"/>
      <c r="J651" s="135"/>
      <c r="K651" s="135"/>
      <c r="L651" s="135"/>
      <c r="M651" s="137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hidden="1" customHeight="1">
      <c r="A652" s="134"/>
      <c r="B652" s="135"/>
      <c r="C652" s="135"/>
      <c r="D652" s="516"/>
      <c r="E652" s="135"/>
      <c r="F652" s="135"/>
      <c r="G652" s="135"/>
      <c r="H652" s="135"/>
      <c r="I652" s="516"/>
      <c r="J652" s="135"/>
      <c r="K652" s="135"/>
      <c r="L652" s="135"/>
      <c r="M652" s="137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hidden="1" customHeight="1">
      <c r="A653" s="134"/>
      <c r="B653" s="135"/>
      <c r="C653" s="135"/>
      <c r="D653" s="516"/>
      <c r="E653" s="135"/>
      <c r="F653" s="135"/>
      <c r="G653" s="135"/>
      <c r="H653" s="135"/>
      <c r="I653" s="516"/>
      <c r="J653" s="135"/>
      <c r="K653" s="135"/>
      <c r="L653" s="135"/>
      <c r="M653" s="137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hidden="1" customHeight="1">
      <c r="A654" s="134"/>
      <c r="B654" s="135"/>
      <c r="C654" s="135"/>
      <c r="D654" s="516"/>
      <c r="E654" s="135"/>
      <c r="F654" s="135"/>
      <c r="G654" s="135"/>
      <c r="H654" s="135"/>
      <c r="I654" s="516"/>
      <c r="J654" s="135"/>
      <c r="K654" s="135"/>
      <c r="L654" s="135"/>
      <c r="M654" s="137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4"/>
      <c r="B655" s="135"/>
      <c r="C655" s="135"/>
      <c r="D655" s="516"/>
      <c r="E655" s="135"/>
      <c r="F655" s="135"/>
      <c r="G655" s="135"/>
      <c r="H655" s="135"/>
      <c r="I655" s="516"/>
      <c r="J655" s="135"/>
      <c r="K655" s="135"/>
      <c r="L655" s="135"/>
      <c r="M655" s="137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4"/>
      <c r="B656" s="135"/>
      <c r="C656" s="135"/>
      <c r="D656" s="516"/>
      <c r="E656" s="135"/>
      <c r="F656" s="135"/>
      <c r="G656" s="135"/>
      <c r="H656" s="135"/>
      <c r="I656" s="516"/>
      <c r="J656" s="135"/>
      <c r="K656" s="135"/>
      <c r="L656" s="135"/>
      <c r="M656" s="137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4"/>
      <c r="B657" s="135"/>
      <c r="C657" s="135"/>
      <c r="D657" s="516"/>
      <c r="E657" s="135"/>
      <c r="F657" s="135"/>
      <c r="G657" s="135"/>
      <c r="H657" s="135"/>
      <c r="I657" s="516"/>
      <c r="J657" s="135"/>
      <c r="K657" s="135"/>
      <c r="L657" s="135"/>
      <c r="M657" s="137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4"/>
      <c r="B658" s="135"/>
      <c r="C658" s="135"/>
      <c r="D658" s="516"/>
      <c r="E658" s="135"/>
      <c r="F658" s="135"/>
      <c r="G658" s="135"/>
      <c r="H658" s="135"/>
      <c r="I658" s="516"/>
      <c r="J658" s="135"/>
      <c r="K658" s="135"/>
      <c r="L658" s="135"/>
      <c r="M658" s="137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4"/>
      <c r="B659" s="135"/>
      <c r="C659" s="135"/>
      <c r="D659" s="516"/>
      <c r="E659" s="135"/>
      <c r="F659" s="135"/>
      <c r="G659" s="135"/>
      <c r="H659" s="135"/>
      <c r="I659" s="516"/>
      <c r="J659" s="135"/>
      <c r="K659" s="135"/>
      <c r="L659" s="135"/>
      <c r="M659" s="137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4"/>
      <c r="B660" s="135"/>
      <c r="C660" s="135"/>
      <c r="D660" s="516"/>
      <c r="E660" s="135"/>
      <c r="F660" s="135"/>
      <c r="G660" s="135"/>
      <c r="H660" s="135"/>
      <c r="I660" s="516"/>
      <c r="J660" s="135"/>
      <c r="K660" s="135"/>
      <c r="L660" s="135"/>
      <c r="M660" s="137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4"/>
      <c r="B661" s="135"/>
      <c r="C661" s="135"/>
      <c r="D661" s="516"/>
      <c r="E661" s="135"/>
      <c r="F661" s="135"/>
      <c r="G661" s="135"/>
      <c r="H661" s="135"/>
      <c r="I661" s="516"/>
      <c r="J661" s="135"/>
      <c r="K661" s="135"/>
      <c r="L661" s="135"/>
      <c r="M661" s="137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4"/>
      <c r="B662" s="135"/>
      <c r="C662" s="135"/>
      <c r="D662" s="516"/>
      <c r="E662" s="135"/>
      <c r="F662" s="135"/>
      <c r="G662" s="135"/>
      <c r="H662" s="135"/>
      <c r="I662" s="516"/>
      <c r="J662" s="135"/>
      <c r="K662" s="135"/>
      <c r="L662" s="135"/>
      <c r="M662" s="137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4"/>
      <c r="B663" s="135"/>
      <c r="C663" s="135"/>
      <c r="D663" s="516"/>
      <c r="E663" s="135"/>
      <c r="F663" s="135"/>
      <c r="G663" s="135"/>
      <c r="H663" s="135"/>
      <c r="I663" s="516"/>
      <c r="J663" s="135"/>
      <c r="K663" s="135"/>
      <c r="L663" s="135"/>
      <c r="M663" s="137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4"/>
      <c r="B664" s="135"/>
      <c r="C664" s="135"/>
      <c r="D664" s="516"/>
      <c r="E664" s="135"/>
      <c r="F664" s="135"/>
      <c r="G664" s="135"/>
      <c r="H664" s="135"/>
      <c r="I664" s="516"/>
      <c r="J664" s="135"/>
      <c r="K664" s="135"/>
      <c r="L664" s="135"/>
      <c r="M664" s="137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4"/>
      <c r="B665" s="135"/>
      <c r="C665" s="135"/>
      <c r="D665" s="516"/>
      <c r="E665" s="135"/>
      <c r="F665" s="135"/>
      <c r="G665" s="135"/>
      <c r="H665" s="135"/>
      <c r="I665" s="516"/>
      <c r="J665" s="135"/>
      <c r="K665" s="135"/>
      <c r="L665" s="135"/>
      <c r="M665" s="137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4"/>
      <c r="B666" s="135"/>
      <c r="C666" s="135"/>
      <c r="D666" s="516"/>
      <c r="E666" s="135"/>
      <c r="F666" s="135"/>
      <c r="G666" s="135"/>
      <c r="H666" s="135"/>
      <c r="I666" s="516"/>
      <c r="J666" s="135"/>
      <c r="K666" s="135"/>
      <c r="L666" s="135"/>
      <c r="M666" s="137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4"/>
      <c r="B667" s="135"/>
      <c r="C667" s="135"/>
      <c r="D667" s="516"/>
      <c r="E667" s="135"/>
      <c r="F667" s="135"/>
      <c r="G667" s="135"/>
      <c r="H667" s="135"/>
      <c r="I667" s="516"/>
      <c r="J667" s="135"/>
      <c r="K667" s="135"/>
      <c r="L667" s="135"/>
      <c r="M667" s="137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4"/>
      <c r="B668" s="135"/>
      <c r="C668" s="135"/>
      <c r="D668" s="516"/>
      <c r="E668" s="135"/>
      <c r="F668" s="135"/>
      <c r="G668" s="135"/>
      <c r="H668" s="135"/>
      <c r="I668" s="516"/>
      <c r="J668" s="135"/>
      <c r="K668" s="135"/>
      <c r="L668" s="135"/>
      <c r="M668" s="137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4"/>
      <c r="B669" s="135"/>
      <c r="C669" s="135"/>
      <c r="D669" s="516"/>
      <c r="E669" s="135"/>
      <c r="F669" s="135"/>
      <c r="G669" s="135"/>
      <c r="H669" s="135"/>
      <c r="I669" s="516"/>
      <c r="J669" s="135"/>
      <c r="K669" s="135"/>
      <c r="L669" s="135"/>
      <c r="M669" s="137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4"/>
      <c r="B670" s="135"/>
      <c r="C670" s="135"/>
      <c r="D670" s="516"/>
      <c r="E670" s="135"/>
      <c r="F670" s="135"/>
      <c r="G670" s="135"/>
      <c r="H670" s="135"/>
      <c r="I670" s="516"/>
      <c r="J670" s="135"/>
      <c r="K670" s="135"/>
      <c r="L670" s="135"/>
      <c r="M670" s="137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4"/>
      <c r="B671" s="135"/>
      <c r="C671" s="135"/>
      <c r="D671" s="516"/>
      <c r="E671" s="135"/>
      <c r="F671" s="135"/>
      <c r="G671" s="135"/>
      <c r="H671" s="135"/>
      <c r="I671" s="516"/>
      <c r="J671" s="135"/>
      <c r="K671" s="135"/>
      <c r="L671" s="135"/>
      <c r="M671" s="137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4"/>
      <c r="B672" s="135"/>
      <c r="C672" s="135"/>
      <c r="D672" s="516"/>
      <c r="E672" s="135"/>
      <c r="F672" s="135"/>
      <c r="G672" s="135"/>
      <c r="H672" s="135"/>
      <c r="I672" s="516"/>
      <c r="J672" s="135"/>
      <c r="K672" s="135"/>
      <c r="L672" s="135"/>
      <c r="M672" s="137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4"/>
      <c r="B673" s="135"/>
      <c r="C673" s="135"/>
      <c r="D673" s="516"/>
      <c r="E673" s="135"/>
      <c r="F673" s="135"/>
      <c r="G673" s="135"/>
      <c r="H673" s="135"/>
      <c r="I673" s="516"/>
      <c r="J673" s="135"/>
      <c r="K673" s="135"/>
      <c r="L673" s="135"/>
      <c r="M673" s="137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4"/>
      <c r="B674" s="135"/>
      <c r="C674" s="135"/>
      <c r="D674" s="516"/>
      <c r="E674" s="135"/>
      <c r="F674" s="135"/>
      <c r="G674" s="135"/>
      <c r="H674" s="135"/>
      <c r="I674" s="516"/>
      <c r="J674" s="135"/>
      <c r="K674" s="135"/>
      <c r="L674" s="135"/>
      <c r="M674" s="137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4"/>
      <c r="B675" s="135"/>
      <c r="C675" s="135"/>
      <c r="D675" s="516"/>
      <c r="E675" s="135"/>
      <c r="F675" s="135"/>
      <c r="G675" s="135"/>
      <c r="H675" s="135"/>
      <c r="I675" s="516"/>
      <c r="J675" s="135"/>
      <c r="K675" s="135"/>
      <c r="L675" s="135"/>
      <c r="M675" s="137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4"/>
      <c r="B676" s="135"/>
      <c r="C676" s="135"/>
      <c r="D676" s="516"/>
      <c r="E676" s="135"/>
      <c r="F676" s="135"/>
      <c r="G676" s="135"/>
      <c r="H676" s="135"/>
      <c r="I676" s="516"/>
      <c r="J676" s="135"/>
      <c r="K676" s="135"/>
      <c r="L676" s="135"/>
      <c r="M676" s="137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hidden="1" customHeight="1">
      <c r="A677" s="134"/>
      <c r="B677" s="135"/>
      <c r="C677" s="135"/>
      <c r="D677" s="516"/>
      <c r="E677" s="135"/>
      <c r="F677" s="135"/>
      <c r="G677" s="135"/>
      <c r="H677" s="135"/>
      <c r="I677" s="516"/>
      <c r="J677" s="135"/>
      <c r="K677" s="135"/>
      <c r="L677" s="135"/>
      <c r="M677" s="137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hidden="1" customHeight="1">
      <c r="A678" s="134"/>
      <c r="B678" s="135"/>
      <c r="C678" s="135"/>
      <c r="D678" s="516"/>
      <c r="E678" s="135"/>
      <c r="F678" s="135"/>
      <c r="G678" s="135"/>
      <c r="H678" s="135"/>
      <c r="I678" s="516"/>
      <c r="J678" s="135"/>
      <c r="K678" s="135"/>
      <c r="L678" s="135"/>
      <c r="M678" s="137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hidden="1" customHeight="1">
      <c r="A679" s="134"/>
      <c r="B679" s="135"/>
      <c r="C679" s="135"/>
      <c r="D679" s="516"/>
      <c r="E679" s="135"/>
      <c r="F679" s="135"/>
      <c r="G679" s="135"/>
      <c r="H679" s="135"/>
      <c r="I679" s="516"/>
      <c r="J679" s="135"/>
      <c r="K679" s="135"/>
      <c r="L679" s="135"/>
      <c r="M679" s="137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hidden="1" customHeight="1">
      <c r="A680" s="134"/>
      <c r="B680" s="135"/>
      <c r="C680" s="135"/>
      <c r="D680" s="516"/>
      <c r="E680" s="135"/>
      <c r="F680" s="135"/>
      <c r="G680" s="135"/>
      <c r="H680" s="135"/>
      <c r="I680" s="516"/>
      <c r="J680" s="135"/>
      <c r="K680" s="135"/>
      <c r="L680" s="135"/>
      <c r="M680" s="137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hidden="1" customHeight="1">
      <c r="A681" s="134"/>
      <c r="B681" s="135"/>
      <c r="C681" s="135"/>
      <c r="D681" s="516"/>
      <c r="E681" s="135"/>
      <c r="F681" s="135"/>
      <c r="G681" s="135"/>
      <c r="H681" s="135"/>
      <c r="I681" s="516"/>
      <c r="J681" s="135"/>
      <c r="K681" s="135"/>
      <c r="L681" s="135"/>
      <c r="M681" s="137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hidden="1" customHeight="1">
      <c r="A682" s="134"/>
      <c r="B682" s="135"/>
      <c r="C682" s="135"/>
      <c r="D682" s="516"/>
      <c r="E682" s="135"/>
      <c r="F682" s="135"/>
      <c r="G682" s="135"/>
      <c r="H682" s="135"/>
      <c r="I682" s="516"/>
      <c r="J682" s="135"/>
      <c r="K682" s="135"/>
      <c r="L682" s="135"/>
      <c r="M682" s="137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hidden="1" customHeight="1">
      <c r="A683" s="134"/>
      <c r="B683" s="135"/>
      <c r="C683" s="135"/>
      <c r="D683" s="516"/>
      <c r="E683" s="135"/>
      <c r="F683" s="135"/>
      <c r="G683" s="135"/>
      <c r="H683" s="135"/>
      <c r="I683" s="516"/>
      <c r="J683" s="135"/>
      <c r="K683" s="135"/>
      <c r="L683" s="135"/>
      <c r="M683" s="137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hidden="1" customHeight="1">
      <c r="A684" s="134"/>
      <c r="B684" s="135"/>
      <c r="C684" s="135"/>
      <c r="D684" s="516"/>
      <c r="E684" s="135"/>
      <c r="F684" s="135"/>
      <c r="G684" s="135"/>
      <c r="H684" s="135"/>
      <c r="I684" s="516"/>
      <c r="J684" s="135"/>
      <c r="K684" s="135"/>
      <c r="L684" s="135"/>
      <c r="M684" s="137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hidden="1" customHeight="1">
      <c r="A685" s="134"/>
      <c r="B685" s="135"/>
      <c r="C685" s="135"/>
      <c r="D685" s="516"/>
      <c r="E685" s="135"/>
      <c r="F685" s="135"/>
      <c r="G685" s="135"/>
      <c r="H685" s="135"/>
      <c r="I685" s="516"/>
      <c r="J685" s="135"/>
      <c r="K685" s="135"/>
      <c r="L685" s="135"/>
      <c r="M685" s="137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hidden="1" customHeight="1">
      <c r="A686" s="134"/>
      <c r="B686" s="135"/>
      <c r="C686" s="135"/>
      <c r="D686" s="516"/>
      <c r="E686" s="135"/>
      <c r="F686" s="135"/>
      <c r="G686" s="135"/>
      <c r="H686" s="135"/>
      <c r="I686" s="516"/>
      <c r="J686" s="135"/>
      <c r="K686" s="135"/>
      <c r="L686" s="135"/>
      <c r="M686" s="137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hidden="1" customHeight="1">
      <c r="A687" s="134"/>
      <c r="B687" s="135"/>
      <c r="C687" s="135"/>
      <c r="D687" s="516"/>
      <c r="E687" s="135"/>
      <c r="F687" s="135"/>
      <c r="G687" s="135"/>
      <c r="H687" s="135"/>
      <c r="I687" s="516"/>
      <c r="J687" s="135"/>
      <c r="K687" s="135"/>
      <c r="L687" s="135"/>
      <c r="M687" s="137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hidden="1" customHeight="1">
      <c r="A688" s="134"/>
      <c r="B688" s="135"/>
      <c r="C688" s="135"/>
      <c r="D688" s="516"/>
      <c r="E688" s="135"/>
      <c r="F688" s="135"/>
      <c r="G688" s="135"/>
      <c r="H688" s="135"/>
      <c r="I688" s="516"/>
      <c r="J688" s="135"/>
      <c r="K688" s="135"/>
      <c r="L688" s="135"/>
      <c r="M688" s="137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hidden="1" customHeight="1">
      <c r="A689" s="134"/>
      <c r="B689" s="135"/>
      <c r="C689" s="135"/>
      <c r="D689" s="516"/>
      <c r="E689" s="135"/>
      <c r="F689" s="135"/>
      <c r="G689" s="135"/>
      <c r="H689" s="135"/>
      <c r="I689" s="516"/>
      <c r="J689" s="135"/>
      <c r="K689" s="135"/>
      <c r="L689" s="135"/>
      <c r="M689" s="137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hidden="1" customHeight="1">
      <c r="A690" s="134"/>
      <c r="B690" s="135"/>
      <c r="C690" s="135"/>
      <c r="D690" s="516"/>
      <c r="E690" s="135"/>
      <c r="F690" s="135"/>
      <c r="G690" s="135"/>
      <c r="H690" s="135"/>
      <c r="I690" s="516"/>
      <c r="J690" s="135"/>
      <c r="K690" s="135"/>
      <c r="L690" s="135"/>
      <c r="M690" s="137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hidden="1" customHeight="1">
      <c r="A691" s="134"/>
      <c r="B691" s="135"/>
      <c r="C691" s="135"/>
      <c r="D691" s="516"/>
      <c r="E691" s="135"/>
      <c r="F691" s="135"/>
      <c r="G691" s="135"/>
      <c r="H691" s="135"/>
      <c r="I691" s="516"/>
      <c r="J691" s="135"/>
      <c r="K691" s="135"/>
      <c r="L691" s="135"/>
      <c r="M691" s="137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hidden="1" customHeight="1">
      <c r="A692" s="134"/>
      <c r="B692" s="135"/>
      <c r="C692" s="135"/>
      <c r="D692" s="516"/>
      <c r="E692" s="135"/>
      <c r="F692" s="135"/>
      <c r="G692" s="135"/>
      <c r="H692" s="135"/>
      <c r="I692" s="516"/>
      <c r="J692" s="135"/>
      <c r="K692" s="135"/>
      <c r="L692" s="135"/>
      <c r="M692" s="137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hidden="1" customHeight="1">
      <c r="A693" s="134"/>
      <c r="B693" s="135"/>
      <c r="C693" s="135"/>
      <c r="D693" s="516"/>
      <c r="E693" s="135"/>
      <c r="F693" s="135"/>
      <c r="G693" s="135"/>
      <c r="H693" s="135"/>
      <c r="I693" s="516"/>
      <c r="J693" s="135"/>
      <c r="K693" s="135"/>
      <c r="L693" s="135"/>
      <c r="M693" s="137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hidden="1" customHeight="1">
      <c r="A694" s="134"/>
      <c r="B694" s="135"/>
      <c r="C694" s="135"/>
      <c r="D694" s="516"/>
      <c r="E694" s="135"/>
      <c r="F694" s="135"/>
      <c r="G694" s="135"/>
      <c r="H694" s="135"/>
      <c r="I694" s="516"/>
      <c r="J694" s="135"/>
      <c r="K694" s="135"/>
      <c r="L694" s="135"/>
      <c r="M694" s="137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hidden="1" customHeight="1">
      <c r="A695" s="134"/>
      <c r="B695" s="135"/>
      <c r="C695" s="135"/>
      <c r="D695" s="516"/>
      <c r="E695" s="135"/>
      <c r="F695" s="135"/>
      <c r="G695" s="135"/>
      <c r="H695" s="135"/>
      <c r="I695" s="516"/>
      <c r="J695" s="135"/>
      <c r="K695" s="135"/>
      <c r="L695" s="135"/>
      <c r="M695" s="137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customHeight="1">
      <c r="A696" s="138"/>
      <c r="B696" s="139"/>
      <c r="C696" s="139"/>
      <c r="D696" s="194"/>
      <c r="E696" s="141"/>
      <c r="F696" s="142"/>
      <c r="G696" s="141"/>
      <c r="H696" s="142"/>
      <c r="I696" s="194"/>
      <c r="J696" s="141"/>
      <c r="K696" s="141"/>
      <c r="L696" s="141"/>
      <c r="M696" s="143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customHeight="1">
      <c r="A697" s="138"/>
      <c r="B697" s="139"/>
      <c r="C697" s="139"/>
      <c r="D697" s="194"/>
      <c r="E697" s="141"/>
      <c r="F697" s="142"/>
      <c r="G697" s="141"/>
      <c r="H697" s="142"/>
      <c r="I697" s="194"/>
      <c r="J697" s="141"/>
      <c r="K697" s="141"/>
      <c r="L697" s="141"/>
      <c r="M697" s="143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customHeight="1">
      <c r="A698" s="138"/>
      <c r="B698" s="139"/>
      <c r="C698" s="139"/>
      <c r="D698" s="194"/>
      <c r="E698" s="141"/>
      <c r="F698" s="142"/>
      <c r="G698" s="141"/>
      <c r="H698" s="142"/>
      <c r="I698" s="194"/>
      <c r="J698" s="141"/>
      <c r="K698" s="141"/>
      <c r="L698" s="141"/>
      <c r="M698" s="143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customHeight="1">
      <c r="A699" s="138"/>
      <c r="B699" s="139"/>
      <c r="C699" s="139"/>
      <c r="D699" s="194"/>
      <c r="E699" s="141"/>
      <c r="F699" s="142"/>
      <c r="G699" s="141"/>
      <c r="H699" s="142"/>
      <c r="I699" s="194"/>
      <c r="J699" s="141"/>
      <c r="K699" s="141"/>
      <c r="L699" s="141"/>
      <c r="M699" s="143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customHeight="1">
      <c r="A700" s="138"/>
      <c r="B700" s="139"/>
      <c r="C700" s="139"/>
      <c r="D700" s="194"/>
      <c r="E700" s="141"/>
      <c r="F700" s="142"/>
      <c r="G700" s="141"/>
      <c r="H700" s="142"/>
      <c r="I700" s="194"/>
      <c r="J700" s="141"/>
      <c r="K700" s="141"/>
      <c r="L700" s="141"/>
      <c r="M700" s="143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customHeight="1">
      <c r="A701" s="138"/>
      <c r="B701" s="139"/>
      <c r="C701" s="139"/>
      <c r="D701" s="194"/>
      <c r="E701" s="141"/>
      <c r="F701" s="142"/>
      <c r="G701" s="141"/>
      <c r="H701" s="142"/>
      <c r="I701" s="194"/>
      <c r="J701" s="141"/>
      <c r="K701" s="141"/>
      <c r="L701" s="141"/>
      <c r="M701" s="143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customHeight="1">
      <c r="A702" s="138"/>
      <c r="B702" s="139"/>
      <c r="C702" s="139"/>
      <c r="D702" s="194"/>
      <c r="E702" s="141"/>
      <c r="F702" s="142"/>
      <c r="G702" s="141"/>
      <c r="H702" s="142"/>
      <c r="I702" s="194"/>
      <c r="J702" s="141"/>
      <c r="K702" s="141"/>
      <c r="L702" s="141"/>
      <c r="M702" s="143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customHeight="1">
      <c r="A703" s="138"/>
      <c r="B703" s="139"/>
      <c r="C703" s="139"/>
      <c r="D703" s="194"/>
      <c r="E703" s="141"/>
      <c r="F703" s="142"/>
      <c r="G703" s="141"/>
      <c r="H703" s="142"/>
      <c r="I703" s="194"/>
      <c r="J703" s="141"/>
      <c r="K703" s="141"/>
      <c r="L703" s="141"/>
      <c r="M703" s="143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customHeight="1">
      <c r="A704" s="138"/>
      <c r="B704" s="139"/>
      <c r="C704" s="139"/>
      <c r="D704" s="194"/>
      <c r="E704" s="141"/>
      <c r="F704" s="142"/>
      <c r="G704" s="141"/>
      <c r="H704" s="142"/>
      <c r="I704" s="194"/>
      <c r="J704" s="141"/>
      <c r="K704" s="141"/>
      <c r="L704" s="141"/>
      <c r="M704" s="143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customHeight="1">
      <c r="A705" s="138"/>
      <c r="B705" s="139"/>
      <c r="C705" s="139"/>
      <c r="D705" s="194"/>
      <c r="E705" s="141"/>
      <c r="F705" s="142"/>
      <c r="G705" s="141"/>
      <c r="H705" s="142"/>
      <c r="I705" s="194"/>
      <c r="J705" s="141"/>
      <c r="K705" s="141"/>
      <c r="L705" s="141"/>
      <c r="M705" s="143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customHeight="1">
      <c r="A706" s="138"/>
      <c r="B706" s="139"/>
      <c r="C706" s="139"/>
      <c r="D706" s="194"/>
      <c r="E706" s="141"/>
      <c r="F706" s="142"/>
      <c r="G706" s="141"/>
      <c r="H706" s="142"/>
      <c r="I706" s="194"/>
      <c r="J706" s="141"/>
      <c r="K706" s="141"/>
      <c r="L706" s="141"/>
      <c r="M706" s="143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customHeight="1">
      <c r="A707" s="138"/>
      <c r="B707" s="139"/>
      <c r="C707" s="139"/>
      <c r="D707" s="194"/>
      <c r="E707" s="141"/>
      <c r="F707" s="142"/>
      <c r="G707" s="141"/>
      <c r="H707" s="142"/>
      <c r="I707" s="194"/>
      <c r="J707" s="141"/>
      <c r="K707" s="141"/>
      <c r="L707" s="141"/>
      <c r="M707" s="143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customHeight="1">
      <c r="A708" s="138"/>
      <c r="B708" s="139"/>
      <c r="C708" s="139"/>
      <c r="D708" s="194"/>
      <c r="E708" s="141"/>
      <c r="F708" s="142"/>
      <c r="G708" s="141"/>
      <c r="H708" s="142"/>
      <c r="I708" s="194"/>
      <c r="J708" s="141"/>
      <c r="K708" s="141"/>
      <c r="L708" s="141"/>
      <c r="M708" s="143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customHeight="1">
      <c r="A709" s="138"/>
      <c r="B709" s="139"/>
      <c r="C709" s="139"/>
      <c r="D709" s="194"/>
      <c r="E709" s="141"/>
      <c r="F709" s="142"/>
      <c r="G709" s="141"/>
      <c r="H709" s="142"/>
      <c r="I709" s="194"/>
      <c r="J709" s="141"/>
      <c r="K709" s="141"/>
      <c r="L709" s="141"/>
      <c r="M709" s="143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customHeight="1">
      <c r="A710" s="138"/>
      <c r="B710" s="139"/>
      <c r="C710" s="139"/>
      <c r="D710" s="194"/>
      <c r="E710" s="141"/>
      <c r="F710" s="142"/>
      <c r="G710" s="141"/>
      <c r="H710" s="142"/>
      <c r="I710" s="194"/>
      <c r="J710" s="141"/>
      <c r="K710" s="141"/>
      <c r="L710" s="141"/>
      <c r="M710" s="143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customHeight="1">
      <c r="A711" s="138"/>
      <c r="B711" s="139"/>
      <c r="C711" s="139"/>
      <c r="D711" s="194"/>
      <c r="E711" s="141"/>
      <c r="F711" s="142"/>
      <c r="G711" s="141"/>
      <c r="H711" s="142"/>
      <c r="I711" s="194"/>
      <c r="J711" s="141"/>
      <c r="K711" s="141"/>
      <c r="L711" s="141"/>
      <c r="M711" s="143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customHeight="1">
      <c r="A712" s="138"/>
      <c r="B712" s="139"/>
      <c r="C712" s="139"/>
      <c r="D712" s="194"/>
      <c r="E712" s="141"/>
      <c r="F712" s="142"/>
      <c r="G712" s="141"/>
      <c r="H712" s="142"/>
      <c r="I712" s="194"/>
      <c r="J712" s="141"/>
      <c r="K712" s="141"/>
      <c r="L712" s="141"/>
      <c r="M712" s="143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customHeight="1">
      <c r="A713" s="138"/>
      <c r="B713" s="139"/>
      <c r="C713" s="139"/>
      <c r="D713" s="194"/>
      <c r="E713" s="141"/>
      <c r="F713" s="142"/>
      <c r="G713" s="141"/>
      <c r="H713" s="142"/>
      <c r="I713" s="194"/>
      <c r="J713" s="141"/>
      <c r="K713" s="141"/>
      <c r="L713" s="141"/>
      <c r="M713" s="143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customHeight="1">
      <c r="A714" s="138"/>
      <c r="B714" s="139"/>
      <c r="C714" s="139"/>
      <c r="D714" s="194"/>
      <c r="E714" s="141"/>
      <c r="F714" s="142"/>
      <c r="G714" s="141"/>
      <c r="H714" s="142"/>
      <c r="I714" s="194"/>
      <c r="J714" s="141"/>
      <c r="K714" s="141"/>
      <c r="L714" s="141"/>
      <c r="M714" s="143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customHeight="1">
      <c r="A715" s="138"/>
      <c r="B715" s="139"/>
      <c r="C715" s="139"/>
      <c r="D715" s="194"/>
      <c r="E715" s="141"/>
      <c r="F715" s="142"/>
      <c r="G715" s="141"/>
      <c r="H715" s="142"/>
      <c r="I715" s="194"/>
      <c r="J715" s="141"/>
      <c r="K715" s="141"/>
      <c r="L715" s="141"/>
      <c r="M715" s="143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customHeight="1">
      <c r="A716" s="138"/>
      <c r="B716" s="139"/>
      <c r="C716" s="139"/>
      <c r="D716" s="194"/>
      <c r="E716" s="141"/>
      <c r="F716" s="142"/>
      <c r="G716" s="141"/>
      <c r="H716" s="142"/>
      <c r="I716" s="194"/>
      <c r="J716" s="141"/>
      <c r="K716" s="141"/>
      <c r="L716" s="141"/>
      <c r="M716" s="143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customHeight="1">
      <c r="A717" s="138"/>
      <c r="B717" s="139"/>
      <c r="C717" s="139"/>
      <c r="D717" s="194"/>
      <c r="E717" s="141"/>
      <c r="F717" s="142"/>
      <c r="G717" s="141"/>
      <c r="H717" s="142"/>
      <c r="I717" s="194"/>
      <c r="J717" s="141"/>
      <c r="K717" s="141"/>
      <c r="L717" s="141"/>
      <c r="M717" s="143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customHeight="1">
      <c r="A718" s="138"/>
      <c r="B718" s="139"/>
      <c r="C718" s="139"/>
      <c r="D718" s="194"/>
      <c r="E718" s="141"/>
      <c r="F718" s="142"/>
      <c r="G718" s="141"/>
      <c r="H718" s="142"/>
      <c r="I718" s="194"/>
      <c r="J718" s="141"/>
      <c r="K718" s="141"/>
      <c r="L718" s="141"/>
      <c r="M718" s="143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customHeight="1">
      <c r="A719" s="138"/>
      <c r="B719" s="139"/>
      <c r="C719" s="139"/>
      <c r="D719" s="194"/>
      <c r="E719" s="141"/>
      <c r="F719" s="142"/>
      <c r="G719" s="141"/>
      <c r="H719" s="142"/>
      <c r="I719" s="194"/>
      <c r="J719" s="141"/>
      <c r="K719" s="141"/>
      <c r="L719" s="141"/>
      <c r="M719" s="143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customHeight="1">
      <c r="A720" s="138"/>
      <c r="B720" s="139"/>
      <c r="C720" s="139"/>
      <c r="D720" s="194"/>
      <c r="E720" s="141"/>
      <c r="F720" s="142"/>
      <c r="G720" s="141"/>
      <c r="H720" s="142"/>
      <c r="I720" s="194"/>
      <c r="J720" s="141"/>
      <c r="K720" s="141"/>
      <c r="L720" s="141"/>
      <c r="M720" s="143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customHeight="1">
      <c r="A721" s="138"/>
      <c r="B721" s="139"/>
      <c r="C721" s="139"/>
      <c r="D721" s="194"/>
      <c r="E721" s="141"/>
      <c r="F721" s="142"/>
      <c r="G721" s="141"/>
      <c r="H721" s="142"/>
      <c r="I721" s="194"/>
      <c r="J721" s="141"/>
      <c r="K721" s="141"/>
      <c r="L721" s="141"/>
      <c r="M721" s="143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customHeight="1">
      <c r="A722" s="138"/>
      <c r="B722" s="139"/>
      <c r="C722" s="139"/>
      <c r="D722" s="194"/>
      <c r="E722" s="141"/>
      <c r="F722" s="142"/>
      <c r="G722" s="141"/>
      <c r="H722" s="142"/>
      <c r="I722" s="194"/>
      <c r="J722" s="141"/>
      <c r="K722" s="141"/>
      <c r="L722" s="141"/>
      <c r="M722" s="143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customHeight="1">
      <c r="A723" s="138"/>
      <c r="B723" s="139"/>
      <c r="C723" s="139"/>
      <c r="D723" s="194"/>
      <c r="E723" s="141"/>
      <c r="F723" s="142"/>
      <c r="G723" s="141"/>
      <c r="H723" s="142"/>
      <c r="I723" s="194"/>
      <c r="J723" s="141"/>
      <c r="K723" s="141"/>
      <c r="L723" s="141"/>
      <c r="M723" s="143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customHeight="1">
      <c r="A724" s="138"/>
      <c r="B724" s="139"/>
      <c r="C724" s="139"/>
      <c r="D724" s="194"/>
      <c r="E724" s="141"/>
      <c r="F724" s="142"/>
      <c r="G724" s="141"/>
      <c r="H724" s="142"/>
      <c r="I724" s="194"/>
      <c r="J724" s="141"/>
      <c r="K724" s="141"/>
      <c r="L724" s="141"/>
      <c r="M724" s="143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customHeight="1">
      <c r="A725" s="138"/>
      <c r="B725" s="139"/>
      <c r="C725" s="139"/>
      <c r="D725" s="194"/>
      <c r="E725" s="141"/>
      <c r="F725" s="142"/>
      <c r="G725" s="141"/>
      <c r="H725" s="142"/>
      <c r="I725" s="194"/>
      <c r="J725" s="141"/>
      <c r="K725" s="141"/>
      <c r="L725" s="141"/>
      <c r="M725" s="143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customHeight="1">
      <c r="A726" s="138"/>
      <c r="B726" s="139"/>
      <c r="C726" s="139"/>
      <c r="D726" s="194"/>
      <c r="E726" s="141"/>
      <c r="F726" s="142"/>
      <c r="G726" s="141"/>
      <c r="H726" s="142"/>
      <c r="I726" s="194"/>
      <c r="J726" s="141"/>
      <c r="K726" s="141"/>
      <c r="L726" s="141"/>
      <c r="M726" s="143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customHeight="1">
      <c r="A727" s="138"/>
      <c r="B727" s="139"/>
      <c r="C727" s="139"/>
      <c r="D727" s="194"/>
      <c r="E727" s="141"/>
      <c r="F727" s="142"/>
      <c r="G727" s="141"/>
      <c r="H727" s="142"/>
      <c r="I727" s="194"/>
      <c r="J727" s="141"/>
      <c r="K727" s="141"/>
      <c r="L727" s="141"/>
      <c r="M727" s="143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customHeight="1">
      <c r="A728" s="138"/>
      <c r="B728" s="139"/>
      <c r="C728" s="139"/>
      <c r="D728" s="194"/>
      <c r="E728" s="141"/>
      <c r="F728" s="142"/>
      <c r="G728" s="141"/>
      <c r="H728" s="142"/>
      <c r="I728" s="194"/>
      <c r="J728" s="141"/>
      <c r="K728" s="141"/>
      <c r="L728" s="141"/>
      <c r="M728" s="143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customHeight="1">
      <c r="A729" s="138"/>
      <c r="B729" s="139"/>
      <c r="C729" s="139"/>
      <c r="D729" s="194"/>
      <c r="E729" s="141"/>
      <c r="F729" s="142"/>
      <c r="G729" s="141"/>
      <c r="H729" s="142"/>
      <c r="I729" s="194"/>
      <c r="J729" s="141"/>
      <c r="K729" s="141"/>
      <c r="L729" s="141"/>
      <c r="M729" s="143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customHeight="1">
      <c r="A730" s="138"/>
      <c r="B730" s="139"/>
      <c r="C730" s="139"/>
      <c r="D730" s="194"/>
      <c r="E730" s="141"/>
      <c r="F730" s="142"/>
      <c r="G730" s="141"/>
      <c r="H730" s="142"/>
      <c r="I730" s="194"/>
      <c r="J730" s="141"/>
      <c r="K730" s="141"/>
      <c r="L730" s="141"/>
      <c r="M730" s="143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customHeight="1">
      <c r="A731" s="138"/>
      <c r="B731" s="139"/>
      <c r="C731" s="139"/>
      <c r="D731" s="194"/>
      <c r="E731" s="141"/>
      <c r="F731" s="142"/>
      <c r="G731" s="141"/>
      <c r="H731" s="142"/>
      <c r="I731" s="194"/>
      <c r="J731" s="141"/>
      <c r="K731" s="141"/>
      <c r="L731" s="141"/>
      <c r="M731" s="143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customHeight="1">
      <c r="A732" s="138"/>
      <c r="B732" s="139"/>
      <c r="C732" s="139"/>
      <c r="D732" s="194"/>
      <c r="E732" s="141"/>
      <c r="F732" s="142"/>
      <c r="G732" s="141"/>
      <c r="H732" s="142"/>
      <c r="I732" s="194"/>
      <c r="J732" s="141"/>
      <c r="K732" s="141"/>
      <c r="L732" s="141"/>
      <c r="M732" s="143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customHeight="1">
      <c r="A733" s="138"/>
      <c r="B733" s="139"/>
      <c r="C733" s="139"/>
      <c r="D733" s="194"/>
      <c r="E733" s="141"/>
      <c r="F733" s="142"/>
      <c r="G733" s="141"/>
      <c r="H733" s="142"/>
      <c r="I733" s="194"/>
      <c r="J733" s="141"/>
      <c r="K733" s="141"/>
      <c r="L733" s="141"/>
      <c r="M733" s="143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customHeight="1">
      <c r="A734" s="138"/>
      <c r="B734" s="139"/>
      <c r="C734" s="139"/>
      <c r="D734" s="194"/>
      <c r="E734" s="141"/>
      <c r="F734" s="142"/>
      <c r="G734" s="141"/>
      <c r="H734" s="142"/>
      <c r="I734" s="194"/>
      <c r="J734" s="141"/>
      <c r="K734" s="141"/>
      <c r="L734" s="141"/>
      <c r="M734" s="143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customHeight="1">
      <c r="A735" s="138"/>
      <c r="B735" s="139"/>
      <c r="C735" s="139"/>
      <c r="D735" s="194"/>
      <c r="E735" s="141"/>
      <c r="F735" s="142"/>
      <c r="G735" s="141"/>
      <c r="H735" s="142"/>
      <c r="I735" s="194"/>
      <c r="J735" s="141"/>
      <c r="K735" s="141"/>
      <c r="L735" s="141"/>
      <c r="M735" s="143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customHeight="1">
      <c r="A736" s="138"/>
      <c r="B736" s="139"/>
      <c r="C736" s="139"/>
      <c r="D736" s="194"/>
      <c r="E736" s="141"/>
      <c r="F736" s="142"/>
      <c r="G736" s="141"/>
      <c r="H736" s="142"/>
      <c r="I736" s="194"/>
      <c r="J736" s="141"/>
      <c r="K736" s="141"/>
      <c r="L736" s="141"/>
      <c r="M736" s="143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customHeight="1">
      <c r="A737" s="138"/>
      <c r="B737" s="139"/>
      <c r="C737" s="139"/>
      <c r="D737" s="194"/>
      <c r="E737" s="141"/>
      <c r="F737" s="142"/>
      <c r="G737" s="141"/>
      <c r="H737" s="142"/>
      <c r="I737" s="194"/>
      <c r="J737" s="141"/>
      <c r="K737" s="141"/>
      <c r="L737" s="141"/>
      <c r="M737" s="143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customHeight="1">
      <c r="A738" s="138"/>
      <c r="B738" s="139"/>
      <c r="C738" s="139"/>
      <c r="D738" s="194"/>
      <c r="E738" s="141"/>
      <c r="F738" s="142"/>
      <c r="G738" s="141"/>
      <c r="H738" s="142"/>
      <c r="I738" s="194"/>
      <c r="J738" s="141"/>
      <c r="K738" s="141"/>
      <c r="L738" s="141"/>
      <c r="M738" s="143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customHeight="1">
      <c r="A739" s="138"/>
      <c r="B739" s="139"/>
      <c r="C739" s="139"/>
      <c r="D739" s="194"/>
      <c r="E739" s="141"/>
      <c r="F739" s="142"/>
      <c r="G739" s="141"/>
      <c r="H739" s="142"/>
      <c r="I739" s="194"/>
      <c r="J739" s="141"/>
      <c r="K739" s="141"/>
      <c r="L739" s="141"/>
      <c r="M739" s="143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customHeight="1">
      <c r="A740" s="138"/>
      <c r="B740" s="139"/>
      <c r="C740" s="139"/>
      <c r="D740" s="194"/>
      <c r="E740" s="141"/>
      <c r="F740" s="142"/>
      <c r="G740" s="141"/>
      <c r="H740" s="142"/>
      <c r="I740" s="194"/>
      <c r="J740" s="141"/>
      <c r="K740" s="141"/>
      <c r="L740" s="141"/>
      <c r="M740" s="143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customHeight="1">
      <c r="A741" s="138"/>
      <c r="B741" s="139"/>
      <c r="C741" s="139"/>
      <c r="D741" s="194"/>
      <c r="E741" s="141"/>
      <c r="F741" s="142"/>
      <c r="G741" s="141"/>
      <c r="H741" s="142"/>
      <c r="I741" s="194"/>
      <c r="J741" s="141"/>
      <c r="K741" s="141"/>
      <c r="L741" s="141"/>
      <c r="M741" s="143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customHeight="1">
      <c r="A742" s="138"/>
      <c r="B742" s="139"/>
      <c r="C742" s="139"/>
      <c r="D742" s="194"/>
      <c r="E742" s="141"/>
      <c r="F742" s="142"/>
      <c r="G742" s="141"/>
      <c r="H742" s="142"/>
      <c r="I742" s="194"/>
      <c r="J742" s="141"/>
      <c r="K742" s="141"/>
      <c r="L742" s="141"/>
      <c r="M742" s="143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customHeight="1">
      <c r="A743" s="138"/>
      <c r="B743" s="139"/>
      <c r="C743" s="139"/>
      <c r="D743" s="194"/>
      <c r="E743" s="141"/>
      <c r="F743" s="142"/>
      <c r="G743" s="141"/>
      <c r="H743" s="142"/>
      <c r="I743" s="194"/>
      <c r="J743" s="141"/>
      <c r="K743" s="141"/>
      <c r="L743" s="141"/>
      <c r="M743" s="143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customHeight="1">
      <c r="A744" s="138"/>
      <c r="B744" s="139"/>
      <c r="C744" s="139"/>
      <c r="D744" s="194"/>
      <c r="E744" s="141"/>
      <c r="F744" s="142"/>
      <c r="G744" s="141"/>
      <c r="H744" s="142"/>
      <c r="I744" s="194"/>
      <c r="J744" s="141"/>
      <c r="K744" s="141"/>
      <c r="L744" s="141"/>
      <c r="M744" s="143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customHeight="1">
      <c r="A745" s="138"/>
      <c r="B745" s="139"/>
      <c r="C745" s="139"/>
      <c r="D745" s="194"/>
      <c r="E745" s="141"/>
      <c r="F745" s="142"/>
      <c r="G745" s="141"/>
      <c r="H745" s="142"/>
      <c r="I745" s="194"/>
      <c r="J745" s="141"/>
      <c r="K745" s="141"/>
      <c r="L745" s="141"/>
      <c r="M745" s="143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customHeight="1">
      <c r="A746" s="138"/>
      <c r="B746" s="139"/>
      <c r="C746" s="139"/>
      <c r="D746" s="194"/>
      <c r="E746" s="141"/>
      <c r="F746" s="142"/>
      <c r="G746" s="141"/>
      <c r="H746" s="142"/>
      <c r="I746" s="194"/>
      <c r="J746" s="141"/>
      <c r="K746" s="141"/>
      <c r="L746" s="141"/>
      <c r="M746" s="143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customHeight="1">
      <c r="A747" s="138"/>
      <c r="B747" s="139"/>
      <c r="C747" s="139"/>
      <c r="D747" s="194"/>
      <c r="E747" s="141"/>
      <c r="F747" s="142"/>
      <c r="G747" s="141"/>
      <c r="H747" s="142"/>
      <c r="I747" s="194"/>
      <c r="J747" s="141"/>
      <c r="K747" s="141"/>
      <c r="L747" s="141"/>
      <c r="M747" s="143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customHeight="1">
      <c r="A748" s="138"/>
      <c r="B748" s="139"/>
      <c r="C748" s="139"/>
      <c r="D748" s="194"/>
      <c r="E748" s="141"/>
      <c r="F748" s="142"/>
      <c r="G748" s="141"/>
      <c r="H748" s="142"/>
      <c r="I748" s="194"/>
      <c r="J748" s="141"/>
      <c r="K748" s="141"/>
      <c r="L748" s="141"/>
      <c r="M748" s="143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customHeight="1">
      <c r="A749" s="138"/>
      <c r="B749" s="139"/>
      <c r="C749" s="139"/>
      <c r="D749" s="194"/>
      <c r="E749" s="141"/>
      <c r="F749" s="142"/>
      <c r="G749" s="141"/>
      <c r="H749" s="142"/>
      <c r="I749" s="194"/>
      <c r="J749" s="141"/>
      <c r="K749" s="141"/>
      <c r="L749" s="141"/>
      <c r="M749" s="143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customHeight="1">
      <c r="A750" s="138"/>
      <c r="B750" s="139"/>
      <c r="C750" s="139"/>
      <c r="D750" s="194"/>
      <c r="E750" s="141"/>
      <c r="F750" s="142"/>
      <c r="G750" s="141"/>
      <c r="H750" s="142"/>
      <c r="I750" s="194"/>
      <c r="J750" s="141"/>
      <c r="K750" s="141"/>
      <c r="L750" s="141"/>
      <c r="M750" s="143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customHeight="1">
      <c r="A751" s="138"/>
      <c r="B751" s="139"/>
      <c r="C751" s="139"/>
      <c r="D751" s="194"/>
      <c r="E751" s="141"/>
      <c r="F751" s="142"/>
      <c r="G751" s="141"/>
      <c r="H751" s="142"/>
      <c r="I751" s="194"/>
      <c r="J751" s="141"/>
      <c r="K751" s="141"/>
      <c r="L751" s="141"/>
      <c r="M751" s="143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customHeight="1">
      <c r="A752" s="138"/>
      <c r="B752" s="139"/>
      <c r="C752" s="139"/>
      <c r="D752" s="194"/>
      <c r="E752" s="141"/>
      <c r="F752" s="142"/>
      <c r="G752" s="141"/>
      <c r="H752" s="142"/>
      <c r="I752" s="194"/>
      <c r="J752" s="141"/>
      <c r="K752" s="141"/>
      <c r="L752" s="141"/>
      <c r="M752" s="143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customHeight="1">
      <c r="A753" s="138"/>
      <c r="B753" s="139"/>
      <c r="C753" s="139"/>
      <c r="D753" s="194"/>
      <c r="E753" s="141"/>
      <c r="F753" s="142"/>
      <c r="G753" s="141"/>
      <c r="H753" s="142"/>
      <c r="I753" s="194"/>
      <c r="J753" s="141"/>
      <c r="K753" s="141"/>
      <c r="L753" s="141"/>
      <c r="M753" s="143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customHeight="1">
      <c r="A754" s="138"/>
      <c r="B754" s="139"/>
      <c r="C754" s="139"/>
      <c r="D754" s="194"/>
      <c r="E754" s="141"/>
      <c r="F754" s="142"/>
      <c r="G754" s="141"/>
      <c r="H754" s="142"/>
      <c r="I754" s="194"/>
      <c r="J754" s="141"/>
      <c r="K754" s="141"/>
      <c r="L754" s="141"/>
      <c r="M754" s="143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customHeight="1">
      <c r="A755" s="138"/>
      <c r="B755" s="139"/>
      <c r="C755" s="139"/>
      <c r="D755" s="194"/>
      <c r="E755" s="141"/>
      <c r="F755" s="142"/>
      <c r="G755" s="141"/>
      <c r="H755" s="142"/>
      <c r="I755" s="194"/>
      <c r="J755" s="141"/>
      <c r="K755" s="141"/>
      <c r="L755" s="141"/>
      <c r="M755" s="143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customHeight="1">
      <c r="A756" s="138"/>
      <c r="B756" s="139"/>
      <c r="C756" s="139"/>
      <c r="D756" s="194"/>
      <c r="E756" s="141"/>
      <c r="F756" s="142"/>
      <c r="G756" s="141"/>
      <c r="H756" s="142"/>
      <c r="I756" s="194"/>
      <c r="J756" s="141"/>
      <c r="K756" s="141"/>
      <c r="L756" s="141"/>
      <c r="M756" s="143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customHeight="1">
      <c r="A757" s="138"/>
      <c r="B757" s="139"/>
      <c r="C757" s="139"/>
      <c r="D757" s="194"/>
      <c r="E757" s="141"/>
      <c r="F757" s="142"/>
      <c r="G757" s="141"/>
      <c r="H757" s="142"/>
      <c r="I757" s="194"/>
      <c r="J757" s="141"/>
      <c r="K757" s="141"/>
      <c r="L757" s="141"/>
      <c r="M757" s="143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customHeight="1">
      <c r="A758" s="138"/>
      <c r="B758" s="139"/>
      <c r="C758" s="139"/>
      <c r="D758" s="194"/>
      <c r="E758" s="141"/>
      <c r="F758" s="142"/>
      <c r="G758" s="141"/>
      <c r="H758" s="142"/>
      <c r="I758" s="194"/>
      <c r="J758" s="141"/>
      <c r="K758" s="141"/>
      <c r="L758" s="141"/>
      <c r="M758" s="143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customHeight="1">
      <c r="A759" s="138"/>
      <c r="B759" s="139"/>
      <c r="C759" s="139"/>
      <c r="D759" s="194"/>
      <c r="E759" s="141"/>
      <c r="F759" s="142"/>
      <c r="G759" s="141"/>
      <c r="H759" s="142"/>
      <c r="I759" s="194"/>
      <c r="J759" s="141"/>
      <c r="K759" s="141"/>
      <c r="L759" s="141"/>
      <c r="M759" s="143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customHeight="1">
      <c r="A760" s="138"/>
      <c r="B760" s="139"/>
      <c r="C760" s="139"/>
      <c r="D760" s="194"/>
      <c r="E760" s="141"/>
      <c r="F760" s="142"/>
      <c r="G760" s="141"/>
      <c r="H760" s="142"/>
      <c r="I760" s="194"/>
      <c r="J760" s="141"/>
      <c r="K760" s="141"/>
      <c r="L760" s="141"/>
      <c r="M760" s="143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customHeight="1">
      <c r="A761" s="138"/>
      <c r="B761" s="139"/>
      <c r="C761" s="139"/>
      <c r="D761" s="194"/>
      <c r="E761" s="141"/>
      <c r="F761" s="142"/>
      <c r="G761" s="141"/>
      <c r="H761" s="142"/>
      <c r="I761" s="194"/>
      <c r="J761" s="141"/>
      <c r="K761" s="141"/>
      <c r="L761" s="141"/>
      <c r="M761" s="143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customHeight="1">
      <c r="A762" s="138"/>
      <c r="B762" s="139"/>
      <c r="C762" s="139"/>
      <c r="D762" s="194"/>
      <c r="E762" s="141"/>
      <c r="F762" s="142"/>
      <c r="G762" s="141"/>
      <c r="H762" s="142"/>
      <c r="I762" s="194"/>
      <c r="J762" s="141"/>
      <c r="K762" s="141"/>
      <c r="L762" s="141"/>
      <c r="M762" s="143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customHeight="1">
      <c r="A763" s="138"/>
      <c r="B763" s="139"/>
      <c r="C763" s="139"/>
      <c r="D763" s="194"/>
      <c r="E763" s="141"/>
      <c r="F763" s="142"/>
      <c r="G763" s="141"/>
      <c r="H763" s="142"/>
      <c r="I763" s="194"/>
      <c r="J763" s="141"/>
      <c r="K763" s="141"/>
      <c r="L763" s="141"/>
      <c r="M763" s="143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customHeight="1">
      <c r="A764" s="138"/>
      <c r="B764" s="139"/>
      <c r="C764" s="139"/>
      <c r="D764" s="194"/>
      <c r="E764" s="141"/>
      <c r="F764" s="142"/>
      <c r="G764" s="141"/>
      <c r="H764" s="142"/>
      <c r="I764" s="194"/>
      <c r="J764" s="141"/>
      <c r="K764" s="141"/>
      <c r="L764" s="141"/>
      <c r="M764" s="143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customHeight="1">
      <c r="A765" s="138"/>
      <c r="B765" s="139"/>
      <c r="C765" s="139"/>
      <c r="D765" s="194"/>
      <c r="E765" s="141"/>
      <c r="F765" s="142"/>
      <c r="G765" s="141"/>
      <c r="H765" s="142"/>
      <c r="I765" s="194"/>
      <c r="J765" s="141"/>
      <c r="K765" s="141"/>
      <c r="L765" s="141"/>
      <c r="M765" s="143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customHeight="1">
      <c r="A766" s="138"/>
      <c r="B766" s="139"/>
      <c r="C766" s="139"/>
      <c r="D766" s="194"/>
      <c r="E766" s="141"/>
      <c r="F766" s="142"/>
      <c r="G766" s="141"/>
      <c r="H766" s="142"/>
      <c r="I766" s="194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customHeight="1">
      <c r="A767" s="138"/>
      <c r="B767" s="139"/>
      <c r="C767" s="139"/>
      <c r="D767" s="194"/>
      <c r="E767" s="141"/>
      <c r="F767" s="142"/>
      <c r="G767" s="141"/>
      <c r="H767" s="142"/>
      <c r="I767" s="194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customHeight="1">
      <c r="A768" s="138"/>
      <c r="B768" s="139"/>
      <c r="C768" s="139"/>
      <c r="D768" s="194"/>
      <c r="E768" s="141"/>
      <c r="F768" s="142"/>
      <c r="G768" s="141"/>
      <c r="H768" s="142"/>
      <c r="I768" s="194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customHeight="1">
      <c r="A769" s="138"/>
      <c r="B769" s="139"/>
      <c r="C769" s="139"/>
      <c r="D769" s="194"/>
      <c r="E769" s="141"/>
      <c r="F769" s="142"/>
      <c r="G769" s="141"/>
      <c r="H769" s="142"/>
      <c r="I769" s="194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customHeight="1">
      <c r="A770" s="138"/>
      <c r="B770" s="139"/>
      <c r="C770" s="139"/>
      <c r="D770" s="194"/>
      <c r="E770" s="141"/>
      <c r="F770" s="142"/>
      <c r="G770" s="141"/>
      <c r="H770" s="142"/>
      <c r="I770" s="194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customHeight="1">
      <c r="A771" s="138"/>
      <c r="B771" s="139"/>
      <c r="C771" s="139"/>
      <c r="D771" s="194"/>
      <c r="E771" s="141"/>
      <c r="F771" s="142"/>
      <c r="G771" s="141"/>
      <c r="H771" s="142"/>
      <c r="I771" s="194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customHeight="1">
      <c r="A772" s="138"/>
      <c r="B772" s="139"/>
      <c r="C772" s="139"/>
      <c r="D772" s="194"/>
      <c r="E772" s="141"/>
      <c r="F772" s="142"/>
      <c r="G772" s="141"/>
      <c r="H772" s="142"/>
      <c r="I772" s="194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customHeight="1">
      <c r="A773" s="138"/>
      <c r="B773" s="139"/>
      <c r="C773" s="139"/>
      <c r="D773" s="194"/>
      <c r="E773" s="141"/>
      <c r="F773" s="142"/>
      <c r="G773" s="141"/>
      <c r="H773" s="142"/>
      <c r="I773" s="194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customHeight="1">
      <c r="A774" s="138"/>
      <c r="B774" s="139"/>
      <c r="C774" s="139"/>
      <c r="D774" s="194"/>
      <c r="E774" s="141"/>
      <c r="F774" s="142"/>
      <c r="G774" s="141"/>
      <c r="H774" s="142"/>
      <c r="I774" s="194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customHeight="1">
      <c r="A775" s="138"/>
      <c r="B775" s="139"/>
      <c r="C775" s="139"/>
      <c r="D775" s="194"/>
      <c r="E775" s="141"/>
      <c r="F775" s="142"/>
      <c r="G775" s="141"/>
      <c r="H775" s="142"/>
      <c r="I775" s="194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customHeight="1">
      <c r="A776" s="138"/>
      <c r="B776" s="139"/>
      <c r="C776" s="139"/>
      <c r="D776" s="194"/>
      <c r="E776" s="141"/>
      <c r="F776" s="142"/>
      <c r="G776" s="141"/>
      <c r="H776" s="142"/>
      <c r="I776" s="194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customHeight="1">
      <c r="A777" s="138"/>
      <c r="B777" s="139"/>
      <c r="C777" s="139"/>
      <c r="D777" s="194"/>
      <c r="E777" s="141"/>
      <c r="F777" s="142"/>
      <c r="G777" s="141"/>
      <c r="H777" s="142"/>
      <c r="I777" s="194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customHeight="1">
      <c r="A778" s="138"/>
      <c r="B778" s="139"/>
      <c r="C778" s="139"/>
      <c r="D778" s="194"/>
      <c r="E778" s="141"/>
      <c r="F778" s="142"/>
      <c r="G778" s="141"/>
      <c r="H778" s="142"/>
      <c r="I778" s="194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customHeight="1">
      <c r="A779" s="138"/>
      <c r="B779" s="139"/>
      <c r="C779" s="139"/>
      <c r="D779" s="194"/>
      <c r="E779" s="141"/>
      <c r="F779" s="142"/>
      <c r="G779" s="141"/>
      <c r="H779" s="142"/>
      <c r="I779" s="194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customHeight="1">
      <c r="A780" s="138"/>
      <c r="B780" s="139"/>
      <c r="C780" s="139"/>
      <c r="D780" s="194"/>
      <c r="E780" s="141"/>
      <c r="F780" s="142"/>
      <c r="G780" s="141"/>
      <c r="H780" s="142"/>
      <c r="I780" s="194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customHeight="1">
      <c r="A781" s="138"/>
      <c r="B781" s="139"/>
      <c r="C781" s="139"/>
      <c r="D781" s="194"/>
      <c r="E781" s="141"/>
      <c r="F781" s="142"/>
      <c r="G781" s="141"/>
      <c r="H781" s="142"/>
      <c r="I781" s="194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customHeight="1">
      <c r="A782" s="138"/>
      <c r="B782" s="139"/>
      <c r="C782" s="139"/>
      <c r="D782" s="194"/>
      <c r="E782" s="141"/>
      <c r="F782" s="142"/>
      <c r="G782" s="141"/>
      <c r="H782" s="142"/>
      <c r="I782" s="194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customHeight="1">
      <c r="A783" s="138"/>
      <c r="B783" s="139"/>
      <c r="C783" s="139"/>
      <c r="D783" s="194"/>
      <c r="E783" s="141"/>
      <c r="F783" s="142"/>
      <c r="G783" s="141"/>
      <c r="H783" s="142"/>
      <c r="I783" s="194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customHeight="1">
      <c r="A784" s="138"/>
      <c r="B784" s="139"/>
      <c r="C784" s="139"/>
      <c r="D784" s="194"/>
      <c r="E784" s="141"/>
      <c r="F784" s="142"/>
      <c r="G784" s="141"/>
      <c r="H784" s="142"/>
      <c r="I784" s="194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customHeight="1">
      <c r="A785" s="138"/>
      <c r="B785" s="139"/>
      <c r="C785" s="139"/>
      <c r="D785" s="194"/>
      <c r="E785" s="141"/>
      <c r="F785" s="142"/>
      <c r="G785" s="141"/>
      <c r="H785" s="142"/>
      <c r="I785" s="194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customHeight="1">
      <c r="A786" s="138"/>
      <c r="B786" s="139"/>
      <c r="C786" s="139"/>
      <c r="D786" s="194"/>
      <c r="E786" s="141"/>
      <c r="F786" s="142"/>
      <c r="G786" s="141"/>
      <c r="H786" s="142"/>
      <c r="I786" s="194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customHeight="1">
      <c r="A787" s="138"/>
      <c r="B787" s="139"/>
      <c r="C787" s="139"/>
      <c r="D787" s="194"/>
      <c r="E787" s="141"/>
      <c r="F787" s="142"/>
      <c r="G787" s="141"/>
      <c r="H787" s="142"/>
      <c r="I787" s="194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customHeight="1">
      <c r="A788" s="138"/>
      <c r="B788" s="139"/>
      <c r="C788" s="139"/>
      <c r="D788" s="194"/>
      <c r="E788" s="141"/>
      <c r="F788" s="142"/>
      <c r="G788" s="141"/>
      <c r="H788" s="142"/>
      <c r="I788" s="194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customHeight="1">
      <c r="A789" s="138"/>
      <c r="B789" s="139"/>
      <c r="C789" s="139"/>
      <c r="D789" s="194"/>
      <c r="E789" s="141"/>
      <c r="F789" s="142"/>
      <c r="G789" s="141"/>
      <c r="H789" s="142"/>
      <c r="I789" s="194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customHeight="1">
      <c r="A790" s="138"/>
      <c r="B790" s="139"/>
      <c r="C790" s="139"/>
      <c r="D790" s="194"/>
      <c r="E790" s="141"/>
      <c r="F790" s="142"/>
      <c r="G790" s="141"/>
      <c r="H790" s="142"/>
      <c r="I790" s="194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customHeight="1">
      <c r="A791" s="138"/>
      <c r="B791" s="139"/>
      <c r="C791" s="139"/>
      <c r="D791" s="194"/>
      <c r="E791" s="141"/>
      <c r="F791" s="142"/>
      <c r="G791" s="141"/>
      <c r="H791" s="142"/>
      <c r="I791" s="194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customHeight="1">
      <c r="A792" s="138"/>
      <c r="B792" s="139"/>
      <c r="C792" s="139"/>
      <c r="D792" s="194"/>
      <c r="E792" s="141"/>
      <c r="F792" s="142"/>
      <c r="G792" s="141"/>
      <c r="H792" s="142"/>
      <c r="I792" s="194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customHeight="1">
      <c r="A793" s="138"/>
      <c r="B793" s="139"/>
      <c r="C793" s="139"/>
      <c r="D793" s="194"/>
      <c r="E793" s="141"/>
      <c r="F793" s="142"/>
      <c r="G793" s="141"/>
      <c r="H793" s="142"/>
      <c r="I793" s="194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customHeight="1">
      <c r="A794" s="138"/>
      <c r="B794" s="139"/>
      <c r="C794" s="139"/>
      <c r="D794" s="194"/>
      <c r="E794" s="141"/>
      <c r="F794" s="142"/>
      <c r="G794" s="141"/>
      <c r="H794" s="142"/>
      <c r="I794" s="194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customHeight="1">
      <c r="A795" s="138"/>
      <c r="B795" s="139"/>
      <c r="C795" s="139"/>
      <c r="D795" s="194"/>
      <c r="E795" s="141"/>
      <c r="F795" s="142"/>
      <c r="G795" s="141"/>
      <c r="H795" s="142"/>
      <c r="I795" s="194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customHeight="1">
      <c r="A796" s="138"/>
      <c r="B796" s="139"/>
      <c r="C796" s="139"/>
      <c r="D796" s="194"/>
      <c r="E796" s="141"/>
      <c r="F796" s="142"/>
      <c r="G796" s="141"/>
      <c r="H796" s="142"/>
      <c r="I796" s="194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customHeight="1">
      <c r="A797" s="138"/>
      <c r="B797" s="139"/>
      <c r="C797" s="139"/>
      <c r="D797" s="194"/>
      <c r="E797" s="141"/>
      <c r="F797" s="142"/>
      <c r="G797" s="141"/>
      <c r="H797" s="142"/>
      <c r="I797" s="194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customHeight="1">
      <c r="A798" s="138"/>
      <c r="B798" s="139"/>
      <c r="C798" s="139"/>
      <c r="D798" s="194"/>
      <c r="E798" s="141"/>
      <c r="F798" s="142"/>
      <c r="G798" s="141"/>
      <c r="H798" s="142"/>
      <c r="I798" s="194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customHeight="1">
      <c r="A799" s="138"/>
      <c r="B799" s="139"/>
      <c r="C799" s="139"/>
      <c r="D799" s="194"/>
      <c r="E799" s="141"/>
      <c r="F799" s="142"/>
      <c r="G799" s="141"/>
      <c r="H799" s="142"/>
      <c r="I799" s="194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customHeight="1">
      <c r="A800" s="138"/>
      <c r="B800" s="139"/>
      <c r="C800" s="139"/>
      <c r="D800" s="194"/>
      <c r="E800" s="141"/>
      <c r="F800" s="142"/>
      <c r="G800" s="141"/>
      <c r="H800" s="142"/>
      <c r="I800" s="194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customHeight="1">
      <c r="A801" s="138"/>
      <c r="B801" s="139"/>
      <c r="C801" s="139"/>
      <c r="D801" s="194"/>
      <c r="E801" s="141"/>
      <c r="F801" s="142"/>
      <c r="G801" s="141"/>
      <c r="H801" s="142"/>
      <c r="I801" s="194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customHeight="1">
      <c r="A802" s="138"/>
      <c r="B802" s="139"/>
      <c r="C802" s="139"/>
      <c r="D802" s="194"/>
      <c r="E802" s="141"/>
      <c r="F802" s="142"/>
      <c r="G802" s="141"/>
      <c r="H802" s="142"/>
      <c r="I802" s="194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customHeight="1">
      <c r="A803" s="138"/>
      <c r="B803" s="139"/>
      <c r="C803" s="139"/>
      <c r="D803" s="194"/>
      <c r="E803" s="141"/>
      <c r="F803" s="142"/>
      <c r="G803" s="141"/>
      <c r="H803" s="142"/>
      <c r="I803" s="194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customHeight="1">
      <c r="A804" s="138"/>
      <c r="B804" s="139"/>
      <c r="C804" s="139"/>
      <c r="D804" s="194"/>
      <c r="E804" s="141"/>
      <c r="F804" s="142"/>
      <c r="G804" s="141"/>
      <c r="H804" s="142"/>
      <c r="I804" s="194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customHeight="1">
      <c r="A805" s="138"/>
      <c r="B805" s="139"/>
      <c r="C805" s="139"/>
      <c r="D805" s="194"/>
      <c r="E805" s="141"/>
      <c r="F805" s="142"/>
      <c r="G805" s="141"/>
      <c r="H805" s="142"/>
      <c r="I805" s="194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customHeight="1">
      <c r="A806" s="138"/>
      <c r="B806" s="139"/>
      <c r="C806" s="139"/>
      <c r="D806" s="194"/>
      <c r="E806" s="141"/>
      <c r="F806" s="142"/>
      <c r="G806" s="141"/>
      <c r="H806" s="142"/>
      <c r="I806" s="194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customHeight="1">
      <c r="A807" s="138"/>
      <c r="B807" s="139"/>
      <c r="C807" s="139"/>
      <c r="D807" s="194"/>
      <c r="E807" s="141"/>
      <c r="F807" s="142"/>
      <c r="G807" s="141"/>
      <c r="H807" s="142"/>
      <c r="I807" s="194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customHeight="1">
      <c r="A808" s="138"/>
      <c r="B808" s="139"/>
      <c r="C808" s="139"/>
      <c r="D808" s="194"/>
      <c r="E808" s="141"/>
      <c r="F808" s="142"/>
      <c r="G808" s="141"/>
      <c r="H808" s="142"/>
      <c r="I808" s="194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customHeight="1">
      <c r="A809" s="138"/>
      <c r="B809" s="139"/>
      <c r="C809" s="139"/>
      <c r="D809" s="194"/>
      <c r="E809" s="141"/>
      <c r="F809" s="142"/>
      <c r="G809" s="141"/>
      <c r="H809" s="142"/>
      <c r="I809" s="194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customHeight="1">
      <c r="A810" s="138"/>
      <c r="B810" s="139"/>
      <c r="C810" s="139"/>
      <c r="D810" s="194"/>
      <c r="E810" s="141"/>
      <c r="F810" s="142"/>
      <c r="G810" s="141"/>
      <c r="H810" s="142"/>
      <c r="I810" s="194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customHeight="1">
      <c r="A811" s="138"/>
      <c r="B811" s="139"/>
      <c r="C811" s="139"/>
      <c r="D811" s="194"/>
      <c r="E811" s="141"/>
      <c r="F811" s="142"/>
      <c r="G811" s="141"/>
      <c r="H811" s="142"/>
      <c r="I811" s="194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customHeight="1">
      <c r="A812" s="138"/>
      <c r="B812" s="139"/>
      <c r="C812" s="139"/>
      <c r="D812" s="194"/>
      <c r="E812" s="141"/>
      <c r="F812" s="142"/>
      <c r="G812" s="141"/>
      <c r="H812" s="142"/>
      <c r="I812" s="194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customHeight="1">
      <c r="A813" s="138"/>
      <c r="B813" s="139"/>
      <c r="C813" s="139"/>
      <c r="D813" s="194"/>
      <c r="E813" s="141"/>
      <c r="F813" s="142"/>
      <c r="G813" s="141"/>
      <c r="H813" s="142"/>
      <c r="I813" s="194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customHeight="1">
      <c r="A814" s="138"/>
      <c r="B814" s="139"/>
      <c r="C814" s="139"/>
      <c r="D814" s="194"/>
      <c r="E814" s="141"/>
      <c r="F814" s="142"/>
      <c r="G814" s="141"/>
      <c r="H814" s="142"/>
      <c r="I814" s="194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customHeight="1">
      <c r="A815" s="138"/>
      <c r="B815" s="139"/>
      <c r="C815" s="139"/>
      <c r="D815" s="194"/>
      <c r="E815" s="141"/>
      <c r="F815" s="142"/>
      <c r="G815" s="141"/>
      <c r="H815" s="142"/>
      <c r="I815" s="194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customHeight="1">
      <c r="A816" s="138"/>
      <c r="B816" s="139"/>
      <c r="C816" s="139"/>
      <c r="D816" s="194"/>
      <c r="E816" s="141"/>
      <c r="F816" s="142"/>
      <c r="G816" s="141"/>
      <c r="H816" s="142"/>
      <c r="I816" s="194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customHeight="1">
      <c r="A817" s="138"/>
      <c r="B817" s="139"/>
      <c r="C817" s="139"/>
      <c r="D817" s="194"/>
      <c r="E817" s="141"/>
      <c r="F817" s="142"/>
      <c r="G817" s="141"/>
      <c r="H817" s="142"/>
      <c r="I817" s="194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customHeight="1">
      <c r="A818" s="138"/>
      <c r="B818" s="139"/>
      <c r="C818" s="139"/>
      <c r="D818" s="194"/>
      <c r="E818" s="141"/>
      <c r="F818" s="142"/>
      <c r="G818" s="141"/>
      <c r="H818" s="142"/>
      <c r="I818" s="194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customHeight="1">
      <c r="A819" s="138"/>
      <c r="B819" s="139"/>
      <c r="C819" s="139"/>
      <c r="D819" s="194"/>
      <c r="E819" s="141"/>
      <c r="F819" s="142"/>
      <c r="G819" s="141"/>
      <c r="H819" s="142"/>
      <c r="I819" s="194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customHeight="1">
      <c r="A820" s="138"/>
      <c r="B820" s="139"/>
      <c r="C820" s="139"/>
      <c r="D820" s="194"/>
      <c r="E820" s="141"/>
      <c r="F820" s="142"/>
      <c r="G820" s="141"/>
      <c r="H820" s="142"/>
      <c r="I820" s="194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customHeight="1">
      <c r="A821" s="138"/>
      <c r="B821" s="139"/>
      <c r="C821" s="139"/>
      <c r="D821" s="194"/>
      <c r="E821" s="141"/>
      <c r="F821" s="142"/>
      <c r="G821" s="141"/>
      <c r="H821" s="142"/>
      <c r="I821" s="194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customHeight="1">
      <c r="A822" s="138"/>
      <c r="B822" s="139"/>
      <c r="C822" s="139"/>
      <c r="D822" s="194"/>
      <c r="E822" s="141"/>
      <c r="F822" s="142"/>
      <c r="G822" s="141"/>
      <c r="H822" s="142"/>
      <c r="I822" s="194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customHeight="1">
      <c r="A823" s="138"/>
      <c r="B823" s="139"/>
      <c r="C823" s="139"/>
      <c r="D823" s="194"/>
      <c r="E823" s="141"/>
      <c r="F823" s="142"/>
      <c r="G823" s="141"/>
      <c r="H823" s="142"/>
      <c r="I823" s="194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customHeight="1">
      <c r="A824" s="138"/>
      <c r="B824" s="139"/>
      <c r="C824" s="139"/>
      <c r="D824" s="194"/>
      <c r="E824" s="141"/>
      <c r="F824" s="142"/>
      <c r="G824" s="141"/>
      <c r="H824" s="142"/>
      <c r="I824" s="194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customHeight="1">
      <c r="A825" s="138"/>
      <c r="B825" s="139"/>
      <c r="C825" s="139"/>
      <c r="D825" s="194"/>
      <c r="E825" s="141"/>
      <c r="F825" s="142"/>
      <c r="G825" s="141"/>
      <c r="H825" s="142"/>
      <c r="I825" s="194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customHeight="1">
      <c r="A826" s="138"/>
      <c r="B826" s="139"/>
      <c r="C826" s="139"/>
      <c r="D826" s="194"/>
      <c r="E826" s="141"/>
      <c r="F826" s="142"/>
      <c r="G826" s="141"/>
      <c r="H826" s="142"/>
      <c r="I826" s="194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customHeight="1">
      <c r="A827" s="138"/>
      <c r="B827" s="139"/>
      <c r="C827" s="139"/>
      <c r="D827" s="194"/>
      <c r="E827" s="141"/>
      <c r="F827" s="142"/>
      <c r="G827" s="141"/>
      <c r="H827" s="142"/>
      <c r="I827" s="194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customHeight="1">
      <c r="A828" s="138"/>
      <c r="B828" s="139"/>
      <c r="C828" s="139"/>
      <c r="D828" s="194"/>
      <c r="E828" s="141"/>
      <c r="F828" s="142"/>
      <c r="G828" s="141"/>
      <c r="H828" s="142"/>
      <c r="I828" s="194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customHeight="1">
      <c r="A829" s="138"/>
      <c r="B829" s="139"/>
      <c r="C829" s="139"/>
      <c r="D829" s="194"/>
      <c r="E829" s="141"/>
      <c r="F829" s="142"/>
      <c r="G829" s="141"/>
      <c r="H829" s="142"/>
      <c r="I829" s="194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customHeight="1">
      <c r="A830" s="138"/>
      <c r="B830" s="139"/>
      <c r="C830" s="139"/>
      <c r="D830" s="194"/>
      <c r="E830" s="141"/>
      <c r="F830" s="142"/>
      <c r="G830" s="141"/>
      <c r="H830" s="142"/>
      <c r="I830" s="194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customHeight="1">
      <c r="A831" s="138"/>
      <c r="B831" s="139"/>
      <c r="C831" s="139"/>
      <c r="D831" s="194"/>
      <c r="E831" s="141"/>
      <c r="F831" s="142"/>
      <c r="G831" s="141"/>
      <c r="H831" s="142"/>
      <c r="I831" s="194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customHeight="1">
      <c r="A832" s="138"/>
      <c r="B832" s="139"/>
      <c r="C832" s="139"/>
      <c r="D832" s="194"/>
      <c r="E832" s="141"/>
      <c r="F832" s="142"/>
      <c r="G832" s="141"/>
      <c r="H832" s="142"/>
      <c r="I832" s="194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customHeight="1">
      <c r="A833" s="138"/>
      <c r="B833" s="139"/>
      <c r="C833" s="139"/>
      <c r="D833" s="194"/>
      <c r="E833" s="141"/>
      <c r="F833" s="142"/>
      <c r="G833" s="141"/>
      <c r="H833" s="142"/>
      <c r="I833" s="194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customHeight="1">
      <c r="A834" s="138"/>
      <c r="B834" s="139"/>
      <c r="C834" s="139"/>
      <c r="D834" s="194"/>
      <c r="E834" s="141"/>
      <c r="F834" s="142"/>
      <c r="G834" s="141"/>
      <c r="H834" s="142"/>
      <c r="I834" s="194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customHeight="1">
      <c r="A835" s="138"/>
      <c r="B835" s="139"/>
      <c r="C835" s="139"/>
      <c r="D835" s="194"/>
      <c r="E835" s="141"/>
      <c r="F835" s="142"/>
      <c r="G835" s="141"/>
      <c r="H835" s="142"/>
      <c r="I835" s="194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customHeight="1">
      <c r="A836" s="138"/>
      <c r="B836" s="139"/>
      <c r="C836" s="139"/>
      <c r="D836" s="194"/>
      <c r="E836" s="141"/>
      <c r="F836" s="142"/>
      <c r="G836" s="141"/>
      <c r="H836" s="142"/>
      <c r="I836" s="194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customHeight="1">
      <c r="A837" s="138"/>
      <c r="B837" s="139"/>
      <c r="C837" s="139"/>
      <c r="D837" s="194"/>
      <c r="E837" s="141"/>
      <c r="F837" s="142"/>
      <c r="G837" s="141"/>
      <c r="H837" s="142"/>
      <c r="I837" s="194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customHeight="1">
      <c r="A838" s="138"/>
      <c r="B838" s="139"/>
      <c r="C838" s="139"/>
      <c r="D838" s="194"/>
      <c r="E838" s="141"/>
      <c r="F838" s="142"/>
      <c r="G838" s="141"/>
      <c r="H838" s="142"/>
      <c r="I838" s="194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customHeight="1">
      <c r="A839" s="138"/>
      <c r="B839" s="139"/>
      <c r="C839" s="139"/>
      <c r="D839" s="194"/>
      <c r="E839" s="141"/>
      <c r="F839" s="142"/>
      <c r="G839" s="141"/>
      <c r="H839" s="142"/>
      <c r="I839" s="194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customHeight="1">
      <c r="A840" s="138"/>
      <c r="B840" s="139"/>
      <c r="C840" s="139"/>
      <c r="D840" s="194"/>
      <c r="E840" s="141"/>
      <c r="F840" s="142"/>
      <c r="G840" s="141"/>
      <c r="H840" s="142"/>
      <c r="I840" s="194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customHeight="1">
      <c r="A841" s="138"/>
      <c r="B841" s="139"/>
      <c r="C841" s="139"/>
      <c r="D841" s="194"/>
      <c r="E841" s="141"/>
      <c r="F841" s="142"/>
      <c r="G841" s="141"/>
      <c r="H841" s="142"/>
      <c r="I841" s="194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customHeight="1">
      <c r="A842" s="138"/>
      <c r="B842" s="139"/>
      <c r="C842" s="139"/>
      <c r="D842" s="194"/>
      <c r="E842" s="141"/>
      <c r="F842" s="142"/>
      <c r="G842" s="141"/>
      <c r="H842" s="142"/>
      <c r="I842" s="194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customHeight="1">
      <c r="A843" s="138"/>
      <c r="B843" s="139"/>
      <c r="C843" s="139"/>
      <c r="D843" s="194"/>
      <c r="E843" s="141"/>
      <c r="F843" s="142"/>
      <c r="G843" s="141"/>
      <c r="H843" s="142"/>
      <c r="I843" s="194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customHeight="1">
      <c r="A844" s="138"/>
      <c r="B844" s="139"/>
      <c r="C844" s="139"/>
      <c r="D844" s="194"/>
      <c r="E844" s="141"/>
      <c r="F844" s="142"/>
      <c r="G844" s="141"/>
      <c r="H844" s="142"/>
      <c r="I844" s="194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customHeight="1">
      <c r="A845" s="138"/>
      <c r="B845" s="139"/>
      <c r="C845" s="139"/>
      <c r="D845" s="194"/>
      <c r="E845" s="141"/>
      <c r="F845" s="142"/>
      <c r="G845" s="141"/>
      <c r="H845" s="142"/>
      <c r="I845" s="194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customHeight="1">
      <c r="A846" s="138"/>
      <c r="B846" s="139"/>
      <c r="C846" s="139"/>
      <c r="D846" s="194"/>
      <c r="E846" s="141"/>
      <c r="F846" s="142"/>
      <c r="G846" s="141"/>
      <c r="H846" s="142"/>
      <c r="I846" s="194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customHeight="1">
      <c r="A847" s="138"/>
      <c r="B847" s="139"/>
      <c r="C847" s="139"/>
      <c r="D847" s="194"/>
      <c r="E847" s="141"/>
      <c r="F847" s="142"/>
      <c r="G847" s="141"/>
      <c r="H847" s="142"/>
      <c r="I847" s="194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customHeight="1">
      <c r="A848" s="138"/>
      <c r="B848" s="139"/>
      <c r="C848" s="139"/>
      <c r="D848" s="194"/>
      <c r="E848" s="141"/>
      <c r="F848" s="142"/>
      <c r="G848" s="141"/>
      <c r="H848" s="142"/>
      <c r="I848" s="194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customHeight="1">
      <c r="A849" s="138"/>
      <c r="B849" s="139"/>
      <c r="C849" s="139"/>
      <c r="D849" s="194"/>
      <c r="E849" s="141"/>
      <c r="F849" s="142"/>
      <c r="G849" s="141"/>
      <c r="H849" s="142"/>
      <c r="I849" s="194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customHeight="1">
      <c r="A850" s="138"/>
      <c r="B850" s="139"/>
      <c r="C850" s="139"/>
      <c r="D850" s="194"/>
      <c r="E850" s="141"/>
      <c r="F850" s="142"/>
      <c r="G850" s="141"/>
      <c r="H850" s="142"/>
      <c r="I850" s="194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customHeight="1">
      <c r="A851" s="138"/>
      <c r="B851" s="139"/>
      <c r="C851" s="139"/>
      <c r="D851" s="194"/>
      <c r="E851" s="141"/>
      <c r="F851" s="142"/>
      <c r="G851" s="141"/>
      <c r="H851" s="142"/>
      <c r="I851" s="194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customHeight="1">
      <c r="A852" s="138"/>
      <c r="B852" s="139"/>
      <c r="C852" s="139"/>
      <c r="D852" s="194"/>
      <c r="E852" s="141"/>
      <c r="F852" s="142"/>
      <c r="G852" s="141"/>
      <c r="H852" s="142"/>
      <c r="I852" s="194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customHeight="1">
      <c r="A853" s="138"/>
      <c r="B853" s="139"/>
      <c r="C853" s="139"/>
      <c r="D853" s="194"/>
      <c r="E853" s="141"/>
      <c r="F853" s="142"/>
      <c r="G853" s="141"/>
      <c r="H853" s="142"/>
      <c r="I853" s="194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customHeight="1">
      <c r="A854" s="138"/>
      <c r="B854" s="139"/>
      <c r="C854" s="139"/>
      <c r="D854" s="194"/>
      <c r="E854" s="141"/>
      <c r="F854" s="142"/>
      <c r="G854" s="141"/>
      <c r="H854" s="142"/>
      <c r="I854" s="194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customHeight="1">
      <c r="A855" s="138"/>
      <c r="B855" s="139"/>
      <c r="C855" s="139"/>
      <c r="D855" s="194"/>
      <c r="E855" s="141"/>
      <c r="F855" s="142"/>
      <c r="G855" s="141"/>
      <c r="H855" s="142"/>
      <c r="I855" s="194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customHeight="1">
      <c r="A856" s="138"/>
      <c r="B856" s="139"/>
      <c r="C856" s="139"/>
      <c r="D856" s="194"/>
      <c r="E856" s="141"/>
      <c r="F856" s="142"/>
      <c r="G856" s="141"/>
      <c r="H856" s="142"/>
      <c r="I856" s="194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customHeight="1">
      <c r="A857" s="138"/>
      <c r="B857" s="139"/>
      <c r="C857" s="139"/>
      <c r="D857" s="194"/>
      <c r="E857" s="141"/>
      <c r="F857" s="142"/>
      <c r="G857" s="141"/>
      <c r="H857" s="142"/>
      <c r="I857" s="194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customHeight="1">
      <c r="A858" s="138"/>
      <c r="B858" s="139"/>
      <c r="C858" s="139"/>
      <c r="D858" s="194"/>
      <c r="E858" s="141"/>
      <c r="F858" s="142"/>
      <c r="G858" s="141"/>
      <c r="H858" s="142"/>
      <c r="I858" s="194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customHeight="1">
      <c r="A859" s="138"/>
      <c r="B859" s="139"/>
      <c r="C859" s="139"/>
      <c r="D859" s="194"/>
      <c r="E859" s="141"/>
      <c r="F859" s="142"/>
      <c r="G859" s="141"/>
      <c r="H859" s="142"/>
      <c r="I859" s="194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customHeight="1">
      <c r="A860" s="138"/>
      <c r="B860" s="139"/>
      <c r="C860" s="139"/>
      <c r="D860" s="194"/>
      <c r="E860" s="141"/>
      <c r="F860" s="142"/>
      <c r="G860" s="141"/>
      <c r="H860" s="142"/>
      <c r="I860" s="194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customHeight="1">
      <c r="A861" s="138"/>
      <c r="B861" s="139"/>
      <c r="C861" s="139"/>
      <c r="D861" s="194"/>
      <c r="E861" s="141"/>
      <c r="F861" s="142"/>
      <c r="G861" s="141"/>
      <c r="H861" s="142"/>
      <c r="I861" s="194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customHeight="1">
      <c r="A862" s="138"/>
      <c r="B862" s="139"/>
      <c r="C862" s="139"/>
      <c r="D862" s="194"/>
      <c r="E862" s="141"/>
      <c r="F862" s="142"/>
      <c r="G862" s="141"/>
      <c r="H862" s="142"/>
      <c r="I862" s="194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customHeight="1">
      <c r="A863" s="138"/>
      <c r="B863" s="139"/>
      <c r="C863" s="139"/>
      <c r="D863" s="194"/>
      <c r="E863" s="141"/>
      <c r="F863" s="142"/>
      <c r="G863" s="141"/>
      <c r="H863" s="142"/>
      <c r="I863" s="194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customHeight="1">
      <c r="A864" s="138"/>
      <c r="B864" s="139"/>
      <c r="C864" s="139"/>
      <c r="D864" s="194"/>
      <c r="E864" s="141"/>
      <c r="F864" s="142"/>
      <c r="G864" s="141"/>
      <c r="H864" s="142"/>
      <c r="I864" s="194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customHeight="1">
      <c r="A865" s="138"/>
      <c r="B865" s="139"/>
      <c r="C865" s="139"/>
      <c r="D865" s="194"/>
      <c r="E865" s="141"/>
      <c r="F865" s="142"/>
      <c r="G865" s="141"/>
      <c r="H865" s="142"/>
      <c r="I865" s="194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customHeight="1">
      <c r="A866" s="138"/>
      <c r="B866" s="139"/>
      <c r="C866" s="139"/>
      <c r="D866" s="194"/>
      <c r="E866" s="141"/>
      <c r="F866" s="142"/>
      <c r="G866" s="141"/>
      <c r="H866" s="142"/>
      <c r="I866" s="194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customHeight="1">
      <c r="A867" s="138"/>
      <c r="B867" s="139"/>
      <c r="C867" s="139"/>
      <c r="D867" s="194"/>
      <c r="E867" s="141"/>
      <c r="F867" s="142"/>
      <c r="G867" s="141"/>
      <c r="H867" s="142"/>
      <c r="I867" s="194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customHeight="1">
      <c r="A868" s="138"/>
      <c r="B868" s="139"/>
      <c r="C868" s="139"/>
      <c r="D868" s="194"/>
      <c r="E868" s="141"/>
      <c r="F868" s="142"/>
      <c r="G868" s="141"/>
      <c r="H868" s="142"/>
      <c r="I868" s="194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customHeight="1">
      <c r="A869" s="138"/>
      <c r="B869" s="139"/>
      <c r="C869" s="139"/>
      <c r="D869" s="194"/>
      <c r="E869" s="141"/>
      <c r="F869" s="142"/>
      <c r="G869" s="141"/>
      <c r="H869" s="142"/>
      <c r="I869" s="194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customHeight="1">
      <c r="A870" s="138"/>
      <c r="B870" s="139"/>
      <c r="C870" s="139"/>
      <c r="D870" s="194"/>
      <c r="E870" s="141"/>
      <c r="F870" s="142"/>
      <c r="G870" s="141"/>
      <c r="H870" s="142"/>
      <c r="I870" s="194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customHeight="1">
      <c r="A871" s="138"/>
      <c r="B871" s="139"/>
      <c r="C871" s="139"/>
      <c r="D871" s="194"/>
      <c r="E871" s="141"/>
      <c r="F871" s="142"/>
      <c r="G871" s="141"/>
      <c r="H871" s="142"/>
      <c r="I871" s="194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customHeight="1">
      <c r="A872" s="138"/>
      <c r="B872" s="139"/>
      <c r="C872" s="139"/>
      <c r="D872" s="194"/>
      <c r="E872" s="141"/>
      <c r="F872" s="142"/>
      <c r="G872" s="141"/>
      <c r="H872" s="142"/>
      <c r="I872" s="194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customHeight="1">
      <c r="A873" s="138"/>
      <c r="B873" s="139"/>
      <c r="C873" s="139"/>
      <c r="D873" s="194"/>
      <c r="E873" s="141"/>
      <c r="F873" s="142"/>
      <c r="G873" s="141"/>
      <c r="H873" s="142"/>
      <c r="I873" s="194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customHeight="1">
      <c r="A874" s="138"/>
      <c r="B874" s="139"/>
      <c r="C874" s="139"/>
      <c r="D874" s="194"/>
      <c r="E874" s="141"/>
      <c r="F874" s="142"/>
      <c r="G874" s="141"/>
      <c r="H874" s="142"/>
      <c r="I874" s="194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customHeight="1">
      <c r="A875" s="138"/>
      <c r="B875" s="139"/>
      <c r="C875" s="139"/>
      <c r="D875" s="194"/>
      <c r="E875" s="141"/>
      <c r="F875" s="142"/>
      <c r="G875" s="141"/>
      <c r="H875" s="142"/>
      <c r="I875" s="194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customHeight="1">
      <c r="A876" s="138"/>
      <c r="B876" s="139"/>
      <c r="C876" s="139"/>
      <c r="D876" s="194"/>
      <c r="E876" s="141"/>
      <c r="F876" s="142"/>
      <c r="G876" s="141"/>
      <c r="H876" s="142"/>
      <c r="I876" s="194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customHeight="1">
      <c r="A877" s="138"/>
      <c r="B877" s="139"/>
      <c r="C877" s="139"/>
      <c r="D877" s="194"/>
      <c r="E877" s="141"/>
      <c r="F877" s="142"/>
      <c r="G877" s="141"/>
      <c r="H877" s="142"/>
      <c r="I877" s="194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customHeight="1">
      <c r="A878" s="138"/>
      <c r="B878" s="139"/>
      <c r="C878" s="139"/>
      <c r="D878" s="194"/>
      <c r="E878" s="141"/>
      <c r="F878" s="142"/>
      <c r="G878" s="141"/>
      <c r="H878" s="142"/>
      <c r="I878" s="194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customHeight="1">
      <c r="A879" s="138"/>
      <c r="B879" s="139"/>
      <c r="C879" s="139"/>
      <c r="D879" s="194"/>
      <c r="E879" s="141"/>
      <c r="F879" s="142"/>
      <c r="G879" s="141"/>
      <c r="H879" s="142"/>
      <c r="I879" s="194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customHeight="1">
      <c r="A880" s="138"/>
      <c r="B880" s="139"/>
      <c r="C880" s="139"/>
      <c r="D880" s="194"/>
      <c r="E880" s="141"/>
      <c r="F880" s="142"/>
      <c r="G880" s="141"/>
      <c r="H880" s="142"/>
      <c r="I880" s="194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customHeight="1">
      <c r="A881" s="138"/>
      <c r="B881" s="139"/>
      <c r="C881" s="139"/>
      <c r="D881" s="194"/>
      <c r="E881" s="141"/>
      <c r="F881" s="142"/>
      <c r="G881" s="141"/>
      <c r="H881" s="142"/>
      <c r="I881" s="194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customHeight="1">
      <c r="A882" s="138"/>
      <c r="B882" s="139"/>
      <c r="C882" s="139"/>
      <c r="D882" s="194"/>
      <c r="E882" s="141"/>
      <c r="F882" s="142"/>
      <c r="G882" s="141"/>
      <c r="H882" s="142"/>
      <c r="I882" s="194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customHeight="1">
      <c r="A883" s="138"/>
      <c r="B883" s="139"/>
      <c r="C883" s="139"/>
      <c r="D883" s="194"/>
      <c r="E883" s="141"/>
      <c r="F883" s="142"/>
      <c r="G883" s="141"/>
      <c r="H883" s="142"/>
      <c r="I883" s="194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customHeight="1">
      <c r="A884" s="138"/>
      <c r="B884" s="139"/>
      <c r="C884" s="139"/>
      <c r="D884" s="194"/>
      <c r="E884" s="141"/>
      <c r="F884" s="142"/>
      <c r="G884" s="141"/>
      <c r="H884" s="142"/>
      <c r="I884" s="194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customHeight="1">
      <c r="A885" s="138"/>
      <c r="B885" s="139"/>
      <c r="C885" s="139"/>
      <c r="D885" s="194"/>
      <c r="E885" s="141"/>
      <c r="F885" s="142"/>
      <c r="G885" s="141"/>
      <c r="H885" s="142"/>
      <c r="I885" s="194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customHeight="1">
      <c r="A886" s="138"/>
      <c r="B886" s="139"/>
      <c r="C886" s="139"/>
      <c r="D886" s="194"/>
      <c r="E886" s="141"/>
      <c r="F886" s="142"/>
      <c r="G886" s="141"/>
      <c r="H886" s="142"/>
      <c r="I886" s="194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customHeight="1">
      <c r="A887" s="138"/>
      <c r="B887" s="139"/>
      <c r="C887" s="139"/>
      <c r="D887" s="194"/>
      <c r="E887" s="141"/>
      <c r="F887" s="142"/>
      <c r="G887" s="141"/>
      <c r="H887" s="142"/>
      <c r="I887" s="194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customHeight="1">
      <c r="A888" s="138"/>
      <c r="B888" s="139"/>
      <c r="C888" s="139"/>
      <c r="D888" s="194"/>
      <c r="E888" s="141"/>
      <c r="F888" s="142"/>
      <c r="G888" s="141"/>
      <c r="H888" s="142"/>
      <c r="I888" s="194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customHeight="1">
      <c r="A889" s="138"/>
      <c r="B889" s="139"/>
      <c r="C889" s="139"/>
      <c r="D889" s="194"/>
      <c r="E889" s="141"/>
      <c r="F889" s="142"/>
      <c r="G889" s="141"/>
      <c r="H889" s="142"/>
      <c r="I889" s="194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customHeight="1">
      <c r="A890" s="138"/>
      <c r="B890" s="139"/>
      <c r="C890" s="139"/>
      <c r="D890" s="194"/>
      <c r="E890" s="141"/>
      <c r="F890" s="142"/>
      <c r="G890" s="141"/>
      <c r="H890" s="142"/>
      <c r="I890" s="194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customHeight="1">
      <c r="A891" s="138"/>
      <c r="B891" s="139"/>
      <c r="C891" s="139"/>
      <c r="D891" s="194"/>
      <c r="E891" s="141"/>
      <c r="F891" s="142"/>
      <c r="G891" s="141"/>
      <c r="H891" s="142"/>
      <c r="I891" s="194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customHeight="1">
      <c r="A892" s="138"/>
      <c r="B892" s="139"/>
      <c r="C892" s="139"/>
      <c r="D892" s="194"/>
      <c r="E892" s="141"/>
      <c r="F892" s="142"/>
      <c r="G892" s="141"/>
      <c r="H892" s="142"/>
      <c r="I892" s="194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customHeight="1">
      <c r="A893" s="138"/>
      <c r="B893" s="139"/>
      <c r="C893" s="139"/>
      <c r="D893" s="194"/>
      <c r="E893" s="141"/>
      <c r="F893" s="142"/>
      <c r="G893" s="141"/>
      <c r="H893" s="142"/>
      <c r="I893" s="194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customHeight="1">
      <c r="A894" s="138"/>
      <c r="B894" s="139"/>
      <c r="C894" s="139"/>
      <c r="D894" s="194"/>
      <c r="E894" s="141"/>
      <c r="F894" s="142"/>
      <c r="G894" s="141"/>
      <c r="H894" s="142"/>
      <c r="I894" s="194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customHeight="1">
      <c r="A895" s="138"/>
      <c r="B895" s="139"/>
      <c r="C895" s="139"/>
      <c r="D895" s="194"/>
      <c r="E895" s="141"/>
      <c r="F895" s="142"/>
      <c r="G895" s="141"/>
      <c r="H895" s="142"/>
      <c r="I895" s="194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customHeight="1">
      <c r="A896" s="138"/>
      <c r="B896" s="139"/>
      <c r="C896" s="139"/>
      <c r="D896" s="194"/>
      <c r="E896" s="141"/>
      <c r="F896" s="142"/>
      <c r="G896" s="141"/>
      <c r="H896" s="142"/>
      <c r="I896" s="194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customHeight="1">
      <c r="A897" s="138"/>
      <c r="B897" s="139"/>
      <c r="C897" s="139"/>
      <c r="D897" s="194"/>
      <c r="E897" s="141"/>
      <c r="F897" s="142"/>
      <c r="G897" s="141"/>
      <c r="H897" s="142"/>
      <c r="I897" s="194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customHeight="1">
      <c r="A898" s="138"/>
      <c r="B898" s="139"/>
      <c r="C898" s="139"/>
      <c r="D898" s="194"/>
      <c r="E898" s="141"/>
      <c r="F898" s="142"/>
      <c r="G898" s="141"/>
      <c r="H898" s="142"/>
      <c r="I898" s="194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customHeight="1">
      <c r="A899" s="138"/>
      <c r="B899" s="139"/>
      <c r="C899" s="139"/>
      <c r="D899" s="194"/>
      <c r="E899" s="141"/>
      <c r="F899" s="142"/>
      <c r="G899" s="141"/>
      <c r="H899" s="142"/>
      <c r="I899" s="194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customHeight="1">
      <c r="A900" s="138"/>
      <c r="B900" s="139"/>
      <c r="C900" s="139"/>
      <c r="D900" s="194"/>
      <c r="E900" s="141"/>
      <c r="F900" s="142"/>
      <c r="G900" s="141"/>
      <c r="H900" s="142"/>
      <c r="I900" s="194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customHeight="1">
      <c r="A901" s="138"/>
      <c r="B901" s="139"/>
      <c r="C901" s="139"/>
      <c r="D901" s="194"/>
      <c r="E901" s="141"/>
      <c r="F901" s="142"/>
      <c r="G901" s="141"/>
      <c r="H901" s="142"/>
      <c r="I901" s="194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customHeight="1">
      <c r="A902" s="138"/>
      <c r="B902" s="139"/>
      <c r="C902" s="139"/>
      <c r="D902" s="194"/>
      <c r="E902" s="141"/>
      <c r="F902" s="142"/>
      <c r="G902" s="141"/>
      <c r="H902" s="142"/>
      <c r="I902" s="194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customHeight="1">
      <c r="A903" s="138"/>
      <c r="B903" s="139"/>
      <c r="C903" s="139"/>
      <c r="D903" s="194"/>
      <c r="E903" s="141"/>
      <c r="F903" s="142"/>
      <c r="G903" s="141"/>
      <c r="H903" s="142"/>
      <c r="I903" s="194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customHeight="1">
      <c r="A904" s="138"/>
      <c r="B904" s="139"/>
      <c r="C904" s="139"/>
      <c r="D904" s="194"/>
      <c r="E904" s="141"/>
      <c r="F904" s="142"/>
      <c r="G904" s="141"/>
      <c r="H904" s="142"/>
      <c r="I904" s="194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customHeight="1">
      <c r="A905" s="138"/>
      <c r="B905" s="139"/>
      <c r="C905" s="139"/>
      <c r="D905" s="194"/>
      <c r="E905" s="141"/>
      <c r="F905" s="142"/>
      <c r="G905" s="141"/>
      <c r="H905" s="142"/>
      <c r="I905" s="194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customHeight="1">
      <c r="A906" s="138"/>
      <c r="B906" s="139"/>
      <c r="C906" s="139"/>
      <c r="D906" s="194"/>
      <c r="E906" s="141"/>
      <c r="F906" s="142"/>
      <c r="G906" s="141"/>
      <c r="H906" s="142"/>
      <c r="I906" s="194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customHeight="1">
      <c r="A907" s="138"/>
      <c r="B907" s="139"/>
      <c r="C907" s="139"/>
      <c r="D907" s="194"/>
      <c r="E907" s="141"/>
      <c r="F907" s="142"/>
      <c r="G907" s="141"/>
      <c r="H907" s="142"/>
      <c r="I907" s="194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customHeight="1">
      <c r="A908" s="138"/>
      <c r="B908" s="139"/>
      <c r="C908" s="139"/>
      <c r="D908" s="194"/>
      <c r="E908" s="141"/>
      <c r="F908" s="142"/>
      <c r="G908" s="141"/>
      <c r="H908" s="142"/>
      <c r="I908" s="194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customHeight="1">
      <c r="A909" s="138"/>
      <c r="B909" s="139"/>
      <c r="C909" s="139"/>
      <c r="D909" s="194"/>
      <c r="E909" s="141"/>
      <c r="F909" s="142"/>
      <c r="G909" s="141"/>
      <c r="H909" s="142"/>
      <c r="I909" s="194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customHeight="1">
      <c r="A910" s="138"/>
      <c r="B910" s="139"/>
      <c r="C910" s="139"/>
      <c r="D910" s="194"/>
      <c r="E910" s="141"/>
      <c r="F910" s="142"/>
      <c r="G910" s="141"/>
      <c r="H910" s="142"/>
      <c r="I910" s="194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customHeight="1">
      <c r="A911" s="138"/>
      <c r="B911" s="139"/>
      <c r="C911" s="139"/>
      <c r="D911" s="194"/>
      <c r="E911" s="141"/>
      <c r="F911" s="142"/>
      <c r="G911" s="141"/>
      <c r="H911" s="142"/>
      <c r="I911" s="194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customHeight="1">
      <c r="A912" s="138"/>
      <c r="B912" s="139"/>
      <c r="C912" s="139"/>
      <c r="D912" s="194"/>
      <c r="E912" s="141"/>
      <c r="F912" s="142"/>
      <c r="G912" s="141"/>
      <c r="H912" s="142"/>
      <c r="I912" s="194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customHeight="1">
      <c r="A913" s="138"/>
      <c r="B913" s="139"/>
      <c r="C913" s="139"/>
      <c r="D913" s="194"/>
      <c r="E913" s="141"/>
      <c r="F913" s="142"/>
      <c r="G913" s="141"/>
      <c r="H913" s="142"/>
      <c r="I913" s="194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customHeight="1">
      <c r="A914" s="138"/>
      <c r="B914" s="139"/>
      <c r="C914" s="139"/>
      <c r="D914" s="194"/>
      <c r="E914" s="141"/>
      <c r="F914" s="142"/>
      <c r="G914" s="141"/>
      <c r="H914" s="142"/>
      <c r="I914" s="194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customHeight="1">
      <c r="A915" s="138"/>
      <c r="B915" s="139"/>
      <c r="C915" s="139"/>
      <c r="D915" s="194"/>
      <c r="E915" s="141"/>
      <c r="F915" s="142"/>
      <c r="G915" s="141"/>
      <c r="H915" s="142"/>
      <c r="I915" s="194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customHeight="1">
      <c r="A916" s="138"/>
      <c r="B916" s="139"/>
      <c r="C916" s="139"/>
      <c r="D916" s="194"/>
      <c r="E916" s="141"/>
      <c r="F916" s="142"/>
      <c r="G916" s="141"/>
      <c r="H916" s="142"/>
      <c r="I916" s="194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customHeight="1">
      <c r="A917" s="138"/>
      <c r="B917" s="139"/>
      <c r="C917" s="139"/>
      <c r="D917" s="194"/>
      <c r="E917" s="141"/>
      <c r="F917" s="142"/>
      <c r="G917" s="141"/>
      <c r="H917" s="142"/>
      <c r="I917" s="194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customHeight="1">
      <c r="A918" s="138"/>
      <c r="B918" s="139"/>
      <c r="C918" s="139"/>
      <c r="D918" s="194"/>
      <c r="E918" s="141"/>
      <c r="F918" s="142"/>
      <c r="G918" s="141"/>
      <c r="H918" s="142"/>
      <c r="I918" s="194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customHeight="1">
      <c r="A919" s="138"/>
      <c r="B919" s="139"/>
      <c r="C919" s="139"/>
      <c r="D919" s="194"/>
      <c r="E919" s="141"/>
      <c r="F919" s="142"/>
      <c r="G919" s="141"/>
      <c r="H919" s="142"/>
      <c r="I919" s="194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customHeight="1">
      <c r="A920" s="138"/>
      <c r="B920" s="139"/>
      <c r="C920" s="139"/>
      <c r="D920" s="194"/>
      <c r="E920" s="141"/>
      <c r="F920" s="142"/>
      <c r="G920" s="141"/>
      <c r="H920" s="142"/>
      <c r="I920" s="194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customHeight="1">
      <c r="A921" s="138"/>
      <c r="B921" s="139"/>
      <c r="C921" s="139"/>
      <c r="D921" s="194"/>
      <c r="E921" s="141"/>
      <c r="F921" s="142"/>
      <c r="G921" s="141"/>
      <c r="H921" s="142"/>
      <c r="I921" s="194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customHeight="1">
      <c r="A922" s="138"/>
      <c r="B922" s="139"/>
      <c r="C922" s="139"/>
      <c r="D922" s="194"/>
      <c r="E922" s="141"/>
      <c r="F922" s="142"/>
      <c r="G922" s="141"/>
      <c r="H922" s="142"/>
      <c r="I922" s="194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customHeight="1">
      <c r="A923" s="138"/>
      <c r="B923" s="139"/>
      <c r="C923" s="139"/>
      <c r="D923" s="194"/>
      <c r="E923" s="141"/>
      <c r="F923" s="142"/>
      <c r="G923" s="141"/>
      <c r="H923" s="142"/>
      <c r="I923" s="194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customHeight="1">
      <c r="A924" s="138"/>
      <c r="B924" s="139"/>
      <c r="C924" s="139"/>
      <c r="D924" s="194"/>
      <c r="E924" s="141"/>
      <c r="F924" s="142"/>
      <c r="G924" s="141"/>
      <c r="H924" s="142"/>
      <c r="I924" s="194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customHeight="1">
      <c r="A925" s="138"/>
      <c r="B925" s="139"/>
      <c r="C925" s="139"/>
      <c r="D925" s="194"/>
      <c r="E925" s="141"/>
      <c r="F925" s="142"/>
      <c r="G925" s="141"/>
      <c r="H925" s="142"/>
      <c r="I925" s="194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customHeight="1">
      <c r="A926" s="138"/>
      <c r="B926" s="139"/>
      <c r="C926" s="139"/>
      <c r="D926" s="194"/>
      <c r="E926" s="141"/>
      <c r="F926" s="142"/>
      <c r="G926" s="141"/>
      <c r="H926" s="142"/>
      <c r="I926" s="194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customHeight="1">
      <c r="A927" s="138"/>
      <c r="B927" s="139"/>
      <c r="C927" s="139"/>
      <c r="D927" s="194"/>
      <c r="E927" s="141"/>
      <c r="F927" s="142"/>
      <c r="G927" s="141"/>
      <c r="H927" s="142"/>
      <c r="I927" s="194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customHeight="1">
      <c r="A928" s="138"/>
      <c r="B928" s="139"/>
      <c r="C928" s="139"/>
      <c r="D928" s="194"/>
      <c r="E928" s="141"/>
      <c r="F928" s="142"/>
      <c r="G928" s="141"/>
      <c r="H928" s="142"/>
      <c r="I928" s="194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customHeight="1">
      <c r="A929" s="138"/>
      <c r="B929" s="139"/>
      <c r="C929" s="139"/>
      <c r="D929" s="194"/>
      <c r="E929" s="141"/>
      <c r="F929" s="142"/>
      <c r="G929" s="141"/>
      <c r="H929" s="142"/>
      <c r="I929" s="194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customHeight="1">
      <c r="A930" s="138"/>
      <c r="B930" s="139"/>
      <c r="C930" s="139"/>
      <c r="D930" s="194"/>
      <c r="E930" s="141"/>
      <c r="F930" s="142"/>
      <c r="G930" s="141"/>
      <c r="H930" s="142"/>
      <c r="I930" s="194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customHeight="1">
      <c r="A931" s="138"/>
      <c r="B931" s="139"/>
      <c r="C931" s="139"/>
      <c r="D931" s="194"/>
      <c r="E931" s="141"/>
      <c r="F931" s="142"/>
      <c r="G931" s="141"/>
      <c r="H931" s="142"/>
      <c r="I931" s="194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customHeight="1">
      <c r="A932" s="138"/>
      <c r="B932" s="139"/>
      <c r="C932" s="139"/>
      <c r="D932" s="194"/>
      <c r="E932" s="141"/>
      <c r="F932" s="142"/>
      <c r="G932" s="141"/>
      <c r="H932" s="142"/>
      <c r="I932" s="194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customHeight="1">
      <c r="A933" s="138"/>
      <c r="B933" s="139"/>
      <c r="C933" s="139"/>
      <c r="D933" s="194"/>
      <c r="E933" s="141"/>
      <c r="F933" s="142"/>
      <c r="G933" s="141"/>
      <c r="H933" s="142"/>
      <c r="I933" s="194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customHeight="1">
      <c r="A934" s="138"/>
      <c r="B934" s="139"/>
      <c r="C934" s="139"/>
      <c r="D934" s="194"/>
      <c r="E934" s="141"/>
      <c r="F934" s="142"/>
      <c r="G934" s="141"/>
      <c r="H934" s="142"/>
      <c r="I934" s="194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customHeight="1">
      <c r="A935" s="138"/>
      <c r="B935" s="139"/>
      <c r="C935" s="139"/>
      <c r="D935" s="194"/>
      <c r="E935" s="141"/>
      <c r="F935" s="142"/>
      <c r="G935" s="141"/>
      <c r="H935" s="142"/>
      <c r="I935" s="194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customHeight="1">
      <c r="A936" s="138"/>
      <c r="B936" s="139"/>
      <c r="C936" s="139"/>
      <c r="D936" s="194"/>
      <c r="E936" s="141"/>
      <c r="F936" s="142"/>
      <c r="G936" s="141"/>
      <c r="H936" s="142"/>
      <c r="I936" s="194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customHeight="1">
      <c r="A937" s="138"/>
      <c r="B937" s="139"/>
      <c r="C937" s="139"/>
      <c r="D937" s="194"/>
      <c r="E937" s="141"/>
      <c r="F937" s="142"/>
      <c r="G937" s="141"/>
      <c r="H937" s="142"/>
      <c r="I937" s="194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customHeight="1">
      <c r="A938" s="138"/>
      <c r="B938" s="139"/>
      <c r="C938" s="139"/>
      <c r="D938" s="194"/>
      <c r="E938" s="141"/>
      <c r="F938" s="142"/>
      <c r="G938" s="141"/>
      <c r="H938" s="142"/>
      <c r="I938" s="194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customHeight="1">
      <c r="A939" s="138"/>
      <c r="B939" s="139"/>
      <c r="C939" s="139"/>
      <c r="D939" s="194"/>
      <c r="E939" s="141"/>
      <c r="F939" s="142"/>
      <c r="G939" s="141"/>
      <c r="H939" s="142"/>
      <c r="I939" s="194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customHeight="1">
      <c r="A940" s="138"/>
      <c r="B940" s="139"/>
      <c r="C940" s="139"/>
      <c r="D940" s="194"/>
      <c r="E940" s="141"/>
      <c r="F940" s="142"/>
      <c r="G940" s="141"/>
      <c r="H940" s="142"/>
      <c r="I940" s="194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customHeight="1">
      <c r="A941" s="138"/>
      <c r="B941" s="139"/>
      <c r="C941" s="139"/>
      <c r="D941" s="194"/>
      <c r="E941" s="141"/>
      <c r="F941" s="142"/>
      <c r="G941" s="141"/>
      <c r="H941" s="142"/>
      <c r="I941" s="194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customHeight="1">
      <c r="A942" s="138"/>
      <c r="B942" s="139"/>
      <c r="C942" s="139"/>
      <c r="D942" s="194"/>
      <c r="E942" s="141"/>
      <c r="F942" s="142"/>
      <c r="G942" s="141"/>
      <c r="H942" s="142"/>
      <c r="I942" s="194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customHeight="1">
      <c r="A943" s="138"/>
      <c r="B943" s="139"/>
      <c r="C943" s="139"/>
      <c r="D943" s="194"/>
      <c r="E943" s="141"/>
      <c r="F943" s="142"/>
      <c r="G943" s="141"/>
      <c r="H943" s="142"/>
      <c r="I943" s="194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customHeight="1">
      <c r="A944" s="138"/>
      <c r="B944" s="139"/>
      <c r="C944" s="139"/>
      <c r="D944" s="194"/>
      <c r="E944" s="141"/>
      <c r="F944" s="142"/>
      <c r="G944" s="141"/>
      <c r="H944" s="142"/>
      <c r="I944" s="194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customHeight="1">
      <c r="A945" s="138"/>
      <c r="B945" s="139"/>
      <c r="C945" s="139"/>
      <c r="D945" s="194"/>
      <c r="E945" s="141"/>
      <c r="F945" s="142"/>
      <c r="G945" s="141"/>
      <c r="H945" s="142"/>
      <c r="I945" s="194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customHeight="1">
      <c r="A946" s="138"/>
      <c r="B946" s="139"/>
      <c r="C946" s="139"/>
      <c r="D946" s="194"/>
      <c r="E946" s="141"/>
      <c r="F946" s="142"/>
      <c r="G946" s="141"/>
      <c r="H946" s="142"/>
      <c r="I946" s="194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customHeight="1">
      <c r="A947" s="138"/>
      <c r="B947" s="139"/>
      <c r="C947" s="139"/>
      <c r="D947" s="194"/>
      <c r="E947" s="141"/>
      <c r="F947" s="142"/>
      <c r="G947" s="141"/>
      <c r="H947" s="142"/>
      <c r="I947" s="194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customHeight="1">
      <c r="A948" s="138"/>
      <c r="B948" s="139"/>
      <c r="C948" s="139"/>
      <c r="D948" s="194"/>
      <c r="E948" s="141"/>
      <c r="F948" s="142"/>
      <c r="G948" s="141"/>
      <c r="H948" s="142"/>
      <c r="I948" s="194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customHeight="1">
      <c r="A949" s="138"/>
      <c r="B949" s="139"/>
      <c r="C949" s="139"/>
      <c r="D949" s="194"/>
      <c r="E949" s="141"/>
      <c r="F949" s="142"/>
      <c r="G949" s="141"/>
      <c r="H949" s="142"/>
      <c r="I949" s="194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customHeight="1">
      <c r="A950" s="138"/>
      <c r="B950" s="139"/>
      <c r="C950" s="139"/>
      <c r="D950" s="194"/>
      <c r="E950" s="141"/>
      <c r="F950" s="142"/>
      <c r="G950" s="141"/>
      <c r="H950" s="142"/>
      <c r="I950" s="194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customHeight="1">
      <c r="A951" s="138"/>
      <c r="B951" s="139"/>
      <c r="C951" s="139"/>
      <c r="D951" s="194"/>
      <c r="E951" s="141"/>
      <c r="F951" s="142"/>
      <c r="G951" s="141"/>
      <c r="H951" s="142"/>
      <c r="I951" s="194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customHeight="1">
      <c r="A952" s="138"/>
      <c r="B952" s="139"/>
      <c r="C952" s="139"/>
      <c r="D952" s="194"/>
      <c r="E952" s="141"/>
      <c r="F952" s="142"/>
      <c r="G952" s="141"/>
      <c r="H952" s="142"/>
      <c r="I952" s="194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customHeight="1">
      <c r="A953" s="138"/>
      <c r="B953" s="139"/>
      <c r="C953" s="139"/>
      <c r="D953" s="194"/>
      <c r="E953" s="141"/>
      <c r="F953" s="142"/>
      <c r="G953" s="141"/>
      <c r="H953" s="142"/>
      <c r="I953" s="194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customHeight="1">
      <c r="A954" s="138"/>
      <c r="B954" s="139"/>
      <c r="C954" s="139"/>
      <c r="D954" s="194"/>
      <c r="E954" s="141"/>
      <c r="F954" s="142"/>
      <c r="G954" s="141"/>
      <c r="H954" s="142"/>
      <c r="I954" s="194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customHeight="1">
      <c r="A955" s="138"/>
      <c r="B955" s="139"/>
      <c r="C955" s="139"/>
      <c r="D955" s="194"/>
      <c r="E955" s="141"/>
      <c r="F955" s="142"/>
      <c r="G955" s="141"/>
      <c r="H955" s="142"/>
      <c r="I955" s="194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customHeight="1">
      <c r="A956" s="138"/>
      <c r="B956" s="139"/>
      <c r="C956" s="139"/>
      <c r="D956" s="194"/>
      <c r="E956" s="141"/>
      <c r="F956" s="142"/>
      <c r="G956" s="141"/>
      <c r="H956" s="142"/>
      <c r="I956" s="194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customHeight="1">
      <c r="A957" s="138"/>
      <c r="B957" s="139"/>
      <c r="C957" s="139"/>
      <c r="D957" s="194"/>
      <c r="E957" s="141"/>
      <c r="F957" s="142"/>
      <c r="G957" s="141"/>
      <c r="H957" s="142"/>
      <c r="I957" s="194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customHeight="1">
      <c r="A958" s="138"/>
      <c r="B958" s="139"/>
      <c r="C958" s="139"/>
      <c r="D958" s="194"/>
      <c r="E958" s="141"/>
      <c r="F958" s="142"/>
      <c r="G958" s="141"/>
      <c r="H958" s="142"/>
      <c r="I958" s="194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customHeight="1">
      <c r="A959" s="138"/>
      <c r="B959" s="139"/>
      <c r="C959" s="139"/>
      <c r="D959" s="194"/>
      <c r="E959" s="141"/>
      <c r="F959" s="142"/>
      <c r="G959" s="141"/>
      <c r="H959" s="142"/>
      <c r="I959" s="194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customHeight="1">
      <c r="A960" s="138"/>
      <c r="B960" s="139"/>
      <c r="C960" s="139"/>
      <c r="D960" s="194"/>
      <c r="E960" s="141"/>
      <c r="F960" s="142"/>
      <c r="G960" s="141"/>
      <c r="H960" s="142"/>
      <c r="I960" s="194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customHeight="1">
      <c r="A961" s="138"/>
      <c r="B961" s="139"/>
      <c r="C961" s="139"/>
      <c r="D961" s="194"/>
      <c r="E961" s="141"/>
      <c r="F961" s="142"/>
      <c r="G961" s="141"/>
      <c r="H961" s="142"/>
      <c r="I961" s="194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customHeight="1">
      <c r="A962" s="138"/>
      <c r="B962" s="139"/>
      <c r="C962" s="139"/>
      <c r="D962" s="194"/>
      <c r="E962" s="141"/>
      <c r="F962" s="142"/>
      <c r="G962" s="141"/>
      <c r="H962" s="142"/>
      <c r="I962" s="194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customHeight="1">
      <c r="A963" s="138"/>
      <c r="B963" s="139"/>
      <c r="C963" s="139"/>
      <c r="D963" s="194"/>
      <c r="E963" s="141"/>
      <c r="F963" s="142"/>
      <c r="G963" s="141"/>
      <c r="H963" s="142"/>
      <c r="I963" s="194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customHeight="1">
      <c r="A964" s="138"/>
      <c r="B964" s="139"/>
      <c r="C964" s="139"/>
      <c r="D964" s="194"/>
      <c r="E964" s="141"/>
      <c r="F964" s="142"/>
      <c r="G964" s="141"/>
      <c r="H964" s="142"/>
      <c r="I964" s="194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customHeight="1">
      <c r="A965" s="138"/>
      <c r="B965" s="139"/>
      <c r="C965" s="139"/>
      <c r="D965" s="194"/>
      <c r="E965" s="141"/>
      <c r="F965" s="142"/>
      <c r="G965" s="141"/>
      <c r="H965" s="142"/>
      <c r="I965" s="194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customHeight="1">
      <c r="A966" s="138"/>
      <c r="B966" s="139"/>
      <c r="C966" s="139"/>
      <c r="D966" s="194"/>
      <c r="E966" s="141"/>
      <c r="F966" s="142"/>
      <c r="G966" s="141"/>
      <c r="H966" s="142"/>
      <c r="I966" s="194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customHeight="1">
      <c r="A967" s="138"/>
      <c r="B967" s="139"/>
      <c r="C967" s="139"/>
      <c r="D967" s="194"/>
      <c r="E967" s="141"/>
      <c r="F967" s="142"/>
      <c r="G967" s="141"/>
      <c r="H967" s="142"/>
      <c r="I967" s="194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customHeight="1">
      <c r="A968" s="138"/>
      <c r="B968" s="139"/>
      <c r="C968" s="139"/>
      <c r="D968" s="194"/>
      <c r="E968" s="141"/>
      <c r="F968" s="142"/>
      <c r="G968" s="141"/>
      <c r="H968" s="142"/>
      <c r="I968" s="194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customHeight="1">
      <c r="A969" s="138"/>
      <c r="B969" s="139"/>
      <c r="C969" s="139"/>
      <c r="D969" s="194"/>
      <c r="E969" s="141"/>
      <c r="F969" s="142"/>
      <c r="G969" s="141"/>
      <c r="H969" s="142"/>
      <c r="I969" s="194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customHeight="1">
      <c r="A970" s="138"/>
      <c r="B970" s="139"/>
      <c r="C970" s="139"/>
      <c r="D970" s="194"/>
      <c r="E970" s="141"/>
      <c r="F970" s="142"/>
      <c r="G970" s="141"/>
      <c r="H970" s="142"/>
      <c r="I970" s="194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customHeight="1">
      <c r="A971" s="138"/>
      <c r="B971" s="139"/>
      <c r="C971" s="139"/>
      <c r="D971" s="194"/>
      <c r="E971" s="141"/>
      <c r="F971" s="142"/>
      <c r="G971" s="141"/>
      <c r="H971" s="142"/>
      <c r="I971" s="194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customHeight="1">
      <c r="A972" s="138"/>
      <c r="B972" s="139"/>
      <c r="C972" s="139"/>
      <c r="D972" s="194"/>
      <c r="E972" s="141"/>
      <c r="F972" s="142"/>
      <c r="G972" s="141"/>
      <c r="H972" s="142"/>
      <c r="I972" s="194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customHeight="1">
      <c r="A973" s="138"/>
      <c r="B973" s="139"/>
      <c r="C973" s="139"/>
      <c r="D973" s="194"/>
      <c r="E973" s="141"/>
      <c r="F973" s="142"/>
      <c r="G973" s="141"/>
      <c r="H973" s="142"/>
      <c r="I973" s="194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customHeight="1">
      <c r="A974" s="138"/>
      <c r="B974" s="139"/>
      <c r="C974" s="139"/>
      <c r="D974" s="194"/>
      <c r="E974" s="141"/>
      <c r="F974" s="142"/>
      <c r="G974" s="141"/>
      <c r="H974" s="142"/>
      <c r="I974" s="194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customHeight="1">
      <c r="A975" s="138"/>
      <c r="B975" s="139"/>
      <c r="C975" s="139"/>
      <c r="D975" s="194"/>
      <c r="E975" s="141"/>
      <c r="F975" s="142"/>
      <c r="G975" s="141"/>
      <c r="H975" s="142"/>
      <c r="I975" s="194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customHeight="1">
      <c r="A976" s="138"/>
      <c r="B976" s="139"/>
      <c r="C976" s="139"/>
      <c r="D976" s="194"/>
      <c r="E976" s="141"/>
      <c r="F976" s="142"/>
      <c r="G976" s="141"/>
      <c r="H976" s="142"/>
      <c r="I976" s="194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customHeight="1">
      <c r="A977" s="138"/>
      <c r="B977" s="139"/>
      <c r="C977" s="139"/>
      <c r="D977" s="194"/>
      <c r="E977" s="141"/>
      <c r="F977" s="142"/>
      <c r="G977" s="141"/>
      <c r="H977" s="142"/>
      <c r="I977" s="194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customHeight="1">
      <c r="A978" s="138"/>
      <c r="B978" s="139"/>
      <c r="C978" s="139"/>
      <c r="D978" s="194"/>
      <c r="E978" s="141"/>
      <c r="F978" s="142"/>
      <c r="G978" s="141"/>
      <c r="H978" s="142"/>
      <c r="I978" s="194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customHeight="1">
      <c r="A979" s="138"/>
      <c r="B979" s="139"/>
      <c r="C979" s="139"/>
      <c r="D979" s="194"/>
      <c r="E979" s="141"/>
      <c r="F979" s="142"/>
      <c r="G979" s="141"/>
      <c r="H979" s="142"/>
      <c r="I979" s="194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customHeight="1">
      <c r="A980" s="138"/>
      <c r="B980" s="139"/>
      <c r="C980" s="139"/>
      <c r="D980" s="194"/>
      <c r="E980" s="141"/>
      <c r="F980" s="142"/>
      <c r="G980" s="141"/>
      <c r="H980" s="142"/>
      <c r="I980" s="194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customHeight="1">
      <c r="A981" s="138"/>
      <c r="B981" s="139"/>
      <c r="C981" s="139"/>
      <c r="D981" s="194"/>
      <c r="E981" s="141"/>
      <c r="F981" s="142"/>
      <c r="G981" s="141"/>
      <c r="H981" s="142"/>
      <c r="I981" s="194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customHeight="1">
      <c r="A982" s="138"/>
      <c r="B982" s="139"/>
      <c r="C982" s="139"/>
      <c r="D982" s="194"/>
      <c r="E982" s="141"/>
      <c r="F982" s="142"/>
      <c r="G982" s="141"/>
      <c r="H982" s="142"/>
      <c r="I982" s="194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customHeight="1">
      <c r="A983" s="138"/>
      <c r="B983" s="139"/>
      <c r="C983" s="139"/>
      <c r="D983" s="194"/>
      <c r="E983" s="141"/>
      <c r="F983" s="142"/>
      <c r="G983" s="141"/>
      <c r="H983" s="142"/>
      <c r="I983" s="194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customHeight="1">
      <c r="A984" s="138"/>
      <c r="B984" s="139"/>
      <c r="C984" s="139"/>
      <c r="D984" s="194"/>
      <c r="E984" s="141"/>
      <c r="F984" s="142"/>
      <c r="G984" s="141"/>
      <c r="H984" s="142"/>
      <c r="I984" s="194"/>
      <c r="J984" s="141"/>
      <c r="K984" s="141"/>
      <c r="L984" s="141"/>
      <c r="M984" s="143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customHeight="1">
      <c r="A985" s="138"/>
      <c r="B985" s="139"/>
      <c r="C985" s="139"/>
      <c r="D985" s="194"/>
      <c r="E985" s="141"/>
      <c r="F985" s="142"/>
      <c r="G985" s="141"/>
      <c r="H985" s="142"/>
      <c r="I985" s="194"/>
      <c r="J985" s="141"/>
      <c r="K985" s="141"/>
      <c r="L985" s="141"/>
      <c r="M985" s="143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customHeight="1">
      <c r="A986" s="138"/>
      <c r="B986" s="139"/>
      <c r="C986" s="139"/>
      <c r="D986" s="194"/>
      <c r="E986" s="141"/>
      <c r="F986" s="142"/>
      <c r="G986" s="141"/>
      <c r="H986" s="142"/>
      <c r="I986" s="194"/>
      <c r="J986" s="141"/>
      <c r="K986" s="141"/>
      <c r="L986" s="141"/>
      <c r="M986" s="143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customHeight="1">
      <c r="A987" s="138"/>
      <c r="B987" s="139"/>
      <c r="C987" s="139"/>
      <c r="D987" s="194"/>
      <c r="E987" s="141"/>
      <c r="F987" s="142"/>
      <c r="G987" s="141"/>
      <c r="H987" s="142"/>
      <c r="I987" s="194"/>
      <c r="J987" s="141"/>
      <c r="K987" s="141"/>
      <c r="L987" s="141"/>
      <c r="M987" s="143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customHeight="1">
      <c r="A988" s="138"/>
      <c r="B988" s="139"/>
      <c r="C988" s="139"/>
      <c r="D988" s="194"/>
      <c r="E988" s="141"/>
      <c r="F988" s="142"/>
      <c r="G988" s="141"/>
      <c r="H988" s="142"/>
      <c r="I988" s="194"/>
      <c r="J988" s="141"/>
      <c r="K988" s="141"/>
      <c r="L988" s="141"/>
      <c r="M988" s="143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customHeight="1">
      <c r="A989" s="138"/>
      <c r="B989" s="139"/>
      <c r="C989" s="139"/>
      <c r="D989" s="194"/>
      <c r="E989" s="141"/>
      <c r="F989" s="142"/>
      <c r="G989" s="141"/>
      <c r="H989" s="142"/>
      <c r="I989" s="194"/>
      <c r="J989" s="141"/>
      <c r="K989" s="141"/>
      <c r="L989" s="141"/>
      <c r="M989" s="143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customHeight="1">
      <c r="A990" s="138"/>
      <c r="B990" s="139"/>
      <c r="C990" s="139"/>
      <c r="D990" s="194"/>
      <c r="E990" s="141"/>
      <c r="F990" s="142"/>
      <c r="G990" s="141"/>
      <c r="H990" s="142"/>
      <c r="I990" s="194"/>
      <c r="J990" s="141"/>
      <c r="K990" s="141"/>
      <c r="L990" s="141"/>
      <c r="M990" s="143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customHeight="1">
      <c r="A991" s="138"/>
      <c r="B991" s="139"/>
      <c r="C991" s="139"/>
      <c r="D991" s="194"/>
      <c r="E991" s="141"/>
      <c r="F991" s="142"/>
      <c r="G991" s="141"/>
      <c r="H991" s="142"/>
      <c r="I991" s="194"/>
      <c r="J991" s="141"/>
      <c r="K991" s="141"/>
      <c r="L991" s="141"/>
      <c r="M991" s="143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customHeight="1">
      <c r="A992" s="138"/>
      <c r="B992" s="139"/>
      <c r="C992" s="139"/>
      <c r="D992" s="194"/>
      <c r="E992" s="141"/>
      <c r="F992" s="142"/>
      <c r="G992" s="141"/>
      <c r="H992" s="142"/>
      <c r="I992" s="194"/>
      <c r="J992" s="141"/>
      <c r="K992" s="141"/>
      <c r="L992" s="141"/>
      <c r="M992" s="143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customHeight="1">
      <c r="A993" s="138"/>
      <c r="B993" s="139"/>
      <c r="C993" s="139"/>
      <c r="D993" s="194"/>
      <c r="E993" s="141"/>
      <c r="F993" s="142"/>
      <c r="G993" s="141"/>
      <c r="H993" s="142"/>
      <c r="I993" s="194"/>
      <c r="J993" s="141"/>
      <c r="K993" s="141"/>
      <c r="L993" s="141"/>
      <c r="M993" s="143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customHeight="1">
      <c r="A994" s="138"/>
      <c r="B994" s="139"/>
      <c r="C994" s="139"/>
      <c r="D994" s="194"/>
      <c r="E994" s="141"/>
      <c r="F994" s="142"/>
      <c r="G994" s="141"/>
      <c r="H994" s="142"/>
      <c r="I994" s="194"/>
      <c r="J994" s="141"/>
      <c r="K994" s="141"/>
      <c r="L994" s="141"/>
      <c r="M994" s="143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customHeight="1">
      <c r="A995" s="138"/>
      <c r="B995" s="139"/>
      <c r="C995" s="139"/>
      <c r="D995" s="194"/>
      <c r="E995" s="141"/>
      <c r="F995" s="142"/>
      <c r="G995" s="141"/>
      <c r="H995" s="142"/>
      <c r="I995" s="194"/>
      <c r="J995" s="141"/>
      <c r="K995" s="141"/>
      <c r="L995" s="141"/>
      <c r="M995" s="143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customHeight="1">
      <c r="A996" s="138"/>
      <c r="B996" s="139"/>
      <c r="C996" s="139"/>
      <c r="D996" s="194"/>
      <c r="E996" s="141"/>
      <c r="F996" s="142"/>
      <c r="G996" s="141"/>
      <c r="H996" s="142"/>
      <c r="I996" s="194"/>
      <c r="J996" s="141"/>
      <c r="K996" s="141"/>
      <c r="L996" s="141"/>
      <c r="M996" s="143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customHeight="1">
      <c r="A997" s="138"/>
      <c r="B997" s="139"/>
      <c r="C997" s="139"/>
      <c r="D997" s="194"/>
      <c r="E997" s="141"/>
      <c r="F997" s="142"/>
      <c r="G997" s="141"/>
      <c r="H997" s="142"/>
      <c r="I997" s="194"/>
      <c r="J997" s="141"/>
      <c r="K997" s="141"/>
      <c r="L997" s="141"/>
      <c r="M997" s="143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customHeight="1">
      <c r="A998" s="138"/>
      <c r="B998" s="139"/>
      <c r="C998" s="139"/>
      <c r="D998" s="194"/>
      <c r="E998" s="141"/>
      <c r="F998" s="142"/>
      <c r="G998" s="141"/>
      <c r="H998" s="142"/>
      <c r="I998" s="194"/>
      <c r="J998" s="141"/>
      <c r="K998" s="141"/>
      <c r="L998" s="141"/>
      <c r="M998" s="143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customHeight="1">
      <c r="A999" s="138"/>
      <c r="B999" s="139"/>
      <c r="C999" s="139"/>
      <c r="D999" s="194"/>
      <c r="E999" s="141"/>
      <c r="F999" s="142"/>
      <c r="G999" s="141"/>
      <c r="H999" s="142"/>
      <c r="I999" s="194"/>
      <c r="J999" s="141"/>
      <c r="K999" s="141"/>
      <c r="L999" s="141"/>
      <c r="M999" s="143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customHeight="1">
      <c r="A1000" s="138"/>
      <c r="B1000" s="139"/>
      <c r="C1000" s="139"/>
      <c r="D1000" s="194"/>
      <c r="E1000" s="141"/>
      <c r="F1000" s="142"/>
      <c r="G1000" s="141"/>
      <c r="H1000" s="142"/>
      <c r="I1000" s="194"/>
      <c r="J1000" s="141"/>
      <c r="K1000" s="141"/>
      <c r="L1000" s="141"/>
      <c r="M1000" s="143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autoFilter ref="$A$1:$M$495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3.86"/>
    <col customWidth="1" min="3" max="4" width="24.86"/>
    <col customWidth="1" min="5" max="5" width="47.71"/>
    <col customWidth="1" min="6" max="6" width="49.29"/>
    <col customWidth="1" min="7" max="7" width="15.43"/>
    <col customWidth="1" min="8" max="8" width="20.29"/>
    <col customWidth="1" min="9" max="9" width="22.43"/>
    <col customWidth="1" min="10" max="10" width="14.71"/>
    <col customWidth="1" min="11" max="11" width="77.43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66" t="s">
        <v>0</v>
      </c>
      <c r="B1" s="567" t="s">
        <v>1</v>
      </c>
      <c r="C1" s="567" t="s">
        <v>2</v>
      </c>
      <c r="D1" s="568" t="s">
        <v>3</v>
      </c>
      <c r="E1" s="569" t="s">
        <v>4</v>
      </c>
      <c r="F1" s="312" t="s">
        <v>5</v>
      </c>
      <c r="G1" s="569" t="s">
        <v>6</v>
      </c>
      <c r="H1" s="312" t="s">
        <v>7</v>
      </c>
      <c r="I1" s="568" t="s">
        <v>8</v>
      </c>
      <c r="J1" s="569" t="s">
        <v>9</v>
      </c>
      <c r="K1" s="570" t="s">
        <v>10</v>
      </c>
      <c r="L1" s="570" t="s">
        <v>11</v>
      </c>
      <c r="M1" s="315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2.75" customHeight="1">
      <c r="A2" s="425">
        <v>119.0</v>
      </c>
      <c r="B2" s="426" t="s">
        <v>5776</v>
      </c>
      <c r="C2" s="426">
        <v>2009.0</v>
      </c>
      <c r="D2" s="500">
        <v>40059.0</v>
      </c>
      <c r="E2" s="428" t="s">
        <v>5777</v>
      </c>
      <c r="F2" s="397" t="s">
        <v>2222</v>
      </c>
      <c r="G2" s="428" t="s">
        <v>17</v>
      </c>
      <c r="H2" s="397" t="s">
        <v>4141</v>
      </c>
      <c r="I2" s="500">
        <v>43468.0</v>
      </c>
      <c r="J2" s="428">
        <v>1.0</v>
      </c>
      <c r="K2" s="539" t="s">
        <v>234</v>
      </c>
      <c r="L2" s="397" t="s">
        <v>258</v>
      </c>
      <c r="M2" s="529">
        <f t="shared" ref="M2:M476" si="1">I2-D2</f>
        <v>3409</v>
      </c>
      <c r="N2" s="15"/>
      <c r="O2" s="545" t="s">
        <v>5778</v>
      </c>
      <c r="P2" s="318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2.75" customHeight="1">
      <c r="A3" s="419">
        <v>219.0</v>
      </c>
      <c r="B3" s="420" t="s">
        <v>5779</v>
      </c>
      <c r="C3" s="420">
        <v>2012.0</v>
      </c>
      <c r="D3" s="497">
        <v>41066.0</v>
      </c>
      <c r="E3" s="422" t="s">
        <v>5780</v>
      </c>
      <c r="F3" s="394" t="s">
        <v>1895</v>
      </c>
      <c r="G3" s="422" t="s">
        <v>17</v>
      </c>
      <c r="H3" s="394" t="s">
        <v>56</v>
      </c>
      <c r="I3" s="497">
        <v>43469.0</v>
      </c>
      <c r="J3" s="422">
        <v>1.0</v>
      </c>
      <c r="K3" s="535" t="s">
        <v>228</v>
      </c>
      <c r="L3" s="394" t="s">
        <v>256</v>
      </c>
      <c r="M3" s="528">
        <f t="shared" si="1"/>
        <v>2403</v>
      </c>
      <c r="N3" s="15"/>
      <c r="O3" s="320" t="s">
        <v>27</v>
      </c>
      <c r="P3" s="320">
        <f>COUNTIF($G$2:$G$476,"PT")</f>
        <v>1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2.75" customHeight="1">
      <c r="A4" s="425">
        <v>319.0</v>
      </c>
      <c r="B4" s="426" t="s">
        <v>5781</v>
      </c>
      <c r="C4" s="426">
        <v>2015.0</v>
      </c>
      <c r="D4" s="500">
        <v>42074.0</v>
      </c>
      <c r="E4" s="428" t="s">
        <v>5782</v>
      </c>
      <c r="F4" s="397" t="s">
        <v>1895</v>
      </c>
      <c r="G4" s="428" t="s">
        <v>17</v>
      </c>
      <c r="H4" s="397" t="s">
        <v>4553</v>
      </c>
      <c r="I4" s="500">
        <v>43469.0</v>
      </c>
      <c r="J4" s="428">
        <v>1.0</v>
      </c>
      <c r="K4" s="535" t="s">
        <v>228</v>
      </c>
      <c r="L4" s="397" t="s">
        <v>256</v>
      </c>
      <c r="M4" s="529">
        <f t="shared" si="1"/>
        <v>1395</v>
      </c>
      <c r="N4" s="25"/>
      <c r="O4" s="321" t="s">
        <v>34</v>
      </c>
      <c r="P4" s="321">
        <f>COUNTIF($G$2:$G$476,"PTN")</f>
        <v>3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419">
        <v>419.0</v>
      </c>
      <c r="B5" s="420" t="s">
        <v>5783</v>
      </c>
      <c r="C5" s="420">
        <v>2015.0</v>
      </c>
      <c r="D5" s="497">
        <v>42184.0</v>
      </c>
      <c r="E5" s="422" t="s">
        <v>5784</v>
      </c>
      <c r="F5" s="394" t="s">
        <v>1762</v>
      </c>
      <c r="G5" s="422" t="s">
        <v>17</v>
      </c>
      <c r="H5" s="394" t="s">
        <v>1002</v>
      </c>
      <c r="I5" s="497">
        <v>43469.0</v>
      </c>
      <c r="J5" s="422">
        <v>1.0</v>
      </c>
      <c r="K5" s="531" t="s">
        <v>238</v>
      </c>
      <c r="L5" s="394" t="s">
        <v>256</v>
      </c>
      <c r="M5" s="528">
        <f t="shared" si="1"/>
        <v>1285</v>
      </c>
      <c r="N5" s="25"/>
      <c r="O5" s="322" t="s">
        <v>40</v>
      </c>
      <c r="P5" s="322">
        <f>COUNTIF($G$2:$G$476,"PTE")</f>
        <v>269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2.75" customHeight="1">
      <c r="A6" s="425">
        <v>519.0</v>
      </c>
      <c r="B6" s="426" t="s">
        <v>5785</v>
      </c>
      <c r="C6" s="426">
        <v>2017.0</v>
      </c>
      <c r="D6" s="500">
        <v>42845.0</v>
      </c>
      <c r="E6" s="428" t="s">
        <v>5786</v>
      </c>
      <c r="F6" s="397" t="s">
        <v>1762</v>
      </c>
      <c r="G6" s="428" t="s">
        <v>17</v>
      </c>
      <c r="H6" s="397" t="s">
        <v>4141</v>
      </c>
      <c r="I6" s="500">
        <v>43469.0</v>
      </c>
      <c r="J6" s="428">
        <v>1.0</v>
      </c>
      <c r="K6" s="531" t="s">
        <v>238</v>
      </c>
      <c r="L6" s="397" t="s">
        <v>256</v>
      </c>
      <c r="M6" s="529">
        <f t="shared" si="1"/>
        <v>624</v>
      </c>
      <c r="N6" s="25"/>
      <c r="O6" s="321" t="s">
        <v>46</v>
      </c>
      <c r="P6" s="321">
        <f>COUNTIF($G$2:$G$476,"Pré-Mistura")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customHeight="1">
      <c r="A7" s="419">
        <v>619.0</v>
      </c>
      <c r="B7" s="420" t="s">
        <v>5787</v>
      </c>
      <c r="C7" s="420">
        <v>2017.0</v>
      </c>
      <c r="D7" s="497">
        <v>42916.0</v>
      </c>
      <c r="E7" s="422" t="s">
        <v>5788</v>
      </c>
      <c r="F7" s="394" t="s">
        <v>1762</v>
      </c>
      <c r="G7" s="422" t="s">
        <v>17</v>
      </c>
      <c r="H7" s="394" t="s">
        <v>56</v>
      </c>
      <c r="I7" s="497">
        <v>43469.0</v>
      </c>
      <c r="J7" s="422">
        <v>1.0</v>
      </c>
      <c r="K7" s="531" t="s">
        <v>238</v>
      </c>
      <c r="L7" s="394" t="s">
        <v>256</v>
      </c>
      <c r="M7" s="528">
        <f t="shared" si="1"/>
        <v>553</v>
      </c>
      <c r="N7" s="25"/>
      <c r="O7" s="322" t="s">
        <v>553</v>
      </c>
      <c r="P7" s="322">
        <f>COUNTIF($G$2:$G$476,"PF")</f>
        <v>36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2.75" customHeight="1">
      <c r="A8" s="425">
        <v>719.0</v>
      </c>
      <c r="B8" s="426" t="s">
        <v>5789</v>
      </c>
      <c r="C8" s="426">
        <v>2015.0</v>
      </c>
      <c r="D8" s="500">
        <v>42226.0</v>
      </c>
      <c r="E8" s="428" t="s">
        <v>5790</v>
      </c>
      <c r="F8" s="397" t="s">
        <v>5791</v>
      </c>
      <c r="G8" s="428" t="s">
        <v>650</v>
      </c>
      <c r="H8" s="397" t="s">
        <v>2444</v>
      </c>
      <c r="I8" s="500">
        <v>43108.0</v>
      </c>
      <c r="J8" s="428">
        <v>1.0</v>
      </c>
      <c r="K8" s="531" t="s">
        <v>238</v>
      </c>
      <c r="L8" s="397" t="s">
        <v>258</v>
      </c>
      <c r="M8" s="529">
        <f t="shared" si="1"/>
        <v>882</v>
      </c>
      <c r="N8" s="25"/>
      <c r="O8" s="321" t="s">
        <v>547</v>
      </c>
      <c r="P8" s="321">
        <f>COUNTIF($G$2:$G$476,"PFN")</f>
        <v>19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2.75" customHeight="1">
      <c r="A9" s="419">
        <v>819.0</v>
      </c>
      <c r="B9" s="420" t="s">
        <v>5792</v>
      </c>
      <c r="C9" s="420">
        <v>2013.0</v>
      </c>
      <c r="D9" s="497">
        <v>41376.0</v>
      </c>
      <c r="E9" s="422" t="s">
        <v>5793</v>
      </c>
      <c r="F9" s="394" t="s">
        <v>711</v>
      </c>
      <c r="G9" s="422" t="s">
        <v>17</v>
      </c>
      <c r="H9" s="394" t="s">
        <v>712</v>
      </c>
      <c r="I9" s="497">
        <v>43474.0</v>
      </c>
      <c r="J9" s="422">
        <v>1.0</v>
      </c>
      <c r="K9" s="539" t="s">
        <v>234</v>
      </c>
      <c r="L9" s="394" t="s">
        <v>256</v>
      </c>
      <c r="M9" s="528">
        <f t="shared" si="1"/>
        <v>2098</v>
      </c>
      <c r="N9" s="25"/>
      <c r="O9" s="322" t="s">
        <v>560</v>
      </c>
      <c r="P9" s="322">
        <f>COUNTIF($G$2:$G$476,"PF/PTE")</f>
        <v>104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2.75" customHeight="1">
      <c r="A10" s="425">
        <v>919.0</v>
      </c>
      <c r="B10" s="426" t="s">
        <v>5794</v>
      </c>
      <c r="C10" s="426">
        <v>2017.0</v>
      </c>
      <c r="D10" s="500">
        <v>42922.0</v>
      </c>
      <c r="E10" s="428" t="s">
        <v>5795</v>
      </c>
      <c r="F10" s="397" t="s">
        <v>2905</v>
      </c>
      <c r="G10" s="428" t="s">
        <v>17</v>
      </c>
      <c r="H10" s="397" t="s">
        <v>56</v>
      </c>
      <c r="I10" s="500">
        <v>43474.0</v>
      </c>
      <c r="J10" s="428">
        <v>1.0</v>
      </c>
      <c r="K10" s="535" t="s">
        <v>228</v>
      </c>
      <c r="L10" s="397" t="s">
        <v>256</v>
      </c>
      <c r="M10" s="529">
        <f t="shared" si="1"/>
        <v>552</v>
      </c>
      <c r="N10" s="25"/>
      <c r="O10" s="321" t="s">
        <v>565</v>
      </c>
      <c r="P10" s="321">
        <f>COUNTIF($G$2:$G$476,"Bio")</f>
        <v>31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2.75" customHeight="1">
      <c r="A11" s="419">
        <v>1019.0</v>
      </c>
      <c r="B11" s="420" t="s">
        <v>5796</v>
      </c>
      <c r="C11" s="420">
        <v>2016.0</v>
      </c>
      <c r="D11" s="497">
        <v>42433.0</v>
      </c>
      <c r="E11" s="422" t="s">
        <v>5797</v>
      </c>
      <c r="F11" s="394" t="s">
        <v>25</v>
      </c>
      <c r="G11" s="422" t="s">
        <v>17</v>
      </c>
      <c r="H11" s="394" t="s">
        <v>50</v>
      </c>
      <c r="I11" s="497">
        <v>43474.0</v>
      </c>
      <c r="J11" s="422">
        <v>1.0</v>
      </c>
      <c r="K11" s="531" t="s">
        <v>238</v>
      </c>
      <c r="L11" s="394" t="s">
        <v>256</v>
      </c>
      <c r="M11" s="528">
        <f t="shared" si="1"/>
        <v>1041</v>
      </c>
      <c r="N11" s="25"/>
      <c r="O11" s="323" t="s">
        <v>569</v>
      </c>
      <c r="P11" s="323">
        <f>COUNTIF($G$2:$G$476,"Bio/Org")</f>
        <v>12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2.75" customHeight="1">
      <c r="A12" s="425">
        <v>1119.0</v>
      </c>
      <c r="B12" s="426" t="s">
        <v>5798</v>
      </c>
      <c r="C12" s="426">
        <v>2013.0</v>
      </c>
      <c r="D12" s="500">
        <v>41603.0</v>
      </c>
      <c r="E12" s="428" t="s">
        <v>5799</v>
      </c>
      <c r="F12" s="397" t="s">
        <v>963</v>
      </c>
      <c r="G12" s="428" t="s">
        <v>650</v>
      </c>
      <c r="H12" s="397" t="s">
        <v>2325</v>
      </c>
      <c r="I12" s="500">
        <v>43480.0</v>
      </c>
      <c r="J12" s="428">
        <v>1.0</v>
      </c>
      <c r="K12" s="539" t="s">
        <v>234</v>
      </c>
      <c r="L12" s="397" t="s">
        <v>258</v>
      </c>
      <c r="M12" s="529">
        <f t="shared" si="1"/>
        <v>1877</v>
      </c>
      <c r="N12" s="25"/>
      <c r="O12" s="324" t="s">
        <v>51</v>
      </c>
      <c r="P12" s="325">
        <f>SUM(P3:P11)</f>
        <v>475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2.75" customHeight="1">
      <c r="A13" s="419">
        <v>1219.0</v>
      </c>
      <c r="B13" s="420" t="s">
        <v>5800</v>
      </c>
      <c r="C13" s="420">
        <v>2015.0</v>
      </c>
      <c r="D13" s="497">
        <v>42250.0</v>
      </c>
      <c r="E13" s="422" t="s">
        <v>5801</v>
      </c>
      <c r="F13" s="394" t="s">
        <v>963</v>
      </c>
      <c r="G13" s="422" t="s">
        <v>650</v>
      </c>
      <c r="H13" s="394" t="s">
        <v>2325</v>
      </c>
      <c r="I13" s="497">
        <v>43480.0</v>
      </c>
      <c r="J13" s="422">
        <v>1.0</v>
      </c>
      <c r="K13" s="539" t="s">
        <v>234</v>
      </c>
      <c r="L13" s="394" t="s">
        <v>258</v>
      </c>
      <c r="M13" s="528">
        <f t="shared" si="1"/>
        <v>1230</v>
      </c>
      <c r="N13" s="42"/>
      <c r="O13" s="25"/>
      <c r="P13" s="25"/>
      <c r="Q13" s="25"/>
      <c r="R13" s="326"/>
      <c r="S13" s="326"/>
      <c r="T13" s="25"/>
      <c r="U13" s="25"/>
      <c r="V13" s="25"/>
      <c r="W13" s="25"/>
      <c r="X13" s="25"/>
      <c r="Y13" s="25"/>
      <c r="Z13" s="25"/>
    </row>
    <row r="14" ht="12.75" customHeight="1">
      <c r="A14" s="425">
        <v>1319.0</v>
      </c>
      <c r="B14" s="426" t="s">
        <v>5802</v>
      </c>
      <c r="C14" s="426">
        <v>2016.0</v>
      </c>
      <c r="D14" s="500">
        <v>42577.0</v>
      </c>
      <c r="E14" s="428" t="s">
        <v>5803</v>
      </c>
      <c r="F14" s="397" t="s">
        <v>1846</v>
      </c>
      <c r="G14" s="428" t="s">
        <v>552</v>
      </c>
      <c r="H14" s="397" t="s">
        <v>583</v>
      </c>
      <c r="I14" s="500">
        <v>43482.0</v>
      </c>
      <c r="J14" s="428">
        <v>1.0</v>
      </c>
      <c r="K14" s="535" t="s">
        <v>228</v>
      </c>
      <c r="L14" s="397" t="s">
        <v>258</v>
      </c>
      <c r="M14" s="529">
        <f t="shared" si="1"/>
        <v>905</v>
      </c>
      <c r="N14" s="42"/>
      <c r="O14" s="327" t="s">
        <v>61</v>
      </c>
      <c r="P14" s="102"/>
      <c r="Q14" s="102"/>
      <c r="R14" s="102"/>
      <c r="S14" s="103"/>
      <c r="T14" s="25"/>
      <c r="U14" s="25"/>
      <c r="V14" s="25"/>
      <c r="W14" s="25"/>
      <c r="X14" s="25"/>
      <c r="Y14" s="25"/>
      <c r="Z14" s="25"/>
    </row>
    <row r="15" ht="12.75" customHeight="1">
      <c r="A15" s="419">
        <v>1419.0</v>
      </c>
      <c r="B15" s="420" t="s">
        <v>5804</v>
      </c>
      <c r="C15" s="420">
        <v>2016.0</v>
      </c>
      <c r="D15" s="497">
        <v>42593.0</v>
      </c>
      <c r="E15" s="422" t="s">
        <v>5805</v>
      </c>
      <c r="F15" s="394" t="s">
        <v>1440</v>
      </c>
      <c r="G15" s="422" t="s">
        <v>552</v>
      </c>
      <c r="H15" s="394" t="s">
        <v>583</v>
      </c>
      <c r="I15" s="497">
        <v>43482.0</v>
      </c>
      <c r="J15" s="422">
        <v>1.0</v>
      </c>
      <c r="K15" s="535" t="s">
        <v>228</v>
      </c>
      <c r="L15" s="394" t="s">
        <v>256</v>
      </c>
      <c r="M15" s="528">
        <f t="shared" si="1"/>
        <v>889</v>
      </c>
      <c r="N15" s="25"/>
      <c r="O15" s="328"/>
      <c r="P15" s="329"/>
      <c r="Q15" s="329"/>
      <c r="R15" s="329"/>
      <c r="S15" s="330"/>
      <c r="T15" s="25"/>
      <c r="U15" s="25"/>
      <c r="V15" s="25"/>
      <c r="W15" s="25"/>
      <c r="X15" s="25"/>
      <c r="Y15" s="25"/>
      <c r="Z15" s="25"/>
    </row>
    <row r="16" ht="13.5" customHeight="1">
      <c r="A16" s="425">
        <v>1519.0</v>
      </c>
      <c r="B16" s="426" t="s">
        <v>5806</v>
      </c>
      <c r="C16" s="426">
        <v>2016.0</v>
      </c>
      <c r="D16" s="500">
        <v>42531.0</v>
      </c>
      <c r="E16" s="428" t="s">
        <v>5807</v>
      </c>
      <c r="F16" s="397" t="s">
        <v>5808</v>
      </c>
      <c r="G16" s="428" t="s">
        <v>650</v>
      </c>
      <c r="H16" s="397" t="s">
        <v>158</v>
      </c>
      <c r="I16" s="500">
        <v>43482.0</v>
      </c>
      <c r="J16" s="428">
        <v>1.0</v>
      </c>
      <c r="K16" s="535" t="s">
        <v>228</v>
      </c>
      <c r="L16" s="397" t="s">
        <v>256</v>
      </c>
      <c r="M16" s="529">
        <f t="shared" si="1"/>
        <v>951</v>
      </c>
      <c r="N16" s="25"/>
      <c r="O16" s="331" t="s">
        <v>5809</v>
      </c>
      <c r="P16" s="332"/>
      <c r="Q16" s="332"/>
      <c r="R16" s="332"/>
      <c r="S16" s="333"/>
      <c r="T16" s="25"/>
      <c r="U16" s="25"/>
      <c r="V16" s="25"/>
      <c r="W16" s="25"/>
      <c r="X16" s="25"/>
      <c r="Y16" s="25"/>
      <c r="Z16" s="25"/>
    </row>
    <row r="17" ht="15.0" customHeight="1">
      <c r="A17" s="419">
        <v>1619.0</v>
      </c>
      <c r="B17" s="420" t="s">
        <v>5810</v>
      </c>
      <c r="C17" s="420">
        <v>2015.0</v>
      </c>
      <c r="D17" s="497">
        <v>42031.0</v>
      </c>
      <c r="E17" s="422" t="s">
        <v>5811</v>
      </c>
      <c r="F17" s="394" t="s">
        <v>1440</v>
      </c>
      <c r="G17" s="422" t="s">
        <v>650</v>
      </c>
      <c r="H17" s="394" t="s">
        <v>18</v>
      </c>
      <c r="I17" s="497">
        <v>43482.0</v>
      </c>
      <c r="J17" s="422">
        <v>1.0</v>
      </c>
      <c r="K17" s="531" t="s">
        <v>238</v>
      </c>
      <c r="L17" s="394" t="s">
        <v>256</v>
      </c>
      <c r="M17" s="528">
        <f t="shared" si="1"/>
        <v>1451</v>
      </c>
      <c r="N17" s="25"/>
      <c r="O17" s="334" t="s">
        <v>5812</v>
      </c>
      <c r="P17" s="113"/>
      <c r="Q17" s="113"/>
      <c r="R17" s="113"/>
      <c r="S17" s="114"/>
      <c r="T17" s="25"/>
      <c r="U17" s="25"/>
      <c r="V17" s="25"/>
      <c r="W17" s="25"/>
      <c r="X17" s="25"/>
      <c r="Y17" s="25"/>
      <c r="Z17" s="25"/>
    </row>
    <row r="18" ht="15.75" customHeight="1">
      <c r="A18" s="425">
        <v>1719.0</v>
      </c>
      <c r="B18" s="426" t="s">
        <v>5813</v>
      </c>
      <c r="C18" s="426">
        <v>2013.0</v>
      </c>
      <c r="D18" s="500">
        <v>41414.0</v>
      </c>
      <c r="E18" s="428" t="s">
        <v>5814</v>
      </c>
      <c r="F18" s="397" t="s">
        <v>963</v>
      </c>
      <c r="G18" s="428" t="s">
        <v>552</v>
      </c>
      <c r="H18" s="397" t="s">
        <v>5815</v>
      </c>
      <c r="I18" s="500">
        <v>43487.0</v>
      </c>
      <c r="J18" s="428">
        <v>1.0</v>
      </c>
      <c r="K18" s="535" t="s">
        <v>228</v>
      </c>
      <c r="L18" s="397" t="s">
        <v>258</v>
      </c>
      <c r="M18" s="529">
        <f t="shared" si="1"/>
        <v>2073</v>
      </c>
      <c r="N18" s="25"/>
      <c r="O18" s="335" t="s">
        <v>5816</v>
      </c>
      <c r="P18" s="113"/>
      <c r="Q18" s="113"/>
      <c r="R18" s="113"/>
      <c r="S18" s="114"/>
      <c r="T18" s="25"/>
      <c r="U18" s="25"/>
      <c r="V18" s="25"/>
      <c r="W18" s="25"/>
      <c r="X18" s="25"/>
      <c r="Y18" s="25"/>
      <c r="Z18" s="25"/>
    </row>
    <row r="19" ht="15.75" customHeight="1">
      <c r="A19" s="419">
        <v>1819.0</v>
      </c>
      <c r="B19" s="420" t="s">
        <v>5817</v>
      </c>
      <c r="C19" s="420">
        <v>2013.0</v>
      </c>
      <c r="D19" s="497">
        <v>41339.0</v>
      </c>
      <c r="E19" s="422" t="s">
        <v>5818</v>
      </c>
      <c r="F19" s="394" t="s">
        <v>44</v>
      </c>
      <c r="G19" s="422" t="s">
        <v>552</v>
      </c>
      <c r="H19" s="394" t="s">
        <v>5049</v>
      </c>
      <c r="I19" s="497">
        <v>43489.0</v>
      </c>
      <c r="J19" s="422">
        <v>1.0</v>
      </c>
      <c r="K19" s="535" t="s">
        <v>228</v>
      </c>
      <c r="L19" s="394" t="s">
        <v>258</v>
      </c>
      <c r="M19" s="528">
        <f t="shared" si="1"/>
        <v>2150</v>
      </c>
      <c r="N19" s="25"/>
      <c r="O19" s="334" t="s">
        <v>5819</v>
      </c>
      <c r="P19" s="113"/>
      <c r="Q19" s="113"/>
      <c r="R19" s="113"/>
      <c r="S19" s="114"/>
      <c r="T19" s="25"/>
      <c r="U19" s="25"/>
      <c r="V19" s="25"/>
      <c r="W19" s="25"/>
      <c r="X19" s="25"/>
      <c r="Y19" s="25"/>
      <c r="Z19" s="25"/>
    </row>
    <row r="20" ht="12.75" customHeight="1">
      <c r="A20" s="425">
        <v>1919.0</v>
      </c>
      <c r="B20" s="426" t="s">
        <v>5820</v>
      </c>
      <c r="C20" s="426">
        <v>2012.0</v>
      </c>
      <c r="D20" s="500">
        <v>41164.0</v>
      </c>
      <c r="E20" s="428" t="s">
        <v>5821</v>
      </c>
      <c r="F20" s="397" t="s">
        <v>4029</v>
      </c>
      <c r="G20" s="428" t="s">
        <v>552</v>
      </c>
      <c r="H20" s="397" t="s">
        <v>5016</v>
      </c>
      <c r="I20" s="500">
        <v>43489.0</v>
      </c>
      <c r="J20" s="428">
        <v>1.0</v>
      </c>
      <c r="K20" s="535" t="s">
        <v>228</v>
      </c>
      <c r="L20" s="397" t="s">
        <v>256</v>
      </c>
      <c r="M20" s="529">
        <f t="shared" si="1"/>
        <v>2325</v>
      </c>
      <c r="N20" s="25"/>
      <c r="O20" s="335" t="s">
        <v>5822</v>
      </c>
      <c r="P20" s="113"/>
      <c r="Q20" s="113"/>
      <c r="R20" s="113"/>
      <c r="S20" s="114"/>
      <c r="T20" s="25"/>
      <c r="U20" s="25"/>
      <c r="V20" s="25"/>
      <c r="W20" s="25"/>
      <c r="X20" s="25"/>
      <c r="Y20" s="25"/>
      <c r="Z20" s="25"/>
    </row>
    <row r="21" ht="12.75" customHeight="1">
      <c r="A21" s="419">
        <v>2019.0</v>
      </c>
      <c r="B21" s="420" t="s">
        <v>5823</v>
      </c>
      <c r="C21" s="420">
        <v>2015.0</v>
      </c>
      <c r="D21" s="497">
        <v>42275.0</v>
      </c>
      <c r="E21" s="422" t="s">
        <v>5824</v>
      </c>
      <c r="F21" s="394" t="s">
        <v>5825</v>
      </c>
      <c r="G21" s="422" t="s">
        <v>552</v>
      </c>
      <c r="H21" s="394" t="s">
        <v>5826</v>
      </c>
      <c r="I21" s="497">
        <v>43489.0</v>
      </c>
      <c r="J21" s="422">
        <v>1.0</v>
      </c>
      <c r="K21" s="535" t="s">
        <v>228</v>
      </c>
      <c r="L21" s="394" t="s">
        <v>258</v>
      </c>
      <c r="M21" s="528">
        <f t="shared" si="1"/>
        <v>1214</v>
      </c>
      <c r="N21" s="25"/>
      <c r="O21" s="334" t="s">
        <v>5827</v>
      </c>
      <c r="P21" s="113"/>
      <c r="Q21" s="113"/>
      <c r="R21" s="113"/>
      <c r="S21" s="114"/>
      <c r="T21" s="25"/>
      <c r="U21" s="25"/>
      <c r="V21" s="25"/>
      <c r="W21" s="25"/>
      <c r="X21" s="25"/>
      <c r="Y21" s="25"/>
      <c r="Z21" s="25"/>
    </row>
    <row r="22" ht="12.75" customHeight="1">
      <c r="A22" s="425">
        <v>2119.0</v>
      </c>
      <c r="B22" s="426" t="s">
        <v>5828</v>
      </c>
      <c r="C22" s="426">
        <v>2014.0</v>
      </c>
      <c r="D22" s="500">
        <v>41662.0</v>
      </c>
      <c r="E22" s="428" t="s">
        <v>5829</v>
      </c>
      <c r="F22" s="397" t="s">
        <v>5830</v>
      </c>
      <c r="G22" s="428" t="s">
        <v>552</v>
      </c>
      <c r="H22" s="397" t="s">
        <v>573</v>
      </c>
      <c r="I22" s="500">
        <v>43494.0</v>
      </c>
      <c r="J22" s="428">
        <v>1.0</v>
      </c>
      <c r="K22" s="535" t="s">
        <v>228</v>
      </c>
      <c r="L22" s="397" t="s">
        <v>254</v>
      </c>
      <c r="M22" s="529">
        <f t="shared" si="1"/>
        <v>1832</v>
      </c>
      <c r="N22" s="25"/>
      <c r="O22" s="335" t="s">
        <v>5831</v>
      </c>
      <c r="P22" s="113"/>
      <c r="Q22" s="113"/>
      <c r="R22" s="113"/>
      <c r="S22" s="114"/>
      <c r="T22" s="25"/>
      <c r="U22" s="25"/>
      <c r="V22" s="25"/>
      <c r="W22" s="25"/>
      <c r="X22" s="25"/>
      <c r="Y22" s="25"/>
      <c r="Z22" s="25"/>
    </row>
    <row r="23" ht="15.75" customHeight="1">
      <c r="A23" s="419">
        <v>2219.0</v>
      </c>
      <c r="B23" s="420" t="s">
        <v>5832</v>
      </c>
      <c r="C23" s="420">
        <v>2012.0</v>
      </c>
      <c r="D23" s="497">
        <v>41176.0</v>
      </c>
      <c r="E23" s="422" t="s">
        <v>5833</v>
      </c>
      <c r="F23" s="394" t="s">
        <v>660</v>
      </c>
      <c r="G23" s="422" t="s">
        <v>552</v>
      </c>
      <c r="H23" s="394" t="s">
        <v>158</v>
      </c>
      <c r="I23" s="497">
        <v>43494.0</v>
      </c>
      <c r="J23" s="422">
        <v>1.0</v>
      </c>
      <c r="K23" s="535" t="s">
        <v>228</v>
      </c>
      <c r="L23" s="394" t="s">
        <v>256</v>
      </c>
      <c r="M23" s="528">
        <f t="shared" si="1"/>
        <v>2318</v>
      </c>
      <c r="N23" s="25"/>
      <c r="O23" s="334" t="s">
        <v>5834</v>
      </c>
      <c r="P23" s="113"/>
      <c r="Q23" s="113"/>
      <c r="R23" s="113"/>
      <c r="S23" s="114"/>
      <c r="T23" s="25"/>
      <c r="U23" s="25"/>
      <c r="V23" s="25"/>
      <c r="W23" s="25"/>
      <c r="X23" s="25"/>
      <c r="Y23" s="25"/>
      <c r="Z23" s="25"/>
    </row>
    <row r="24" ht="12.75" customHeight="1">
      <c r="A24" s="425">
        <v>2319.0</v>
      </c>
      <c r="B24" s="426" t="s">
        <v>5835</v>
      </c>
      <c r="C24" s="426">
        <v>2014.0</v>
      </c>
      <c r="D24" s="500">
        <v>41648.0</v>
      </c>
      <c r="E24" s="428" t="s">
        <v>5836</v>
      </c>
      <c r="F24" s="397" t="s">
        <v>31</v>
      </c>
      <c r="G24" s="428" t="s">
        <v>552</v>
      </c>
      <c r="H24" s="397" t="s">
        <v>130</v>
      </c>
      <c r="I24" s="500">
        <v>43494.0</v>
      </c>
      <c r="J24" s="428">
        <v>1.0</v>
      </c>
      <c r="K24" s="535" t="s">
        <v>228</v>
      </c>
      <c r="L24" s="397" t="s">
        <v>258</v>
      </c>
      <c r="M24" s="529">
        <f t="shared" si="1"/>
        <v>1846</v>
      </c>
      <c r="N24" s="25"/>
      <c r="O24" s="336" t="s">
        <v>5837</v>
      </c>
      <c r="P24" s="118"/>
      <c r="Q24" s="118"/>
      <c r="R24" s="118"/>
      <c r="S24" s="119"/>
      <c r="T24" s="25"/>
      <c r="U24" s="25"/>
      <c r="V24" s="25"/>
      <c r="W24" s="25"/>
      <c r="X24" s="25"/>
      <c r="Y24" s="25"/>
      <c r="Z24" s="25"/>
    </row>
    <row r="25" ht="12.75" customHeight="1">
      <c r="A25" s="419">
        <v>2419.0</v>
      </c>
      <c r="B25" s="420" t="s">
        <v>5838</v>
      </c>
      <c r="C25" s="420">
        <v>2016.0</v>
      </c>
      <c r="D25" s="497">
        <v>42458.0</v>
      </c>
      <c r="E25" s="422" t="s">
        <v>5839</v>
      </c>
      <c r="F25" s="394" t="s">
        <v>660</v>
      </c>
      <c r="G25" s="422" t="s">
        <v>17</v>
      </c>
      <c r="H25" s="394" t="s">
        <v>163</v>
      </c>
      <c r="I25" s="497">
        <v>43494.0</v>
      </c>
      <c r="J25" s="422">
        <v>1.0</v>
      </c>
      <c r="K25" s="535" t="s">
        <v>228</v>
      </c>
      <c r="L25" s="394" t="s">
        <v>258</v>
      </c>
      <c r="M25" s="528">
        <f t="shared" si="1"/>
        <v>1036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2.75" customHeight="1">
      <c r="A26" s="425">
        <v>2519.0</v>
      </c>
      <c r="B26" s="426" t="s">
        <v>5840</v>
      </c>
      <c r="C26" s="426">
        <v>2018.0</v>
      </c>
      <c r="D26" s="500">
        <v>43276.0</v>
      </c>
      <c r="E26" s="428" t="s">
        <v>5841</v>
      </c>
      <c r="F26" s="397" t="s">
        <v>2873</v>
      </c>
      <c r="G26" s="428" t="s">
        <v>17</v>
      </c>
      <c r="H26" s="397" t="s">
        <v>573</v>
      </c>
      <c r="I26" s="500">
        <v>43494.0</v>
      </c>
      <c r="J26" s="428">
        <v>1.0</v>
      </c>
      <c r="K26" s="535" t="s">
        <v>228</v>
      </c>
      <c r="L26" s="397" t="s">
        <v>258</v>
      </c>
      <c r="M26" s="529">
        <f t="shared" si="1"/>
        <v>218</v>
      </c>
      <c r="N26" s="25"/>
      <c r="O26" s="327" t="s">
        <v>617</v>
      </c>
      <c r="P26" s="102"/>
      <c r="Q26" s="102"/>
      <c r="R26" s="102"/>
      <c r="S26" s="103"/>
      <c r="T26" s="25"/>
      <c r="U26" s="25"/>
      <c r="V26" s="25"/>
      <c r="W26" s="25"/>
      <c r="X26" s="25"/>
      <c r="Y26" s="25"/>
      <c r="Z26" s="25"/>
    </row>
    <row r="27" ht="12.75" customHeight="1">
      <c r="A27" s="419">
        <v>2619.0</v>
      </c>
      <c r="B27" s="420" t="s">
        <v>5842</v>
      </c>
      <c r="C27" s="420">
        <v>2014.0</v>
      </c>
      <c r="D27" s="497">
        <v>41836.0</v>
      </c>
      <c r="E27" s="422" t="s">
        <v>5843</v>
      </c>
      <c r="F27" s="394" t="s">
        <v>5844</v>
      </c>
      <c r="G27" s="422" t="s">
        <v>17</v>
      </c>
      <c r="H27" s="394" t="s">
        <v>4553</v>
      </c>
      <c r="I27" s="497">
        <v>43494.0</v>
      </c>
      <c r="J27" s="422">
        <v>1.0</v>
      </c>
      <c r="K27" s="571" t="s">
        <v>244</v>
      </c>
      <c r="L27" s="394" t="s">
        <v>258</v>
      </c>
      <c r="M27" s="528">
        <f t="shared" si="1"/>
        <v>1658</v>
      </c>
      <c r="N27" s="25"/>
      <c r="O27" s="104"/>
      <c r="P27" s="105"/>
      <c r="Q27" s="105"/>
      <c r="R27" s="105"/>
      <c r="S27" s="106"/>
      <c r="T27" s="25"/>
      <c r="U27" s="25"/>
      <c r="V27" s="25"/>
      <c r="W27" s="25"/>
      <c r="X27" s="25"/>
      <c r="Y27" s="25"/>
      <c r="Z27" s="25"/>
    </row>
    <row r="28" ht="12.75" customHeight="1">
      <c r="A28" s="425">
        <v>2719.0</v>
      </c>
      <c r="B28" s="426" t="s">
        <v>5845</v>
      </c>
      <c r="C28" s="426">
        <v>2016.0</v>
      </c>
      <c r="D28" s="500">
        <v>42465.0</v>
      </c>
      <c r="E28" s="428" t="s">
        <v>5846</v>
      </c>
      <c r="F28" s="397" t="s">
        <v>5844</v>
      </c>
      <c r="G28" s="428" t="s">
        <v>17</v>
      </c>
      <c r="H28" s="397" t="s">
        <v>187</v>
      </c>
      <c r="I28" s="500">
        <v>43494.0</v>
      </c>
      <c r="J28" s="428">
        <v>1.0</v>
      </c>
      <c r="K28" s="571" t="s">
        <v>244</v>
      </c>
      <c r="L28" s="397" t="s">
        <v>258</v>
      </c>
      <c r="M28" s="529">
        <f t="shared" si="1"/>
        <v>1029</v>
      </c>
      <c r="N28" s="25"/>
      <c r="O28" s="337" t="s">
        <v>106</v>
      </c>
      <c r="P28" s="338" t="s">
        <v>107</v>
      </c>
      <c r="Q28" s="339"/>
      <c r="R28" s="340"/>
      <c r="S28" s="341" t="s">
        <v>108</v>
      </c>
      <c r="T28" s="25"/>
      <c r="U28" s="25"/>
      <c r="V28" s="25"/>
      <c r="W28" s="25"/>
      <c r="X28" s="25"/>
      <c r="Y28" s="25"/>
      <c r="Z28" s="25"/>
    </row>
    <row r="29" ht="12.75" customHeight="1">
      <c r="A29" s="419">
        <v>2819.0</v>
      </c>
      <c r="B29" s="420" t="s">
        <v>5847</v>
      </c>
      <c r="C29" s="420">
        <v>2017.0</v>
      </c>
      <c r="D29" s="497">
        <v>42782.0</v>
      </c>
      <c r="E29" s="422" t="s">
        <v>5848</v>
      </c>
      <c r="F29" s="394" t="s">
        <v>5844</v>
      </c>
      <c r="G29" s="422" t="s">
        <v>17</v>
      </c>
      <c r="H29" s="394" t="s">
        <v>1769</v>
      </c>
      <c r="I29" s="497">
        <v>43494.0</v>
      </c>
      <c r="J29" s="422">
        <v>1.0</v>
      </c>
      <c r="K29" s="571" t="s">
        <v>244</v>
      </c>
      <c r="L29" s="394" t="s">
        <v>258</v>
      </c>
      <c r="M29" s="528">
        <f t="shared" si="1"/>
        <v>712</v>
      </c>
      <c r="N29" s="25"/>
      <c r="O29" s="322">
        <v>2007.0</v>
      </c>
      <c r="P29" s="342">
        <f>COUNTIF($C$2:$C$503,"2007")</f>
        <v>1</v>
      </c>
      <c r="Q29" s="332"/>
      <c r="R29" s="333"/>
      <c r="S29" s="343">
        <f>(P29/P42)</f>
        <v>0.002105263158</v>
      </c>
      <c r="T29" s="25"/>
      <c r="U29" s="25"/>
      <c r="V29" s="25"/>
      <c r="W29" s="25"/>
      <c r="X29" s="25"/>
      <c r="Y29" s="25"/>
      <c r="Z29" s="25"/>
    </row>
    <row r="30" ht="13.5" customHeight="1">
      <c r="A30" s="425">
        <v>2919.0</v>
      </c>
      <c r="B30" s="426" t="s">
        <v>5849</v>
      </c>
      <c r="C30" s="426">
        <v>2014.0</v>
      </c>
      <c r="D30" s="500">
        <v>41842.0</v>
      </c>
      <c r="E30" s="428" t="s">
        <v>5850</v>
      </c>
      <c r="F30" s="397" t="s">
        <v>5844</v>
      </c>
      <c r="G30" s="428" t="s">
        <v>17</v>
      </c>
      <c r="H30" s="397" t="s">
        <v>149</v>
      </c>
      <c r="I30" s="500">
        <v>43494.0</v>
      </c>
      <c r="J30" s="428">
        <v>1.0</v>
      </c>
      <c r="K30" s="571" t="s">
        <v>244</v>
      </c>
      <c r="L30" s="397" t="s">
        <v>258</v>
      </c>
      <c r="M30" s="529">
        <f t="shared" si="1"/>
        <v>1652</v>
      </c>
      <c r="N30" s="25"/>
      <c r="O30" s="321">
        <v>2008.0</v>
      </c>
      <c r="P30" s="344">
        <f>COUNTIF($C$2:$C$503,"2008")</f>
        <v>1</v>
      </c>
      <c r="Q30" s="113"/>
      <c r="R30" s="114"/>
      <c r="S30" s="345">
        <f>(P30/P42)</f>
        <v>0.002105263158</v>
      </c>
      <c r="T30" s="25"/>
      <c r="U30" s="25"/>
      <c r="V30" s="25"/>
      <c r="W30" s="25"/>
      <c r="X30" s="25"/>
      <c r="Y30" s="25"/>
      <c r="Z30" s="25"/>
    </row>
    <row r="31" ht="13.5" customHeight="1">
      <c r="A31" s="419">
        <v>3019.0</v>
      </c>
      <c r="B31" s="420" t="s">
        <v>5851</v>
      </c>
      <c r="C31" s="420">
        <v>2007.0</v>
      </c>
      <c r="D31" s="497">
        <v>39392.0</v>
      </c>
      <c r="E31" s="422" t="s">
        <v>5852</v>
      </c>
      <c r="F31" s="394" t="s">
        <v>2667</v>
      </c>
      <c r="G31" s="422" t="s">
        <v>650</v>
      </c>
      <c r="H31" s="394" t="s">
        <v>601</v>
      </c>
      <c r="I31" s="497">
        <v>43497.0</v>
      </c>
      <c r="J31" s="422">
        <v>2.0</v>
      </c>
      <c r="K31" s="531" t="s">
        <v>238</v>
      </c>
      <c r="L31" s="394" t="s">
        <v>258</v>
      </c>
      <c r="M31" s="528">
        <f t="shared" si="1"/>
        <v>4105</v>
      </c>
      <c r="N31" s="25"/>
      <c r="O31" s="322">
        <v>2009.0</v>
      </c>
      <c r="P31" s="346">
        <f>COUNTIF($C$2:$C$503,"2009")</f>
        <v>8</v>
      </c>
      <c r="Q31" s="113"/>
      <c r="R31" s="114"/>
      <c r="S31" s="343">
        <f>(P31/P42)</f>
        <v>0.01684210526</v>
      </c>
      <c r="T31" s="25"/>
      <c r="U31" s="25"/>
      <c r="V31" s="25"/>
      <c r="W31" s="25"/>
      <c r="X31" s="25"/>
      <c r="Y31" s="25"/>
      <c r="Z31" s="25"/>
    </row>
    <row r="32" ht="12.75" customHeight="1">
      <c r="A32" s="425">
        <v>3119.0</v>
      </c>
      <c r="B32" s="426" t="s">
        <v>5853</v>
      </c>
      <c r="C32" s="426">
        <v>2016.0</v>
      </c>
      <c r="D32" s="500">
        <v>42551.0</v>
      </c>
      <c r="E32" s="428" t="s">
        <v>5854</v>
      </c>
      <c r="F32" s="397" t="s">
        <v>1960</v>
      </c>
      <c r="G32" s="428" t="s">
        <v>650</v>
      </c>
      <c r="H32" s="397" t="s">
        <v>56</v>
      </c>
      <c r="I32" s="500">
        <v>43497.0</v>
      </c>
      <c r="J32" s="428">
        <v>2.0</v>
      </c>
      <c r="K32" s="531" t="s">
        <v>238</v>
      </c>
      <c r="L32" s="397" t="s">
        <v>258</v>
      </c>
      <c r="M32" s="529">
        <f t="shared" si="1"/>
        <v>946</v>
      </c>
      <c r="N32" s="25"/>
      <c r="O32" s="321">
        <v>2010.0</v>
      </c>
      <c r="P32" s="344">
        <f>COUNTIF($C$2:$C$503,"2010")</f>
        <v>5</v>
      </c>
      <c r="Q32" s="113"/>
      <c r="R32" s="114"/>
      <c r="S32" s="345">
        <f>(P32/P42)</f>
        <v>0.01052631579</v>
      </c>
      <c r="T32" s="25"/>
      <c r="U32" s="25"/>
      <c r="V32" s="25"/>
      <c r="W32" s="25"/>
      <c r="X32" s="25"/>
      <c r="Y32" s="25"/>
      <c r="Z32" s="25"/>
    </row>
    <row r="33" ht="12.75" customHeight="1">
      <c r="A33" s="419">
        <v>3219.0</v>
      </c>
      <c r="B33" s="420" t="s">
        <v>5855</v>
      </c>
      <c r="C33" s="420">
        <v>2013.0</v>
      </c>
      <c r="D33" s="497">
        <v>41446.0</v>
      </c>
      <c r="E33" s="422" t="s">
        <v>5856</v>
      </c>
      <c r="F33" s="394" t="s">
        <v>5247</v>
      </c>
      <c r="G33" s="422" t="s">
        <v>552</v>
      </c>
      <c r="H33" s="394" t="s">
        <v>775</v>
      </c>
      <c r="I33" s="497">
        <v>43497.0</v>
      </c>
      <c r="J33" s="422">
        <v>2.0</v>
      </c>
      <c r="K33" s="571" t="s">
        <v>244</v>
      </c>
      <c r="L33" s="394" t="s">
        <v>256</v>
      </c>
      <c r="M33" s="528">
        <f t="shared" si="1"/>
        <v>2051</v>
      </c>
      <c r="N33" s="25"/>
      <c r="O33" s="322">
        <v>2011.0</v>
      </c>
      <c r="P33" s="346">
        <f>COUNTIF($C$2:$C$503,"2011")</f>
        <v>27</v>
      </c>
      <c r="Q33" s="113"/>
      <c r="R33" s="114"/>
      <c r="S33" s="343">
        <f>(P33/P42)</f>
        <v>0.05684210526</v>
      </c>
      <c r="T33" s="25"/>
      <c r="U33" s="25"/>
      <c r="V33" s="25"/>
      <c r="W33" s="25"/>
      <c r="X33" s="25"/>
      <c r="Y33" s="25"/>
      <c r="Z33" s="25"/>
    </row>
    <row r="34" ht="12.75" customHeight="1">
      <c r="A34" s="425">
        <v>3319.0</v>
      </c>
      <c r="B34" s="426" t="s">
        <v>5857</v>
      </c>
      <c r="C34" s="426">
        <v>2016.0</v>
      </c>
      <c r="D34" s="500">
        <v>42405.0</v>
      </c>
      <c r="E34" s="428" t="s">
        <v>5858</v>
      </c>
      <c r="F34" s="397" t="s">
        <v>701</v>
      </c>
      <c r="G34" s="428" t="s">
        <v>650</v>
      </c>
      <c r="H34" s="397" t="s">
        <v>2444</v>
      </c>
      <c r="I34" s="500">
        <v>43497.0</v>
      </c>
      <c r="J34" s="428">
        <v>2.0</v>
      </c>
      <c r="K34" s="531" t="s">
        <v>238</v>
      </c>
      <c r="L34" s="397" t="s">
        <v>256</v>
      </c>
      <c r="M34" s="529">
        <f t="shared" si="1"/>
        <v>1092</v>
      </c>
      <c r="N34" s="25"/>
      <c r="O34" s="321">
        <v>2012.0</v>
      </c>
      <c r="P34" s="344">
        <f>COUNTIF($C$2:$C$503,"2012")</f>
        <v>46</v>
      </c>
      <c r="Q34" s="113"/>
      <c r="R34" s="114"/>
      <c r="S34" s="345">
        <f>(P34/P42)</f>
        <v>0.09684210526</v>
      </c>
      <c r="T34" s="25"/>
      <c r="U34" s="25"/>
      <c r="V34" s="25"/>
      <c r="W34" s="25"/>
      <c r="X34" s="25"/>
      <c r="Y34" s="25"/>
      <c r="Z34" s="25"/>
    </row>
    <row r="35" ht="12.75" customHeight="1">
      <c r="A35" s="419">
        <v>3419.0</v>
      </c>
      <c r="B35" s="420" t="s">
        <v>5859</v>
      </c>
      <c r="C35" s="420">
        <v>2017.0</v>
      </c>
      <c r="D35" s="497">
        <v>43031.0</v>
      </c>
      <c r="E35" s="422" t="s">
        <v>5860</v>
      </c>
      <c r="F35" s="394" t="s">
        <v>1895</v>
      </c>
      <c r="G35" s="422" t="s">
        <v>17</v>
      </c>
      <c r="H35" s="394" t="s">
        <v>2164</v>
      </c>
      <c r="I35" s="497">
        <v>43500.0</v>
      </c>
      <c r="J35" s="422">
        <v>2.0</v>
      </c>
      <c r="K35" s="535" t="s">
        <v>228</v>
      </c>
      <c r="L35" s="394" t="s">
        <v>256</v>
      </c>
      <c r="M35" s="528">
        <f t="shared" si="1"/>
        <v>469</v>
      </c>
      <c r="N35" s="25"/>
      <c r="O35" s="322">
        <v>2013.0</v>
      </c>
      <c r="P35" s="346">
        <f>COUNTIF($C$2:$C$503,"2013")</f>
        <v>79</v>
      </c>
      <c r="Q35" s="113"/>
      <c r="R35" s="114"/>
      <c r="S35" s="343">
        <f>(P35/P42)</f>
        <v>0.1663157895</v>
      </c>
      <c r="T35" s="25"/>
      <c r="U35" s="25"/>
      <c r="V35" s="25"/>
      <c r="W35" s="25"/>
      <c r="X35" s="25"/>
      <c r="Y35" s="25"/>
      <c r="Z35" s="25"/>
    </row>
    <row r="36" ht="12.75" customHeight="1">
      <c r="A36" s="425">
        <v>3519.0</v>
      </c>
      <c r="B36" s="426" t="s">
        <v>5861</v>
      </c>
      <c r="C36" s="426">
        <v>2016.0</v>
      </c>
      <c r="D36" s="500">
        <v>42594.0</v>
      </c>
      <c r="E36" s="428" t="s">
        <v>5862</v>
      </c>
      <c r="F36" s="397" t="s">
        <v>1823</v>
      </c>
      <c r="G36" s="428" t="s">
        <v>17</v>
      </c>
      <c r="H36" s="397" t="s">
        <v>5049</v>
      </c>
      <c r="I36" s="500">
        <v>43500.0</v>
      </c>
      <c r="J36" s="428">
        <v>2.0</v>
      </c>
      <c r="K36" s="535" t="s">
        <v>228</v>
      </c>
      <c r="L36" s="397" t="s">
        <v>256</v>
      </c>
      <c r="M36" s="529">
        <f t="shared" si="1"/>
        <v>906</v>
      </c>
      <c r="N36" s="25"/>
      <c r="O36" s="321">
        <v>2014.0</v>
      </c>
      <c r="P36" s="344">
        <f>COUNTIF($C$2:$C$503,"2014")</f>
        <v>53</v>
      </c>
      <c r="Q36" s="113"/>
      <c r="R36" s="114"/>
      <c r="S36" s="345">
        <f>(P36/P42)</f>
        <v>0.1115789474</v>
      </c>
      <c r="T36" s="25"/>
      <c r="U36" s="25"/>
      <c r="V36" s="25"/>
      <c r="W36" s="25"/>
      <c r="X36" s="25"/>
      <c r="Y36" s="25"/>
      <c r="Z36" s="25"/>
    </row>
    <row r="37" ht="12.75" customHeight="1">
      <c r="A37" s="419">
        <v>3619.0</v>
      </c>
      <c r="B37" s="420" t="s">
        <v>5863</v>
      </c>
      <c r="C37" s="420">
        <v>2016.0</v>
      </c>
      <c r="D37" s="497">
        <v>42698.0</v>
      </c>
      <c r="E37" s="422" t="s">
        <v>5864</v>
      </c>
      <c r="F37" s="394" t="s">
        <v>44</v>
      </c>
      <c r="G37" s="422" t="s">
        <v>17</v>
      </c>
      <c r="H37" s="394" t="s">
        <v>1178</v>
      </c>
      <c r="I37" s="497">
        <v>43500.0</v>
      </c>
      <c r="J37" s="422">
        <v>2.0</v>
      </c>
      <c r="K37" s="535" t="s">
        <v>228</v>
      </c>
      <c r="L37" s="394" t="s">
        <v>258</v>
      </c>
      <c r="M37" s="528">
        <f t="shared" si="1"/>
        <v>802</v>
      </c>
      <c r="N37" s="25"/>
      <c r="O37" s="322">
        <v>2015.0</v>
      </c>
      <c r="P37" s="346">
        <f>COUNTIF($C$2:$C$503,"2015")</f>
        <v>65</v>
      </c>
      <c r="Q37" s="113"/>
      <c r="R37" s="114"/>
      <c r="S37" s="343">
        <f>(P37/P42)</f>
        <v>0.1368421053</v>
      </c>
      <c r="T37" s="25"/>
      <c r="U37" s="25"/>
      <c r="V37" s="25"/>
      <c r="W37" s="25"/>
      <c r="X37" s="25"/>
      <c r="Y37" s="25"/>
      <c r="Z37" s="25"/>
    </row>
    <row r="38" ht="12.75" customHeight="1">
      <c r="A38" s="425">
        <v>3719.0</v>
      </c>
      <c r="B38" s="426" t="s">
        <v>5865</v>
      </c>
      <c r="C38" s="426">
        <v>2015.0</v>
      </c>
      <c r="D38" s="500">
        <v>42020.0</v>
      </c>
      <c r="E38" s="428" t="s">
        <v>5866</v>
      </c>
      <c r="F38" s="397" t="s">
        <v>44</v>
      </c>
      <c r="G38" s="428" t="s">
        <v>17</v>
      </c>
      <c r="H38" s="397" t="s">
        <v>50</v>
      </c>
      <c r="I38" s="500">
        <v>43500.0</v>
      </c>
      <c r="J38" s="428">
        <v>2.0</v>
      </c>
      <c r="K38" s="535" t="s">
        <v>228</v>
      </c>
      <c r="L38" s="397" t="s">
        <v>258</v>
      </c>
      <c r="M38" s="529">
        <f t="shared" si="1"/>
        <v>1480</v>
      </c>
      <c r="N38" s="25"/>
      <c r="O38" s="321">
        <v>2016.0</v>
      </c>
      <c r="P38" s="344">
        <f>COUNTIF($C$2:$C$503,"2016")</f>
        <v>53</v>
      </c>
      <c r="Q38" s="113"/>
      <c r="R38" s="114"/>
      <c r="S38" s="345">
        <f>(P38/P42)</f>
        <v>0.1115789474</v>
      </c>
      <c r="T38" s="25"/>
      <c r="U38" s="25"/>
      <c r="V38" s="25"/>
      <c r="W38" s="25"/>
      <c r="X38" s="25"/>
      <c r="Y38" s="25"/>
      <c r="Z38" s="25"/>
    </row>
    <row r="39" ht="12.75" customHeight="1">
      <c r="A39" s="419">
        <v>3819.0</v>
      </c>
      <c r="B39" s="420" t="s">
        <v>5867</v>
      </c>
      <c r="C39" s="420">
        <v>2014.0</v>
      </c>
      <c r="D39" s="497">
        <v>41970.0</v>
      </c>
      <c r="E39" s="422" t="s">
        <v>5868</v>
      </c>
      <c r="F39" s="394" t="s">
        <v>1895</v>
      </c>
      <c r="G39" s="422" t="s">
        <v>17</v>
      </c>
      <c r="H39" s="394" t="s">
        <v>4553</v>
      </c>
      <c r="I39" s="497">
        <v>43500.0</v>
      </c>
      <c r="J39" s="422">
        <v>2.0</v>
      </c>
      <c r="K39" s="535" t="s">
        <v>228</v>
      </c>
      <c r="L39" s="394" t="s">
        <v>256</v>
      </c>
      <c r="M39" s="528">
        <f t="shared" si="1"/>
        <v>1530</v>
      </c>
      <c r="N39" s="25"/>
      <c r="O39" s="322">
        <v>2017.0</v>
      </c>
      <c r="P39" s="346">
        <f>COUNTIF($C$2:$C$503,"2017")</f>
        <v>55</v>
      </c>
      <c r="Q39" s="113"/>
      <c r="R39" s="114"/>
      <c r="S39" s="343">
        <f>(P39/P42)</f>
        <v>0.1157894737</v>
      </c>
      <c r="T39" s="25"/>
      <c r="U39" s="25"/>
      <c r="V39" s="25"/>
      <c r="W39" s="25"/>
      <c r="X39" s="25"/>
      <c r="Y39" s="25"/>
      <c r="Z39" s="25"/>
    </row>
    <row r="40" ht="12.75" customHeight="1">
      <c r="A40" s="425">
        <v>3919.0</v>
      </c>
      <c r="B40" s="426" t="s">
        <v>5869</v>
      </c>
      <c r="C40" s="426">
        <v>2017.0</v>
      </c>
      <c r="D40" s="500">
        <v>43060.0</v>
      </c>
      <c r="E40" s="428" t="s">
        <v>5870</v>
      </c>
      <c r="F40" s="397" t="s">
        <v>2606</v>
      </c>
      <c r="G40" s="428" t="s">
        <v>565</v>
      </c>
      <c r="H40" s="397" t="s">
        <v>5871</v>
      </c>
      <c r="I40" s="500">
        <v>43502.0</v>
      </c>
      <c r="J40" s="428">
        <v>2.0</v>
      </c>
      <c r="K40" s="571" t="s">
        <v>244</v>
      </c>
      <c r="L40" s="397" t="s">
        <v>260</v>
      </c>
      <c r="M40" s="529">
        <f t="shared" si="1"/>
        <v>442</v>
      </c>
      <c r="N40" s="25"/>
      <c r="O40" s="321">
        <v>2018.0</v>
      </c>
      <c r="P40" s="344">
        <f>COUNTIF($C$2:$C$503,"2018")</f>
        <v>59</v>
      </c>
      <c r="Q40" s="113"/>
      <c r="R40" s="114"/>
      <c r="S40" s="345">
        <f>(P40/P42)</f>
        <v>0.1242105263</v>
      </c>
      <c r="T40" s="25"/>
      <c r="U40" s="25"/>
      <c r="V40" s="25"/>
      <c r="W40" s="25"/>
      <c r="X40" s="25"/>
      <c r="Y40" s="25"/>
      <c r="Z40" s="25"/>
    </row>
    <row r="41" ht="12.75" customHeight="1">
      <c r="A41" s="419">
        <v>4019.0</v>
      </c>
      <c r="B41" s="420" t="s">
        <v>5872</v>
      </c>
      <c r="C41" s="420">
        <v>2015.0</v>
      </c>
      <c r="D41" s="497">
        <v>42054.0</v>
      </c>
      <c r="E41" s="422" t="s">
        <v>5873</v>
      </c>
      <c r="F41" s="394" t="s">
        <v>1440</v>
      </c>
      <c r="G41" s="422" t="s">
        <v>650</v>
      </c>
      <c r="H41" s="394" t="s">
        <v>18</v>
      </c>
      <c r="I41" s="497">
        <v>43502.0</v>
      </c>
      <c r="J41" s="422">
        <v>2.0</v>
      </c>
      <c r="K41" s="531" t="s">
        <v>238</v>
      </c>
      <c r="L41" s="394" t="s">
        <v>256</v>
      </c>
      <c r="M41" s="528">
        <f t="shared" si="1"/>
        <v>1448</v>
      </c>
      <c r="N41" s="25"/>
      <c r="O41" s="322">
        <v>2019.0</v>
      </c>
      <c r="P41" s="346">
        <f>COUNTIF($C$2:$C$503,"2019")</f>
        <v>23</v>
      </c>
      <c r="Q41" s="113"/>
      <c r="R41" s="114"/>
      <c r="S41" s="343">
        <f>(P41/P42)</f>
        <v>0.04842105263</v>
      </c>
      <c r="T41" s="25"/>
      <c r="U41" s="25"/>
      <c r="V41" s="25"/>
      <c r="W41" s="25"/>
      <c r="X41" s="25"/>
      <c r="Y41" s="25"/>
      <c r="Z41" s="25"/>
    </row>
    <row r="42" ht="12.75" customHeight="1">
      <c r="A42" s="425">
        <v>4119.0</v>
      </c>
      <c r="B42" s="426" t="s">
        <v>5874</v>
      </c>
      <c r="C42" s="426">
        <v>2015.0</v>
      </c>
      <c r="D42" s="500">
        <v>42054.0</v>
      </c>
      <c r="E42" s="428" t="s">
        <v>5875</v>
      </c>
      <c r="F42" s="397" t="s">
        <v>1440</v>
      </c>
      <c r="G42" s="428" t="s">
        <v>650</v>
      </c>
      <c r="H42" s="397" t="s">
        <v>18</v>
      </c>
      <c r="I42" s="500">
        <v>43502.0</v>
      </c>
      <c r="J42" s="428">
        <v>2.0</v>
      </c>
      <c r="K42" s="531" t="s">
        <v>238</v>
      </c>
      <c r="L42" s="397" t="s">
        <v>256</v>
      </c>
      <c r="M42" s="529">
        <f t="shared" si="1"/>
        <v>1448</v>
      </c>
      <c r="N42" s="25"/>
      <c r="O42" s="348" t="s">
        <v>179</v>
      </c>
      <c r="P42" s="349">
        <f>SUM(P29:R41)</f>
        <v>475</v>
      </c>
      <c r="Q42" s="350"/>
      <c r="R42" s="351"/>
      <c r="S42" s="352">
        <f>SUM(S29:S41)</f>
        <v>1</v>
      </c>
      <c r="T42" s="25"/>
      <c r="U42" s="25"/>
      <c r="V42" s="25"/>
      <c r="W42" s="25"/>
      <c r="X42" s="25"/>
      <c r="Y42" s="25"/>
      <c r="Z42" s="25"/>
    </row>
    <row r="43" ht="12.75" customHeight="1">
      <c r="A43" s="419">
        <v>4219.0</v>
      </c>
      <c r="B43" s="420" t="s">
        <v>5876</v>
      </c>
      <c r="C43" s="420">
        <v>2018.0</v>
      </c>
      <c r="D43" s="497">
        <v>43153.0</v>
      </c>
      <c r="E43" s="422" t="s">
        <v>5877</v>
      </c>
      <c r="F43" s="394" t="s">
        <v>5878</v>
      </c>
      <c r="G43" s="422" t="s">
        <v>565</v>
      </c>
      <c r="H43" s="394" t="s">
        <v>5871</v>
      </c>
      <c r="I43" s="497">
        <v>43502.0</v>
      </c>
      <c r="J43" s="422">
        <v>2.0</v>
      </c>
      <c r="K43" s="571" t="s">
        <v>244</v>
      </c>
      <c r="L43" s="394" t="s">
        <v>260</v>
      </c>
      <c r="M43" s="528">
        <f t="shared" si="1"/>
        <v>349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2.75" customHeight="1">
      <c r="A44" s="425">
        <v>4319.0</v>
      </c>
      <c r="B44" s="426" t="s">
        <v>5879</v>
      </c>
      <c r="C44" s="426">
        <v>2009.0</v>
      </c>
      <c r="D44" s="500">
        <v>40092.0</v>
      </c>
      <c r="E44" s="428" t="s">
        <v>5880</v>
      </c>
      <c r="F44" s="397" t="s">
        <v>134</v>
      </c>
      <c r="G44" s="428" t="s">
        <v>17</v>
      </c>
      <c r="H44" s="397" t="s">
        <v>4141</v>
      </c>
      <c r="I44" s="500">
        <v>43507.0</v>
      </c>
      <c r="J44" s="428">
        <v>2.0</v>
      </c>
      <c r="K44" s="539" t="s">
        <v>234</v>
      </c>
      <c r="L44" s="397" t="s">
        <v>258</v>
      </c>
      <c r="M44" s="529">
        <f t="shared" si="1"/>
        <v>3415</v>
      </c>
      <c r="N44" s="25"/>
      <c r="O44" s="327" t="s">
        <v>692</v>
      </c>
      <c r="P44" s="102"/>
      <c r="Q44" s="102"/>
      <c r="R44" s="102"/>
      <c r="S44" s="103"/>
      <c r="T44" s="25"/>
      <c r="U44" s="25"/>
      <c r="V44" s="25"/>
      <c r="W44" s="25"/>
      <c r="X44" s="25"/>
      <c r="Y44" s="25"/>
      <c r="Z44" s="25"/>
    </row>
    <row r="45" ht="12.75" customHeight="1">
      <c r="A45" s="419">
        <v>4419.0</v>
      </c>
      <c r="B45" s="420" t="s">
        <v>5881</v>
      </c>
      <c r="C45" s="420">
        <v>2014.0</v>
      </c>
      <c r="D45" s="497">
        <v>41915.0</v>
      </c>
      <c r="E45" s="422" t="s">
        <v>5882</v>
      </c>
      <c r="F45" s="394" t="s">
        <v>5883</v>
      </c>
      <c r="G45" s="422" t="s">
        <v>17</v>
      </c>
      <c r="H45" s="394" t="s">
        <v>929</v>
      </c>
      <c r="I45" s="497">
        <v>43508.0</v>
      </c>
      <c r="J45" s="422">
        <v>2.0</v>
      </c>
      <c r="K45" s="531" t="s">
        <v>238</v>
      </c>
      <c r="L45" s="394" t="s">
        <v>258</v>
      </c>
      <c r="M45" s="528">
        <f t="shared" si="1"/>
        <v>1593</v>
      </c>
      <c r="N45" s="25"/>
      <c r="O45" s="104"/>
      <c r="P45" s="105"/>
      <c r="Q45" s="105"/>
      <c r="R45" s="105"/>
      <c r="S45" s="106"/>
      <c r="T45" s="25"/>
      <c r="U45" s="25"/>
      <c r="V45" s="25"/>
      <c r="W45" s="25"/>
      <c r="X45" s="25"/>
      <c r="Y45" s="25"/>
      <c r="Z45" s="25"/>
    </row>
    <row r="46" ht="12.75" customHeight="1">
      <c r="A46" s="425">
        <v>4519.0</v>
      </c>
      <c r="B46" s="426" t="s">
        <v>5884</v>
      </c>
      <c r="C46" s="426">
        <v>2015.0</v>
      </c>
      <c r="D46" s="500">
        <v>42093.0</v>
      </c>
      <c r="E46" s="428" t="s">
        <v>5885</v>
      </c>
      <c r="F46" s="397" t="s">
        <v>5883</v>
      </c>
      <c r="G46" s="428" t="s">
        <v>17</v>
      </c>
      <c r="H46" s="397" t="s">
        <v>573</v>
      </c>
      <c r="I46" s="500">
        <v>43508.0</v>
      </c>
      <c r="J46" s="428">
        <v>2.0</v>
      </c>
      <c r="K46" s="531" t="s">
        <v>238</v>
      </c>
      <c r="L46" s="397" t="s">
        <v>258</v>
      </c>
      <c r="M46" s="529">
        <f t="shared" si="1"/>
        <v>1415</v>
      </c>
      <c r="N46" s="25"/>
      <c r="O46" s="337" t="s">
        <v>9</v>
      </c>
      <c r="P46" s="338" t="s">
        <v>107</v>
      </c>
      <c r="Q46" s="339"/>
      <c r="R46" s="340"/>
      <c r="S46" s="341" t="s">
        <v>108</v>
      </c>
      <c r="T46" s="25"/>
      <c r="U46" s="25"/>
      <c r="V46" s="25"/>
      <c r="W46" s="25"/>
      <c r="X46" s="25"/>
      <c r="Y46" s="25"/>
      <c r="Z46" s="25"/>
    </row>
    <row r="47" ht="12.75" customHeight="1">
      <c r="A47" s="419">
        <v>4619.0</v>
      </c>
      <c r="B47" s="420" t="s">
        <v>5886</v>
      </c>
      <c r="C47" s="420">
        <v>2018.0</v>
      </c>
      <c r="D47" s="497">
        <v>43346.0</v>
      </c>
      <c r="E47" s="422" t="s">
        <v>5887</v>
      </c>
      <c r="F47" s="394" t="s">
        <v>1464</v>
      </c>
      <c r="G47" s="422" t="s">
        <v>17</v>
      </c>
      <c r="H47" s="394" t="s">
        <v>775</v>
      </c>
      <c r="I47" s="497">
        <v>43508.0</v>
      </c>
      <c r="J47" s="422">
        <v>2.0</v>
      </c>
      <c r="K47" s="531" t="s">
        <v>238</v>
      </c>
      <c r="L47" s="394" t="s">
        <v>256</v>
      </c>
      <c r="M47" s="528">
        <f t="shared" si="1"/>
        <v>162</v>
      </c>
      <c r="N47" s="25"/>
      <c r="O47" s="353" t="s">
        <v>195</v>
      </c>
      <c r="P47" s="342">
        <f>COUNTIF($J$2:$J$476,"1")</f>
        <v>29</v>
      </c>
      <c r="Q47" s="332"/>
      <c r="R47" s="333"/>
      <c r="S47" s="354">
        <f>(P47/P59)</f>
        <v>0.06105263158</v>
      </c>
      <c r="T47" s="25"/>
      <c r="U47" s="25"/>
      <c r="V47" s="25"/>
      <c r="W47" s="25"/>
      <c r="X47" s="25"/>
      <c r="Y47" s="25"/>
      <c r="Z47" s="25"/>
    </row>
    <row r="48" ht="13.5" customHeight="1">
      <c r="A48" s="425">
        <v>4719.0</v>
      </c>
      <c r="B48" s="426" t="s">
        <v>5888</v>
      </c>
      <c r="C48" s="426">
        <v>2015.0</v>
      </c>
      <c r="D48" s="500">
        <v>42223.0</v>
      </c>
      <c r="E48" s="428" t="s">
        <v>5889</v>
      </c>
      <c r="F48" s="397" t="s">
        <v>162</v>
      </c>
      <c r="G48" s="428" t="s">
        <v>17</v>
      </c>
      <c r="H48" s="397" t="s">
        <v>5049</v>
      </c>
      <c r="I48" s="500">
        <v>43508.0</v>
      </c>
      <c r="J48" s="428">
        <v>2.0</v>
      </c>
      <c r="K48" s="531" t="s">
        <v>238</v>
      </c>
      <c r="L48" s="397" t="s">
        <v>256</v>
      </c>
      <c r="M48" s="529">
        <f t="shared" si="1"/>
        <v>1285</v>
      </c>
      <c r="N48" s="25"/>
      <c r="O48" s="321" t="s">
        <v>197</v>
      </c>
      <c r="P48" s="344">
        <f>COUNTIF($J$2:$J$476,"2")</f>
        <v>53</v>
      </c>
      <c r="Q48" s="113"/>
      <c r="R48" s="114"/>
      <c r="S48" s="345">
        <f>(P48/P59)</f>
        <v>0.1115789474</v>
      </c>
      <c r="T48" s="25"/>
      <c r="U48" s="25"/>
      <c r="V48" s="25"/>
      <c r="W48" s="25"/>
      <c r="X48" s="25"/>
      <c r="Y48" s="25"/>
      <c r="Z48" s="25"/>
    </row>
    <row r="49" ht="12.75" customHeight="1">
      <c r="A49" s="419">
        <v>4819.0</v>
      </c>
      <c r="B49" s="420" t="s">
        <v>5890</v>
      </c>
      <c r="C49" s="420">
        <v>2015.0</v>
      </c>
      <c r="D49" s="497">
        <v>42173.0</v>
      </c>
      <c r="E49" s="422" t="s">
        <v>5891</v>
      </c>
      <c r="F49" s="394" t="s">
        <v>162</v>
      </c>
      <c r="G49" s="422" t="s">
        <v>17</v>
      </c>
      <c r="H49" s="394" t="s">
        <v>1178</v>
      </c>
      <c r="I49" s="497">
        <v>43508.0</v>
      </c>
      <c r="J49" s="422">
        <v>2.0</v>
      </c>
      <c r="K49" s="531" t="s">
        <v>238</v>
      </c>
      <c r="L49" s="394" t="s">
        <v>256</v>
      </c>
      <c r="M49" s="528">
        <f t="shared" si="1"/>
        <v>1335</v>
      </c>
      <c r="N49" s="25"/>
      <c r="O49" s="322" t="s">
        <v>199</v>
      </c>
      <c r="P49" s="346">
        <f>COUNTIF($J$2:$J$476,"3")</f>
        <v>42</v>
      </c>
      <c r="Q49" s="113"/>
      <c r="R49" s="114"/>
      <c r="S49" s="343">
        <f>(P49/P59)</f>
        <v>0.08842105263</v>
      </c>
      <c r="T49" s="25"/>
      <c r="U49" s="25"/>
      <c r="V49" s="25"/>
      <c r="W49" s="25"/>
      <c r="X49" s="25"/>
      <c r="Y49" s="25"/>
      <c r="Z49" s="25"/>
    </row>
    <row r="50" ht="12.75" customHeight="1">
      <c r="A50" s="425">
        <v>4919.0</v>
      </c>
      <c r="B50" s="426" t="s">
        <v>5892</v>
      </c>
      <c r="C50" s="426">
        <v>2013.0</v>
      </c>
      <c r="D50" s="500">
        <v>41564.0</v>
      </c>
      <c r="E50" s="428" t="s">
        <v>5893</v>
      </c>
      <c r="F50" s="397" t="s">
        <v>5883</v>
      </c>
      <c r="G50" s="428" t="s">
        <v>17</v>
      </c>
      <c r="H50" s="397" t="s">
        <v>130</v>
      </c>
      <c r="I50" s="500">
        <v>43508.0</v>
      </c>
      <c r="J50" s="428">
        <v>2.0</v>
      </c>
      <c r="K50" s="531" t="s">
        <v>238</v>
      </c>
      <c r="L50" s="397" t="s">
        <v>258</v>
      </c>
      <c r="M50" s="529">
        <f t="shared" si="1"/>
        <v>1944</v>
      </c>
      <c r="N50" s="25"/>
      <c r="O50" s="321" t="s">
        <v>201</v>
      </c>
      <c r="P50" s="344">
        <f>COUNTIF($J$2:$J$476,"4")</f>
        <v>14</v>
      </c>
      <c r="Q50" s="113"/>
      <c r="R50" s="114"/>
      <c r="S50" s="345">
        <f>(P50/P59)</f>
        <v>0.02947368421</v>
      </c>
      <c r="T50" s="25"/>
      <c r="U50" s="25"/>
      <c r="V50" s="25"/>
      <c r="W50" s="25"/>
      <c r="X50" s="25"/>
      <c r="Y50" s="25"/>
      <c r="Z50" s="25"/>
    </row>
    <row r="51" ht="12.75" customHeight="1">
      <c r="A51" s="419">
        <v>5019.0</v>
      </c>
      <c r="B51" s="420" t="s">
        <v>5894</v>
      </c>
      <c r="C51" s="420">
        <v>2015.0</v>
      </c>
      <c r="D51" s="497">
        <v>42240.0</v>
      </c>
      <c r="E51" s="422" t="s">
        <v>5895</v>
      </c>
      <c r="F51" s="394" t="s">
        <v>963</v>
      </c>
      <c r="G51" s="422" t="s">
        <v>17</v>
      </c>
      <c r="H51" s="394" t="s">
        <v>77</v>
      </c>
      <c r="I51" s="497">
        <v>43508.0</v>
      </c>
      <c r="J51" s="422">
        <v>2.0</v>
      </c>
      <c r="K51" s="535" t="s">
        <v>228</v>
      </c>
      <c r="L51" s="394" t="s">
        <v>258</v>
      </c>
      <c r="M51" s="528">
        <f t="shared" si="1"/>
        <v>1268</v>
      </c>
      <c r="N51" s="25"/>
      <c r="O51" s="322" t="s">
        <v>203</v>
      </c>
      <c r="P51" s="346">
        <f>COUNTIF($J$2:$J$476,"5")</f>
        <v>63</v>
      </c>
      <c r="Q51" s="113"/>
      <c r="R51" s="114"/>
      <c r="S51" s="343">
        <f>(P51/P59)</f>
        <v>0.1326315789</v>
      </c>
      <c r="T51" s="25"/>
      <c r="U51" s="25"/>
      <c r="V51" s="25"/>
      <c r="W51" s="25"/>
      <c r="X51" s="25"/>
      <c r="Y51" s="25"/>
      <c r="Z51" s="25"/>
    </row>
    <row r="52" ht="12.75" customHeight="1">
      <c r="A52" s="425">
        <v>5119.0</v>
      </c>
      <c r="B52" s="426" t="s">
        <v>5896</v>
      </c>
      <c r="C52" s="426">
        <v>2018.0</v>
      </c>
      <c r="D52" s="500">
        <v>43264.0</v>
      </c>
      <c r="E52" s="428" t="s">
        <v>5897</v>
      </c>
      <c r="F52" s="397" t="s">
        <v>1170</v>
      </c>
      <c r="G52" s="428" t="s">
        <v>17</v>
      </c>
      <c r="H52" s="397" t="s">
        <v>1178</v>
      </c>
      <c r="I52" s="500">
        <v>43510.0</v>
      </c>
      <c r="J52" s="428">
        <v>2.0</v>
      </c>
      <c r="K52" s="539" t="s">
        <v>234</v>
      </c>
      <c r="L52" s="397" t="s">
        <v>256</v>
      </c>
      <c r="M52" s="529">
        <f t="shared" si="1"/>
        <v>246</v>
      </c>
      <c r="N52" s="25"/>
      <c r="O52" s="321" t="s">
        <v>205</v>
      </c>
      <c r="P52" s="344">
        <f>COUNTIF($J$2:$J$476,"6")</f>
        <v>19</v>
      </c>
      <c r="Q52" s="113"/>
      <c r="R52" s="114"/>
      <c r="S52" s="345">
        <f>(P52/P59)</f>
        <v>0.04</v>
      </c>
      <c r="T52" s="25"/>
      <c r="U52" s="25"/>
      <c r="V52" s="25"/>
      <c r="W52" s="25"/>
      <c r="X52" s="25"/>
      <c r="Y52" s="25"/>
      <c r="Z52" s="25"/>
    </row>
    <row r="53" ht="12.75" customHeight="1">
      <c r="A53" s="419">
        <v>5219.0</v>
      </c>
      <c r="B53" s="420" t="s">
        <v>5898</v>
      </c>
      <c r="C53" s="420">
        <v>2015.0</v>
      </c>
      <c r="D53" s="497">
        <v>42174.0</v>
      </c>
      <c r="E53" s="422" t="s">
        <v>5899</v>
      </c>
      <c r="F53" s="394" t="s">
        <v>1170</v>
      </c>
      <c r="G53" s="422" t="s">
        <v>17</v>
      </c>
      <c r="H53" s="394" t="s">
        <v>130</v>
      </c>
      <c r="I53" s="497">
        <v>43510.0</v>
      </c>
      <c r="J53" s="422">
        <v>2.0</v>
      </c>
      <c r="K53" s="539" t="s">
        <v>234</v>
      </c>
      <c r="L53" s="394" t="s">
        <v>256</v>
      </c>
      <c r="M53" s="528">
        <f t="shared" si="1"/>
        <v>1336</v>
      </c>
      <c r="N53" s="25"/>
      <c r="O53" s="322" t="s">
        <v>207</v>
      </c>
      <c r="P53" s="346">
        <f>COUNTIF($J$2:$J$476,"7")</f>
        <v>42</v>
      </c>
      <c r="Q53" s="113"/>
      <c r="R53" s="114"/>
      <c r="S53" s="343">
        <f>(P53/P59)</f>
        <v>0.08842105263</v>
      </c>
      <c r="T53" s="25"/>
      <c r="U53" s="25"/>
      <c r="V53" s="25"/>
      <c r="W53" s="25"/>
      <c r="X53" s="25"/>
      <c r="Y53" s="25"/>
      <c r="Z53" s="25"/>
    </row>
    <row r="54" ht="12.75" customHeight="1">
      <c r="A54" s="425">
        <v>5319.0</v>
      </c>
      <c r="B54" s="426" t="s">
        <v>5900</v>
      </c>
      <c r="C54" s="426">
        <v>2013.0</v>
      </c>
      <c r="D54" s="500">
        <v>41522.0</v>
      </c>
      <c r="E54" s="428" t="s">
        <v>5901</v>
      </c>
      <c r="F54" s="397" t="s">
        <v>1170</v>
      </c>
      <c r="G54" s="428" t="s">
        <v>17</v>
      </c>
      <c r="H54" s="397" t="s">
        <v>66</v>
      </c>
      <c r="I54" s="500">
        <v>43510.0</v>
      </c>
      <c r="J54" s="428">
        <v>2.0</v>
      </c>
      <c r="K54" s="539" t="s">
        <v>234</v>
      </c>
      <c r="L54" s="397" t="s">
        <v>256</v>
      </c>
      <c r="M54" s="529">
        <f t="shared" si="1"/>
        <v>1988</v>
      </c>
      <c r="N54" s="42"/>
      <c r="O54" s="321" t="s">
        <v>209</v>
      </c>
      <c r="P54" s="344">
        <f>COUNTIF($J$2:$J$476,"8")</f>
        <v>63</v>
      </c>
      <c r="Q54" s="113"/>
      <c r="R54" s="114"/>
      <c r="S54" s="345">
        <f>(P54/P59)</f>
        <v>0.1326315789</v>
      </c>
      <c r="T54" s="25"/>
      <c r="U54" s="25"/>
      <c r="V54" s="25"/>
      <c r="W54" s="25"/>
      <c r="X54" s="25"/>
      <c r="Y54" s="25"/>
      <c r="Z54" s="25"/>
    </row>
    <row r="55" ht="12.75" customHeight="1">
      <c r="A55" s="419">
        <v>5419.0</v>
      </c>
      <c r="B55" s="420" t="s">
        <v>5902</v>
      </c>
      <c r="C55" s="420">
        <v>2013.0</v>
      </c>
      <c r="D55" s="497">
        <v>41471.0</v>
      </c>
      <c r="E55" s="422" t="s">
        <v>5903</v>
      </c>
      <c r="F55" s="394" t="s">
        <v>719</v>
      </c>
      <c r="G55" s="422" t="s">
        <v>17</v>
      </c>
      <c r="H55" s="394" t="s">
        <v>2164</v>
      </c>
      <c r="I55" s="497">
        <v>43510.0</v>
      </c>
      <c r="J55" s="422">
        <v>2.0</v>
      </c>
      <c r="K55" s="531" t="s">
        <v>238</v>
      </c>
      <c r="L55" s="394" t="s">
        <v>256</v>
      </c>
      <c r="M55" s="528">
        <f t="shared" si="1"/>
        <v>2039</v>
      </c>
      <c r="N55" s="25"/>
      <c r="O55" s="322" t="s">
        <v>211</v>
      </c>
      <c r="P55" s="346">
        <f>COUNTIF($J$2:$J$476,"9")</f>
        <v>53</v>
      </c>
      <c r="Q55" s="113"/>
      <c r="R55" s="114"/>
      <c r="S55" s="343">
        <f>(P55/P59)</f>
        <v>0.1115789474</v>
      </c>
      <c r="T55" s="25"/>
      <c r="U55" s="25"/>
      <c r="V55" s="25"/>
      <c r="W55" s="25"/>
      <c r="X55" s="25"/>
      <c r="Y55" s="25"/>
      <c r="Z55" s="25"/>
    </row>
    <row r="56" ht="12.75" customHeight="1">
      <c r="A56" s="425">
        <v>5519.0</v>
      </c>
      <c r="B56" s="426" t="s">
        <v>5904</v>
      </c>
      <c r="C56" s="426">
        <v>2016.0</v>
      </c>
      <c r="D56" s="500">
        <v>42383.0</v>
      </c>
      <c r="E56" s="428" t="s">
        <v>5905</v>
      </c>
      <c r="F56" s="397" t="s">
        <v>1985</v>
      </c>
      <c r="G56" s="428" t="s">
        <v>17</v>
      </c>
      <c r="H56" s="397" t="s">
        <v>573</v>
      </c>
      <c r="I56" s="500">
        <v>43510.0</v>
      </c>
      <c r="J56" s="428">
        <v>2.0</v>
      </c>
      <c r="K56" s="539" t="s">
        <v>234</v>
      </c>
      <c r="L56" s="397" t="s">
        <v>256</v>
      </c>
      <c r="M56" s="529">
        <f t="shared" si="1"/>
        <v>1127</v>
      </c>
      <c r="N56" s="25"/>
      <c r="O56" s="321" t="s">
        <v>213</v>
      </c>
      <c r="P56" s="344">
        <f>COUNTIF($J$2:$J$476,"10")</f>
        <v>23</v>
      </c>
      <c r="Q56" s="113"/>
      <c r="R56" s="114"/>
      <c r="S56" s="345">
        <f>(P56/P59)</f>
        <v>0.04842105263</v>
      </c>
      <c r="T56" s="25"/>
      <c r="U56" s="25"/>
      <c r="V56" s="25"/>
      <c r="W56" s="25"/>
      <c r="X56" s="25"/>
      <c r="Y56" s="25"/>
      <c r="Z56" s="25"/>
    </row>
    <row r="57" ht="12.75" customHeight="1">
      <c r="A57" s="419">
        <v>5619.0</v>
      </c>
      <c r="B57" s="420" t="s">
        <v>5906</v>
      </c>
      <c r="C57" s="420">
        <v>2015.0</v>
      </c>
      <c r="D57" s="497">
        <v>42199.0</v>
      </c>
      <c r="E57" s="422" t="s">
        <v>5907</v>
      </c>
      <c r="F57" s="394" t="s">
        <v>1985</v>
      </c>
      <c r="G57" s="422" t="s">
        <v>17</v>
      </c>
      <c r="H57" s="394" t="s">
        <v>583</v>
      </c>
      <c r="I57" s="497">
        <v>43510.0</v>
      </c>
      <c r="J57" s="422">
        <v>2.0</v>
      </c>
      <c r="K57" s="539" t="s">
        <v>234</v>
      </c>
      <c r="L57" s="394" t="s">
        <v>256</v>
      </c>
      <c r="M57" s="528">
        <f t="shared" si="1"/>
        <v>1311</v>
      </c>
      <c r="N57" s="25"/>
      <c r="O57" s="322" t="s">
        <v>215</v>
      </c>
      <c r="P57" s="346">
        <f>COUNTIF($J$2:$J$476,"11")</f>
        <v>38</v>
      </c>
      <c r="Q57" s="113"/>
      <c r="R57" s="114"/>
      <c r="S57" s="343">
        <f>(P57/P59)</f>
        <v>0.08</v>
      </c>
      <c r="T57" s="25"/>
      <c r="U57" s="25"/>
      <c r="V57" s="25"/>
      <c r="W57" s="25"/>
      <c r="X57" s="25"/>
      <c r="Y57" s="25"/>
      <c r="Z57" s="25"/>
    </row>
    <row r="58" ht="12.75" customHeight="1">
      <c r="A58" s="425">
        <v>5719.0</v>
      </c>
      <c r="B58" s="426" t="s">
        <v>5908</v>
      </c>
      <c r="C58" s="426">
        <v>2015.0</v>
      </c>
      <c r="D58" s="500">
        <v>42177.0</v>
      </c>
      <c r="E58" s="428" t="s">
        <v>5909</v>
      </c>
      <c r="F58" s="397" t="s">
        <v>1985</v>
      </c>
      <c r="G58" s="428" t="s">
        <v>17</v>
      </c>
      <c r="H58" s="397" t="s">
        <v>50</v>
      </c>
      <c r="I58" s="500">
        <v>43510.0</v>
      </c>
      <c r="J58" s="428">
        <v>2.0</v>
      </c>
      <c r="K58" s="539" t="s">
        <v>234</v>
      </c>
      <c r="L58" s="397" t="s">
        <v>256</v>
      </c>
      <c r="M58" s="529">
        <f t="shared" si="1"/>
        <v>1333</v>
      </c>
      <c r="N58" s="25"/>
      <c r="O58" s="355" t="s">
        <v>217</v>
      </c>
      <c r="P58" s="344">
        <f>COUNTIF($J$2:$J$476,"12")</f>
        <v>36</v>
      </c>
      <c r="Q58" s="113"/>
      <c r="R58" s="114"/>
      <c r="S58" s="356">
        <f>(P58/P59)</f>
        <v>0.07578947368</v>
      </c>
      <c r="T58" s="25"/>
      <c r="U58" s="25"/>
      <c r="V58" s="25"/>
      <c r="W58" s="25"/>
      <c r="X58" s="25"/>
      <c r="Y58" s="25"/>
      <c r="Z58" s="25"/>
    </row>
    <row r="59" ht="13.5" customHeight="1">
      <c r="A59" s="419">
        <v>5819.0</v>
      </c>
      <c r="B59" s="420" t="s">
        <v>5910</v>
      </c>
      <c r="C59" s="420">
        <v>2015.0</v>
      </c>
      <c r="D59" s="497">
        <v>42311.0</v>
      </c>
      <c r="E59" s="422" t="s">
        <v>5911</v>
      </c>
      <c r="F59" s="394" t="s">
        <v>55</v>
      </c>
      <c r="G59" s="422" t="s">
        <v>17</v>
      </c>
      <c r="H59" s="394" t="s">
        <v>77</v>
      </c>
      <c r="I59" s="497">
        <v>43510.0</v>
      </c>
      <c r="J59" s="422">
        <v>2.0</v>
      </c>
      <c r="K59" s="531" t="s">
        <v>238</v>
      </c>
      <c r="L59" s="394" t="s">
        <v>256</v>
      </c>
      <c r="M59" s="528">
        <f t="shared" si="1"/>
        <v>1199</v>
      </c>
      <c r="N59" s="25"/>
      <c r="O59" s="348" t="s">
        <v>219</v>
      </c>
      <c r="P59" s="349">
        <f>SUM(P47:R58)</f>
        <v>475</v>
      </c>
      <c r="Q59" s="350"/>
      <c r="R59" s="351"/>
      <c r="S59" s="352">
        <f>SUM(S47:S58)</f>
        <v>1</v>
      </c>
      <c r="T59" s="25"/>
      <c r="U59" s="25"/>
      <c r="V59" s="25"/>
      <c r="W59" s="25"/>
      <c r="X59" s="25"/>
      <c r="Y59" s="25"/>
      <c r="Z59" s="25"/>
    </row>
    <row r="60" ht="13.5" customHeight="1">
      <c r="A60" s="425">
        <v>5919.0</v>
      </c>
      <c r="B60" s="426" t="s">
        <v>5912</v>
      </c>
      <c r="C60" s="426">
        <v>2011.0</v>
      </c>
      <c r="D60" s="500">
        <v>40837.0</v>
      </c>
      <c r="E60" s="428" t="s">
        <v>5913</v>
      </c>
      <c r="F60" s="397" t="s">
        <v>4572</v>
      </c>
      <c r="G60" s="428" t="s">
        <v>650</v>
      </c>
      <c r="H60" s="397" t="s">
        <v>2444</v>
      </c>
      <c r="I60" s="500">
        <v>43511.0</v>
      </c>
      <c r="J60" s="428">
        <v>2.0</v>
      </c>
      <c r="K60" s="571" t="s">
        <v>244</v>
      </c>
      <c r="L60" s="397" t="s">
        <v>256</v>
      </c>
      <c r="M60" s="529">
        <f t="shared" si="1"/>
        <v>2674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2.75" customHeight="1">
      <c r="A61" s="419">
        <v>6019.0</v>
      </c>
      <c r="B61" s="420" t="s">
        <v>5914</v>
      </c>
      <c r="C61" s="420">
        <v>2011.0</v>
      </c>
      <c r="D61" s="497">
        <v>40837.0</v>
      </c>
      <c r="E61" s="422" t="s">
        <v>5915</v>
      </c>
      <c r="F61" s="394" t="s">
        <v>4572</v>
      </c>
      <c r="G61" s="422" t="s">
        <v>650</v>
      </c>
      <c r="H61" s="394" t="s">
        <v>2444</v>
      </c>
      <c r="I61" s="497">
        <v>43511.0</v>
      </c>
      <c r="J61" s="422">
        <v>2.0</v>
      </c>
      <c r="K61" s="571" t="s">
        <v>244</v>
      </c>
      <c r="L61" s="394" t="s">
        <v>256</v>
      </c>
      <c r="M61" s="528">
        <f t="shared" si="1"/>
        <v>2674</v>
      </c>
      <c r="N61" s="25"/>
      <c r="O61" s="357" t="s">
        <v>222</v>
      </c>
      <c r="P61" s="102"/>
      <c r="Q61" s="102"/>
      <c r="R61" s="102"/>
      <c r="S61" s="102"/>
      <c r="T61" s="103"/>
      <c r="U61" s="25"/>
      <c r="V61" s="25"/>
      <c r="W61" s="25"/>
      <c r="X61" s="25"/>
      <c r="Y61" s="25"/>
      <c r="Z61" s="25"/>
    </row>
    <row r="62" ht="12.75" customHeight="1">
      <c r="A62" s="425">
        <v>6119.0</v>
      </c>
      <c r="B62" s="426" t="s">
        <v>5916</v>
      </c>
      <c r="C62" s="426">
        <v>2015.0</v>
      </c>
      <c r="D62" s="500">
        <v>42054.0</v>
      </c>
      <c r="E62" s="428" t="s">
        <v>5917</v>
      </c>
      <c r="F62" s="397" t="s">
        <v>1440</v>
      </c>
      <c r="G62" s="428" t="s">
        <v>650</v>
      </c>
      <c r="H62" s="397" t="s">
        <v>18</v>
      </c>
      <c r="I62" s="500">
        <v>43511.0</v>
      </c>
      <c r="J62" s="428">
        <v>2.0</v>
      </c>
      <c r="K62" s="531" t="s">
        <v>238</v>
      </c>
      <c r="L62" s="397" t="s">
        <v>256</v>
      </c>
      <c r="M62" s="529">
        <f t="shared" si="1"/>
        <v>1457</v>
      </c>
      <c r="N62" s="25"/>
      <c r="O62" s="104"/>
      <c r="P62" s="105"/>
      <c r="Q62" s="105"/>
      <c r="R62" s="105"/>
      <c r="S62" s="105"/>
      <c r="T62" s="106"/>
      <c r="U62" s="25"/>
      <c r="V62" s="25"/>
      <c r="W62" s="25"/>
      <c r="X62" s="25"/>
      <c r="Y62" s="25"/>
      <c r="Z62" s="25"/>
    </row>
    <row r="63" ht="12.75" customHeight="1">
      <c r="A63" s="419">
        <v>6219.0</v>
      </c>
      <c r="B63" s="420" t="s">
        <v>5918</v>
      </c>
      <c r="C63" s="420">
        <v>2015.0</v>
      </c>
      <c r="D63" s="497">
        <v>42054.0</v>
      </c>
      <c r="E63" s="422" t="s">
        <v>5919</v>
      </c>
      <c r="F63" s="394" t="s">
        <v>1440</v>
      </c>
      <c r="G63" s="422" t="s">
        <v>650</v>
      </c>
      <c r="H63" s="394" t="s">
        <v>18</v>
      </c>
      <c r="I63" s="497">
        <v>43511.0</v>
      </c>
      <c r="J63" s="422">
        <v>2.0</v>
      </c>
      <c r="K63" s="531" t="s">
        <v>238</v>
      </c>
      <c r="L63" s="394" t="s">
        <v>256</v>
      </c>
      <c r="M63" s="528">
        <f t="shared" si="1"/>
        <v>1457</v>
      </c>
      <c r="N63" s="42"/>
      <c r="O63" s="358" t="s">
        <v>225</v>
      </c>
      <c r="P63" s="359"/>
      <c r="Q63" s="359"/>
      <c r="R63" s="360"/>
      <c r="S63" s="520" t="s">
        <v>226</v>
      </c>
      <c r="T63" s="521" t="s">
        <v>108</v>
      </c>
      <c r="U63" s="25"/>
      <c r="V63" s="25"/>
      <c r="W63" s="25"/>
      <c r="X63" s="25"/>
      <c r="Y63" s="25"/>
      <c r="Z63" s="25"/>
    </row>
    <row r="64" ht="12.75" customHeight="1">
      <c r="A64" s="425">
        <v>6319.0</v>
      </c>
      <c r="B64" s="426" t="s">
        <v>5920</v>
      </c>
      <c r="C64" s="426">
        <v>2018.0</v>
      </c>
      <c r="D64" s="500">
        <v>43285.0</v>
      </c>
      <c r="E64" s="428" t="s">
        <v>5921</v>
      </c>
      <c r="F64" s="397" t="s">
        <v>5922</v>
      </c>
      <c r="G64" s="428" t="s">
        <v>565</v>
      </c>
      <c r="H64" s="397" t="s">
        <v>3800</v>
      </c>
      <c r="I64" s="500">
        <v>43511.0</v>
      </c>
      <c r="J64" s="428">
        <v>2.0</v>
      </c>
      <c r="K64" s="571" t="s">
        <v>244</v>
      </c>
      <c r="L64" s="397" t="s">
        <v>260</v>
      </c>
      <c r="M64" s="529">
        <f t="shared" si="1"/>
        <v>226</v>
      </c>
      <c r="N64" s="25"/>
      <c r="O64" s="522" t="s">
        <v>228</v>
      </c>
      <c r="P64" s="523"/>
      <c r="Q64" s="523"/>
      <c r="R64" s="524"/>
      <c r="S64" s="365">
        <f>COUNTIF($K$2:$K$476,"I - Extremamente tóxico")</f>
        <v>109</v>
      </c>
      <c r="T64" s="366">
        <f>(S64/S76)</f>
        <v>0.2294736842</v>
      </c>
      <c r="U64" s="25"/>
      <c r="V64" s="25"/>
      <c r="W64" s="25"/>
      <c r="X64" s="25"/>
      <c r="Y64" s="25"/>
      <c r="Z64" s="25"/>
    </row>
    <row r="65" ht="13.5" customHeight="1">
      <c r="A65" s="419">
        <v>6419.0</v>
      </c>
      <c r="B65" s="420" t="s">
        <v>5923</v>
      </c>
      <c r="C65" s="420">
        <v>2016.0</v>
      </c>
      <c r="D65" s="497">
        <v>42401.0</v>
      </c>
      <c r="E65" s="422" t="s">
        <v>5924</v>
      </c>
      <c r="F65" s="394" t="s">
        <v>1440</v>
      </c>
      <c r="G65" s="422" t="s">
        <v>552</v>
      </c>
      <c r="H65" s="394" t="s">
        <v>50</v>
      </c>
      <c r="I65" s="497">
        <v>43511.0</v>
      </c>
      <c r="J65" s="422">
        <v>2.0</v>
      </c>
      <c r="K65" s="535" t="s">
        <v>228</v>
      </c>
      <c r="L65" s="394" t="s">
        <v>256</v>
      </c>
      <c r="M65" s="528">
        <f t="shared" si="1"/>
        <v>1110</v>
      </c>
      <c r="N65" s="25"/>
      <c r="O65" s="367" t="s">
        <v>230</v>
      </c>
      <c r="P65" s="368"/>
      <c r="Q65" s="368"/>
      <c r="R65" s="369"/>
      <c r="S65" s="370">
        <f>COUNTIF($K$2:$K$476,"Categoria 1 - Produto Extremamente Tóxico")</f>
        <v>0</v>
      </c>
      <c r="T65" s="371">
        <f>(S65/S76)</f>
        <v>0</v>
      </c>
      <c r="U65" s="25"/>
      <c r="V65" s="25"/>
      <c r="W65" s="25"/>
      <c r="X65" s="25"/>
      <c r="Y65" s="25"/>
      <c r="Z65" s="25"/>
    </row>
    <row r="66" ht="13.5" customHeight="1">
      <c r="A66" s="425">
        <v>6519.0</v>
      </c>
      <c r="B66" s="426" t="s">
        <v>5925</v>
      </c>
      <c r="C66" s="426">
        <v>2018.0</v>
      </c>
      <c r="D66" s="500">
        <v>43285.0</v>
      </c>
      <c r="E66" s="428" t="s">
        <v>5926</v>
      </c>
      <c r="F66" s="397" t="s">
        <v>3761</v>
      </c>
      <c r="G66" s="428" t="s">
        <v>565</v>
      </c>
      <c r="H66" s="397" t="s">
        <v>3800</v>
      </c>
      <c r="I66" s="500">
        <v>43511.0</v>
      </c>
      <c r="J66" s="428">
        <v>2.0</v>
      </c>
      <c r="K66" s="571" t="s">
        <v>244</v>
      </c>
      <c r="L66" s="397" t="s">
        <v>260</v>
      </c>
      <c r="M66" s="529">
        <f t="shared" si="1"/>
        <v>226</v>
      </c>
      <c r="N66" s="25"/>
      <c r="O66" s="367" t="s">
        <v>232</v>
      </c>
      <c r="P66" s="368"/>
      <c r="Q66" s="368"/>
      <c r="R66" s="369"/>
      <c r="S66" s="370">
        <f>COUNTIF($K$2:$K$476,"Categoria 2 - Produto Altamente Tóxico")</f>
        <v>0</v>
      </c>
      <c r="T66" s="371">
        <f>(S66/S76)</f>
        <v>0</v>
      </c>
      <c r="U66" s="25"/>
      <c r="V66" s="25"/>
      <c r="W66" s="25"/>
      <c r="X66" s="25"/>
      <c r="Y66" s="25"/>
      <c r="Z66" s="25"/>
    </row>
    <row r="67" ht="12.75" customHeight="1">
      <c r="A67" s="419">
        <v>6619.0</v>
      </c>
      <c r="B67" s="420" t="s">
        <v>5927</v>
      </c>
      <c r="C67" s="420">
        <v>2017.0</v>
      </c>
      <c r="D67" s="497">
        <v>42766.0</v>
      </c>
      <c r="E67" s="422" t="s">
        <v>5928</v>
      </c>
      <c r="F67" s="394" t="s">
        <v>2606</v>
      </c>
      <c r="G67" s="422" t="s">
        <v>565</v>
      </c>
      <c r="H67" s="394" t="s">
        <v>5016</v>
      </c>
      <c r="I67" s="497">
        <v>43511.0</v>
      </c>
      <c r="J67" s="422">
        <v>2.0</v>
      </c>
      <c r="K67" s="531" t="s">
        <v>238</v>
      </c>
      <c r="L67" s="394" t="s">
        <v>260</v>
      </c>
      <c r="M67" s="528">
        <f t="shared" si="1"/>
        <v>745</v>
      </c>
      <c r="N67" s="25"/>
      <c r="O67" s="372" t="s">
        <v>234</v>
      </c>
      <c r="P67" s="368"/>
      <c r="Q67" s="368"/>
      <c r="R67" s="369"/>
      <c r="S67" s="373">
        <f>COUNTIF($K$2:$K$476,"II - Altamente tóxico")</f>
        <v>47</v>
      </c>
      <c r="T67" s="374">
        <f>(S67/S76)</f>
        <v>0.09894736842</v>
      </c>
      <c r="U67" s="25"/>
      <c r="V67" s="25"/>
      <c r="W67" s="25"/>
      <c r="X67" s="25"/>
      <c r="Y67" s="25"/>
      <c r="Z67" s="25"/>
    </row>
    <row r="68" ht="12.75" customHeight="1">
      <c r="A68" s="425">
        <v>6719.0</v>
      </c>
      <c r="B68" s="426" t="s">
        <v>5929</v>
      </c>
      <c r="C68" s="426">
        <v>2014.0</v>
      </c>
      <c r="D68" s="500">
        <v>42003.0</v>
      </c>
      <c r="E68" s="428" t="s">
        <v>5930</v>
      </c>
      <c r="F68" s="397" t="s">
        <v>5931</v>
      </c>
      <c r="G68" s="428" t="s">
        <v>650</v>
      </c>
      <c r="H68" s="397" t="s">
        <v>5826</v>
      </c>
      <c r="I68" s="500">
        <v>43511.0</v>
      </c>
      <c r="J68" s="428">
        <v>2.0</v>
      </c>
      <c r="K68" s="535" t="s">
        <v>228</v>
      </c>
      <c r="L68" s="397" t="s">
        <v>256</v>
      </c>
      <c r="M68" s="529">
        <f t="shared" si="1"/>
        <v>1508</v>
      </c>
      <c r="N68" s="25"/>
      <c r="O68" s="372" t="s">
        <v>236</v>
      </c>
      <c r="P68" s="368"/>
      <c r="Q68" s="368"/>
      <c r="R68" s="369"/>
      <c r="S68" s="373">
        <f>COUNTIF($K$2:$K$476,"Categoria 3 - Produto Moderadamente Tóxico")</f>
        <v>0</v>
      </c>
      <c r="T68" s="374">
        <f>(S68/S76)</f>
        <v>0</v>
      </c>
      <c r="U68" s="25"/>
      <c r="V68" s="25"/>
      <c r="W68" s="25"/>
      <c r="X68" s="25"/>
      <c r="Y68" s="25"/>
      <c r="Z68" s="25"/>
    </row>
    <row r="69" ht="12.75" customHeight="1">
      <c r="A69" s="419">
        <v>6819.0</v>
      </c>
      <c r="B69" s="420" t="s">
        <v>5932</v>
      </c>
      <c r="C69" s="420">
        <v>2010.0</v>
      </c>
      <c r="D69" s="497">
        <v>40266.0</v>
      </c>
      <c r="E69" s="422" t="s">
        <v>5933</v>
      </c>
      <c r="F69" s="394" t="s">
        <v>5934</v>
      </c>
      <c r="G69" s="422" t="s">
        <v>650</v>
      </c>
      <c r="H69" s="394" t="s">
        <v>158</v>
      </c>
      <c r="I69" s="497">
        <v>43511.0</v>
      </c>
      <c r="J69" s="422">
        <v>2.0</v>
      </c>
      <c r="K69" s="535" t="s">
        <v>228</v>
      </c>
      <c r="L69" s="394" t="s">
        <v>256</v>
      </c>
      <c r="M69" s="528">
        <f t="shared" si="1"/>
        <v>3245</v>
      </c>
      <c r="N69" s="25"/>
      <c r="O69" s="375" t="s">
        <v>238</v>
      </c>
      <c r="P69" s="368"/>
      <c r="Q69" s="368"/>
      <c r="R69" s="369"/>
      <c r="S69" s="376">
        <f>COUNTIF($K$2:$K$476,"III - Medianamente tóxico")</f>
        <v>160</v>
      </c>
      <c r="T69" s="377">
        <f>(S69/S76)</f>
        <v>0.3368421053</v>
      </c>
      <c r="U69" s="25"/>
      <c r="V69" s="25"/>
      <c r="W69" s="25"/>
      <c r="X69" s="25"/>
      <c r="Y69" s="25"/>
      <c r="Z69" s="25"/>
    </row>
    <row r="70" ht="12.75" customHeight="1">
      <c r="A70" s="425">
        <v>6919.0</v>
      </c>
      <c r="B70" s="426" t="s">
        <v>5935</v>
      </c>
      <c r="C70" s="426">
        <v>2010.0</v>
      </c>
      <c r="D70" s="500">
        <v>40338.0</v>
      </c>
      <c r="E70" s="428" t="s">
        <v>5936</v>
      </c>
      <c r="F70" s="397" t="s">
        <v>2054</v>
      </c>
      <c r="G70" s="428" t="s">
        <v>650</v>
      </c>
      <c r="H70" s="397" t="s">
        <v>2444</v>
      </c>
      <c r="I70" s="500">
        <v>43516.0</v>
      </c>
      <c r="J70" s="428">
        <v>2.0</v>
      </c>
      <c r="K70" s="531" t="s">
        <v>238</v>
      </c>
      <c r="L70" s="397" t="s">
        <v>256</v>
      </c>
      <c r="M70" s="529">
        <f t="shared" si="1"/>
        <v>3178</v>
      </c>
      <c r="N70" s="25"/>
      <c r="O70" s="375" t="s">
        <v>240</v>
      </c>
      <c r="P70" s="368"/>
      <c r="Q70" s="368"/>
      <c r="R70" s="369"/>
      <c r="S70" s="376">
        <f>COUNTIF($K$2:$K$476,"Categoria 4 - Produto Pouco Tóxico")</f>
        <v>5</v>
      </c>
      <c r="T70" s="377">
        <f>(S70/S76)</f>
        <v>0.01052631579</v>
      </c>
      <c r="U70" s="25"/>
      <c r="V70" s="25"/>
      <c r="W70" s="25"/>
      <c r="X70" s="25"/>
      <c r="Y70" s="25"/>
      <c r="Z70" s="25"/>
    </row>
    <row r="71" ht="12.75" customHeight="1">
      <c r="A71" s="419">
        <v>7019.0</v>
      </c>
      <c r="B71" s="420" t="s">
        <v>5937</v>
      </c>
      <c r="C71" s="420">
        <v>2017.0</v>
      </c>
      <c r="D71" s="497">
        <v>42818.0</v>
      </c>
      <c r="E71" s="422" t="s">
        <v>5938</v>
      </c>
      <c r="F71" s="394" t="s">
        <v>5939</v>
      </c>
      <c r="G71" s="422" t="s">
        <v>650</v>
      </c>
      <c r="H71" s="394" t="s">
        <v>143</v>
      </c>
      <c r="I71" s="497">
        <v>43516.0</v>
      </c>
      <c r="J71" s="422">
        <v>2.0</v>
      </c>
      <c r="K71" s="531" t="s">
        <v>238</v>
      </c>
      <c r="L71" s="394" t="s">
        <v>258</v>
      </c>
      <c r="M71" s="528">
        <f t="shared" si="1"/>
        <v>698</v>
      </c>
      <c r="N71" s="25"/>
      <c r="O71" s="375" t="s">
        <v>242</v>
      </c>
      <c r="P71" s="368"/>
      <c r="Q71" s="368"/>
      <c r="R71" s="369"/>
      <c r="S71" s="376">
        <f>COUNTIF($K$2:$K$476,"Categoria 5 - Produto Improvável de Causar Dano Agudo")</f>
        <v>12</v>
      </c>
      <c r="T71" s="377">
        <f>(S71/S76)</f>
        <v>0.02526315789</v>
      </c>
      <c r="U71" s="25"/>
      <c r="V71" s="25"/>
      <c r="W71" s="25"/>
      <c r="X71" s="25"/>
      <c r="Y71" s="25"/>
      <c r="Z71" s="25"/>
    </row>
    <row r="72" ht="12.75" customHeight="1">
      <c r="A72" s="425">
        <v>7119.0</v>
      </c>
      <c r="B72" s="426" t="s">
        <v>5940</v>
      </c>
      <c r="C72" s="426">
        <v>2017.0</v>
      </c>
      <c r="D72" s="500">
        <v>42818.0</v>
      </c>
      <c r="E72" s="428" t="s">
        <v>5941</v>
      </c>
      <c r="F72" s="397" t="s">
        <v>5939</v>
      </c>
      <c r="G72" s="428" t="s">
        <v>650</v>
      </c>
      <c r="H72" s="397" t="s">
        <v>143</v>
      </c>
      <c r="I72" s="500">
        <v>43516.0</v>
      </c>
      <c r="J72" s="428">
        <v>2.0</v>
      </c>
      <c r="K72" s="531" t="s">
        <v>238</v>
      </c>
      <c r="L72" s="397" t="s">
        <v>258</v>
      </c>
      <c r="M72" s="529">
        <f t="shared" si="1"/>
        <v>698</v>
      </c>
      <c r="N72" s="25"/>
      <c r="O72" s="378" t="s">
        <v>244</v>
      </c>
      <c r="P72" s="368"/>
      <c r="Q72" s="368"/>
      <c r="R72" s="369"/>
      <c r="S72" s="379">
        <f>COUNTIF($K$2:$K$476,"IV - Pouco tóxico")</f>
        <v>51</v>
      </c>
      <c r="T72" s="380">
        <f>(S72/S76)</f>
        <v>0.1073684211</v>
      </c>
      <c r="U72" s="25"/>
      <c r="V72" s="25"/>
      <c r="W72" s="25"/>
      <c r="X72" s="25"/>
      <c r="Y72" s="25"/>
      <c r="Z72" s="25"/>
    </row>
    <row r="73" ht="12.75" customHeight="1">
      <c r="A73" s="419">
        <v>7219.0</v>
      </c>
      <c r="B73" s="420" t="s">
        <v>5942</v>
      </c>
      <c r="C73" s="420">
        <v>2011.0</v>
      </c>
      <c r="D73" s="497">
        <v>40877.0</v>
      </c>
      <c r="E73" s="422" t="s">
        <v>5943</v>
      </c>
      <c r="F73" s="394" t="s">
        <v>595</v>
      </c>
      <c r="G73" s="422" t="s">
        <v>552</v>
      </c>
      <c r="H73" s="394" t="s">
        <v>573</v>
      </c>
      <c r="I73" s="497">
        <v>43516.0</v>
      </c>
      <c r="J73" s="422">
        <v>2.0</v>
      </c>
      <c r="K73" s="531" t="s">
        <v>238</v>
      </c>
      <c r="L73" s="394" t="s">
        <v>256</v>
      </c>
      <c r="M73" s="528">
        <f t="shared" si="1"/>
        <v>2639</v>
      </c>
      <c r="N73" s="25"/>
      <c r="O73" s="378" t="s">
        <v>822</v>
      </c>
      <c r="P73" s="368"/>
      <c r="Q73" s="368"/>
      <c r="R73" s="369"/>
      <c r="S73" s="379">
        <f>COUNTIF($K$2:$K$476,"Não classificado - Produto não classificado")</f>
        <v>5</v>
      </c>
      <c r="T73" s="380">
        <f>(S73/S76)</f>
        <v>0.01052631579</v>
      </c>
      <c r="U73" s="25"/>
      <c r="V73" s="25"/>
      <c r="W73" s="25"/>
      <c r="X73" s="25"/>
      <c r="Y73" s="25"/>
      <c r="Z73" s="25"/>
    </row>
    <row r="74" ht="12.75" customHeight="1">
      <c r="A74" s="425">
        <v>7319.0</v>
      </c>
      <c r="B74" s="426" t="s">
        <v>5944</v>
      </c>
      <c r="C74" s="426">
        <v>2010.0</v>
      </c>
      <c r="D74" s="500">
        <v>40186.0</v>
      </c>
      <c r="E74" s="428" t="s">
        <v>5945</v>
      </c>
      <c r="F74" s="397" t="s">
        <v>5432</v>
      </c>
      <c r="G74" s="428" t="s">
        <v>650</v>
      </c>
      <c r="H74" s="397" t="s">
        <v>158</v>
      </c>
      <c r="I74" s="500">
        <v>43523.0</v>
      </c>
      <c r="J74" s="428">
        <v>2.0</v>
      </c>
      <c r="K74" s="531" t="s">
        <v>238</v>
      </c>
      <c r="L74" s="397" t="s">
        <v>256</v>
      </c>
      <c r="M74" s="529">
        <f t="shared" si="1"/>
        <v>3337</v>
      </c>
      <c r="N74" s="25"/>
      <c r="O74" s="378" t="s">
        <v>850</v>
      </c>
      <c r="P74" s="368"/>
      <c r="Q74" s="368"/>
      <c r="R74" s="369"/>
      <c r="S74" s="379">
        <f>COUNTIF($K$2:$K$476,"Não determinada devido à natureza do produto (Inimigos naturais)")</f>
        <v>2</v>
      </c>
      <c r="T74" s="380">
        <f>(S74/S76)</f>
        <v>0.004210526316</v>
      </c>
      <c r="U74" s="25"/>
      <c r="V74" s="25"/>
      <c r="W74" s="25"/>
      <c r="X74" s="25"/>
      <c r="Y74" s="25"/>
      <c r="Z74" s="25"/>
    </row>
    <row r="75" ht="12.75" customHeight="1">
      <c r="A75" s="419">
        <v>7419.0</v>
      </c>
      <c r="B75" s="420" t="s">
        <v>5946</v>
      </c>
      <c r="C75" s="420">
        <v>2017.0</v>
      </c>
      <c r="D75" s="497">
        <v>43035.0</v>
      </c>
      <c r="E75" s="422" t="s">
        <v>5947</v>
      </c>
      <c r="F75" s="394" t="s">
        <v>2831</v>
      </c>
      <c r="G75" s="422" t="s">
        <v>650</v>
      </c>
      <c r="H75" s="394" t="s">
        <v>26</v>
      </c>
      <c r="I75" s="497">
        <v>43523.0</v>
      </c>
      <c r="J75" s="422">
        <v>2.0</v>
      </c>
      <c r="K75" s="535" t="s">
        <v>228</v>
      </c>
      <c r="L75" s="394" t="s">
        <v>260</v>
      </c>
      <c r="M75" s="528">
        <f t="shared" si="1"/>
        <v>488</v>
      </c>
      <c r="N75" s="25"/>
      <c r="O75" s="381" t="s">
        <v>19</v>
      </c>
      <c r="P75" s="382"/>
      <c r="Q75" s="382"/>
      <c r="R75" s="383"/>
      <c r="S75" s="384">
        <f>COUNTIF($K$2:$K$476,"O perfil toxicológico foi considerado equivalente ao produto técnico de referência")</f>
        <v>84</v>
      </c>
      <c r="T75" s="385">
        <f>(S75/S76)</f>
        <v>0.1768421053</v>
      </c>
      <c r="U75" s="25"/>
      <c r="V75" s="25"/>
      <c r="W75" s="25"/>
      <c r="X75" s="25"/>
      <c r="Y75" s="25"/>
      <c r="Z75" s="25"/>
    </row>
    <row r="76" ht="13.5" customHeight="1">
      <c r="A76" s="425">
        <v>7519.0</v>
      </c>
      <c r="B76" s="426" t="s">
        <v>5948</v>
      </c>
      <c r="C76" s="426">
        <v>2017.0</v>
      </c>
      <c r="D76" s="500">
        <v>43075.0</v>
      </c>
      <c r="E76" s="428" t="s">
        <v>5949</v>
      </c>
      <c r="F76" s="397" t="s">
        <v>666</v>
      </c>
      <c r="G76" s="428" t="s">
        <v>17</v>
      </c>
      <c r="H76" s="397" t="s">
        <v>149</v>
      </c>
      <c r="I76" s="500">
        <v>43524.0</v>
      </c>
      <c r="J76" s="428">
        <v>2.0</v>
      </c>
      <c r="K76" s="539" t="s">
        <v>234</v>
      </c>
      <c r="L76" s="397" t="s">
        <v>258</v>
      </c>
      <c r="M76" s="529">
        <f t="shared" si="1"/>
        <v>449</v>
      </c>
      <c r="N76" s="25"/>
      <c r="O76" s="386" t="s">
        <v>219</v>
      </c>
      <c r="P76" s="332"/>
      <c r="Q76" s="332"/>
      <c r="R76" s="387"/>
      <c r="S76" s="388">
        <f>SUM(S64:S75)</f>
        <v>475</v>
      </c>
      <c r="T76" s="389">
        <f>(S76/S76)</f>
        <v>1</v>
      </c>
      <c r="U76" s="25"/>
      <c r="V76" s="25"/>
      <c r="W76" s="25"/>
      <c r="X76" s="25"/>
      <c r="Y76" s="25"/>
      <c r="Z76" s="25"/>
    </row>
    <row r="77" ht="14.25" customHeight="1">
      <c r="A77" s="419">
        <v>7619.0</v>
      </c>
      <c r="B77" s="420" t="s">
        <v>5950</v>
      </c>
      <c r="C77" s="420">
        <v>2015.0</v>
      </c>
      <c r="D77" s="497">
        <v>42185.0</v>
      </c>
      <c r="E77" s="422" t="s">
        <v>5951</v>
      </c>
      <c r="F77" s="394" t="s">
        <v>551</v>
      </c>
      <c r="G77" s="422" t="s">
        <v>17</v>
      </c>
      <c r="H77" s="394" t="s">
        <v>1002</v>
      </c>
      <c r="I77" s="497">
        <v>43524.0</v>
      </c>
      <c r="J77" s="422">
        <v>2.0</v>
      </c>
      <c r="K77" s="571" t="s">
        <v>244</v>
      </c>
      <c r="L77" s="394" t="s">
        <v>256</v>
      </c>
      <c r="M77" s="528">
        <f t="shared" si="1"/>
        <v>1339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2.75" customHeight="1">
      <c r="A78" s="425">
        <v>7719.0</v>
      </c>
      <c r="B78" s="426" t="s">
        <v>5952</v>
      </c>
      <c r="C78" s="426">
        <v>2018.0</v>
      </c>
      <c r="D78" s="500">
        <v>43410.0</v>
      </c>
      <c r="E78" s="428" t="s">
        <v>5953</v>
      </c>
      <c r="F78" s="397" t="s">
        <v>1170</v>
      </c>
      <c r="G78" s="428" t="s">
        <v>17</v>
      </c>
      <c r="H78" s="397" t="s">
        <v>39</v>
      </c>
      <c r="I78" s="500">
        <v>43524.0</v>
      </c>
      <c r="J78" s="428">
        <v>2.0</v>
      </c>
      <c r="K78" s="539" t="s">
        <v>234</v>
      </c>
      <c r="L78" s="397" t="s">
        <v>256</v>
      </c>
      <c r="M78" s="529">
        <f t="shared" si="1"/>
        <v>114</v>
      </c>
      <c r="N78" s="25"/>
      <c r="O78" s="357" t="s">
        <v>11</v>
      </c>
      <c r="P78" s="102"/>
      <c r="Q78" s="102"/>
      <c r="R78" s="102"/>
      <c r="S78" s="102"/>
      <c r="T78" s="103"/>
      <c r="U78" s="25"/>
      <c r="V78" s="25"/>
      <c r="W78" s="25"/>
      <c r="X78" s="25"/>
      <c r="Y78" s="25"/>
      <c r="Z78" s="25"/>
    </row>
    <row r="79" ht="12.75" customHeight="1">
      <c r="A79" s="419">
        <v>7819.0</v>
      </c>
      <c r="B79" s="420" t="s">
        <v>5954</v>
      </c>
      <c r="C79" s="420">
        <v>2017.0</v>
      </c>
      <c r="D79" s="497">
        <v>43055.0</v>
      </c>
      <c r="E79" s="422" t="s">
        <v>5955</v>
      </c>
      <c r="F79" s="394" t="s">
        <v>666</v>
      </c>
      <c r="G79" s="422" t="s">
        <v>17</v>
      </c>
      <c r="H79" s="394" t="s">
        <v>112</v>
      </c>
      <c r="I79" s="497">
        <v>43524.0</v>
      </c>
      <c r="J79" s="422">
        <v>2.0</v>
      </c>
      <c r="K79" s="539" t="s">
        <v>234</v>
      </c>
      <c r="L79" s="394" t="s">
        <v>258</v>
      </c>
      <c r="M79" s="528">
        <f t="shared" si="1"/>
        <v>469</v>
      </c>
      <c r="N79" s="25"/>
      <c r="O79" s="104"/>
      <c r="P79" s="105"/>
      <c r="Q79" s="105"/>
      <c r="R79" s="105"/>
      <c r="S79" s="105"/>
      <c r="T79" s="106"/>
      <c r="U79" s="25"/>
      <c r="V79" s="25"/>
      <c r="W79" s="25"/>
      <c r="X79" s="25"/>
      <c r="Y79" s="25"/>
      <c r="Z79" s="25"/>
    </row>
    <row r="80" ht="12.75" customHeight="1">
      <c r="A80" s="425">
        <v>7919.0</v>
      </c>
      <c r="B80" s="426" t="s">
        <v>5956</v>
      </c>
      <c r="C80" s="426">
        <v>2018.0</v>
      </c>
      <c r="D80" s="500">
        <v>43202.0</v>
      </c>
      <c r="E80" s="428" t="s">
        <v>5957</v>
      </c>
      <c r="F80" s="397" t="s">
        <v>4572</v>
      </c>
      <c r="G80" s="428" t="s">
        <v>17</v>
      </c>
      <c r="H80" s="397" t="s">
        <v>5049</v>
      </c>
      <c r="I80" s="500">
        <v>43524.0</v>
      </c>
      <c r="J80" s="428">
        <v>2.0</v>
      </c>
      <c r="K80" s="531" t="s">
        <v>238</v>
      </c>
      <c r="L80" s="397" t="s">
        <v>258</v>
      </c>
      <c r="M80" s="529">
        <f t="shared" si="1"/>
        <v>322</v>
      </c>
      <c r="N80" s="25"/>
      <c r="O80" s="358" t="s">
        <v>225</v>
      </c>
      <c r="P80" s="359"/>
      <c r="Q80" s="359"/>
      <c r="R80" s="360"/>
      <c r="S80" s="525" t="s">
        <v>226</v>
      </c>
      <c r="T80" s="526" t="s">
        <v>108</v>
      </c>
      <c r="U80" s="25"/>
      <c r="V80" s="25"/>
      <c r="W80" s="25"/>
      <c r="X80" s="25"/>
      <c r="Y80" s="25"/>
      <c r="Z80" s="25"/>
    </row>
    <row r="81" ht="12.75" customHeight="1">
      <c r="A81" s="419">
        <v>8019.0</v>
      </c>
      <c r="B81" s="420" t="s">
        <v>5958</v>
      </c>
      <c r="C81" s="420">
        <v>2013.0</v>
      </c>
      <c r="D81" s="497">
        <v>41332.0</v>
      </c>
      <c r="E81" s="422" t="s">
        <v>5959</v>
      </c>
      <c r="F81" s="394" t="s">
        <v>31</v>
      </c>
      <c r="G81" s="422" t="s">
        <v>17</v>
      </c>
      <c r="H81" s="394" t="s">
        <v>2164</v>
      </c>
      <c r="I81" s="497">
        <v>43524.0</v>
      </c>
      <c r="J81" s="422">
        <v>2.0</v>
      </c>
      <c r="K81" s="539" t="s">
        <v>234</v>
      </c>
      <c r="L81" s="394" t="s">
        <v>258</v>
      </c>
      <c r="M81" s="528">
        <f t="shared" si="1"/>
        <v>2192</v>
      </c>
      <c r="N81" s="25"/>
      <c r="O81" s="527" t="s">
        <v>254</v>
      </c>
      <c r="P81" s="332"/>
      <c r="Q81" s="332"/>
      <c r="R81" s="333"/>
      <c r="S81" s="394">
        <f>COUNTIF($L$2:$L$476,"I - Produto altamente perigoso ao meio ambiente")</f>
        <v>14</v>
      </c>
      <c r="T81" s="395">
        <f>(S81/S85)</f>
        <v>0.02947368421</v>
      </c>
      <c r="U81" s="25"/>
      <c r="V81" s="25"/>
      <c r="W81" s="25"/>
      <c r="X81" s="25"/>
      <c r="Y81" s="25"/>
      <c r="Z81" s="25"/>
    </row>
    <row r="82" ht="13.5" customHeight="1">
      <c r="A82" s="425">
        <v>8119.0</v>
      </c>
      <c r="B82" s="426" t="s">
        <v>5960</v>
      </c>
      <c r="C82" s="426">
        <v>2013.0</v>
      </c>
      <c r="D82" s="500">
        <v>41387.0</v>
      </c>
      <c r="E82" s="428" t="s">
        <v>5961</v>
      </c>
      <c r="F82" s="397" t="s">
        <v>1985</v>
      </c>
      <c r="G82" s="428" t="s">
        <v>17</v>
      </c>
      <c r="H82" s="397" t="s">
        <v>573</v>
      </c>
      <c r="I82" s="500">
        <v>43524.0</v>
      </c>
      <c r="J82" s="428">
        <v>2.0</v>
      </c>
      <c r="K82" s="539" t="s">
        <v>234</v>
      </c>
      <c r="L82" s="397" t="s">
        <v>256</v>
      </c>
      <c r="M82" s="529">
        <f t="shared" si="1"/>
        <v>2137</v>
      </c>
      <c r="N82" s="25"/>
      <c r="O82" s="396" t="s">
        <v>256</v>
      </c>
      <c r="P82" s="113"/>
      <c r="Q82" s="113"/>
      <c r="R82" s="114"/>
      <c r="S82" s="397">
        <f>COUNTIF($L$2:$L$476,"II - Produto muito perigoso ao meio ambiente")</f>
        <v>233</v>
      </c>
      <c r="T82" s="398">
        <f>(S82/S85)</f>
        <v>0.4905263158</v>
      </c>
      <c r="U82" s="25"/>
      <c r="V82" s="25"/>
      <c r="W82" s="25"/>
      <c r="X82" s="25"/>
      <c r="Y82" s="25"/>
      <c r="Z82" s="25"/>
    </row>
    <row r="83" ht="13.5" customHeight="1">
      <c r="A83" s="419">
        <v>8219.0</v>
      </c>
      <c r="B83" s="420" t="s">
        <v>5962</v>
      </c>
      <c r="C83" s="420">
        <v>2017.0</v>
      </c>
      <c r="D83" s="497">
        <v>43090.0</v>
      </c>
      <c r="E83" s="422" t="s">
        <v>5963</v>
      </c>
      <c r="F83" s="394" t="s">
        <v>55</v>
      </c>
      <c r="G83" s="422" t="s">
        <v>17</v>
      </c>
      <c r="H83" s="394" t="s">
        <v>990</v>
      </c>
      <c r="I83" s="497">
        <v>43524.0</v>
      </c>
      <c r="J83" s="422">
        <v>2.0</v>
      </c>
      <c r="K83" s="531" t="s">
        <v>238</v>
      </c>
      <c r="L83" s="394" t="s">
        <v>256</v>
      </c>
      <c r="M83" s="528">
        <f t="shared" si="1"/>
        <v>434</v>
      </c>
      <c r="N83" s="25"/>
      <c r="O83" s="399" t="s">
        <v>258</v>
      </c>
      <c r="P83" s="113"/>
      <c r="Q83" s="113"/>
      <c r="R83" s="114"/>
      <c r="S83" s="394">
        <f>COUNTIF($L$2:$L$476,"III - Produto perigoso ao meio ambiente")</f>
        <v>183</v>
      </c>
      <c r="T83" s="395">
        <f>(S83/S85)</f>
        <v>0.3852631579</v>
      </c>
      <c r="U83" s="25"/>
      <c r="V83" s="25"/>
      <c r="W83" s="25"/>
      <c r="X83" s="25"/>
      <c r="Y83" s="25"/>
      <c r="Z83" s="25"/>
    </row>
    <row r="84" ht="12.75" customHeight="1">
      <c r="A84" s="425">
        <v>8319.0</v>
      </c>
      <c r="B84" s="426" t="s">
        <v>5964</v>
      </c>
      <c r="C84" s="426">
        <v>2011.0</v>
      </c>
      <c r="D84" s="500">
        <v>40764.0</v>
      </c>
      <c r="E84" s="428" t="s">
        <v>5965</v>
      </c>
      <c r="F84" s="397" t="s">
        <v>1203</v>
      </c>
      <c r="G84" s="428" t="s">
        <v>552</v>
      </c>
      <c r="H84" s="397" t="s">
        <v>130</v>
      </c>
      <c r="I84" s="500">
        <v>43525.0</v>
      </c>
      <c r="J84" s="428">
        <v>3.0</v>
      </c>
      <c r="K84" s="531" t="s">
        <v>238</v>
      </c>
      <c r="L84" s="397" t="s">
        <v>256</v>
      </c>
      <c r="M84" s="529">
        <f t="shared" si="1"/>
        <v>2761</v>
      </c>
      <c r="N84" s="25"/>
      <c r="O84" s="396" t="s">
        <v>260</v>
      </c>
      <c r="P84" s="113"/>
      <c r="Q84" s="113"/>
      <c r="R84" s="114"/>
      <c r="S84" s="397">
        <f>COUNTIF($L$2:$L$476,"IV - Produto pouco perigoso ao meio ambiente")</f>
        <v>45</v>
      </c>
      <c r="T84" s="398">
        <f>(S84/S85)</f>
        <v>0.09473684211</v>
      </c>
      <c r="U84" s="25"/>
      <c r="V84" s="25"/>
      <c r="W84" s="25"/>
      <c r="X84" s="25"/>
      <c r="Y84" s="25"/>
      <c r="Z84" s="25"/>
    </row>
    <row r="85" ht="13.5" customHeight="1">
      <c r="A85" s="419">
        <v>8419.0</v>
      </c>
      <c r="B85" s="420" t="s">
        <v>5966</v>
      </c>
      <c r="C85" s="420">
        <v>2013.0</v>
      </c>
      <c r="D85" s="497">
        <v>41355.0</v>
      </c>
      <c r="E85" s="422" t="s">
        <v>5967</v>
      </c>
      <c r="F85" s="394" t="s">
        <v>5968</v>
      </c>
      <c r="G85" s="422" t="s">
        <v>552</v>
      </c>
      <c r="H85" s="394" t="s">
        <v>1872</v>
      </c>
      <c r="I85" s="497">
        <v>43525.0</v>
      </c>
      <c r="J85" s="422">
        <v>3.0</v>
      </c>
      <c r="K85" s="539" t="s">
        <v>234</v>
      </c>
      <c r="L85" s="394" t="s">
        <v>256</v>
      </c>
      <c r="M85" s="528">
        <f t="shared" si="1"/>
        <v>2170</v>
      </c>
      <c r="N85" s="25"/>
      <c r="O85" s="358" t="s">
        <v>219</v>
      </c>
      <c r="P85" s="359"/>
      <c r="Q85" s="359"/>
      <c r="R85" s="360"/>
      <c r="S85" s="388">
        <f>SUM(S81:S84)</f>
        <v>475</v>
      </c>
      <c r="T85" s="389">
        <f>(S85/S85)</f>
        <v>1</v>
      </c>
      <c r="U85" s="25"/>
      <c r="V85" s="25"/>
      <c r="W85" s="25"/>
      <c r="X85" s="25"/>
      <c r="Y85" s="25"/>
      <c r="Z85" s="25"/>
    </row>
    <row r="86" ht="13.5" customHeight="1">
      <c r="A86" s="425">
        <v>8519.0</v>
      </c>
      <c r="B86" s="426" t="s">
        <v>5969</v>
      </c>
      <c r="C86" s="426">
        <v>2017.0</v>
      </c>
      <c r="D86" s="500">
        <v>43055.0</v>
      </c>
      <c r="E86" s="428" t="s">
        <v>5970</v>
      </c>
      <c r="F86" s="397" t="s">
        <v>2343</v>
      </c>
      <c r="G86" s="428" t="s">
        <v>565</v>
      </c>
      <c r="H86" s="397" t="s">
        <v>5871</v>
      </c>
      <c r="I86" s="500">
        <v>43525.0</v>
      </c>
      <c r="J86" s="428">
        <v>3.0</v>
      </c>
      <c r="K86" s="571" t="s">
        <v>244</v>
      </c>
      <c r="L86" s="397" t="s">
        <v>260</v>
      </c>
      <c r="M86" s="529">
        <f t="shared" si="1"/>
        <v>470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4.25" customHeight="1">
      <c r="A87" s="419">
        <v>8619.0</v>
      </c>
      <c r="B87" s="420" t="s">
        <v>5971</v>
      </c>
      <c r="C87" s="420">
        <v>2018.0</v>
      </c>
      <c r="D87" s="497">
        <v>43399.0</v>
      </c>
      <c r="E87" s="422" t="s">
        <v>5972</v>
      </c>
      <c r="F87" s="394" t="s">
        <v>2606</v>
      </c>
      <c r="G87" s="422" t="s">
        <v>569</v>
      </c>
      <c r="H87" s="394" t="s">
        <v>2550</v>
      </c>
      <c r="I87" s="497">
        <v>43525.0</v>
      </c>
      <c r="J87" s="422">
        <v>3.0</v>
      </c>
      <c r="K87" s="571" t="s">
        <v>244</v>
      </c>
      <c r="L87" s="394" t="s">
        <v>260</v>
      </c>
      <c r="M87" s="528">
        <f t="shared" si="1"/>
        <v>126</v>
      </c>
      <c r="N87" s="25"/>
      <c r="O87" s="403" t="s">
        <v>264</v>
      </c>
      <c r="P87" s="404"/>
      <c r="Q87" s="404"/>
      <c r="R87" s="405"/>
      <c r="S87" s="25"/>
      <c r="T87" s="25"/>
      <c r="U87" s="25"/>
      <c r="V87" s="25"/>
      <c r="W87" s="25"/>
      <c r="X87" s="25"/>
      <c r="Y87" s="25"/>
      <c r="Z87" s="25"/>
    </row>
    <row r="88" ht="14.25" customHeight="1">
      <c r="A88" s="425">
        <v>8719.0</v>
      </c>
      <c r="B88" s="426" t="s">
        <v>5973</v>
      </c>
      <c r="C88" s="426">
        <v>2012.0</v>
      </c>
      <c r="D88" s="500">
        <v>41085.0</v>
      </c>
      <c r="E88" s="428" t="s">
        <v>5974</v>
      </c>
      <c r="F88" s="397" t="s">
        <v>3095</v>
      </c>
      <c r="G88" s="428" t="s">
        <v>552</v>
      </c>
      <c r="H88" s="397" t="s">
        <v>153</v>
      </c>
      <c r="I88" s="500">
        <v>43532.0</v>
      </c>
      <c r="J88" s="428">
        <v>3.0</v>
      </c>
      <c r="K88" s="535" t="s">
        <v>228</v>
      </c>
      <c r="L88" s="397" t="s">
        <v>258</v>
      </c>
      <c r="M88" s="529">
        <f t="shared" si="1"/>
        <v>2447</v>
      </c>
      <c r="N88" s="25"/>
      <c r="O88" s="406"/>
      <c r="P88" s="105"/>
      <c r="Q88" s="105"/>
      <c r="R88" s="407"/>
      <c r="S88" s="25"/>
      <c r="T88" s="25"/>
      <c r="U88" s="25"/>
      <c r="V88" s="25"/>
      <c r="W88" s="25"/>
      <c r="X88" s="25"/>
      <c r="Y88" s="25"/>
      <c r="Z88" s="25"/>
    </row>
    <row r="89" ht="12.75" customHeight="1">
      <c r="A89" s="419">
        <v>8819.0</v>
      </c>
      <c r="B89" s="420" t="s">
        <v>5975</v>
      </c>
      <c r="C89" s="420">
        <v>2012.0</v>
      </c>
      <c r="D89" s="497">
        <v>41124.0</v>
      </c>
      <c r="E89" s="422" t="s">
        <v>5976</v>
      </c>
      <c r="F89" s="394" t="s">
        <v>1203</v>
      </c>
      <c r="G89" s="422" t="s">
        <v>552</v>
      </c>
      <c r="H89" s="394" t="s">
        <v>130</v>
      </c>
      <c r="I89" s="497">
        <v>43532.0</v>
      </c>
      <c r="J89" s="422">
        <v>3.0</v>
      </c>
      <c r="K89" s="531" t="s">
        <v>238</v>
      </c>
      <c r="L89" s="394" t="s">
        <v>256</v>
      </c>
      <c r="M89" s="528">
        <f t="shared" si="1"/>
        <v>2408</v>
      </c>
      <c r="N89" s="25"/>
      <c r="O89" s="408" t="s">
        <v>267</v>
      </c>
      <c r="P89" s="409" t="s">
        <v>268</v>
      </c>
      <c r="Q89" s="410"/>
      <c r="R89" s="411"/>
      <c r="S89" s="25"/>
      <c r="T89" s="25"/>
      <c r="U89" s="25"/>
      <c r="V89" s="25"/>
      <c r="W89" s="25"/>
      <c r="X89" s="25"/>
      <c r="Y89" s="25"/>
      <c r="Z89" s="25"/>
    </row>
    <row r="90" ht="12.75" customHeight="1">
      <c r="A90" s="425">
        <v>8919.0</v>
      </c>
      <c r="B90" s="426" t="s">
        <v>5977</v>
      </c>
      <c r="C90" s="426">
        <v>2012.0</v>
      </c>
      <c r="D90" s="500">
        <v>41124.0</v>
      </c>
      <c r="E90" s="428" t="s">
        <v>5978</v>
      </c>
      <c r="F90" s="397" t="s">
        <v>1203</v>
      </c>
      <c r="G90" s="428" t="s">
        <v>552</v>
      </c>
      <c r="H90" s="397" t="s">
        <v>130</v>
      </c>
      <c r="I90" s="500">
        <v>43532.0</v>
      </c>
      <c r="J90" s="428">
        <v>3.0</v>
      </c>
      <c r="K90" s="531" t="s">
        <v>238</v>
      </c>
      <c r="L90" s="397" t="s">
        <v>256</v>
      </c>
      <c r="M90" s="529">
        <f t="shared" si="1"/>
        <v>2408</v>
      </c>
      <c r="N90" s="25"/>
      <c r="O90" s="412" t="s">
        <v>270</v>
      </c>
      <c r="P90" s="413">
        <f>AVERAGEIF(G2:G476,"PT",M2:M476)</f>
        <v>1883</v>
      </c>
      <c r="Q90" s="368"/>
      <c r="R90" s="369"/>
      <c r="S90" s="25"/>
      <c r="T90" s="25"/>
      <c r="U90" s="25"/>
      <c r="V90" s="25"/>
      <c r="W90" s="25"/>
      <c r="X90" s="25"/>
      <c r="Y90" s="25"/>
      <c r="Z90" s="25"/>
    </row>
    <row r="91" ht="14.25" customHeight="1">
      <c r="A91" s="419">
        <v>9019.0</v>
      </c>
      <c r="B91" s="420" t="s">
        <v>5979</v>
      </c>
      <c r="C91" s="420">
        <v>2013.0</v>
      </c>
      <c r="D91" s="497">
        <v>41414.0</v>
      </c>
      <c r="E91" s="422" t="s">
        <v>5980</v>
      </c>
      <c r="F91" s="394" t="s">
        <v>1108</v>
      </c>
      <c r="G91" s="422" t="s">
        <v>552</v>
      </c>
      <c r="H91" s="394" t="s">
        <v>5815</v>
      </c>
      <c r="I91" s="497">
        <v>43532.0</v>
      </c>
      <c r="J91" s="422">
        <v>3.0</v>
      </c>
      <c r="K91" s="531" t="s">
        <v>238</v>
      </c>
      <c r="L91" s="394" t="s">
        <v>256</v>
      </c>
      <c r="M91" s="528">
        <f t="shared" si="1"/>
        <v>2118</v>
      </c>
      <c r="N91" s="25"/>
      <c r="O91" s="414" t="s">
        <v>34</v>
      </c>
      <c r="P91" s="415">
        <f>AVERAGEIF(G2:G477,"PTN",M2:M477)</f>
        <v>2605</v>
      </c>
      <c r="Q91" s="368"/>
      <c r="R91" s="369"/>
      <c r="S91" s="25"/>
      <c r="T91" s="25"/>
      <c r="U91" s="25"/>
      <c r="V91" s="25"/>
      <c r="W91" s="25"/>
      <c r="X91" s="25"/>
      <c r="Y91" s="25"/>
      <c r="Z91" s="25"/>
    </row>
    <row r="92" ht="13.5" customHeight="1">
      <c r="A92" s="425">
        <v>9119.0</v>
      </c>
      <c r="B92" s="426" t="s">
        <v>5981</v>
      </c>
      <c r="C92" s="426">
        <v>2012.0</v>
      </c>
      <c r="D92" s="500">
        <v>41240.0</v>
      </c>
      <c r="E92" s="428" t="s">
        <v>5982</v>
      </c>
      <c r="F92" s="397" t="s">
        <v>44</v>
      </c>
      <c r="G92" s="428" t="s">
        <v>5983</v>
      </c>
      <c r="H92" s="397" t="s">
        <v>149</v>
      </c>
      <c r="I92" s="500">
        <v>43532.0</v>
      </c>
      <c r="J92" s="428">
        <v>3.0</v>
      </c>
      <c r="K92" s="535" t="s">
        <v>228</v>
      </c>
      <c r="L92" s="397" t="s">
        <v>258</v>
      </c>
      <c r="M92" s="529">
        <f t="shared" si="1"/>
        <v>2292</v>
      </c>
      <c r="N92" s="25"/>
      <c r="O92" s="412" t="s">
        <v>17</v>
      </c>
      <c r="P92" s="413">
        <f>AVERAGEIF(G2:G476,"PTE",M2:M476)</f>
        <v>1449.810409</v>
      </c>
      <c r="Q92" s="368"/>
      <c r="R92" s="369"/>
      <c r="S92" s="25"/>
      <c r="T92" s="25"/>
      <c r="U92" s="25"/>
      <c r="V92" s="25"/>
      <c r="W92" s="25"/>
      <c r="X92" s="25"/>
      <c r="Y92" s="25"/>
      <c r="Z92" s="25"/>
    </row>
    <row r="93" ht="13.5" customHeight="1">
      <c r="A93" s="419">
        <v>9219.0</v>
      </c>
      <c r="B93" s="420" t="s">
        <v>5984</v>
      </c>
      <c r="C93" s="420">
        <v>2012.0</v>
      </c>
      <c r="D93" s="497">
        <v>40977.0</v>
      </c>
      <c r="E93" s="422" t="s">
        <v>5985</v>
      </c>
      <c r="F93" s="394" t="s">
        <v>595</v>
      </c>
      <c r="G93" s="422" t="s">
        <v>552</v>
      </c>
      <c r="H93" s="394" t="s">
        <v>775</v>
      </c>
      <c r="I93" s="497">
        <v>43532.0</v>
      </c>
      <c r="J93" s="422">
        <v>3.0</v>
      </c>
      <c r="K93" s="539" t="s">
        <v>234</v>
      </c>
      <c r="L93" s="394" t="s">
        <v>256</v>
      </c>
      <c r="M93" s="528">
        <f t="shared" si="1"/>
        <v>2555</v>
      </c>
      <c r="N93" s="25"/>
      <c r="O93" s="414" t="s">
        <v>46</v>
      </c>
      <c r="P93" s="415" t="str">
        <f>AVERAGEIF(G2:G476,"Pré-Mistura",M2:M476)</f>
        <v>#DIV/0!</v>
      </c>
      <c r="Q93" s="368"/>
      <c r="R93" s="369"/>
      <c r="S93" s="25"/>
      <c r="T93" s="25"/>
      <c r="U93" s="25"/>
      <c r="V93" s="25"/>
      <c r="W93" s="25"/>
      <c r="X93" s="25"/>
      <c r="Y93" s="25"/>
      <c r="Z93" s="25"/>
    </row>
    <row r="94" ht="13.5" customHeight="1">
      <c r="A94" s="425">
        <v>9319.0</v>
      </c>
      <c r="B94" s="426" t="s">
        <v>5986</v>
      </c>
      <c r="C94" s="426">
        <v>2009.0</v>
      </c>
      <c r="D94" s="500">
        <v>40156.0</v>
      </c>
      <c r="E94" s="428" t="s">
        <v>5987</v>
      </c>
      <c r="F94" s="397" t="s">
        <v>5988</v>
      </c>
      <c r="G94" s="428" t="s">
        <v>552</v>
      </c>
      <c r="H94" s="397" t="s">
        <v>5989</v>
      </c>
      <c r="I94" s="500">
        <v>43537.0</v>
      </c>
      <c r="J94" s="428">
        <v>3.0</v>
      </c>
      <c r="K94" s="539" t="s">
        <v>234</v>
      </c>
      <c r="L94" s="397" t="s">
        <v>258</v>
      </c>
      <c r="M94" s="529">
        <f t="shared" si="1"/>
        <v>3381</v>
      </c>
      <c r="N94" s="25"/>
      <c r="O94" s="412" t="s">
        <v>650</v>
      </c>
      <c r="P94" s="413">
        <f>AVERAGEIF(G2:G476,"PF",M2:M476)</f>
        <v>2059.555556</v>
      </c>
      <c r="Q94" s="368"/>
      <c r="R94" s="369"/>
      <c r="S94" s="25"/>
      <c r="T94" s="25"/>
      <c r="U94" s="25"/>
      <c r="V94" s="25"/>
      <c r="W94" s="25"/>
      <c r="X94" s="25"/>
      <c r="Y94" s="25"/>
      <c r="Z94" s="25"/>
    </row>
    <row r="95" ht="12.75" customHeight="1">
      <c r="A95" s="419">
        <v>9419.0</v>
      </c>
      <c r="B95" s="420" t="s">
        <v>5990</v>
      </c>
      <c r="C95" s="420">
        <v>2011.0</v>
      </c>
      <c r="D95" s="497">
        <v>40634.0</v>
      </c>
      <c r="E95" s="422" t="s">
        <v>5991</v>
      </c>
      <c r="F95" s="394" t="s">
        <v>1554</v>
      </c>
      <c r="G95" s="422" t="s">
        <v>650</v>
      </c>
      <c r="H95" s="394" t="s">
        <v>158</v>
      </c>
      <c r="I95" s="497">
        <v>43537.0</v>
      </c>
      <c r="J95" s="422">
        <v>3.0</v>
      </c>
      <c r="K95" s="535" t="s">
        <v>228</v>
      </c>
      <c r="L95" s="394" t="s">
        <v>256</v>
      </c>
      <c r="M95" s="528">
        <f t="shared" si="1"/>
        <v>2903</v>
      </c>
      <c r="N95" s="25"/>
      <c r="O95" s="414" t="s">
        <v>547</v>
      </c>
      <c r="P95" s="415">
        <f>AVERAGEIF(G2:G476,"PFN",M2:M476)</f>
        <v>1617</v>
      </c>
      <c r="Q95" s="368"/>
      <c r="R95" s="369"/>
      <c r="S95" s="25"/>
      <c r="T95" s="25"/>
      <c r="U95" s="25"/>
      <c r="V95" s="25"/>
      <c r="W95" s="25"/>
      <c r="X95" s="25"/>
      <c r="Y95" s="25"/>
      <c r="Z95" s="25"/>
    </row>
    <row r="96" ht="13.5" customHeight="1">
      <c r="A96" s="425">
        <v>9519.0</v>
      </c>
      <c r="B96" s="426" t="s">
        <v>5992</v>
      </c>
      <c r="C96" s="426">
        <v>2013.0</v>
      </c>
      <c r="D96" s="500">
        <v>41632.0</v>
      </c>
      <c r="E96" s="428" t="s">
        <v>5993</v>
      </c>
      <c r="F96" s="397" t="s">
        <v>1108</v>
      </c>
      <c r="G96" s="428" t="s">
        <v>552</v>
      </c>
      <c r="H96" s="397" t="s">
        <v>2164</v>
      </c>
      <c r="I96" s="500">
        <v>43537.0</v>
      </c>
      <c r="J96" s="428">
        <v>3.0</v>
      </c>
      <c r="K96" s="531" t="s">
        <v>238</v>
      </c>
      <c r="L96" s="397" t="s">
        <v>256</v>
      </c>
      <c r="M96" s="529">
        <f t="shared" si="1"/>
        <v>1905</v>
      </c>
      <c r="N96" s="25"/>
      <c r="O96" s="412" t="s">
        <v>552</v>
      </c>
      <c r="P96" s="413">
        <f>AVERAGEIF(G2:G476,"PF/PTE",M2:M476)</f>
        <v>2015.740385</v>
      </c>
      <c r="Q96" s="368"/>
      <c r="R96" s="369"/>
      <c r="S96" s="25"/>
      <c r="T96" s="25"/>
      <c r="U96" s="25"/>
      <c r="V96" s="25"/>
      <c r="W96" s="25"/>
      <c r="X96" s="25"/>
      <c r="Y96" s="25"/>
      <c r="Z96" s="25"/>
    </row>
    <row r="97" ht="13.5" customHeight="1">
      <c r="A97" s="419">
        <v>9619.0</v>
      </c>
      <c r="B97" s="420" t="s">
        <v>5994</v>
      </c>
      <c r="C97" s="420">
        <v>2017.0</v>
      </c>
      <c r="D97" s="497">
        <v>42895.0</v>
      </c>
      <c r="E97" s="422" t="s">
        <v>5995</v>
      </c>
      <c r="F97" s="394" t="s">
        <v>171</v>
      </c>
      <c r="G97" s="422" t="s">
        <v>552</v>
      </c>
      <c r="H97" s="394" t="s">
        <v>66</v>
      </c>
      <c r="I97" s="497">
        <v>43537.0</v>
      </c>
      <c r="J97" s="422">
        <v>3.0</v>
      </c>
      <c r="K97" s="531" t="s">
        <v>238</v>
      </c>
      <c r="L97" s="394" t="s">
        <v>256</v>
      </c>
      <c r="M97" s="528">
        <f t="shared" si="1"/>
        <v>642</v>
      </c>
      <c r="N97" s="25"/>
      <c r="O97" s="414" t="s">
        <v>565</v>
      </c>
      <c r="P97" s="415">
        <f>AVERAGEIF(G2:G476,"Bio",M2:M476)</f>
        <v>335.7419355</v>
      </c>
      <c r="Q97" s="368"/>
      <c r="R97" s="369"/>
      <c r="S97" s="25"/>
      <c r="T97" s="25"/>
      <c r="U97" s="25"/>
      <c r="V97" s="25"/>
      <c r="W97" s="25"/>
      <c r="X97" s="25"/>
      <c r="Y97" s="25"/>
      <c r="Z97" s="25"/>
    </row>
    <row r="98" ht="13.5" customHeight="1">
      <c r="A98" s="425">
        <v>9719.0</v>
      </c>
      <c r="B98" s="426" t="s">
        <v>5996</v>
      </c>
      <c r="C98" s="426">
        <v>2012.0</v>
      </c>
      <c r="D98" s="500">
        <v>41057.0</v>
      </c>
      <c r="E98" s="428" t="s">
        <v>5997</v>
      </c>
      <c r="F98" s="397" t="s">
        <v>1232</v>
      </c>
      <c r="G98" s="428" t="s">
        <v>552</v>
      </c>
      <c r="H98" s="397" t="s">
        <v>775</v>
      </c>
      <c r="I98" s="500">
        <v>43537.0</v>
      </c>
      <c r="J98" s="428">
        <v>3.0</v>
      </c>
      <c r="K98" s="535" t="s">
        <v>228</v>
      </c>
      <c r="L98" s="397" t="s">
        <v>256</v>
      </c>
      <c r="M98" s="529">
        <f t="shared" si="1"/>
        <v>2480</v>
      </c>
      <c r="N98" s="25"/>
      <c r="O98" s="412" t="s">
        <v>569</v>
      </c>
      <c r="P98" s="413">
        <f>AVERAGEIF(G2:G476,"Bio/Org",M2:M476)</f>
        <v>278.3333333</v>
      </c>
      <c r="Q98" s="368"/>
      <c r="R98" s="369"/>
      <c r="S98" s="25"/>
      <c r="T98" s="25"/>
      <c r="U98" s="25"/>
      <c r="V98" s="25"/>
      <c r="W98" s="25"/>
      <c r="X98" s="25"/>
      <c r="Y98" s="25"/>
      <c r="Z98" s="25"/>
    </row>
    <row r="99" ht="14.25" customHeight="1">
      <c r="A99" s="419">
        <v>9819.0</v>
      </c>
      <c r="B99" s="420" t="s">
        <v>5998</v>
      </c>
      <c r="C99" s="420">
        <v>2016.0</v>
      </c>
      <c r="D99" s="497">
        <v>42612.0</v>
      </c>
      <c r="E99" s="422" t="s">
        <v>5999</v>
      </c>
      <c r="F99" s="394" t="s">
        <v>719</v>
      </c>
      <c r="G99" s="422" t="s">
        <v>17</v>
      </c>
      <c r="H99" s="394" t="s">
        <v>26</v>
      </c>
      <c r="I99" s="497">
        <v>43538.0</v>
      </c>
      <c r="J99" s="422">
        <v>3.0</v>
      </c>
      <c r="K99" s="531" t="s">
        <v>238</v>
      </c>
      <c r="L99" s="394" t="s">
        <v>256</v>
      </c>
      <c r="M99" s="528">
        <f t="shared" si="1"/>
        <v>926</v>
      </c>
      <c r="N99" s="25"/>
      <c r="O99" s="416" t="s">
        <v>275</v>
      </c>
      <c r="P99" s="417">
        <f>AVERAGE(M2:M494)</f>
        <v>1532.524211</v>
      </c>
      <c r="Q99" s="418"/>
      <c r="R99" s="318"/>
      <c r="S99" s="25"/>
      <c r="T99" s="25"/>
      <c r="U99" s="25"/>
      <c r="V99" s="25"/>
      <c r="W99" s="25"/>
      <c r="X99" s="25"/>
      <c r="Y99" s="25"/>
      <c r="Z99" s="25"/>
    </row>
    <row r="100" ht="12.75" customHeight="1">
      <c r="A100" s="425">
        <v>9919.0</v>
      </c>
      <c r="B100" s="426" t="s">
        <v>6000</v>
      </c>
      <c r="C100" s="426">
        <v>2016.0</v>
      </c>
      <c r="D100" s="500">
        <v>42733.0</v>
      </c>
      <c r="E100" s="428" t="s">
        <v>6001</v>
      </c>
      <c r="F100" s="397" t="s">
        <v>5844</v>
      </c>
      <c r="G100" s="428" t="s">
        <v>17</v>
      </c>
      <c r="H100" s="397" t="s">
        <v>601</v>
      </c>
      <c r="I100" s="500">
        <v>43538.0</v>
      </c>
      <c r="J100" s="428">
        <v>3.0</v>
      </c>
      <c r="K100" s="571" t="s">
        <v>244</v>
      </c>
      <c r="L100" s="397" t="s">
        <v>258</v>
      </c>
      <c r="M100" s="529">
        <f t="shared" si="1"/>
        <v>805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2.75" customHeight="1">
      <c r="A101" s="419">
        <v>10019.0</v>
      </c>
      <c r="B101" s="420" t="s">
        <v>6002</v>
      </c>
      <c r="C101" s="420">
        <v>2013.0</v>
      </c>
      <c r="D101" s="497">
        <v>41386.0</v>
      </c>
      <c r="E101" s="422" t="s">
        <v>6003</v>
      </c>
      <c r="F101" s="394" t="s">
        <v>102</v>
      </c>
      <c r="G101" s="422" t="s">
        <v>17</v>
      </c>
      <c r="H101" s="394" t="s">
        <v>712</v>
      </c>
      <c r="I101" s="497">
        <v>43538.0</v>
      </c>
      <c r="J101" s="422">
        <v>3.0</v>
      </c>
      <c r="K101" s="531" t="s">
        <v>238</v>
      </c>
      <c r="L101" s="394" t="s">
        <v>258</v>
      </c>
      <c r="M101" s="528">
        <f t="shared" si="1"/>
        <v>2152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2.75" customHeight="1">
      <c r="A102" s="425">
        <v>10119.0</v>
      </c>
      <c r="B102" s="426" t="s">
        <v>6004</v>
      </c>
      <c r="C102" s="426">
        <v>2016.0</v>
      </c>
      <c r="D102" s="500">
        <v>42600.0</v>
      </c>
      <c r="E102" s="428" t="s">
        <v>6005</v>
      </c>
      <c r="F102" s="397" t="s">
        <v>6006</v>
      </c>
      <c r="G102" s="428" t="s">
        <v>552</v>
      </c>
      <c r="H102" s="397" t="s">
        <v>573</v>
      </c>
      <c r="I102" s="500">
        <v>43545.0</v>
      </c>
      <c r="J102" s="428">
        <v>3.0</v>
      </c>
      <c r="K102" s="535" t="s">
        <v>228</v>
      </c>
      <c r="L102" s="397" t="s">
        <v>254</v>
      </c>
      <c r="M102" s="529">
        <f t="shared" si="1"/>
        <v>945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2.75" customHeight="1">
      <c r="A103" s="419">
        <v>10219.0</v>
      </c>
      <c r="B103" s="420" t="s">
        <v>6007</v>
      </c>
      <c r="C103" s="420">
        <v>2011.0</v>
      </c>
      <c r="D103" s="497">
        <v>40766.0</v>
      </c>
      <c r="E103" s="422" t="s">
        <v>6008</v>
      </c>
      <c r="F103" s="394" t="s">
        <v>2071</v>
      </c>
      <c r="G103" s="422" t="s">
        <v>552</v>
      </c>
      <c r="H103" s="394" t="s">
        <v>5016</v>
      </c>
      <c r="I103" s="497">
        <v>43545.0</v>
      </c>
      <c r="J103" s="422">
        <v>3.0</v>
      </c>
      <c r="K103" s="539" t="s">
        <v>234</v>
      </c>
      <c r="L103" s="394" t="s">
        <v>258</v>
      </c>
      <c r="M103" s="528">
        <f t="shared" si="1"/>
        <v>2779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2.75" customHeight="1">
      <c r="A104" s="425">
        <v>10319.0</v>
      </c>
      <c r="B104" s="426" t="s">
        <v>6009</v>
      </c>
      <c r="C104" s="426">
        <v>2011.0</v>
      </c>
      <c r="D104" s="500">
        <v>40898.0</v>
      </c>
      <c r="E104" s="428" t="s">
        <v>6010</v>
      </c>
      <c r="F104" s="397" t="s">
        <v>1108</v>
      </c>
      <c r="G104" s="428" t="s">
        <v>552</v>
      </c>
      <c r="H104" s="397" t="s">
        <v>6011</v>
      </c>
      <c r="I104" s="500">
        <v>43545.0</v>
      </c>
      <c r="J104" s="428">
        <v>3.0</v>
      </c>
      <c r="K104" s="531" t="s">
        <v>238</v>
      </c>
      <c r="L104" s="397" t="s">
        <v>256</v>
      </c>
      <c r="M104" s="529">
        <f t="shared" si="1"/>
        <v>2647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2.75" customHeight="1">
      <c r="A105" s="419">
        <v>10419.0</v>
      </c>
      <c r="B105" s="420" t="s">
        <v>6012</v>
      </c>
      <c r="C105" s="420">
        <v>2012.0</v>
      </c>
      <c r="D105" s="497">
        <v>41166.0</v>
      </c>
      <c r="E105" s="422" t="s">
        <v>6013</v>
      </c>
      <c r="F105" s="394" t="s">
        <v>1846</v>
      </c>
      <c r="G105" s="422" t="s">
        <v>552</v>
      </c>
      <c r="H105" s="394" t="s">
        <v>583</v>
      </c>
      <c r="I105" s="497">
        <v>43546.0</v>
      </c>
      <c r="J105" s="422">
        <v>3.0</v>
      </c>
      <c r="K105" s="535" t="s">
        <v>228</v>
      </c>
      <c r="L105" s="394" t="s">
        <v>258</v>
      </c>
      <c r="M105" s="528">
        <f t="shared" si="1"/>
        <v>2380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2.75" customHeight="1">
      <c r="A106" s="425">
        <v>10519.0</v>
      </c>
      <c r="B106" s="426" t="s">
        <v>6014</v>
      </c>
      <c r="C106" s="426">
        <v>2012.0</v>
      </c>
      <c r="D106" s="500">
        <v>41156.0</v>
      </c>
      <c r="E106" s="428" t="s">
        <v>6015</v>
      </c>
      <c r="F106" s="397" t="s">
        <v>1846</v>
      </c>
      <c r="G106" s="428" t="s">
        <v>552</v>
      </c>
      <c r="H106" s="397" t="s">
        <v>2199</v>
      </c>
      <c r="I106" s="500">
        <v>43546.0</v>
      </c>
      <c r="J106" s="428">
        <v>3.0</v>
      </c>
      <c r="K106" s="531" t="s">
        <v>238</v>
      </c>
      <c r="L106" s="397" t="s">
        <v>258</v>
      </c>
      <c r="M106" s="529">
        <f t="shared" si="1"/>
        <v>2390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2.75" customHeight="1">
      <c r="A107" s="419">
        <v>10619.0</v>
      </c>
      <c r="B107" s="420" t="s">
        <v>6016</v>
      </c>
      <c r="C107" s="420">
        <v>2015.0</v>
      </c>
      <c r="D107" s="497">
        <v>42199.0</v>
      </c>
      <c r="E107" s="422" t="s">
        <v>6017</v>
      </c>
      <c r="F107" s="394" t="s">
        <v>44</v>
      </c>
      <c r="G107" s="422" t="s">
        <v>552</v>
      </c>
      <c r="H107" s="394" t="s">
        <v>2964</v>
      </c>
      <c r="I107" s="497">
        <v>43546.0</v>
      </c>
      <c r="J107" s="422">
        <v>3.0</v>
      </c>
      <c r="K107" s="535" t="s">
        <v>228</v>
      </c>
      <c r="L107" s="394" t="s">
        <v>258</v>
      </c>
      <c r="M107" s="528">
        <f t="shared" si="1"/>
        <v>1347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4.25" customHeight="1">
      <c r="A108" s="425">
        <v>10719.0</v>
      </c>
      <c r="B108" s="426" t="s">
        <v>6018</v>
      </c>
      <c r="C108" s="426">
        <v>2015.0</v>
      </c>
      <c r="D108" s="500">
        <v>42184.0</v>
      </c>
      <c r="E108" s="428" t="s">
        <v>6019</v>
      </c>
      <c r="F108" s="397" t="s">
        <v>44</v>
      </c>
      <c r="G108" s="428" t="s">
        <v>552</v>
      </c>
      <c r="H108" s="397" t="s">
        <v>2964</v>
      </c>
      <c r="I108" s="500">
        <v>43546.0</v>
      </c>
      <c r="J108" s="428">
        <v>3.0</v>
      </c>
      <c r="K108" s="535" t="s">
        <v>228</v>
      </c>
      <c r="L108" s="397" t="s">
        <v>258</v>
      </c>
      <c r="M108" s="529">
        <f t="shared" si="1"/>
        <v>1362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2.75" customHeight="1">
      <c r="A109" s="419">
        <v>10819.0</v>
      </c>
      <c r="B109" s="420" t="s">
        <v>6020</v>
      </c>
      <c r="C109" s="420">
        <v>2015.0</v>
      </c>
      <c r="D109" s="497">
        <v>42039.0</v>
      </c>
      <c r="E109" s="422" t="s">
        <v>6021</v>
      </c>
      <c r="F109" s="394" t="s">
        <v>2260</v>
      </c>
      <c r="G109" s="422" t="s">
        <v>17</v>
      </c>
      <c r="H109" s="394" t="s">
        <v>130</v>
      </c>
      <c r="I109" s="497">
        <v>43549.0</v>
      </c>
      <c r="J109" s="422">
        <v>3.0</v>
      </c>
      <c r="K109" s="531" t="s">
        <v>238</v>
      </c>
      <c r="L109" s="394" t="s">
        <v>256</v>
      </c>
      <c r="M109" s="528">
        <f t="shared" si="1"/>
        <v>1510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2.75" customHeight="1">
      <c r="A110" s="425">
        <v>10919.0</v>
      </c>
      <c r="B110" s="426" t="s">
        <v>6022</v>
      </c>
      <c r="C110" s="426">
        <v>2017.0</v>
      </c>
      <c r="D110" s="500">
        <v>43034.0</v>
      </c>
      <c r="E110" s="428" t="s">
        <v>6023</v>
      </c>
      <c r="F110" s="397" t="s">
        <v>1232</v>
      </c>
      <c r="G110" s="428" t="s">
        <v>17</v>
      </c>
      <c r="H110" s="397" t="s">
        <v>5016</v>
      </c>
      <c r="I110" s="500">
        <v>43552.0</v>
      </c>
      <c r="J110" s="428">
        <v>3.0</v>
      </c>
      <c r="K110" s="535" t="s">
        <v>228</v>
      </c>
      <c r="L110" s="397" t="s">
        <v>256</v>
      </c>
      <c r="M110" s="529">
        <f t="shared" si="1"/>
        <v>518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2.75" customHeight="1">
      <c r="A111" s="419">
        <v>11019.0</v>
      </c>
      <c r="B111" s="420" t="s">
        <v>6024</v>
      </c>
      <c r="C111" s="420">
        <v>2016.0</v>
      </c>
      <c r="D111" s="497">
        <v>42699.0</v>
      </c>
      <c r="E111" s="422" t="s">
        <v>6025</v>
      </c>
      <c r="F111" s="394" t="s">
        <v>1823</v>
      </c>
      <c r="G111" s="422" t="s">
        <v>17</v>
      </c>
      <c r="H111" s="394" t="s">
        <v>573</v>
      </c>
      <c r="I111" s="497">
        <v>43552.0</v>
      </c>
      <c r="J111" s="422">
        <v>3.0</v>
      </c>
      <c r="K111" s="535" t="s">
        <v>228</v>
      </c>
      <c r="L111" s="394" t="s">
        <v>256</v>
      </c>
      <c r="M111" s="528">
        <f t="shared" si="1"/>
        <v>853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2.75" customHeight="1">
      <c r="A112" s="425">
        <v>11119.0</v>
      </c>
      <c r="B112" s="426" t="s">
        <v>6026</v>
      </c>
      <c r="C112" s="426">
        <v>2017.0</v>
      </c>
      <c r="D112" s="500">
        <v>42835.0</v>
      </c>
      <c r="E112" s="428" t="s">
        <v>6027</v>
      </c>
      <c r="F112" s="397" t="s">
        <v>1823</v>
      </c>
      <c r="G112" s="428" t="s">
        <v>17</v>
      </c>
      <c r="H112" s="397" t="s">
        <v>1769</v>
      </c>
      <c r="I112" s="500">
        <v>43552.0</v>
      </c>
      <c r="J112" s="428">
        <v>3.0</v>
      </c>
      <c r="K112" s="535" t="s">
        <v>228</v>
      </c>
      <c r="L112" s="397" t="s">
        <v>256</v>
      </c>
      <c r="M112" s="529">
        <f t="shared" si="1"/>
        <v>717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2.75" customHeight="1">
      <c r="A113" s="419">
        <v>11219.0</v>
      </c>
      <c r="B113" s="420" t="s">
        <v>6028</v>
      </c>
      <c r="C113" s="420">
        <v>2013.0</v>
      </c>
      <c r="D113" s="497">
        <v>41570.0</v>
      </c>
      <c r="E113" s="422" t="s">
        <v>6029</v>
      </c>
      <c r="F113" s="394" t="s">
        <v>148</v>
      </c>
      <c r="G113" s="422" t="s">
        <v>17</v>
      </c>
      <c r="H113" s="394" t="s">
        <v>130</v>
      </c>
      <c r="I113" s="497">
        <v>43552.0</v>
      </c>
      <c r="J113" s="422">
        <v>3.0</v>
      </c>
      <c r="K113" s="531" t="s">
        <v>238</v>
      </c>
      <c r="L113" s="394" t="s">
        <v>256</v>
      </c>
      <c r="M113" s="528">
        <f t="shared" si="1"/>
        <v>1982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2.75" customHeight="1">
      <c r="A114" s="425">
        <v>11319.0</v>
      </c>
      <c r="B114" s="426" t="s">
        <v>6030</v>
      </c>
      <c r="C114" s="426">
        <v>2018.0</v>
      </c>
      <c r="D114" s="500">
        <v>43437.0</v>
      </c>
      <c r="E114" s="428" t="s">
        <v>6031</v>
      </c>
      <c r="F114" s="397" t="s">
        <v>5883</v>
      </c>
      <c r="G114" s="428" t="s">
        <v>17</v>
      </c>
      <c r="H114" s="397" t="s">
        <v>573</v>
      </c>
      <c r="I114" s="500">
        <v>43552.0</v>
      </c>
      <c r="J114" s="428">
        <v>3.0</v>
      </c>
      <c r="K114" s="531" t="s">
        <v>238</v>
      </c>
      <c r="L114" s="397" t="s">
        <v>258</v>
      </c>
      <c r="M114" s="529">
        <f t="shared" si="1"/>
        <v>115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2.75" customHeight="1">
      <c r="A115" s="419">
        <v>11419.0</v>
      </c>
      <c r="B115" s="420" t="s">
        <v>6032</v>
      </c>
      <c r="C115" s="420">
        <v>2015.0</v>
      </c>
      <c r="D115" s="497">
        <v>42283.0</v>
      </c>
      <c r="E115" s="422" t="s">
        <v>6033</v>
      </c>
      <c r="F115" s="394" t="s">
        <v>5883</v>
      </c>
      <c r="G115" s="422" t="s">
        <v>17</v>
      </c>
      <c r="H115" s="394" t="s">
        <v>66</v>
      </c>
      <c r="I115" s="497">
        <v>43552.0</v>
      </c>
      <c r="J115" s="422">
        <v>3.0</v>
      </c>
      <c r="K115" s="531" t="s">
        <v>238</v>
      </c>
      <c r="L115" s="394" t="s">
        <v>258</v>
      </c>
      <c r="M115" s="528">
        <f t="shared" si="1"/>
        <v>1269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2.75" customHeight="1">
      <c r="A116" s="425">
        <v>11519.0</v>
      </c>
      <c r="B116" s="426" t="s">
        <v>6034</v>
      </c>
      <c r="C116" s="426">
        <v>2015.0</v>
      </c>
      <c r="D116" s="500">
        <v>42031.0</v>
      </c>
      <c r="E116" s="428" t="s">
        <v>6035</v>
      </c>
      <c r="F116" s="397" t="s">
        <v>5883</v>
      </c>
      <c r="G116" s="428" t="s">
        <v>17</v>
      </c>
      <c r="H116" s="397" t="s">
        <v>50</v>
      </c>
      <c r="I116" s="500">
        <v>43552.0</v>
      </c>
      <c r="J116" s="428">
        <v>3.0</v>
      </c>
      <c r="K116" s="531" t="s">
        <v>238</v>
      </c>
      <c r="L116" s="397" t="s">
        <v>258</v>
      </c>
      <c r="M116" s="529">
        <f t="shared" si="1"/>
        <v>1521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2.75" customHeight="1">
      <c r="A117" s="419">
        <v>11619.0</v>
      </c>
      <c r="B117" s="420" t="s">
        <v>6036</v>
      </c>
      <c r="C117" s="420">
        <v>2015.0</v>
      </c>
      <c r="D117" s="497">
        <v>42247.0</v>
      </c>
      <c r="E117" s="422" t="s">
        <v>6037</v>
      </c>
      <c r="F117" s="394" t="s">
        <v>1846</v>
      </c>
      <c r="G117" s="422" t="s">
        <v>552</v>
      </c>
      <c r="H117" s="394" t="s">
        <v>50</v>
      </c>
      <c r="I117" s="497">
        <v>43552.0</v>
      </c>
      <c r="J117" s="422">
        <v>3.0</v>
      </c>
      <c r="K117" s="535" t="s">
        <v>228</v>
      </c>
      <c r="L117" s="394" t="s">
        <v>258</v>
      </c>
      <c r="M117" s="528">
        <f t="shared" si="1"/>
        <v>1305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2.75" customHeight="1">
      <c r="A118" s="425">
        <v>11719.0</v>
      </c>
      <c r="B118" s="426" t="s">
        <v>6038</v>
      </c>
      <c r="C118" s="426">
        <v>2013.0</v>
      </c>
      <c r="D118" s="500">
        <v>41519.0</v>
      </c>
      <c r="E118" s="428" t="s">
        <v>6039</v>
      </c>
      <c r="F118" s="397" t="s">
        <v>2307</v>
      </c>
      <c r="G118" s="428" t="s">
        <v>552</v>
      </c>
      <c r="H118" s="397" t="s">
        <v>2164</v>
      </c>
      <c r="I118" s="500">
        <v>43552.0</v>
      </c>
      <c r="J118" s="428">
        <v>3.0</v>
      </c>
      <c r="K118" s="531" t="s">
        <v>238</v>
      </c>
      <c r="L118" s="397" t="s">
        <v>256</v>
      </c>
      <c r="M118" s="529">
        <f t="shared" si="1"/>
        <v>2033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2.75" customHeight="1">
      <c r="A119" s="419">
        <v>11819.0</v>
      </c>
      <c r="B119" s="420" t="s">
        <v>6040</v>
      </c>
      <c r="C119" s="420">
        <v>2012.0</v>
      </c>
      <c r="D119" s="497">
        <v>41156.0</v>
      </c>
      <c r="E119" s="422" t="s">
        <v>6041</v>
      </c>
      <c r="F119" s="394" t="s">
        <v>1846</v>
      </c>
      <c r="G119" s="422" t="s">
        <v>552</v>
      </c>
      <c r="H119" s="394" t="s">
        <v>2199</v>
      </c>
      <c r="I119" s="497">
        <v>43552.0</v>
      </c>
      <c r="J119" s="422">
        <v>3.0</v>
      </c>
      <c r="K119" s="531" t="s">
        <v>238</v>
      </c>
      <c r="L119" s="394" t="s">
        <v>258</v>
      </c>
      <c r="M119" s="528">
        <f t="shared" si="1"/>
        <v>2396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2.75" customHeight="1">
      <c r="A120" s="425">
        <v>11919.0</v>
      </c>
      <c r="B120" s="426" t="s">
        <v>6042</v>
      </c>
      <c r="C120" s="426">
        <v>2013.0</v>
      </c>
      <c r="D120" s="500">
        <v>41521.0</v>
      </c>
      <c r="E120" s="428" t="s">
        <v>6043</v>
      </c>
      <c r="F120" s="397" t="s">
        <v>44</v>
      </c>
      <c r="G120" s="428" t="s">
        <v>552</v>
      </c>
      <c r="H120" s="397" t="s">
        <v>130</v>
      </c>
      <c r="I120" s="500">
        <v>43552.0</v>
      </c>
      <c r="J120" s="428">
        <v>3.0</v>
      </c>
      <c r="K120" s="535" t="s">
        <v>228</v>
      </c>
      <c r="L120" s="397" t="s">
        <v>258</v>
      </c>
      <c r="M120" s="529">
        <f t="shared" si="1"/>
        <v>2031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2.75" customHeight="1">
      <c r="A121" s="419">
        <v>12019.0</v>
      </c>
      <c r="B121" s="420" t="s">
        <v>6044</v>
      </c>
      <c r="C121" s="420">
        <v>2011.0</v>
      </c>
      <c r="D121" s="497">
        <v>40702.0</v>
      </c>
      <c r="E121" s="422" t="s">
        <v>6045</v>
      </c>
      <c r="F121" s="394" t="s">
        <v>6046</v>
      </c>
      <c r="G121" s="422" t="s">
        <v>650</v>
      </c>
      <c r="H121" s="394" t="s">
        <v>2444</v>
      </c>
      <c r="I121" s="497">
        <v>43552.0</v>
      </c>
      <c r="J121" s="422">
        <v>3.0</v>
      </c>
      <c r="K121" s="535" t="s">
        <v>228</v>
      </c>
      <c r="L121" s="394" t="s">
        <v>256</v>
      </c>
      <c r="M121" s="528">
        <f t="shared" si="1"/>
        <v>2850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2.75" customHeight="1">
      <c r="A122" s="425">
        <v>12119.0</v>
      </c>
      <c r="B122" s="426" t="s">
        <v>6047</v>
      </c>
      <c r="C122" s="426">
        <v>2014.0</v>
      </c>
      <c r="D122" s="500">
        <v>41943.0</v>
      </c>
      <c r="E122" s="428" t="s">
        <v>6048</v>
      </c>
      <c r="F122" s="397" t="s">
        <v>666</v>
      </c>
      <c r="G122" s="428" t="s">
        <v>17</v>
      </c>
      <c r="H122" s="397" t="s">
        <v>56</v>
      </c>
      <c r="I122" s="500">
        <v>43553.0</v>
      </c>
      <c r="J122" s="428">
        <v>3.0</v>
      </c>
      <c r="K122" s="539" t="s">
        <v>234</v>
      </c>
      <c r="L122" s="397" t="s">
        <v>258</v>
      </c>
      <c r="M122" s="529">
        <f t="shared" si="1"/>
        <v>1610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2.75" customHeight="1">
      <c r="A123" s="419">
        <v>12219.0</v>
      </c>
      <c r="B123" s="420" t="s">
        <v>6049</v>
      </c>
      <c r="C123" s="420">
        <v>2014.0</v>
      </c>
      <c r="D123" s="497">
        <v>41925.0</v>
      </c>
      <c r="E123" s="422" t="s">
        <v>6050</v>
      </c>
      <c r="F123" s="394" t="s">
        <v>1968</v>
      </c>
      <c r="G123" s="422" t="s">
        <v>552</v>
      </c>
      <c r="H123" s="394" t="s">
        <v>50</v>
      </c>
      <c r="I123" s="497">
        <v>43553.0</v>
      </c>
      <c r="J123" s="422">
        <v>3.0</v>
      </c>
      <c r="K123" s="535" t="s">
        <v>228</v>
      </c>
      <c r="L123" s="394" t="s">
        <v>256</v>
      </c>
      <c r="M123" s="528">
        <f t="shared" si="1"/>
        <v>1628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2.75" customHeight="1">
      <c r="A124" s="425">
        <v>12319.0</v>
      </c>
      <c r="B124" s="426" t="s">
        <v>6051</v>
      </c>
      <c r="C124" s="426">
        <v>2012.0</v>
      </c>
      <c r="D124" s="500">
        <v>41198.0</v>
      </c>
      <c r="E124" s="428" t="s">
        <v>6052</v>
      </c>
      <c r="F124" s="397" t="s">
        <v>1846</v>
      </c>
      <c r="G124" s="428" t="s">
        <v>552</v>
      </c>
      <c r="H124" s="397" t="s">
        <v>583</v>
      </c>
      <c r="I124" s="500">
        <v>43553.0</v>
      </c>
      <c r="J124" s="428">
        <v>3.0</v>
      </c>
      <c r="K124" s="535" t="s">
        <v>228</v>
      </c>
      <c r="L124" s="397" t="s">
        <v>256</v>
      </c>
      <c r="M124" s="529">
        <f t="shared" si="1"/>
        <v>2355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2.75" customHeight="1">
      <c r="A125" s="419">
        <v>12419.0</v>
      </c>
      <c r="B125" s="420" t="s">
        <v>6053</v>
      </c>
      <c r="C125" s="420">
        <v>2016.0</v>
      </c>
      <c r="D125" s="497">
        <v>42698.0</v>
      </c>
      <c r="E125" s="422" t="s">
        <v>6054</v>
      </c>
      <c r="F125" s="394" t="s">
        <v>1464</v>
      </c>
      <c r="G125" s="422" t="s">
        <v>552</v>
      </c>
      <c r="H125" s="394" t="s">
        <v>50</v>
      </c>
      <c r="I125" s="497">
        <v>43553.0</v>
      </c>
      <c r="J125" s="422">
        <v>3.0</v>
      </c>
      <c r="K125" s="535" t="s">
        <v>228</v>
      </c>
      <c r="L125" s="394" t="s">
        <v>256</v>
      </c>
      <c r="M125" s="528">
        <f t="shared" si="1"/>
        <v>855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2.75" customHeight="1">
      <c r="A126" s="425">
        <v>12519.0</v>
      </c>
      <c r="B126" s="426" t="s">
        <v>6055</v>
      </c>
      <c r="C126" s="426">
        <v>2013.0</v>
      </c>
      <c r="D126" s="500">
        <v>41383.0</v>
      </c>
      <c r="E126" s="428" t="s">
        <v>6056</v>
      </c>
      <c r="F126" s="397" t="s">
        <v>6057</v>
      </c>
      <c r="G126" s="428" t="s">
        <v>650</v>
      </c>
      <c r="H126" s="397" t="s">
        <v>1872</v>
      </c>
      <c r="I126" s="500">
        <v>43556.0</v>
      </c>
      <c r="J126" s="428">
        <v>4.0</v>
      </c>
      <c r="K126" s="531" t="s">
        <v>238</v>
      </c>
      <c r="L126" s="397" t="s">
        <v>256</v>
      </c>
      <c r="M126" s="529">
        <f t="shared" si="1"/>
        <v>2173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2.75" customHeight="1">
      <c r="A127" s="419">
        <v>12619.0</v>
      </c>
      <c r="B127" s="420" t="s">
        <v>6058</v>
      </c>
      <c r="C127" s="420">
        <v>2009.0</v>
      </c>
      <c r="D127" s="497">
        <v>39923.0</v>
      </c>
      <c r="E127" s="422" t="s">
        <v>6059</v>
      </c>
      <c r="F127" s="394" t="s">
        <v>2873</v>
      </c>
      <c r="G127" s="422" t="s">
        <v>552</v>
      </c>
      <c r="H127" s="394" t="s">
        <v>149</v>
      </c>
      <c r="I127" s="497">
        <v>43559.0</v>
      </c>
      <c r="J127" s="422">
        <v>4.0</v>
      </c>
      <c r="K127" s="535" t="s">
        <v>228</v>
      </c>
      <c r="L127" s="394" t="s">
        <v>258</v>
      </c>
      <c r="M127" s="528">
        <f t="shared" si="1"/>
        <v>3636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2.75" customHeight="1">
      <c r="A128" s="425">
        <v>12719.0</v>
      </c>
      <c r="B128" s="426" t="s">
        <v>6060</v>
      </c>
      <c r="C128" s="426">
        <v>2013.0</v>
      </c>
      <c r="D128" s="500">
        <v>41634.0</v>
      </c>
      <c r="E128" s="428" t="s">
        <v>6061</v>
      </c>
      <c r="F128" s="397" t="s">
        <v>5968</v>
      </c>
      <c r="G128" s="428" t="s">
        <v>552</v>
      </c>
      <c r="H128" s="397" t="s">
        <v>1872</v>
      </c>
      <c r="I128" s="500">
        <v>43559.0</v>
      </c>
      <c r="J128" s="428">
        <v>4.0</v>
      </c>
      <c r="K128" s="531" t="s">
        <v>238</v>
      </c>
      <c r="L128" s="397" t="s">
        <v>256</v>
      </c>
      <c r="M128" s="529">
        <f t="shared" si="1"/>
        <v>1925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2.75" customHeight="1">
      <c r="A129" s="419">
        <v>12819.0</v>
      </c>
      <c r="B129" s="420" t="s">
        <v>6062</v>
      </c>
      <c r="C129" s="420">
        <v>2017.0</v>
      </c>
      <c r="D129" s="497">
        <v>43066.0</v>
      </c>
      <c r="E129" s="422" t="s">
        <v>6063</v>
      </c>
      <c r="F129" s="394" t="s">
        <v>5247</v>
      </c>
      <c r="G129" s="422" t="s">
        <v>552</v>
      </c>
      <c r="H129" s="394" t="s">
        <v>775</v>
      </c>
      <c r="I129" s="497">
        <v>43559.0</v>
      </c>
      <c r="J129" s="422">
        <v>4.0</v>
      </c>
      <c r="K129" s="571" t="s">
        <v>244</v>
      </c>
      <c r="L129" s="394" t="s">
        <v>256</v>
      </c>
      <c r="M129" s="528">
        <f t="shared" si="1"/>
        <v>493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2.75" customHeight="1">
      <c r="A130" s="425">
        <v>12919.0</v>
      </c>
      <c r="B130" s="426" t="s">
        <v>6064</v>
      </c>
      <c r="C130" s="426">
        <v>2018.0</v>
      </c>
      <c r="D130" s="500">
        <v>43333.0</v>
      </c>
      <c r="E130" s="428" t="s">
        <v>6065</v>
      </c>
      <c r="F130" s="397" t="s">
        <v>2606</v>
      </c>
      <c r="G130" s="428" t="s">
        <v>565</v>
      </c>
      <c r="H130" s="397" t="s">
        <v>2093</v>
      </c>
      <c r="I130" s="500">
        <v>43563.0</v>
      </c>
      <c r="J130" s="428">
        <v>4.0</v>
      </c>
      <c r="K130" s="531" t="s">
        <v>238</v>
      </c>
      <c r="L130" s="397" t="s">
        <v>260</v>
      </c>
      <c r="M130" s="529">
        <f t="shared" si="1"/>
        <v>230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2.75" customHeight="1">
      <c r="A131" s="419">
        <v>13019.0</v>
      </c>
      <c r="B131" s="420" t="s">
        <v>6066</v>
      </c>
      <c r="C131" s="420">
        <v>2010.0</v>
      </c>
      <c r="D131" s="497">
        <v>40185.0</v>
      </c>
      <c r="E131" s="422" t="s">
        <v>6067</v>
      </c>
      <c r="F131" s="394" t="s">
        <v>6068</v>
      </c>
      <c r="G131" s="422" t="s">
        <v>650</v>
      </c>
      <c r="H131" s="394" t="s">
        <v>1872</v>
      </c>
      <c r="I131" s="497">
        <v>43563.0</v>
      </c>
      <c r="J131" s="422">
        <v>4.0</v>
      </c>
      <c r="K131" s="531" t="s">
        <v>238</v>
      </c>
      <c r="L131" s="394" t="s">
        <v>254</v>
      </c>
      <c r="M131" s="528">
        <f t="shared" si="1"/>
        <v>3378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2.75" customHeight="1">
      <c r="A132" s="425">
        <v>13119.0</v>
      </c>
      <c r="B132" s="426" t="s">
        <v>6069</v>
      </c>
      <c r="C132" s="426">
        <v>2014.0</v>
      </c>
      <c r="D132" s="500">
        <v>41912.0</v>
      </c>
      <c r="E132" s="428" t="s">
        <v>6070</v>
      </c>
      <c r="F132" s="397" t="s">
        <v>148</v>
      </c>
      <c r="G132" s="428" t="s">
        <v>17</v>
      </c>
      <c r="H132" s="397" t="s">
        <v>573</v>
      </c>
      <c r="I132" s="500">
        <v>43565.0</v>
      </c>
      <c r="J132" s="428">
        <v>4.0</v>
      </c>
      <c r="K132" s="531" t="s">
        <v>238</v>
      </c>
      <c r="L132" s="397" t="s">
        <v>256</v>
      </c>
      <c r="M132" s="529">
        <f t="shared" si="1"/>
        <v>1653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2.75" customHeight="1">
      <c r="A133" s="419">
        <v>13219.0</v>
      </c>
      <c r="B133" s="420" t="s">
        <v>6071</v>
      </c>
      <c r="C133" s="420">
        <v>2018.0</v>
      </c>
      <c r="D133" s="497">
        <v>43333.0</v>
      </c>
      <c r="E133" s="422" t="s">
        <v>6072</v>
      </c>
      <c r="F133" s="394" t="s">
        <v>5883</v>
      </c>
      <c r="G133" s="422" t="s">
        <v>17</v>
      </c>
      <c r="H133" s="394" t="s">
        <v>573</v>
      </c>
      <c r="I133" s="497">
        <v>43565.0</v>
      </c>
      <c r="J133" s="422">
        <v>4.0</v>
      </c>
      <c r="K133" s="531" t="s">
        <v>238</v>
      </c>
      <c r="L133" s="394" t="s">
        <v>258</v>
      </c>
      <c r="M133" s="528">
        <f t="shared" si="1"/>
        <v>232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2.75" customHeight="1">
      <c r="A134" s="425">
        <v>13319.0</v>
      </c>
      <c r="B134" s="426" t="s">
        <v>6073</v>
      </c>
      <c r="C134" s="426">
        <v>2015.0</v>
      </c>
      <c r="D134" s="500">
        <v>42090.0</v>
      </c>
      <c r="E134" s="428" t="s">
        <v>6074</v>
      </c>
      <c r="F134" s="397" t="s">
        <v>900</v>
      </c>
      <c r="G134" s="428" t="s">
        <v>17</v>
      </c>
      <c r="H134" s="397" t="s">
        <v>573</v>
      </c>
      <c r="I134" s="500">
        <v>43565.0</v>
      </c>
      <c r="J134" s="428">
        <v>4.0</v>
      </c>
      <c r="K134" s="535" t="s">
        <v>228</v>
      </c>
      <c r="L134" s="397" t="s">
        <v>256</v>
      </c>
      <c r="M134" s="529">
        <f t="shared" si="1"/>
        <v>1475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2.75" customHeight="1">
      <c r="A135" s="419">
        <v>13419.0</v>
      </c>
      <c r="B135" s="420" t="s">
        <v>6075</v>
      </c>
      <c r="C135" s="420">
        <v>2015.0</v>
      </c>
      <c r="D135" s="497">
        <v>42334.0</v>
      </c>
      <c r="E135" s="422" t="s">
        <v>6076</v>
      </c>
      <c r="F135" s="394" t="s">
        <v>739</v>
      </c>
      <c r="G135" s="422" t="s">
        <v>552</v>
      </c>
      <c r="H135" s="394" t="s">
        <v>163</v>
      </c>
      <c r="I135" s="497">
        <v>43573.0</v>
      </c>
      <c r="J135" s="422">
        <v>4.0</v>
      </c>
      <c r="K135" s="535" t="s">
        <v>228</v>
      </c>
      <c r="L135" s="394" t="s">
        <v>258</v>
      </c>
      <c r="M135" s="528">
        <f t="shared" si="1"/>
        <v>1239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2.75" customHeight="1">
      <c r="A136" s="425">
        <v>13519.0</v>
      </c>
      <c r="B136" s="426" t="s">
        <v>6077</v>
      </c>
      <c r="C136" s="426">
        <v>2013.0</v>
      </c>
      <c r="D136" s="500">
        <v>41572.0</v>
      </c>
      <c r="E136" s="428" t="s">
        <v>6078</v>
      </c>
      <c r="F136" s="397" t="s">
        <v>1203</v>
      </c>
      <c r="G136" s="428" t="s">
        <v>552</v>
      </c>
      <c r="H136" s="397" t="s">
        <v>1002</v>
      </c>
      <c r="I136" s="500">
        <v>43573.0</v>
      </c>
      <c r="J136" s="428">
        <v>4.0</v>
      </c>
      <c r="K136" s="531" t="s">
        <v>238</v>
      </c>
      <c r="L136" s="397" t="s">
        <v>256</v>
      </c>
      <c r="M136" s="529">
        <f t="shared" si="1"/>
        <v>2001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2.75" customHeight="1">
      <c r="A137" s="419">
        <v>13619.0</v>
      </c>
      <c r="B137" s="420" t="s">
        <v>6079</v>
      </c>
      <c r="C137" s="420">
        <v>2012.0</v>
      </c>
      <c r="D137" s="497">
        <v>41163.0</v>
      </c>
      <c r="E137" s="422" t="s">
        <v>6080</v>
      </c>
      <c r="F137" s="394" t="s">
        <v>1846</v>
      </c>
      <c r="G137" s="422" t="s">
        <v>552</v>
      </c>
      <c r="H137" s="394" t="s">
        <v>2199</v>
      </c>
      <c r="I137" s="497">
        <v>43573.0</v>
      </c>
      <c r="J137" s="422">
        <v>4.0</v>
      </c>
      <c r="K137" s="531" t="s">
        <v>238</v>
      </c>
      <c r="L137" s="394" t="s">
        <v>258</v>
      </c>
      <c r="M137" s="528">
        <f t="shared" si="1"/>
        <v>2410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2.75" customHeight="1">
      <c r="A138" s="425">
        <v>13719.0</v>
      </c>
      <c r="B138" s="426" t="s">
        <v>6081</v>
      </c>
      <c r="C138" s="426">
        <v>2013.0</v>
      </c>
      <c r="D138" s="500">
        <v>41418.0</v>
      </c>
      <c r="E138" s="428" t="s">
        <v>6082</v>
      </c>
      <c r="F138" s="397" t="s">
        <v>963</v>
      </c>
      <c r="G138" s="428" t="s">
        <v>552</v>
      </c>
      <c r="H138" s="397" t="s">
        <v>1675</v>
      </c>
      <c r="I138" s="500">
        <v>43573.0</v>
      </c>
      <c r="J138" s="428">
        <v>4.0</v>
      </c>
      <c r="K138" s="535" t="s">
        <v>228</v>
      </c>
      <c r="L138" s="397" t="s">
        <v>258</v>
      </c>
      <c r="M138" s="529">
        <f t="shared" si="1"/>
        <v>2155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2.75" customHeight="1">
      <c r="A139" s="419">
        <v>13819.0</v>
      </c>
      <c r="B139" s="420" t="s">
        <v>6083</v>
      </c>
      <c r="C139" s="420">
        <v>2014.0</v>
      </c>
      <c r="D139" s="497">
        <v>41815.0</v>
      </c>
      <c r="E139" s="422" t="s">
        <v>2233</v>
      </c>
      <c r="F139" s="394" t="s">
        <v>2905</v>
      </c>
      <c r="G139" s="422" t="s">
        <v>552</v>
      </c>
      <c r="H139" s="394" t="s">
        <v>2164</v>
      </c>
      <c r="I139" s="497">
        <v>43573.0</v>
      </c>
      <c r="J139" s="422">
        <v>4.0</v>
      </c>
      <c r="K139" s="535" t="s">
        <v>228</v>
      </c>
      <c r="L139" s="394" t="s">
        <v>256</v>
      </c>
      <c r="M139" s="528">
        <f t="shared" si="1"/>
        <v>1758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2.75" customHeight="1">
      <c r="A140" s="425">
        <v>13919.0</v>
      </c>
      <c r="B140" s="426" t="s">
        <v>6084</v>
      </c>
      <c r="C140" s="426">
        <v>2011.0</v>
      </c>
      <c r="D140" s="500">
        <v>40766.0</v>
      </c>
      <c r="E140" s="428" t="s">
        <v>6085</v>
      </c>
      <c r="F140" s="397" t="s">
        <v>666</v>
      </c>
      <c r="G140" s="428" t="s">
        <v>17</v>
      </c>
      <c r="H140" s="397" t="s">
        <v>153</v>
      </c>
      <c r="I140" s="500">
        <v>43591.0</v>
      </c>
      <c r="J140" s="428">
        <v>5.0</v>
      </c>
      <c r="K140" s="539" t="s">
        <v>234</v>
      </c>
      <c r="L140" s="397" t="s">
        <v>258</v>
      </c>
      <c r="M140" s="529">
        <f t="shared" si="1"/>
        <v>2825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2.75" customHeight="1">
      <c r="A141" s="419">
        <v>14019.0</v>
      </c>
      <c r="B141" s="420" t="s">
        <v>6086</v>
      </c>
      <c r="C141" s="420">
        <v>2017.0</v>
      </c>
      <c r="D141" s="497">
        <v>43080.0</v>
      </c>
      <c r="E141" s="422" t="s">
        <v>6087</v>
      </c>
      <c r="F141" s="394" t="s">
        <v>5883</v>
      </c>
      <c r="G141" s="422" t="s">
        <v>17</v>
      </c>
      <c r="H141" s="394" t="s">
        <v>66</v>
      </c>
      <c r="I141" s="497">
        <v>43594.0</v>
      </c>
      <c r="J141" s="422">
        <v>5.0</v>
      </c>
      <c r="K141" s="531" t="s">
        <v>238</v>
      </c>
      <c r="L141" s="394" t="s">
        <v>258</v>
      </c>
      <c r="M141" s="528">
        <f t="shared" si="1"/>
        <v>514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2.75" customHeight="1">
      <c r="A142" s="425">
        <v>14119.0</v>
      </c>
      <c r="B142" s="426" t="s">
        <v>6088</v>
      </c>
      <c r="C142" s="426">
        <v>2016.0</v>
      </c>
      <c r="D142" s="500">
        <v>42489.0</v>
      </c>
      <c r="E142" s="428" t="s">
        <v>6089</v>
      </c>
      <c r="F142" s="397" t="s">
        <v>5883</v>
      </c>
      <c r="G142" s="428" t="s">
        <v>17</v>
      </c>
      <c r="H142" s="397" t="s">
        <v>2164</v>
      </c>
      <c r="I142" s="500">
        <v>43591.0</v>
      </c>
      <c r="J142" s="428">
        <v>5.0</v>
      </c>
      <c r="K142" s="531" t="s">
        <v>238</v>
      </c>
      <c r="L142" s="397" t="s">
        <v>258</v>
      </c>
      <c r="M142" s="529">
        <f t="shared" si="1"/>
        <v>1102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2.75" customHeight="1">
      <c r="A143" s="419">
        <v>14219.0</v>
      </c>
      <c r="B143" s="420" t="s">
        <v>6090</v>
      </c>
      <c r="C143" s="420">
        <v>2017.0</v>
      </c>
      <c r="D143" s="497">
        <v>43097.0</v>
      </c>
      <c r="E143" s="422" t="s">
        <v>6091</v>
      </c>
      <c r="F143" s="394" t="s">
        <v>1255</v>
      </c>
      <c r="G143" s="422" t="s">
        <v>17</v>
      </c>
      <c r="H143" s="394" t="s">
        <v>66</v>
      </c>
      <c r="I143" s="497">
        <v>43591.0</v>
      </c>
      <c r="J143" s="422">
        <v>5.0</v>
      </c>
      <c r="K143" s="531" t="s">
        <v>238</v>
      </c>
      <c r="L143" s="394" t="s">
        <v>256</v>
      </c>
      <c r="M143" s="528">
        <f t="shared" si="1"/>
        <v>494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2.75" customHeight="1">
      <c r="A144" s="425">
        <v>14319.0</v>
      </c>
      <c r="B144" s="426" t="s">
        <v>6092</v>
      </c>
      <c r="C144" s="426">
        <v>2012.0</v>
      </c>
      <c r="D144" s="500">
        <v>41065.0</v>
      </c>
      <c r="E144" s="428" t="s">
        <v>6093</v>
      </c>
      <c r="F144" s="397" t="s">
        <v>963</v>
      </c>
      <c r="G144" s="428" t="s">
        <v>17</v>
      </c>
      <c r="H144" s="397" t="s">
        <v>50</v>
      </c>
      <c r="I144" s="500">
        <v>43591.0</v>
      </c>
      <c r="J144" s="428">
        <v>5.0</v>
      </c>
      <c r="K144" s="535" t="s">
        <v>228</v>
      </c>
      <c r="L144" s="397" t="s">
        <v>258</v>
      </c>
      <c r="M144" s="529">
        <f t="shared" si="1"/>
        <v>2526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2.75" customHeight="1">
      <c r="A145" s="419">
        <v>14419.0</v>
      </c>
      <c r="B145" s="420" t="s">
        <v>6094</v>
      </c>
      <c r="C145" s="420">
        <v>2017.0</v>
      </c>
      <c r="D145" s="497">
        <v>42772.0</v>
      </c>
      <c r="E145" s="422" t="s">
        <v>6095</v>
      </c>
      <c r="F145" s="394" t="s">
        <v>963</v>
      </c>
      <c r="G145" s="422" t="s">
        <v>17</v>
      </c>
      <c r="H145" s="394" t="s">
        <v>1178</v>
      </c>
      <c r="I145" s="497">
        <v>43591.0</v>
      </c>
      <c r="J145" s="422">
        <v>5.0</v>
      </c>
      <c r="K145" s="535" t="s">
        <v>228</v>
      </c>
      <c r="L145" s="394" t="s">
        <v>258</v>
      </c>
      <c r="M145" s="528">
        <f t="shared" si="1"/>
        <v>819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2.75" customHeight="1">
      <c r="A146" s="425">
        <v>14519.0</v>
      </c>
      <c r="B146" s="426" t="s">
        <v>6096</v>
      </c>
      <c r="C146" s="426">
        <v>2016.0</v>
      </c>
      <c r="D146" s="500">
        <v>42724.0</v>
      </c>
      <c r="E146" s="428" t="s">
        <v>6097</v>
      </c>
      <c r="F146" s="397" t="s">
        <v>963</v>
      </c>
      <c r="G146" s="428" t="s">
        <v>17</v>
      </c>
      <c r="H146" s="397" t="s">
        <v>66</v>
      </c>
      <c r="I146" s="500">
        <v>43591.0</v>
      </c>
      <c r="J146" s="428">
        <v>5.0</v>
      </c>
      <c r="K146" s="535" t="s">
        <v>228</v>
      </c>
      <c r="L146" s="397" t="s">
        <v>258</v>
      </c>
      <c r="M146" s="529">
        <f t="shared" si="1"/>
        <v>867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2.75" customHeight="1">
      <c r="A147" s="419">
        <v>14619.0</v>
      </c>
      <c r="B147" s="420" t="s">
        <v>6098</v>
      </c>
      <c r="C147" s="420">
        <v>2013.0</v>
      </c>
      <c r="D147" s="497">
        <v>41404.0</v>
      </c>
      <c r="E147" s="422" t="s">
        <v>6099</v>
      </c>
      <c r="F147" s="394" t="s">
        <v>1255</v>
      </c>
      <c r="G147" s="422" t="s">
        <v>17</v>
      </c>
      <c r="H147" s="394" t="s">
        <v>573</v>
      </c>
      <c r="I147" s="497">
        <v>43591.0</v>
      </c>
      <c r="J147" s="422">
        <v>5.0</v>
      </c>
      <c r="K147" s="531" t="s">
        <v>238</v>
      </c>
      <c r="L147" s="394" t="s">
        <v>256</v>
      </c>
      <c r="M147" s="528">
        <f t="shared" si="1"/>
        <v>2187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2.75" customHeight="1">
      <c r="A148" s="425">
        <v>14719.0</v>
      </c>
      <c r="B148" s="426" t="s">
        <v>6100</v>
      </c>
      <c r="C148" s="426">
        <v>2011.0</v>
      </c>
      <c r="D148" s="500">
        <v>40718.0</v>
      </c>
      <c r="E148" s="428" t="s">
        <v>6101</v>
      </c>
      <c r="F148" s="397" t="s">
        <v>595</v>
      </c>
      <c r="G148" s="428" t="s">
        <v>17</v>
      </c>
      <c r="H148" s="397" t="s">
        <v>153</v>
      </c>
      <c r="I148" s="500">
        <v>43591.0</v>
      </c>
      <c r="J148" s="428">
        <v>5.0</v>
      </c>
      <c r="K148" s="535" t="s">
        <v>228</v>
      </c>
      <c r="L148" s="397" t="s">
        <v>254</v>
      </c>
      <c r="M148" s="529">
        <f t="shared" si="1"/>
        <v>2873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2.75" customHeight="1">
      <c r="A149" s="419">
        <v>14819.0</v>
      </c>
      <c r="B149" s="420" t="s">
        <v>6102</v>
      </c>
      <c r="C149" s="420">
        <v>2016.0</v>
      </c>
      <c r="D149" s="497">
        <v>42500.0</v>
      </c>
      <c r="E149" s="422" t="s">
        <v>6103</v>
      </c>
      <c r="F149" s="394" t="s">
        <v>1895</v>
      </c>
      <c r="G149" s="422" t="s">
        <v>17</v>
      </c>
      <c r="H149" s="394" t="s">
        <v>573</v>
      </c>
      <c r="I149" s="497">
        <v>43591.0</v>
      </c>
      <c r="J149" s="422">
        <v>5.0</v>
      </c>
      <c r="K149" s="535" t="s">
        <v>228</v>
      </c>
      <c r="L149" s="394" t="s">
        <v>256</v>
      </c>
      <c r="M149" s="528">
        <f t="shared" si="1"/>
        <v>1091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2.75" customHeight="1">
      <c r="A150" s="425">
        <v>14919.0</v>
      </c>
      <c r="B150" s="426" t="s">
        <v>6104</v>
      </c>
      <c r="C150" s="426">
        <v>2017.0</v>
      </c>
      <c r="D150" s="500">
        <v>42991.0</v>
      </c>
      <c r="E150" s="428" t="s">
        <v>6105</v>
      </c>
      <c r="F150" s="397" t="s">
        <v>1895</v>
      </c>
      <c r="G150" s="428" t="s">
        <v>17</v>
      </c>
      <c r="H150" s="397" t="s">
        <v>601</v>
      </c>
      <c r="I150" s="500">
        <v>43591.0</v>
      </c>
      <c r="J150" s="428">
        <v>5.0</v>
      </c>
      <c r="K150" s="535" t="s">
        <v>228</v>
      </c>
      <c r="L150" s="397" t="s">
        <v>256</v>
      </c>
      <c r="M150" s="529">
        <f t="shared" si="1"/>
        <v>600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2.75" customHeight="1">
      <c r="A151" s="419">
        <v>15019.0</v>
      </c>
      <c r="B151" s="420" t="s">
        <v>6106</v>
      </c>
      <c r="C151" s="420">
        <v>2012.0</v>
      </c>
      <c r="D151" s="497">
        <v>41264.0</v>
      </c>
      <c r="E151" s="422" t="s">
        <v>6107</v>
      </c>
      <c r="F151" s="394" t="s">
        <v>1533</v>
      </c>
      <c r="G151" s="422" t="s">
        <v>17</v>
      </c>
      <c r="H151" s="394" t="s">
        <v>775</v>
      </c>
      <c r="I151" s="497">
        <v>43591.0</v>
      </c>
      <c r="J151" s="422">
        <v>5.0</v>
      </c>
      <c r="K151" s="571" t="s">
        <v>244</v>
      </c>
      <c r="L151" s="394" t="s">
        <v>256</v>
      </c>
      <c r="M151" s="528">
        <f t="shared" si="1"/>
        <v>2327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2.75" customHeight="1">
      <c r="A152" s="425">
        <v>15119.0</v>
      </c>
      <c r="B152" s="426" t="s">
        <v>6108</v>
      </c>
      <c r="C152" s="426">
        <v>2016.0</v>
      </c>
      <c r="D152" s="500">
        <v>42461.0</v>
      </c>
      <c r="E152" s="428" t="s">
        <v>6109</v>
      </c>
      <c r="F152" s="397" t="s">
        <v>1533</v>
      </c>
      <c r="G152" s="428" t="s">
        <v>17</v>
      </c>
      <c r="H152" s="397" t="s">
        <v>50</v>
      </c>
      <c r="I152" s="500">
        <v>43591.0</v>
      </c>
      <c r="J152" s="428">
        <v>5.0</v>
      </c>
      <c r="K152" s="571" t="s">
        <v>244</v>
      </c>
      <c r="L152" s="397" t="s">
        <v>256</v>
      </c>
      <c r="M152" s="529">
        <f t="shared" si="1"/>
        <v>1130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2.75" customHeight="1">
      <c r="A153" s="419">
        <v>15219.0</v>
      </c>
      <c r="B153" s="420" t="s">
        <v>6110</v>
      </c>
      <c r="C153" s="420">
        <v>2014.0</v>
      </c>
      <c r="D153" s="497">
        <v>41905.0</v>
      </c>
      <c r="E153" s="422" t="s">
        <v>6111</v>
      </c>
      <c r="F153" s="394" t="s">
        <v>666</v>
      </c>
      <c r="G153" s="422" t="s">
        <v>17</v>
      </c>
      <c r="H153" s="394" t="s">
        <v>5016</v>
      </c>
      <c r="I153" s="497">
        <v>43591.0</v>
      </c>
      <c r="J153" s="422">
        <v>5.0</v>
      </c>
      <c r="K153" s="539" t="s">
        <v>234</v>
      </c>
      <c r="L153" s="394" t="s">
        <v>258</v>
      </c>
      <c r="M153" s="528">
        <f t="shared" si="1"/>
        <v>1686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2.75" customHeight="1">
      <c r="A154" s="425">
        <v>15319.0</v>
      </c>
      <c r="B154" s="426" t="s">
        <v>6112</v>
      </c>
      <c r="C154" s="426">
        <v>2018.0</v>
      </c>
      <c r="D154" s="500">
        <v>43216.0</v>
      </c>
      <c r="E154" s="428" t="s">
        <v>6113</v>
      </c>
      <c r="F154" s="397" t="s">
        <v>3078</v>
      </c>
      <c r="G154" s="428" t="s">
        <v>17</v>
      </c>
      <c r="H154" s="397" t="s">
        <v>573</v>
      </c>
      <c r="I154" s="500">
        <v>43591.0</v>
      </c>
      <c r="J154" s="428">
        <v>5.0</v>
      </c>
      <c r="K154" s="531" t="s">
        <v>238</v>
      </c>
      <c r="L154" s="397" t="s">
        <v>256</v>
      </c>
      <c r="M154" s="529">
        <f t="shared" si="1"/>
        <v>375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2.75" customHeight="1">
      <c r="A155" s="419">
        <v>15419.0</v>
      </c>
      <c r="B155" s="420" t="s">
        <v>6114</v>
      </c>
      <c r="C155" s="420">
        <v>2012.0</v>
      </c>
      <c r="D155" s="497">
        <v>40987.0</v>
      </c>
      <c r="E155" s="422" t="s">
        <v>6115</v>
      </c>
      <c r="F155" s="394" t="s">
        <v>666</v>
      </c>
      <c r="G155" s="422" t="s">
        <v>17</v>
      </c>
      <c r="H155" s="394" t="s">
        <v>187</v>
      </c>
      <c r="I155" s="497">
        <v>43591.0</v>
      </c>
      <c r="J155" s="422">
        <v>5.0</v>
      </c>
      <c r="K155" s="539" t="s">
        <v>234</v>
      </c>
      <c r="L155" s="394" t="s">
        <v>258</v>
      </c>
      <c r="M155" s="528">
        <f t="shared" si="1"/>
        <v>2604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2.75" customHeight="1">
      <c r="A156" s="425">
        <v>15519.0</v>
      </c>
      <c r="B156" s="426" t="s">
        <v>6116</v>
      </c>
      <c r="C156" s="426">
        <v>2013.0</v>
      </c>
      <c r="D156" s="500">
        <v>41439.0</v>
      </c>
      <c r="E156" s="428" t="s">
        <v>6117</v>
      </c>
      <c r="F156" s="397" t="s">
        <v>909</v>
      </c>
      <c r="G156" s="428" t="s">
        <v>17</v>
      </c>
      <c r="H156" s="397" t="s">
        <v>66</v>
      </c>
      <c r="I156" s="500">
        <v>43591.0</v>
      </c>
      <c r="J156" s="428">
        <v>5.0</v>
      </c>
      <c r="K156" s="531" t="s">
        <v>238</v>
      </c>
      <c r="L156" s="397" t="s">
        <v>258</v>
      </c>
      <c r="M156" s="529">
        <f t="shared" si="1"/>
        <v>2152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2.75" customHeight="1">
      <c r="A157" s="419">
        <v>15619.0</v>
      </c>
      <c r="B157" s="420" t="s">
        <v>6118</v>
      </c>
      <c r="C157" s="420">
        <v>2013.0</v>
      </c>
      <c r="D157" s="497">
        <v>41302.0</v>
      </c>
      <c r="E157" s="422" t="s">
        <v>6119</v>
      </c>
      <c r="F157" s="394" t="s">
        <v>2732</v>
      </c>
      <c r="G157" s="422" t="s">
        <v>17</v>
      </c>
      <c r="H157" s="394" t="s">
        <v>775</v>
      </c>
      <c r="I157" s="497">
        <v>43591.0</v>
      </c>
      <c r="J157" s="422">
        <v>5.0</v>
      </c>
      <c r="K157" s="531" t="s">
        <v>238</v>
      </c>
      <c r="L157" s="394" t="s">
        <v>258</v>
      </c>
      <c r="M157" s="528">
        <f t="shared" si="1"/>
        <v>2289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2.75" customHeight="1">
      <c r="A158" s="425">
        <v>15719.0</v>
      </c>
      <c r="B158" s="426" t="s">
        <v>6120</v>
      </c>
      <c r="C158" s="426">
        <v>2012.0</v>
      </c>
      <c r="D158" s="500">
        <v>41269.0</v>
      </c>
      <c r="E158" s="428" t="s">
        <v>6121</v>
      </c>
      <c r="F158" s="397" t="s">
        <v>3572</v>
      </c>
      <c r="G158" s="428" t="s">
        <v>17</v>
      </c>
      <c r="H158" s="397" t="s">
        <v>50</v>
      </c>
      <c r="I158" s="500">
        <v>43591.0</v>
      </c>
      <c r="J158" s="428">
        <v>5.0</v>
      </c>
      <c r="K158" s="531" t="s">
        <v>238</v>
      </c>
      <c r="L158" s="397" t="s">
        <v>256</v>
      </c>
      <c r="M158" s="529">
        <f t="shared" si="1"/>
        <v>2322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2.75" customHeight="1">
      <c r="A159" s="419">
        <v>15819.0</v>
      </c>
      <c r="B159" s="420" t="s">
        <v>6122</v>
      </c>
      <c r="C159" s="420">
        <v>2015.0</v>
      </c>
      <c r="D159" s="497">
        <v>42276.0</v>
      </c>
      <c r="E159" s="422" t="s">
        <v>6123</v>
      </c>
      <c r="F159" s="394" t="s">
        <v>102</v>
      </c>
      <c r="G159" s="422" t="s">
        <v>17</v>
      </c>
      <c r="H159" s="394" t="s">
        <v>587</v>
      </c>
      <c r="I159" s="497">
        <v>43591.0</v>
      </c>
      <c r="J159" s="422">
        <v>5.0</v>
      </c>
      <c r="K159" s="531" t="s">
        <v>238</v>
      </c>
      <c r="L159" s="394" t="s">
        <v>258</v>
      </c>
      <c r="M159" s="528">
        <f t="shared" si="1"/>
        <v>1315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2.75" customHeight="1">
      <c r="A160" s="425">
        <v>15919.0</v>
      </c>
      <c r="B160" s="426" t="s">
        <v>6124</v>
      </c>
      <c r="C160" s="426">
        <v>2013.0</v>
      </c>
      <c r="D160" s="500">
        <v>41380.0</v>
      </c>
      <c r="E160" s="428" t="s">
        <v>6125</v>
      </c>
      <c r="F160" s="397" t="s">
        <v>5844</v>
      </c>
      <c r="G160" s="428" t="s">
        <v>17</v>
      </c>
      <c r="H160" s="397" t="s">
        <v>50</v>
      </c>
      <c r="I160" s="500">
        <v>43591.0</v>
      </c>
      <c r="J160" s="428">
        <v>5.0</v>
      </c>
      <c r="K160" s="571" t="s">
        <v>244</v>
      </c>
      <c r="L160" s="397" t="s">
        <v>258</v>
      </c>
      <c r="M160" s="529">
        <f t="shared" si="1"/>
        <v>2211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2.75" customHeight="1">
      <c r="A161" s="419">
        <v>16019.0</v>
      </c>
      <c r="B161" s="420" t="s">
        <v>6126</v>
      </c>
      <c r="C161" s="420">
        <v>2017.0</v>
      </c>
      <c r="D161" s="497">
        <v>42788.0</v>
      </c>
      <c r="E161" s="422" t="s">
        <v>6127</v>
      </c>
      <c r="F161" s="394" t="s">
        <v>2667</v>
      </c>
      <c r="G161" s="422" t="s">
        <v>17</v>
      </c>
      <c r="H161" s="394" t="s">
        <v>112</v>
      </c>
      <c r="I161" s="497">
        <v>43591.0</v>
      </c>
      <c r="J161" s="422">
        <v>5.0</v>
      </c>
      <c r="K161" s="535" t="s">
        <v>228</v>
      </c>
      <c r="L161" s="394" t="s">
        <v>258</v>
      </c>
      <c r="M161" s="528">
        <f t="shared" si="1"/>
        <v>803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2.75" customHeight="1">
      <c r="A162" s="425">
        <v>16119.0</v>
      </c>
      <c r="B162" s="426" t="s">
        <v>6128</v>
      </c>
      <c r="C162" s="426">
        <v>2017.0</v>
      </c>
      <c r="D162" s="500">
        <v>42880.0</v>
      </c>
      <c r="E162" s="428" t="s">
        <v>6129</v>
      </c>
      <c r="F162" s="397" t="s">
        <v>2667</v>
      </c>
      <c r="G162" s="428" t="s">
        <v>17</v>
      </c>
      <c r="H162" s="397" t="s">
        <v>1091</v>
      </c>
      <c r="I162" s="500">
        <v>43594.0</v>
      </c>
      <c r="J162" s="428">
        <v>5.0</v>
      </c>
      <c r="K162" s="535" t="s">
        <v>228</v>
      </c>
      <c r="L162" s="397" t="s">
        <v>258</v>
      </c>
      <c r="M162" s="529">
        <f t="shared" si="1"/>
        <v>714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2.75" customHeight="1">
      <c r="A163" s="419">
        <v>16219.0</v>
      </c>
      <c r="B163" s="420" t="s">
        <v>6130</v>
      </c>
      <c r="C163" s="420">
        <v>2015.0</v>
      </c>
      <c r="D163" s="497">
        <v>42249.0</v>
      </c>
      <c r="E163" s="422" t="s">
        <v>6131</v>
      </c>
      <c r="F163" s="394" t="s">
        <v>563</v>
      </c>
      <c r="G163" s="422" t="s">
        <v>17</v>
      </c>
      <c r="H163" s="394" t="s">
        <v>929</v>
      </c>
      <c r="I163" s="497">
        <v>43594.0</v>
      </c>
      <c r="J163" s="422">
        <v>5.0</v>
      </c>
      <c r="K163" s="539" t="s">
        <v>234</v>
      </c>
      <c r="L163" s="394" t="s">
        <v>256</v>
      </c>
      <c r="M163" s="528">
        <f t="shared" si="1"/>
        <v>1345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2.75" customHeight="1">
      <c r="A164" s="425">
        <v>16319.0</v>
      </c>
      <c r="B164" s="426" t="s">
        <v>6132</v>
      </c>
      <c r="C164" s="426">
        <v>2013.0</v>
      </c>
      <c r="D164" s="500">
        <v>41439.0</v>
      </c>
      <c r="E164" s="428" t="s">
        <v>6133</v>
      </c>
      <c r="F164" s="397" t="s">
        <v>711</v>
      </c>
      <c r="G164" s="428" t="s">
        <v>17</v>
      </c>
      <c r="H164" s="397" t="s">
        <v>66</v>
      </c>
      <c r="I164" s="500">
        <v>43594.0</v>
      </c>
      <c r="J164" s="428">
        <v>5.0</v>
      </c>
      <c r="K164" s="531" t="s">
        <v>238</v>
      </c>
      <c r="L164" s="397" t="s">
        <v>256</v>
      </c>
      <c r="M164" s="529">
        <f t="shared" si="1"/>
        <v>2155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2.75" customHeight="1">
      <c r="A165" s="419">
        <v>16419.0</v>
      </c>
      <c r="B165" s="420" t="s">
        <v>6134</v>
      </c>
      <c r="C165" s="420">
        <v>2011.0</v>
      </c>
      <c r="D165" s="497">
        <v>40661.0</v>
      </c>
      <c r="E165" s="422" t="s">
        <v>6135</v>
      </c>
      <c r="F165" s="394" t="s">
        <v>1255</v>
      </c>
      <c r="G165" s="422" t="s">
        <v>552</v>
      </c>
      <c r="H165" s="394" t="s">
        <v>149</v>
      </c>
      <c r="I165" s="497">
        <v>43595.0</v>
      </c>
      <c r="J165" s="422">
        <v>5.0</v>
      </c>
      <c r="K165" s="531" t="s">
        <v>238</v>
      </c>
      <c r="L165" s="394" t="s">
        <v>256</v>
      </c>
      <c r="M165" s="528">
        <f t="shared" si="1"/>
        <v>2934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2.75" customHeight="1">
      <c r="A166" s="425">
        <v>16519.0</v>
      </c>
      <c r="B166" s="426" t="s">
        <v>6136</v>
      </c>
      <c r="C166" s="426">
        <v>2012.0</v>
      </c>
      <c r="D166" s="500">
        <v>41156.0</v>
      </c>
      <c r="E166" s="428" t="s">
        <v>6137</v>
      </c>
      <c r="F166" s="397" t="s">
        <v>1846</v>
      </c>
      <c r="G166" s="428" t="s">
        <v>552</v>
      </c>
      <c r="H166" s="397" t="s">
        <v>2199</v>
      </c>
      <c r="I166" s="500">
        <v>43595.0</v>
      </c>
      <c r="J166" s="428">
        <v>5.0</v>
      </c>
      <c r="K166" s="531" t="s">
        <v>238</v>
      </c>
      <c r="L166" s="397" t="s">
        <v>258</v>
      </c>
      <c r="M166" s="529">
        <f t="shared" si="1"/>
        <v>2439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2.75" customHeight="1">
      <c r="A167" s="419">
        <v>16619.0</v>
      </c>
      <c r="B167" s="420" t="s">
        <v>6138</v>
      </c>
      <c r="C167" s="420">
        <v>2014.0</v>
      </c>
      <c r="D167" s="497">
        <v>41953.0</v>
      </c>
      <c r="E167" s="422" t="s">
        <v>6139</v>
      </c>
      <c r="F167" s="394" t="s">
        <v>3078</v>
      </c>
      <c r="G167" s="422" t="s">
        <v>17</v>
      </c>
      <c r="H167" s="394" t="s">
        <v>5016</v>
      </c>
      <c r="I167" s="497">
        <v>43599.0</v>
      </c>
      <c r="J167" s="422">
        <v>5.0</v>
      </c>
      <c r="K167" s="531" t="s">
        <v>238</v>
      </c>
      <c r="L167" s="394" t="s">
        <v>256</v>
      </c>
      <c r="M167" s="528">
        <f t="shared" si="1"/>
        <v>1646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2.75" customHeight="1">
      <c r="A168" s="425">
        <v>16719.0</v>
      </c>
      <c r="B168" s="426" t="s">
        <v>6140</v>
      </c>
      <c r="C168" s="426">
        <v>2013.0</v>
      </c>
      <c r="D168" s="500">
        <v>41572.0</v>
      </c>
      <c r="E168" s="428" t="s">
        <v>6141</v>
      </c>
      <c r="F168" s="397" t="s">
        <v>1811</v>
      </c>
      <c r="G168" s="428" t="s">
        <v>17</v>
      </c>
      <c r="H168" s="397" t="s">
        <v>740</v>
      </c>
      <c r="I168" s="500">
        <v>43599.0</v>
      </c>
      <c r="J168" s="428">
        <v>5.0</v>
      </c>
      <c r="K168" s="571" t="s">
        <v>244</v>
      </c>
      <c r="L168" s="397" t="s">
        <v>258</v>
      </c>
      <c r="M168" s="529">
        <f t="shared" si="1"/>
        <v>2027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2.75" customHeight="1">
      <c r="A169" s="419">
        <v>16819.0</v>
      </c>
      <c r="B169" s="420" t="s">
        <v>6142</v>
      </c>
      <c r="C169" s="420">
        <v>2014.0</v>
      </c>
      <c r="D169" s="497">
        <v>41983.0</v>
      </c>
      <c r="E169" s="422" t="s">
        <v>6143</v>
      </c>
      <c r="F169" s="394" t="s">
        <v>1811</v>
      </c>
      <c r="G169" s="422" t="s">
        <v>17</v>
      </c>
      <c r="H169" s="394" t="s">
        <v>573</v>
      </c>
      <c r="I169" s="497">
        <v>43599.0</v>
      </c>
      <c r="J169" s="422">
        <v>5.0</v>
      </c>
      <c r="K169" s="571" t="s">
        <v>244</v>
      </c>
      <c r="L169" s="394" t="s">
        <v>258</v>
      </c>
      <c r="M169" s="528">
        <f t="shared" si="1"/>
        <v>1616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2.75" customHeight="1">
      <c r="A170" s="425">
        <v>16919.0</v>
      </c>
      <c r="B170" s="426" t="s">
        <v>6144</v>
      </c>
      <c r="C170" s="426">
        <v>2013.0</v>
      </c>
      <c r="D170" s="500">
        <v>41513.0</v>
      </c>
      <c r="E170" s="428" t="s">
        <v>6145</v>
      </c>
      <c r="F170" s="397" t="s">
        <v>563</v>
      </c>
      <c r="G170" s="428" t="s">
        <v>17</v>
      </c>
      <c r="H170" s="397" t="s">
        <v>5611</v>
      </c>
      <c r="I170" s="500">
        <v>43599.0</v>
      </c>
      <c r="J170" s="428">
        <v>5.0</v>
      </c>
      <c r="K170" s="539" t="s">
        <v>234</v>
      </c>
      <c r="L170" s="397" t="s">
        <v>256</v>
      </c>
      <c r="M170" s="529">
        <f t="shared" si="1"/>
        <v>2086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2.75" customHeight="1">
      <c r="A171" s="419">
        <v>17019.0</v>
      </c>
      <c r="B171" s="420" t="s">
        <v>6146</v>
      </c>
      <c r="C171" s="420">
        <v>2011.0</v>
      </c>
      <c r="D171" s="497">
        <v>40673.0</v>
      </c>
      <c r="E171" s="422" t="s">
        <v>6147</v>
      </c>
      <c r="F171" s="394" t="s">
        <v>2134</v>
      </c>
      <c r="G171" s="422" t="s">
        <v>650</v>
      </c>
      <c r="H171" s="394" t="s">
        <v>158</v>
      </c>
      <c r="I171" s="497">
        <v>43608.0</v>
      </c>
      <c r="J171" s="422">
        <v>5.0</v>
      </c>
      <c r="K171" s="535" t="s">
        <v>228</v>
      </c>
      <c r="L171" s="394" t="s">
        <v>256</v>
      </c>
      <c r="M171" s="528">
        <f t="shared" si="1"/>
        <v>2935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2.75" customHeight="1">
      <c r="A172" s="425">
        <v>17119.0</v>
      </c>
      <c r="B172" s="426" t="s">
        <v>6148</v>
      </c>
      <c r="C172" s="426">
        <v>2012.0</v>
      </c>
      <c r="D172" s="500">
        <v>40996.0</v>
      </c>
      <c r="E172" s="428" t="s">
        <v>6149</v>
      </c>
      <c r="F172" s="397" t="s">
        <v>1895</v>
      </c>
      <c r="G172" s="428" t="s">
        <v>552</v>
      </c>
      <c r="H172" s="397" t="s">
        <v>6150</v>
      </c>
      <c r="I172" s="500">
        <v>43608.0</v>
      </c>
      <c r="J172" s="428">
        <v>5.0</v>
      </c>
      <c r="K172" s="535" t="s">
        <v>228</v>
      </c>
      <c r="L172" s="397" t="s">
        <v>256</v>
      </c>
      <c r="M172" s="529">
        <f t="shared" si="1"/>
        <v>2612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419">
        <v>17219.0</v>
      </c>
      <c r="B173" s="420" t="s">
        <v>6151</v>
      </c>
      <c r="C173" s="420">
        <v>2014.0</v>
      </c>
      <c r="D173" s="497">
        <v>41941.0</v>
      </c>
      <c r="E173" s="422" t="s">
        <v>6152</v>
      </c>
      <c r="F173" s="394" t="s">
        <v>1968</v>
      </c>
      <c r="G173" s="422" t="s">
        <v>552</v>
      </c>
      <c r="H173" s="394" t="s">
        <v>97</v>
      </c>
      <c r="I173" s="497">
        <v>43608.0</v>
      </c>
      <c r="J173" s="422">
        <v>5.0</v>
      </c>
      <c r="K173" s="531" t="s">
        <v>238</v>
      </c>
      <c r="L173" s="394" t="s">
        <v>256</v>
      </c>
      <c r="M173" s="528">
        <f t="shared" si="1"/>
        <v>1667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25">
        <v>17319.0</v>
      </c>
      <c r="B174" s="426" t="s">
        <v>6153</v>
      </c>
      <c r="C174" s="426">
        <v>2016.0</v>
      </c>
      <c r="D174" s="500">
        <v>42580.0</v>
      </c>
      <c r="E174" s="428" t="s">
        <v>6154</v>
      </c>
      <c r="F174" s="397" t="s">
        <v>1811</v>
      </c>
      <c r="G174" s="428" t="s">
        <v>17</v>
      </c>
      <c r="H174" s="397" t="s">
        <v>153</v>
      </c>
      <c r="I174" s="500">
        <v>43612.0</v>
      </c>
      <c r="J174" s="428">
        <v>5.0</v>
      </c>
      <c r="K174" s="571" t="s">
        <v>244</v>
      </c>
      <c r="L174" s="397" t="s">
        <v>258</v>
      </c>
      <c r="M174" s="529">
        <f t="shared" si="1"/>
        <v>1032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19">
        <v>17419.0</v>
      </c>
      <c r="B175" s="420" t="s">
        <v>6155</v>
      </c>
      <c r="C175" s="420">
        <v>2018.0</v>
      </c>
      <c r="D175" s="497">
        <v>43280.0</v>
      </c>
      <c r="E175" s="422" t="s">
        <v>6156</v>
      </c>
      <c r="F175" s="394" t="s">
        <v>711</v>
      </c>
      <c r="G175" s="422" t="s">
        <v>17</v>
      </c>
      <c r="H175" s="394" t="s">
        <v>1091</v>
      </c>
      <c r="I175" s="497">
        <v>43612.0</v>
      </c>
      <c r="J175" s="422">
        <v>5.0</v>
      </c>
      <c r="K175" s="531" t="s">
        <v>238</v>
      </c>
      <c r="L175" s="394" t="s">
        <v>256</v>
      </c>
      <c r="M175" s="528">
        <f t="shared" si="1"/>
        <v>332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25">
        <v>17519.0</v>
      </c>
      <c r="B176" s="426" t="s">
        <v>6157</v>
      </c>
      <c r="C176" s="426">
        <v>2011.0</v>
      </c>
      <c r="D176" s="500">
        <v>40598.0</v>
      </c>
      <c r="E176" s="428" t="s">
        <v>6158</v>
      </c>
      <c r="F176" s="397" t="s">
        <v>1464</v>
      </c>
      <c r="G176" s="428" t="s">
        <v>17</v>
      </c>
      <c r="H176" s="397" t="s">
        <v>56</v>
      </c>
      <c r="I176" s="500">
        <v>43612.0</v>
      </c>
      <c r="J176" s="428">
        <v>5.0</v>
      </c>
      <c r="K176" s="531" t="s">
        <v>238</v>
      </c>
      <c r="L176" s="397" t="s">
        <v>256</v>
      </c>
      <c r="M176" s="529">
        <f t="shared" si="1"/>
        <v>3014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19">
        <v>17619.0</v>
      </c>
      <c r="B177" s="420" t="s">
        <v>6159</v>
      </c>
      <c r="C177" s="420">
        <v>2015.0</v>
      </c>
      <c r="D177" s="497">
        <v>42088.0</v>
      </c>
      <c r="E177" s="422" t="s">
        <v>6160</v>
      </c>
      <c r="F177" s="394" t="s">
        <v>5883</v>
      </c>
      <c r="G177" s="422" t="s">
        <v>17</v>
      </c>
      <c r="H177" s="394" t="s">
        <v>153</v>
      </c>
      <c r="I177" s="497">
        <v>43612.0</v>
      </c>
      <c r="J177" s="422">
        <v>5.0</v>
      </c>
      <c r="K177" s="531" t="s">
        <v>238</v>
      </c>
      <c r="L177" s="394" t="s">
        <v>258</v>
      </c>
      <c r="M177" s="528">
        <f t="shared" si="1"/>
        <v>1524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25">
        <v>17719.0</v>
      </c>
      <c r="B178" s="426" t="s">
        <v>6161</v>
      </c>
      <c r="C178" s="426">
        <v>2016.0</v>
      </c>
      <c r="D178" s="500">
        <v>42551.0</v>
      </c>
      <c r="E178" s="428" t="s">
        <v>6162</v>
      </c>
      <c r="F178" s="397" t="s">
        <v>1170</v>
      </c>
      <c r="G178" s="428" t="s">
        <v>17</v>
      </c>
      <c r="H178" s="397" t="s">
        <v>26</v>
      </c>
      <c r="I178" s="500">
        <v>43612.0</v>
      </c>
      <c r="J178" s="428">
        <v>5.0</v>
      </c>
      <c r="K178" s="539" t="s">
        <v>234</v>
      </c>
      <c r="L178" s="397" t="s">
        <v>256</v>
      </c>
      <c r="M178" s="529">
        <f t="shared" si="1"/>
        <v>1061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2.75" customHeight="1">
      <c r="A179" s="419">
        <v>17819.0</v>
      </c>
      <c r="B179" s="420" t="s">
        <v>6163</v>
      </c>
      <c r="C179" s="420">
        <v>2014.0</v>
      </c>
      <c r="D179" s="497">
        <v>41983.0</v>
      </c>
      <c r="E179" s="422" t="s">
        <v>6164</v>
      </c>
      <c r="F179" s="394" t="s">
        <v>1464</v>
      </c>
      <c r="G179" s="422" t="s">
        <v>17</v>
      </c>
      <c r="H179" s="394" t="s">
        <v>573</v>
      </c>
      <c r="I179" s="497">
        <v>43612.0</v>
      </c>
      <c r="J179" s="422">
        <v>5.0</v>
      </c>
      <c r="K179" s="531" t="s">
        <v>238</v>
      </c>
      <c r="L179" s="394" t="s">
        <v>256</v>
      </c>
      <c r="M179" s="528">
        <f t="shared" si="1"/>
        <v>1629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425">
        <v>17919.0</v>
      </c>
      <c r="B180" s="426" t="s">
        <v>6165</v>
      </c>
      <c r="C180" s="426">
        <v>2018.0</v>
      </c>
      <c r="D180" s="500">
        <v>43343.0</v>
      </c>
      <c r="E180" s="428" t="s">
        <v>6166</v>
      </c>
      <c r="F180" s="397" t="s">
        <v>1440</v>
      </c>
      <c r="G180" s="428" t="s">
        <v>17</v>
      </c>
      <c r="H180" s="397" t="s">
        <v>1091</v>
      </c>
      <c r="I180" s="500">
        <v>43612.0</v>
      </c>
      <c r="J180" s="428">
        <v>5.0</v>
      </c>
      <c r="K180" s="531" t="s">
        <v>238</v>
      </c>
      <c r="L180" s="397" t="s">
        <v>256</v>
      </c>
      <c r="M180" s="529">
        <f t="shared" si="1"/>
        <v>269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19">
        <v>18019.0</v>
      </c>
      <c r="B181" s="420" t="s">
        <v>6167</v>
      </c>
      <c r="C181" s="420">
        <v>2013.0</v>
      </c>
      <c r="D181" s="497">
        <v>41320.0</v>
      </c>
      <c r="E181" s="422" t="s">
        <v>6168</v>
      </c>
      <c r="F181" s="394" t="s">
        <v>2873</v>
      </c>
      <c r="G181" s="422" t="s">
        <v>17</v>
      </c>
      <c r="H181" s="394" t="s">
        <v>39</v>
      </c>
      <c r="I181" s="497">
        <v>43612.0</v>
      </c>
      <c r="J181" s="422">
        <v>5.0</v>
      </c>
      <c r="K181" s="535" t="s">
        <v>228</v>
      </c>
      <c r="L181" s="394" t="s">
        <v>258</v>
      </c>
      <c r="M181" s="528">
        <f t="shared" si="1"/>
        <v>2292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25">
        <v>18119.0</v>
      </c>
      <c r="B182" s="426" t="s">
        <v>6169</v>
      </c>
      <c r="C182" s="426">
        <v>2013.0</v>
      </c>
      <c r="D182" s="500">
        <v>41457.0</v>
      </c>
      <c r="E182" s="428" t="s">
        <v>6170</v>
      </c>
      <c r="F182" s="397" t="s">
        <v>1544</v>
      </c>
      <c r="G182" s="428" t="s">
        <v>17</v>
      </c>
      <c r="H182" s="397" t="s">
        <v>705</v>
      </c>
      <c r="I182" s="500">
        <v>43612.0</v>
      </c>
      <c r="J182" s="428">
        <v>5.0</v>
      </c>
      <c r="K182" s="539" t="s">
        <v>234</v>
      </c>
      <c r="L182" s="397" t="s">
        <v>254</v>
      </c>
      <c r="M182" s="529">
        <f t="shared" si="1"/>
        <v>2155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19">
        <v>18219.0</v>
      </c>
      <c r="B183" s="420" t="s">
        <v>6171</v>
      </c>
      <c r="C183" s="420">
        <v>2013.0</v>
      </c>
      <c r="D183" s="497">
        <v>41286.0</v>
      </c>
      <c r="E183" s="422" t="s">
        <v>6172</v>
      </c>
      <c r="F183" s="394" t="s">
        <v>2873</v>
      </c>
      <c r="G183" s="422" t="s">
        <v>17</v>
      </c>
      <c r="H183" s="394" t="s">
        <v>573</v>
      </c>
      <c r="I183" s="497">
        <v>43612.0</v>
      </c>
      <c r="J183" s="422">
        <v>5.0</v>
      </c>
      <c r="K183" s="535" t="s">
        <v>228</v>
      </c>
      <c r="L183" s="394" t="s">
        <v>258</v>
      </c>
      <c r="M183" s="528">
        <f t="shared" si="1"/>
        <v>2326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25">
        <v>18319.0</v>
      </c>
      <c r="B184" s="426" t="s">
        <v>6173</v>
      </c>
      <c r="C184" s="426">
        <v>2018.0</v>
      </c>
      <c r="D184" s="500">
        <v>43370.0</v>
      </c>
      <c r="E184" s="428" t="s">
        <v>6174</v>
      </c>
      <c r="F184" s="397" t="s">
        <v>2614</v>
      </c>
      <c r="G184" s="428" t="s">
        <v>565</v>
      </c>
      <c r="H184" s="397" t="s">
        <v>2093</v>
      </c>
      <c r="I184" s="500">
        <v>43614.0</v>
      </c>
      <c r="J184" s="428">
        <v>5.0</v>
      </c>
      <c r="K184" s="531" t="s">
        <v>238</v>
      </c>
      <c r="L184" s="397" t="s">
        <v>260</v>
      </c>
      <c r="M184" s="529">
        <f t="shared" si="1"/>
        <v>244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419">
        <v>18419.0</v>
      </c>
      <c r="B185" s="420" t="s">
        <v>6175</v>
      </c>
      <c r="C185" s="420">
        <v>2012.0</v>
      </c>
      <c r="D185" s="497">
        <v>40914.0</v>
      </c>
      <c r="E185" s="422" t="s">
        <v>6176</v>
      </c>
      <c r="F185" s="394" t="s">
        <v>711</v>
      </c>
      <c r="G185" s="422" t="s">
        <v>17</v>
      </c>
      <c r="H185" s="394" t="s">
        <v>50</v>
      </c>
      <c r="I185" s="497">
        <v>43614.0</v>
      </c>
      <c r="J185" s="422">
        <v>5.0</v>
      </c>
      <c r="K185" s="531" t="s">
        <v>238</v>
      </c>
      <c r="L185" s="394" t="s">
        <v>258</v>
      </c>
      <c r="M185" s="528">
        <f t="shared" si="1"/>
        <v>2700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25">
        <v>18519.0</v>
      </c>
      <c r="B186" s="426" t="s">
        <v>6177</v>
      </c>
      <c r="C186" s="426">
        <v>2012.0</v>
      </c>
      <c r="D186" s="500">
        <v>41046.0</v>
      </c>
      <c r="E186" s="428" t="s">
        <v>6178</v>
      </c>
      <c r="F186" s="397" t="s">
        <v>2873</v>
      </c>
      <c r="G186" s="428" t="s">
        <v>17</v>
      </c>
      <c r="H186" s="397" t="s">
        <v>775</v>
      </c>
      <c r="I186" s="500">
        <v>43614.0</v>
      </c>
      <c r="J186" s="428">
        <v>5.0</v>
      </c>
      <c r="K186" s="535" t="s">
        <v>228</v>
      </c>
      <c r="L186" s="397" t="s">
        <v>258</v>
      </c>
      <c r="M186" s="529">
        <f t="shared" si="1"/>
        <v>2568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419">
        <v>18619.0</v>
      </c>
      <c r="B187" s="420" t="s">
        <v>6179</v>
      </c>
      <c r="C187" s="420">
        <v>2012.0</v>
      </c>
      <c r="D187" s="497">
        <v>41190.0</v>
      </c>
      <c r="E187" s="422" t="s">
        <v>6180</v>
      </c>
      <c r="F187" s="394" t="s">
        <v>2873</v>
      </c>
      <c r="G187" s="422" t="s">
        <v>17</v>
      </c>
      <c r="H187" s="394" t="s">
        <v>2164</v>
      </c>
      <c r="I187" s="497">
        <v>43614.0</v>
      </c>
      <c r="J187" s="422">
        <v>5.0</v>
      </c>
      <c r="K187" s="535" t="s">
        <v>228</v>
      </c>
      <c r="L187" s="394" t="s">
        <v>258</v>
      </c>
      <c r="M187" s="528">
        <f t="shared" si="1"/>
        <v>2424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25">
        <v>18719.0</v>
      </c>
      <c r="B188" s="426" t="s">
        <v>6181</v>
      </c>
      <c r="C188" s="426">
        <v>2014.0</v>
      </c>
      <c r="D188" s="500">
        <v>41803.0</v>
      </c>
      <c r="E188" s="428" t="s">
        <v>6182</v>
      </c>
      <c r="F188" s="397" t="s">
        <v>2873</v>
      </c>
      <c r="G188" s="428" t="s">
        <v>17</v>
      </c>
      <c r="H188" s="397" t="s">
        <v>149</v>
      </c>
      <c r="I188" s="500">
        <v>43614.0</v>
      </c>
      <c r="J188" s="428">
        <v>5.0</v>
      </c>
      <c r="K188" s="535" t="s">
        <v>228</v>
      </c>
      <c r="L188" s="397" t="s">
        <v>258</v>
      </c>
      <c r="M188" s="529">
        <f t="shared" si="1"/>
        <v>1811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19">
        <v>18819.0</v>
      </c>
      <c r="B189" s="420" t="s">
        <v>6183</v>
      </c>
      <c r="C189" s="420">
        <v>2012.0</v>
      </c>
      <c r="D189" s="497">
        <v>41190.0</v>
      </c>
      <c r="E189" s="422" t="s">
        <v>6184</v>
      </c>
      <c r="F189" s="394" t="s">
        <v>2873</v>
      </c>
      <c r="G189" s="422" t="s">
        <v>17</v>
      </c>
      <c r="H189" s="394" t="s">
        <v>1091</v>
      </c>
      <c r="I189" s="497">
        <v>43614.0</v>
      </c>
      <c r="J189" s="422">
        <v>5.0</v>
      </c>
      <c r="K189" s="535" t="s">
        <v>228</v>
      </c>
      <c r="L189" s="394" t="s">
        <v>258</v>
      </c>
      <c r="M189" s="528">
        <f t="shared" si="1"/>
        <v>2424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25">
        <v>18919.0</v>
      </c>
      <c r="B190" s="426" t="s">
        <v>6185</v>
      </c>
      <c r="C190" s="426">
        <v>2012.0</v>
      </c>
      <c r="D190" s="500">
        <v>41038.0</v>
      </c>
      <c r="E190" s="428" t="s">
        <v>6186</v>
      </c>
      <c r="F190" s="397" t="s">
        <v>2873</v>
      </c>
      <c r="G190" s="428" t="s">
        <v>17</v>
      </c>
      <c r="H190" s="397" t="s">
        <v>50</v>
      </c>
      <c r="I190" s="500">
        <v>43614.0</v>
      </c>
      <c r="J190" s="428">
        <v>5.0</v>
      </c>
      <c r="K190" s="535" t="s">
        <v>228</v>
      </c>
      <c r="L190" s="397" t="s">
        <v>258</v>
      </c>
      <c r="M190" s="529">
        <f t="shared" si="1"/>
        <v>2576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19">
        <v>19019.0</v>
      </c>
      <c r="B191" s="420" t="s">
        <v>6187</v>
      </c>
      <c r="C191" s="420">
        <v>2013.0</v>
      </c>
      <c r="D191" s="497">
        <v>41624.0</v>
      </c>
      <c r="E191" s="422" t="s">
        <v>6188</v>
      </c>
      <c r="F191" s="394" t="s">
        <v>753</v>
      </c>
      <c r="G191" s="422" t="s">
        <v>17</v>
      </c>
      <c r="H191" s="394" t="s">
        <v>130</v>
      </c>
      <c r="I191" s="497">
        <v>43614.0</v>
      </c>
      <c r="J191" s="422">
        <v>5.0</v>
      </c>
      <c r="K191" s="571" t="s">
        <v>244</v>
      </c>
      <c r="L191" s="394" t="s">
        <v>258</v>
      </c>
      <c r="M191" s="528">
        <f t="shared" si="1"/>
        <v>1990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25">
        <v>19119.0</v>
      </c>
      <c r="B192" s="426" t="s">
        <v>6189</v>
      </c>
      <c r="C192" s="426">
        <v>2015.0</v>
      </c>
      <c r="D192" s="500">
        <v>42305.0</v>
      </c>
      <c r="E192" s="428" t="s">
        <v>6190</v>
      </c>
      <c r="F192" s="397" t="s">
        <v>551</v>
      </c>
      <c r="G192" s="428" t="s">
        <v>17</v>
      </c>
      <c r="H192" s="397" t="s">
        <v>2164</v>
      </c>
      <c r="I192" s="500">
        <v>43614.0</v>
      </c>
      <c r="J192" s="428">
        <v>5.0</v>
      </c>
      <c r="K192" s="571" t="s">
        <v>244</v>
      </c>
      <c r="L192" s="397" t="s">
        <v>256</v>
      </c>
      <c r="M192" s="529">
        <f t="shared" si="1"/>
        <v>1309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419">
        <v>19219.0</v>
      </c>
      <c r="B193" s="420" t="s">
        <v>6191</v>
      </c>
      <c r="C193" s="420">
        <v>2015.0</v>
      </c>
      <c r="D193" s="497">
        <v>42110.0</v>
      </c>
      <c r="E193" s="422" t="s">
        <v>6192</v>
      </c>
      <c r="F193" s="394" t="s">
        <v>551</v>
      </c>
      <c r="G193" s="422" t="s">
        <v>17</v>
      </c>
      <c r="H193" s="394" t="s">
        <v>601</v>
      </c>
      <c r="I193" s="497">
        <v>43614.0</v>
      </c>
      <c r="J193" s="422">
        <v>5.0</v>
      </c>
      <c r="K193" s="571" t="s">
        <v>244</v>
      </c>
      <c r="L193" s="394" t="s">
        <v>256</v>
      </c>
      <c r="M193" s="528">
        <f t="shared" si="1"/>
        <v>1504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25">
        <v>19319.0</v>
      </c>
      <c r="B194" s="426" t="s">
        <v>6193</v>
      </c>
      <c r="C194" s="426">
        <v>2014.0</v>
      </c>
      <c r="D194" s="500">
        <v>41974.0</v>
      </c>
      <c r="E194" s="428" t="s">
        <v>6194</v>
      </c>
      <c r="F194" s="397" t="s">
        <v>551</v>
      </c>
      <c r="G194" s="428" t="s">
        <v>17</v>
      </c>
      <c r="H194" s="397" t="s">
        <v>26</v>
      </c>
      <c r="I194" s="500">
        <v>43614.0</v>
      </c>
      <c r="J194" s="428">
        <v>5.0</v>
      </c>
      <c r="K194" s="571" t="s">
        <v>244</v>
      </c>
      <c r="L194" s="397" t="s">
        <v>256</v>
      </c>
      <c r="M194" s="529">
        <f t="shared" si="1"/>
        <v>1640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19">
        <v>19419.0</v>
      </c>
      <c r="B195" s="420" t="s">
        <v>6195</v>
      </c>
      <c r="C195" s="420">
        <v>2014.0</v>
      </c>
      <c r="D195" s="497">
        <v>41778.0</v>
      </c>
      <c r="E195" s="422" t="s">
        <v>6196</v>
      </c>
      <c r="F195" s="394" t="s">
        <v>551</v>
      </c>
      <c r="G195" s="422" t="s">
        <v>17</v>
      </c>
      <c r="H195" s="394" t="s">
        <v>50</v>
      </c>
      <c r="I195" s="497">
        <v>43614.0</v>
      </c>
      <c r="J195" s="422">
        <v>5.0</v>
      </c>
      <c r="K195" s="571" t="s">
        <v>244</v>
      </c>
      <c r="L195" s="394" t="s">
        <v>256</v>
      </c>
      <c r="M195" s="528">
        <f t="shared" si="1"/>
        <v>1836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25">
        <v>19519.0</v>
      </c>
      <c r="B196" s="426" t="s">
        <v>6197</v>
      </c>
      <c r="C196" s="426">
        <v>2013.0</v>
      </c>
      <c r="D196" s="500">
        <v>41495.0</v>
      </c>
      <c r="E196" s="428" t="s">
        <v>6198</v>
      </c>
      <c r="F196" s="397" t="s">
        <v>551</v>
      </c>
      <c r="G196" s="428" t="s">
        <v>17</v>
      </c>
      <c r="H196" s="397" t="s">
        <v>775</v>
      </c>
      <c r="I196" s="500">
        <v>43614.0</v>
      </c>
      <c r="J196" s="428">
        <v>5.0</v>
      </c>
      <c r="K196" s="571" t="s">
        <v>244</v>
      </c>
      <c r="L196" s="397" t="s">
        <v>256</v>
      </c>
      <c r="M196" s="529">
        <f t="shared" si="1"/>
        <v>2119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419">
        <v>19619.0</v>
      </c>
      <c r="B197" s="420" t="s">
        <v>6199</v>
      </c>
      <c r="C197" s="420">
        <v>2012.0</v>
      </c>
      <c r="D197" s="497">
        <v>41222.0</v>
      </c>
      <c r="E197" s="422" t="s">
        <v>6200</v>
      </c>
      <c r="F197" s="394" t="s">
        <v>44</v>
      </c>
      <c r="G197" s="422" t="s">
        <v>17</v>
      </c>
      <c r="H197" s="394" t="s">
        <v>583</v>
      </c>
      <c r="I197" s="497">
        <v>43616.0</v>
      </c>
      <c r="J197" s="422">
        <v>5.0</v>
      </c>
      <c r="K197" s="535" t="s">
        <v>228</v>
      </c>
      <c r="L197" s="394" t="s">
        <v>258</v>
      </c>
      <c r="M197" s="528">
        <f t="shared" si="1"/>
        <v>2394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25">
        <v>19719.0</v>
      </c>
      <c r="B198" s="426" t="s">
        <v>6201</v>
      </c>
      <c r="C198" s="426">
        <v>2016.0</v>
      </c>
      <c r="D198" s="500">
        <v>42550.0</v>
      </c>
      <c r="E198" s="428" t="s">
        <v>6202</v>
      </c>
      <c r="F198" s="397" t="s">
        <v>1464</v>
      </c>
      <c r="G198" s="428" t="s">
        <v>17</v>
      </c>
      <c r="H198" s="397" t="s">
        <v>130</v>
      </c>
      <c r="I198" s="500">
        <v>43616.0</v>
      </c>
      <c r="J198" s="428">
        <v>5.0</v>
      </c>
      <c r="K198" s="531" t="s">
        <v>238</v>
      </c>
      <c r="L198" s="397" t="s">
        <v>256</v>
      </c>
      <c r="M198" s="529">
        <f t="shared" si="1"/>
        <v>1066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19">
        <v>19819.0</v>
      </c>
      <c r="B199" s="420" t="s">
        <v>6203</v>
      </c>
      <c r="C199" s="420">
        <v>2016.0</v>
      </c>
      <c r="D199" s="497">
        <v>42618.0</v>
      </c>
      <c r="E199" s="422" t="s">
        <v>6204</v>
      </c>
      <c r="F199" s="394" t="s">
        <v>963</v>
      </c>
      <c r="G199" s="422" t="s">
        <v>17</v>
      </c>
      <c r="H199" s="394" t="s">
        <v>50</v>
      </c>
      <c r="I199" s="497">
        <v>43616.0</v>
      </c>
      <c r="J199" s="422">
        <v>5.0</v>
      </c>
      <c r="K199" s="535" t="s">
        <v>228</v>
      </c>
      <c r="L199" s="394" t="s">
        <v>258</v>
      </c>
      <c r="M199" s="528">
        <f t="shared" si="1"/>
        <v>998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25">
        <v>19919.0</v>
      </c>
      <c r="B200" s="426" t="s">
        <v>6205</v>
      </c>
      <c r="C200" s="426">
        <v>2016.0</v>
      </c>
      <c r="D200" s="500">
        <v>42618.0</v>
      </c>
      <c r="E200" s="428" t="s">
        <v>6206</v>
      </c>
      <c r="F200" s="397" t="s">
        <v>963</v>
      </c>
      <c r="G200" s="428" t="s">
        <v>17</v>
      </c>
      <c r="H200" s="397" t="s">
        <v>573</v>
      </c>
      <c r="I200" s="500">
        <v>43616.0</v>
      </c>
      <c r="J200" s="428">
        <v>5.0</v>
      </c>
      <c r="K200" s="535" t="s">
        <v>228</v>
      </c>
      <c r="L200" s="397" t="s">
        <v>258</v>
      </c>
      <c r="M200" s="529">
        <f t="shared" si="1"/>
        <v>998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4.25" customHeight="1">
      <c r="A201" s="419">
        <v>20019.0</v>
      </c>
      <c r="B201" s="420" t="s">
        <v>6207</v>
      </c>
      <c r="C201" s="420">
        <v>2015.0</v>
      </c>
      <c r="D201" s="497">
        <v>42312.0</v>
      </c>
      <c r="E201" s="422" t="s">
        <v>6208</v>
      </c>
      <c r="F201" s="394" t="s">
        <v>5883</v>
      </c>
      <c r="G201" s="422" t="s">
        <v>17</v>
      </c>
      <c r="H201" s="394" t="s">
        <v>1091</v>
      </c>
      <c r="I201" s="497">
        <v>43616.0</v>
      </c>
      <c r="J201" s="422">
        <v>5.0</v>
      </c>
      <c r="K201" s="531" t="s">
        <v>238</v>
      </c>
      <c r="L201" s="394" t="s">
        <v>258</v>
      </c>
      <c r="M201" s="528">
        <f t="shared" si="1"/>
        <v>1304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25">
        <v>20119.0</v>
      </c>
      <c r="B202" s="426" t="s">
        <v>6209</v>
      </c>
      <c r="C202" s="426">
        <v>2009.0</v>
      </c>
      <c r="D202" s="500">
        <v>40092.0</v>
      </c>
      <c r="E202" s="428" t="s">
        <v>6210</v>
      </c>
      <c r="F202" s="397" t="s">
        <v>6211</v>
      </c>
      <c r="G202" s="428" t="s">
        <v>17</v>
      </c>
      <c r="H202" s="397" t="s">
        <v>2964</v>
      </c>
      <c r="I202" s="500">
        <v>43616.0</v>
      </c>
      <c r="J202" s="428">
        <v>5.0</v>
      </c>
      <c r="K202" s="531" t="s">
        <v>238</v>
      </c>
      <c r="L202" s="397" t="s">
        <v>256</v>
      </c>
      <c r="M202" s="529">
        <f t="shared" si="1"/>
        <v>3524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419">
        <v>20219.0</v>
      </c>
      <c r="B203" s="420" t="s">
        <v>6212</v>
      </c>
      <c r="C203" s="420">
        <v>2015.0</v>
      </c>
      <c r="D203" s="497">
        <v>42262.0</v>
      </c>
      <c r="E203" s="422" t="s">
        <v>6213</v>
      </c>
      <c r="F203" s="394" t="s">
        <v>6214</v>
      </c>
      <c r="G203" s="422" t="s">
        <v>552</v>
      </c>
      <c r="H203" s="394" t="s">
        <v>4922</v>
      </c>
      <c r="I203" s="497">
        <v>43626.0</v>
      </c>
      <c r="J203" s="422">
        <v>6.0</v>
      </c>
      <c r="K203" s="539" t="s">
        <v>234</v>
      </c>
      <c r="L203" s="394" t="s">
        <v>256</v>
      </c>
      <c r="M203" s="528">
        <f t="shared" si="1"/>
        <v>1364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25">
        <v>20319.0</v>
      </c>
      <c r="B204" s="426" t="s">
        <v>6215</v>
      </c>
      <c r="C204" s="426">
        <v>2017.0</v>
      </c>
      <c r="D204" s="500">
        <v>42964.0</v>
      </c>
      <c r="E204" s="428" t="s">
        <v>6216</v>
      </c>
      <c r="F204" s="397" t="s">
        <v>2343</v>
      </c>
      <c r="G204" s="428" t="s">
        <v>569</v>
      </c>
      <c r="H204" s="397" t="s">
        <v>673</v>
      </c>
      <c r="I204" s="500">
        <v>43626.0</v>
      </c>
      <c r="J204" s="428">
        <v>6.0</v>
      </c>
      <c r="K204" s="571" t="s">
        <v>244</v>
      </c>
      <c r="L204" s="397" t="s">
        <v>260</v>
      </c>
      <c r="M204" s="529">
        <f t="shared" si="1"/>
        <v>662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19">
        <v>20419.0</v>
      </c>
      <c r="B205" s="420" t="s">
        <v>6217</v>
      </c>
      <c r="C205" s="420">
        <v>2012.0</v>
      </c>
      <c r="D205" s="497">
        <v>41124.0</v>
      </c>
      <c r="E205" s="422" t="s">
        <v>6218</v>
      </c>
      <c r="F205" s="394" t="s">
        <v>1108</v>
      </c>
      <c r="G205" s="422" t="s">
        <v>552</v>
      </c>
      <c r="H205" s="394" t="s">
        <v>130</v>
      </c>
      <c r="I205" s="497">
        <v>43626.0</v>
      </c>
      <c r="J205" s="422">
        <v>6.0</v>
      </c>
      <c r="K205" s="531" t="s">
        <v>238</v>
      </c>
      <c r="L205" s="394" t="s">
        <v>256</v>
      </c>
      <c r="M205" s="528">
        <f t="shared" si="1"/>
        <v>2502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25">
        <v>20519.0</v>
      </c>
      <c r="B206" s="426" t="s">
        <v>6219</v>
      </c>
      <c r="C206" s="426">
        <v>2015.0</v>
      </c>
      <c r="D206" s="500">
        <v>42268.0</v>
      </c>
      <c r="E206" s="428" t="s">
        <v>6220</v>
      </c>
      <c r="F206" s="397" t="s">
        <v>1255</v>
      </c>
      <c r="G206" s="428" t="s">
        <v>552</v>
      </c>
      <c r="H206" s="397" t="s">
        <v>583</v>
      </c>
      <c r="I206" s="500">
        <v>43626.0</v>
      </c>
      <c r="J206" s="428">
        <v>6.0</v>
      </c>
      <c r="K206" s="535" t="s">
        <v>228</v>
      </c>
      <c r="L206" s="397" t="s">
        <v>256</v>
      </c>
      <c r="M206" s="529">
        <f t="shared" si="1"/>
        <v>1358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19">
        <v>20619.0</v>
      </c>
      <c r="B207" s="420" t="s">
        <v>6221</v>
      </c>
      <c r="C207" s="420">
        <v>2012.0</v>
      </c>
      <c r="D207" s="497">
        <v>41124.0</v>
      </c>
      <c r="E207" s="422" t="s">
        <v>6222</v>
      </c>
      <c r="F207" s="394" t="s">
        <v>1108</v>
      </c>
      <c r="G207" s="422" t="s">
        <v>552</v>
      </c>
      <c r="H207" s="394" t="s">
        <v>130</v>
      </c>
      <c r="I207" s="497">
        <v>43626.0</v>
      </c>
      <c r="J207" s="422">
        <v>6.0</v>
      </c>
      <c r="K207" s="531" t="s">
        <v>238</v>
      </c>
      <c r="L207" s="394" t="s">
        <v>256</v>
      </c>
      <c r="M207" s="528">
        <f t="shared" si="1"/>
        <v>2502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25">
        <v>20719.0</v>
      </c>
      <c r="B208" s="426" t="s">
        <v>6223</v>
      </c>
      <c r="C208" s="426">
        <v>2012.0</v>
      </c>
      <c r="D208" s="500">
        <v>40910.0</v>
      </c>
      <c r="E208" s="428" t="s">
        <v>6224</v>
      </c>
      <c r="F208" s="397" t="s">
        <v>4572</v>
      </c>
      <c r="G208" s="428" t="s">
        <v>552</v>
      </c>
      <c r="H208" s="397" t="s">
        <v>125</v>
      </c>
      <c r="I208" s="500">
        <v>43626.0</v>
      </c>
      <c r="J208" s="428">
        <v>6.0</v>
      </c>
      <c r="K208" s="531" t="s">
        <v>238</v>
      </c>
      <c r="L208" s="397" t="s">
        <v>256</v>
      </c>
      <c r="M208" s="529">
        <f t="shared" si="1"/>
        <v>2716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19">
        <v>20819.0</v>
      </c>
      <c r="B209" s="420" t="s">
        <v>6225</v>
      </c>
      <c r="C209" s="420">
        <v>2014.0</v>
      </c>
      <c r="D209" s="497">
        <v>41676.0</v>
      </c>
      <c r="E209" s="422" t="s">
        <v>6226</v>
      </c>
      <c r="F209" s="394" t="s">
        <v>781</v>
      </c>
      <c r="G209" s="422" t="s">
        <v>650</v>
      </c>
      <c r="H209" s="394" t="s">
        <v>775</v>
      </c>
      <c r="I209" s="497">
        <v>43626.0</v>
      </c>
      <c r="J209" s="422">
        <v>6.0</v>
      </c>
      <c r="K209" s="539" t="s">
        <v>234</v>
      </c>
      <c r="L209" s="394" t="s">
        <v>258</v>
      </c>
      <c r="M209" s="528">
        <f t="shared" si="1"/>
        <v>1950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25">
        <v>20919.0</v>
      </c>
      <c r="B210" s="426" t="s">
        <v>6227</v>
      </c>
      <c r="C210" s="426">
        <v>2015.0</v>
      </c>
      <c r="D210" s="500">
        <v>42199.0</v>
      </c>
      <c r="E210" s="428" t="s">
        <v>6228</v>
      </c>
      <c r="F210" s="397" t="s">
        <v>44</v>
      </c>
      <c r="G210" s="428" t="s">
        <v>650</v>
      </c>
      <c r="H210" s="397" t="s">
        <v>2964</v>
      </c>
      <c r="I210" s="500">
        <v>43626.0</v>
      </c>
      <c r="J210" s="428">
        <v>6.0</v>
      </c>
      <c r="K210" s="535" t="s">
        <v>228</v>
      </c>
      <c r="L210" s="397" t="s">
        <v>258</v>
      </c>
      <c r="M210" s="529">
        <f t="shared" si="1"/>
        <v>1427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19">
        <v>21019.0</v>
      </c>
      <c r="B211" s="420" t="s">
        <v>6229</v>
      </c>
      <c r="C211" s="420">
        <v>2015.0</v>
      </c>
      <c r="D211" s="497">
        <v>42102.0</v>
      </c>
      <c r="E211" s="422" t="s">
        <v>6230</v>
      </c>
      <c r="F211" s="394" t="s">
        <v>711</v>
      </c>
      <c r="G211" s="422" t="s">
        <v>17</v>
      </c>
      <c r="H211" s="394" t="s">
        <v>125</v>
      </c>
      <c r="I211" s="497">
        <v>43629.0</v>
      </c>
      <c r="J211" s="422">
        <v>6.0</v>
      </c>
      <c r="K211" s="531" t="s">
        <v>238</v>
      </c>
      <c r="L211" s="394" t="s">
        <v>256</v>
      </c>
      <c r="M211" s="528">
        <f t="shared" si="1"/>
        <v>1527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25">
        <v>21119.0</v>
      </c>
      <c r="B212" s="426" t="s">
        <v>6231</v>
      </c>
      <c r="C212" s="426">
        <v>2016.0</v>
      </c>
      <c r="D212" s="500">
        <v>42720.0</v>
      </c>
      <c r="E212" s="428" t="s">
        <v>6232</v>
      </c>
      <c r="F212" s="397" t="s">
        <v>3906</v>
      </c>
      <c r="G212" s="428" t="s">
        <v>34</v>
      </c>
      <c r="H212" s="397" t="s">
        <v>2964</v>
      </c>
      <c r="I212" s="500">
        <v>43633.0</v>
      </c>
      <c r="J212" s="428">
        <v>6.0</v>
      </c>
      <c r="K212" s="531" t="s">
        <v>238</v>
      </c>
      <c r="L212" s="397" t="s">
        <v>258</v>
      </c>
      <c r="M212" s="529">
        <f t="shared" si="1"/>
        <v>913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19">
        <v>21219.0</v>
      </c>
      <c r="B213" s="420" t="s">
        <v>6233</v>
      </c>
      <c r="C213" s="420">
        <v>2016.0</v>
      </c>
      <c r="D213" s="497">
        <v>42508.0</v>
      </c>
      <c r="E213" s="422" t="s">
        <v>6234</v>
      </c>
      <c r="F213" s="394" t="s">
        <v>1846</v>
      </c>
      <c r="G213" s="422" t="s">
        <v>552</v>
      </c>
      <c r="H213" s="394" t="s">
        <v>50</v>
      </c>
      <c r="I213" s="497">
        <v>43635.0</v>
      </c>
      <c r="J213" s="422">
        <v>6.0</v>
      </c>
      <c r="K213" s="535" t="s">
        <v>228</v>
      </c>
      <c r="L213" s="394" t="s">
        <v>258</v>
      </c>
      <c r="M213" s="528">
        <f t="shared" si="1"/>
        <v>1127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25">
        <v>21319.0</v>
      </c>
      <c r="B214" s="426" t="s">
        <v>6235</v>
      </c>
      <c r="C214" s="426">
        <v>2016.0</v>
      </c>
      <c r="D214" s="500">
        <v>42733.0</v>
      </c>
      <c r="E214" s="428" t="s">
        <v>6236</v>
      </c>
      <c r="F214" s="397" t="s">
        <v>178</v>
      </c>
      <c r="G214" s="428" t="s">
        <v>552</v>
      </c>
      <c r="H214" s="397" t="s">
        <v>1002</v>
      </c>
      <c r="I214" s="500">
        <v>43635.0</v>
      </c>
      <c r="J214" s="428">
        <v>6.0</v>
      </c>
      <c r="K214" s="531" t="s">
        <v>238</v>
      </c>
      <c r="L214" s="397" t="s">
        <v>258</v>
      </c>
      <c r="M214" s="529">
        <f t="shared" si="1"/>
        <v>902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19">
        <v>21419.0</v>
      </c>
      <c r="B215" s="420" t="s">
        <v>6237</v>
      </c>
      <c r="C215" s="420">
        <v>2018.0</v>
      </c>
      <c r="D215" s="497">
        <v>43322.0</v>
      </c>
      <c r="E215" s="422" t="s">
        <v>6238</v>
      </c>
      <c r="F215" s="394" t="s">
        <v>5922</v>
      </c>
      <c r="G215" s="422" t="s">
        <v>565</v>
      </c>
      <c r="H215" s="394" t="s">
        <v>6239</v>
      </c>
      <c r="I215" s="497">
        <v>43635.0</v>
      </c>
      <c r="J215" s="422">
        <v>6.0</v>
      </c>
      <c r="K215" s="571" t="s">
        <v>244</v>
      </c>
      <c r="L215" s="394" t="s">
        <v>260</v>
      </c>
      <c r="M215" s="528">
        <f t="shared" si="1"/>
        <v>313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25">
        <v>21519.0</v>
      </c>
      <c r="B216" s="426" t="s">
        <v>6240</v>
      </c>
      <c r="C216" s="426">
        <v>2018.0</v>
      </c>
      <c r="D216" s="500">
        <v>43402.0</v>
      </c>
      <c r="E216" s="428" t="s">
        <v>6241</v>
      </c>
      <c r="F216" s="397" t="s">
        <v>6242</v>
      </c>
      <c r="G216" s="428" t="s">
        <v>565</v>
      </c>
      <c r="H216" s="397" t="s">
        <v>18</v>
      </c>
      <c r="I216" s="500">
        <v>43635.0</v>
      </c>
      <c r="J216" s="428">
        <v>6.0</v>
      </c>
      <c r="K216" s="531" t="s">
        <v>238</v>
      </c>
      <c r="L216" s="397" t="s">
        <v>260</v>
      </c>
      <c r="M216" s="529">
        <f t="shared" si="1"/>
        <v>233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19">
        <v>21619.0</v>
      </c>
      <c r="B217" s="420" t="s">
        <v>6243</v>
      </c>
      <c r="C217" s="420">
        <v>2015.0</v>
      </c>
      <c r="D217" s="497">
        <v>42235.0</v>
      </c>
      <c r="E217" s="422" t="s">
        <v>6244</v>
      </c>
      <c r="F217" s="394" t="s">
        <v>6245</v>
      </c>
      <c r="G217" s="422" t="s">
        <v>650</v>
      </c>
      <c r="H217" s="394" t="s">
        <v>573</v>
      </c>
      <c r="I217" s="497">
        <v>43635.0</v>
      </c>
      <c r="J217" s="422">
        <v>6.0</v>
      </c>
      <c r="K217" s="539" t="s">
        <v>234</v>
      </c>
      <c r="L217" s="394" t="s">
        <v>256</v>
      </c>
      <c r="M217" s="528">
        <f t="shared" si="1"/>
        <v>1400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25">
        <v>21719.0</v>
      </c>
      <c r="B218" s="426" t="s">
        <v>6246</v>
      </c>
      <c r="C218" s="426">
        <v>2014.0</v>
      </c>
      <c r="D218" s="500">
        <v>41717.0</v>
      </c>
      <c r="E218" s="428" t="s">
        <v>6247</v>
      </c>
      <c r="F218" s="397" t="s">
        <v>1554</v>
      </c>
      <c r="G218" s="428" t="s">
        <v>552</v>
      </c>
      <c r="H218" s="397" t="s">
        <v>163</v>
      </c>
      <c r="I218" s="500">
        <v>43644.0</v>
      </c>
      <c r="J218" s="428">
        <v>6.0</v>
      </c>
      <c r="K218" s="531" t="s">
        <v>238</v>
      </c>
      <c r="L218" s="397" t="s">
        <v>258</v>
      </c>
      <c r="M218" s="529">
        <f t="shared" si="1"/>
        <v>1927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19">
        <v>21819.0</v>
      </c>
      <c r="B219" s="420" t="s">
        <v>6248</v>
      </c>
      <c r="C219" s="420">
        <v>2011.0</v>
      </c>
      <c r="D219" s="497">
        <v>40605.0</v>
      </c>
      <c r="E219" s="422" t="s">
        <v>6249</v>
      </c>
      <c r="F219" s="394" t="s">
        <v>3694</v>
      </c>
      <c r="G219" s="422" t="s">
        <v>650</v>
      </c>
      <c r="H219" s="394" t="s">
        <v>2964</v>
      </c>
      <c r="I219" s="497">
        <v>43644.0</v>
      </c>
      <c r="J219" s="422">
        <v>6.0</v>
      </c>
      <c r="K219" s="535" t="s">
        <v>228</v>
      </c>
      <c r="L219" s="394" t="s">
        <v>258</v>
      </c>
      <c r="M219" s="528">
        <f t="shared" si="1"/>
        <v>3039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25">
        <v>21919.0</v>
      </c>
      <c r="B220" s="426" t="s">
        <v>6250</v>
      </c>
      <c r="C220" s="426">
        <v>2009.0</v>
      </c>
      <c r="D220" s="500">
        <v>40168.0</v>
      </c>
      <c r="E220" s="428" t="s">
        <v>6251</v>
      </c>
      <c r="F220" s="397" t="s">
        <v>6252</v>
      </c>
      <c r="G220" s="428" t="s">
        <v>650</v>
      </c>
      <c r="H220" s="397" t="s">
        <v>1872</v>
      </c>
      <c r="I220" s="500">
        <v>43644.0</v>
      </c>
      <c r="J220" s="428">
        <v>6.0</v>
      </c>
      <c r="K220" s="531" t="s">
        <v>238</v>
      </c>
      <c r="L220" s="397" t="s">
        <v>254</v>
      </c>
      <c r="M220" s="529">
        <f t="shared" si="1"/>
        <v>3476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19">
        <v>22019.0</v>
      </c>
      <c r="B221" s="420" t="s">
        <v>6253</v>
      </c>
      <c r="C221" s="420">
        <v>2018.0</v>
      </c>
      <c r="D221" s="497">
        <v>43418.0</v>
      </c>
      <c r="E221" s="422" t="s">
        <v>6254</v>
      </c>
      <c r="F221" s="394" t="s">
        <v>2614</v>
      </c>
      <c r="G221" s="422" t="s">
        <v>569</v>
      </c>
      <c r="H221" s="394" t="s">
        <v>2626</v>
      </c>
      <c r="I221" s="497">
        <v>43644.0</v>
      </c>
      <c r="J221" s="422">
        <v>6.0</v>
      </c>
      <c r="K221" s="571" t="s">
        <v>244</v>
      </c>
      <c r="L221" s="394" t="s">
        <v>260</v>
      </c>
      <c r="M221" s="528">
        <f t="shared" si="1"/>
        <v>226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25">
        <v>22119.0</v>
      </c>
      <c r="B222" s="426" t="s">
        <v>6255</v>
      </c>
      <c r="C222" s="426">
        <v>2018.0</v>
      </c>
      <c r="D222" s="500">
        <v>43418.0</v>
      </c>
      <c r="E222" s="428" t="s">
        <v>6256</v>
      </c>
      <c r="F222" s="397" t="s">
        <v>2343</v>
      </c>
      <c r="G222" s="428" t="s">
        <v>569</v>
      </c>
      <c r="H222" s="397" t="s">
        <v>3903</v>
      </c>
      <c r="I222" s="500">
        <v>43651.0</v>
      </c>
      <c r="J222" s="428">
        <v>7.0</v>
      </c>
      <c r="K222" s="571" t="s">
        <v>244</v>
      </c>
      <c r="L222" s="397" t="s">
        <v>260</v>
      </c>
      <c r="M222" s="529">
        <f t="shared" si="1"/>
        <v>233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2.75" customHeight="1">
      <c r="A223" s="419">
        <v>22219.0</v>
      </c>
      <c r="B223" s="420" t="s">
        <v>6257</v>
      </c>
      <c r="C223" s="420">
        <v>2013.0</v>
      </c>
      <c r="D223" s="497">
        <v>41431.0</v>
      </c>
      <c r="E223" s="422" t="s">
        <v>6258</v>
      </c>
      <c r="F223" s="394" t="s">
        <v>171</v>
      </c>
      <c r="G223" s="422" t="s">
        <v>552</v>
      </c>
      <c r="H223" s="394" t="s">
        <v>573</v>
      </c>
      <c r="I223" s="497">
        <v>43651.0</v>
      </c>
      <c r="J223" s="422">
        <v>7.0</v>
      </c>
      <c r="K223" s="531" t="s">
        <v>238</v>
      </c>
      <c r="L223" s="394" t="s">
        <v>256</v>
      </c>
      <c r="M223" s="528">
        <f t="shared" si="1"/>
        <v>2220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425">
        <v>22319.0</v>
      </c>
      <c r="B224" s="426" t="s">
        <v>6259</v>
      </c>
      <c r="C224" s="426">
        <v>2012.0</v>
      </c>
      <c r="D224" s="500">
        <v>41264.0</v>
      </c>
      <c r="E224" s="428" t="s">
        <v>6260</v>
      </c>
      <c r="F224" s="397" t="s">
        <v>6261</v>
      </c>
      <c r="G224" s="428" t="s">
        <v>552</v>
      </c>
      <c r="H224" s="397" t="s">
        <v>1091</v>
      </c>
      <c r="I224" s="500">
        <v>43651.0</v>
      </c>
      <c r="J224" s="428">
        <v>7.0</v>
      </c>
      <c r="K224" s="535" t="s">
        <v>228</v>
      </c>
      <c r="L224" s="397" t="s">
        <v>256</v>
      </c>
      <c r="M224" s="529">
        <f t="shared" si="1"/>
        <v>2387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19">
        <v>22419.0</v>
      </c>
      <c r="B225" s="420" t="s">
        <v>6262</v>
      </c>
      <c r="C225" s="420">
        <v>2015.0</v>
      </c>
      <c r="D225" s="497">
        <v>42103.0</v>
      </c>
      <c r="E225" s="422" t="s">
        <v>6263</v>
      </c>
      <c r="F225" s="394" t="s">
        <v>25</v>
      </c>
      <c r="G225" s="422" t="s">
        <v>552</v>
      </c>
      <c r="H225" s="394" t="s">
        <v>2539</v>
      </c>
      <c r="I225" s="497">
        <v>43651.0</v>
      </c>
      <c r="J225" s="422">
        <v>7.0</v>
      </c>
      <c r="K225" s="531" t="s">
        <v>238</v>
      </c>
      <c r="L225" s="394" t="s">
        <v>256</v>
      </c>
      <c r="M225" s="528">
        <f t="shared" si="1"/>
        <v>1548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25">
        <v>22519.0</v>
      </c>
      <c r="B226" s="426" t="s">
        <v>6264</v>
      </c>
      <c r="C226" s="426">
        <v>2018.0</v>
      </c>
      <c r="D226" s="500">
        <v>43305.0</v>
      </c>
      <c r="E226" s="428" t="s">
        <v>6265</v>
      </c>
      <c r="F226" s="397" t="s">
        <v>2614</v>
      </c>
      <c r="G226" s="428" t="s">
        <v>569</v>
      </c>
      <c r="H226" s="397" t="s">
        <v>6266</v>
      </c>
      <c r="I226" s="500">
        <v>43651.0</v>
      </c>
      <c r="J226" s="428">
        <v>7.0</v>
      </c>
      <c r="K226" s="571" t="s">
        <v>244</v>
      </c>
      <c r="L226" s="397" t="s">
        <v>260</v>
      </c>
      <c r="M226" s="529">
        <f t="shared" si="1"/>
        <v>346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19">
        <v>22619.0</v>
      </c>
      <c r="B227" s="420" t="s">
        <v>6267</v>
      </c>
      <c r="C227" s="420">
        <v>2017.0</v>
      </c>
      <c r="D227" s="497">
        <v>42858.0</v>
      </c>
      <c r="E227" s="422" t="s">
        <v>6268</v>
      </c>
      <c r="F227" s="394" t="s">
        <v>6269</v>
      </c>
      <c r="G227" s="422" t="s">
        <v>547</v>
      </c>
      <c r="H227" s="394" t="s">
        <v>2964</v>
      </c>
      <c r="I227" s="497">
        <v>43651.0</v>
      </c>
      <c r="J227" s="422">
        <v>7.0</v>
      </c>
      <c r="K227" s="531" t="s">
        <v>238</v>
      </c>
      <c r="L227" s="394" t="s">
        <v>258</v>
      </c>
      <c r="M227" s="528">
        <f t="shared" si="1"/>
        <v>793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25">
        <v>22719.0</v>
      </c>
      <c r="B228" s="426" t="s">
        <v>6270</v>
      </c>
      <c r="C228" s="426">
        <v>2017.0</v>
      </c>
      <c r="D228" s="500">
        <v>42858.0</v>
      </c>
      <c r="E228" s="428" t="s">
        <v>6271</v>
      </c>
      <c r="F228" s="397" t="s">
        <v>6269</v>
      </c>
      <c r="G228" s="428" t="s">
        <v>547</v>
      </c>
      <c r="H228" s="397" t="s">
        <v>2964</v>
      </c>
      <c r="I228" s="500">
        <v>43651.0</v>
      </c>
      <c r="J228" s="428">
        <v>7.0</v>
      </c>
      <c r="K228" s="531" t="s">
        <v>238</v>
      </c>
      <c r="L228" s="397" t="s">
        <v>258</v>
      </c>
      <c r="M228" s="529">
        <f t="shared" si="1"/>
        <v>793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19">
        <v>22819.0</v>
      </c>
      <c r="B229" s="420" t="s">
        <v>6272</v>
      </c>
      <c r="C229" s="420">
        <v>2017.0</v>
      </c>
      <c r="D229" s="497">
        <v>42796.0</v>
      </c>
      <c r="E229" s="422" t="s">
        <v>6273</v>
      </c>
      <c r="F229" s="394" t="s">
        <v>6269</v>
      </c>
      <c r="G229" s="422" t="s">
        <v>547</v>
      </c>
      <c r="H229" s="394" t="s">
        <v>2964</v>
      </c>
      <c r="I229" s="497">
        <v>43651.0</v>
      </c>
      <c r="J229" s="422">
        <v>7.0</v>
      </c>
      <c r="K229" s="531" t="s">
        <v>238</v>
      </c>
      <c r="L229" s="394" t="s">
        <v>258</v>
      </c>
      <c r="M229" s="528">
        <f t="shared" si="1"/>
        <v>855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425">
        <v>22919.0</v>
      </c>
      <c r="B230" s="426" t="s">
        <v>6274</v>
      </c>
      <c r="C230" s="426">
        <v>2014.0</v>
      </c>
      <c r="D230" s="500">
        <v>41718.0</v>
      </c>
      <c r="E230" s="428" t="s">
        <v>6275</v>
      </c>
      <c r="F230" s="397" t="s">
        <v>6269</v>
      </c>
      <c r="G230" s="428" t="s">
        <v>547</v>
      </c>
      <c r="H230" s="397" t="s">
        <v>2964</v>
      </c>
      <c r="I230" s="500">
        <v>43651.0</v>
      </c>
      <c r="J230" s="428">
        <v>7.0</v>
      </c>
      <c r="K230" s="531" t="s">
        <v>238</v>
      </c>
      <c r="L230" s="397" t="s">
        <v>258</v>
      </c>
      <c r="M230" s="529">
        <f t="shared" si="1"/>
        <v>1933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19">
        <v>23019.0</v>
      </c>
      <c r="B231" s="420" t="s">
        <v>6276</v>
      </c>
      <c r="C231" s="420">
        <v>2014.0</v>
      </c>
      <c r="D231" s="497">
        <v>41718.0</v>
      </c>
      <c r="E231" s="422" t="s">
        <v>6268</v>
      </c>
      <c r="F231" s="394" t="s">
        <v>6269</v>
      </c>
      <c r="G231" s="422" t="s">
        <v>547</v>
      </c>
      <c r="H231" s="394" t="s">
        <v>2964</v>
      </c>
      <c r="I231" s="497">
        <v>43651.0</v>
      </c>
      <c r="J231" s="422">
        <v>7.0</v>
      </c>
      <c r="K231" s="531" t="s">
        <v>238</v>
      </c>
      <c r="L231" s="394" t="s">
        <v>258</v>
      </c>
      <c r="M231" s="528">
        <f t="shared" si="1"/>
        <v>1933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25">
        <v>23119.0</v>
      </c>
      <c r="B232" s="426" t="s">
        <v>6277</v>
      </c>
      <c r="C232" s="426">
        <v>2012.0</v>
      </c>
      <c r="D232" s="500">
        <v>41247.0</v>
      </c>
      <c r="E232" s="428" t="s">
        <v>6278</v>
      </c>
      <c r="F232" s="397" t="s">
        <v>3172</v>
      </c>
      <c r="G232" s="428" t="s">
        <v>17</v>
      </c>
      <c r="H232" s="397" t="s">
        <v>775</v>
      </c>
      <c r="I232" s="500">
        <v>43654.0</v>
      </c>
      <c r="J232" s="428">
        <v>7.0</v>
      </c>
      <c r="K232" s="531" t="s">
        <v>238</v>
      </c>
      <c r="L232" s="397" t="s">
        <v>256</v>
      </c>
      <c r="M232" s="529">
        <f t="shared" si="1"/>
        <v>2407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19">
        <v>23219.0</v>
      </c>
      <c r="B233" s="420" t="s">
        <v>6279</v>
      </c>
      <c r="C233" s="420">
        <v>2015.0</v>
      </c>
      <c r="D233" s="497">
        <v>42030.0</v>
      </c>
      <c r="E233" s="422" t="s">
        <v>6280</v>
      </c>
      <c r="F233" s="394" t="s">
        <v>1150</v>
      </c>
      <c r="G233" s="422" t="s">
        <v>17</v>
      </c>
      <c r="H233" s="394" t="s">
        <v>153</v>
      </c>
      <c r="I233" s="497">
        <v>43654.0</v>
      </c>
      <c r="J233" s="422">
        <v>7.0</v>
      </c>
      <c r="K233" s="535" t="s">
        <v>228</v>
      </c>
      <c r="L233" s="394" t="s">
        <v>256</v>
      </c>
      <c r="M233" s="528">
        <f t="shared" si="1"/>
        <v>1624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25">
        <v>23319.0</v>
      </c>
      <c r="B234" s="426" t="s">
        <v>6281</v>
      </c>
      <c r="C234" s="426">
        <v>2013.0</v>
      </c>
      <c r="D234" s="500">
        <v>41570.0</v>
      </c>
      <c r="E234" s="428" t="s">
        <v>6282</v>
      </c>
      <c r="F234" s="397" t="s">
        <v>711</v>
      </c>
      <c r="G234" s="428" t="s">
        <v>17</v>
      </c>
      <c r="H234" s="397" t="s">
        <v>26</v>
      </c>
      <c r="I234" s="500">
        <v>43654.0</v>
      </c>
      <c r="J234" s="428">
        <v>7.0</v>
      </c>
      <c r="K234" s="531" t="s">
        <v>238</v>
      </c>
      <c r="L234" s="397" t="s">
        <v>256</v>
      </c>
      <c r="M234" s="529">
        <f t="shared" si="1"/>
        <v>2084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19">
        <v>23419.0</v>
      </c>
      <c r="B235" s="420" t="s">
        <v>6283</v>
      </c>
      <c r="C235" s="420">
        <v>2013.0</v>
      </c>
      <c r="D235" s="497">
        <v>41599.0</v>
      </c>
      <c r="E235" s="422" t="s">
        <v>6284</v>
      </c>
      <c r="F235" s="394" t="s">
        <v>1823</v>
      </c>
      <c r="G235" s="422" t="s">
        <v>552</v>
      </c>
      <c r="H235" s="394" t="s">
        <v>130</v>
      </c>
      <c r="I235" s="497">
        <v>43655.0</v>
      </c>
      <c r="J235" s="422">
        <v>7.0</v>
      </c>
      <c r="K235" s="535" t="s">
        <v>228</v>
      </c>
      <c r="L235" s="394" t="s">
        <v>258</v>
      </c>
      <c r="M235" s="528">
        <f t="shared" si="1"/>
        <v>2056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25">
        <v>23519.0</v>
      </c>
      <c r="B236" s="426" t="s">
        <v>6285</v>
      </c>
      <c r="C236" s="426">
        <v>2013.0</v>
      </c>
      <c r="D236" s="500">
        <v>41576.0</v>
      </c>
      <c r="E236" s="428" t="s">
        <v>6286</v>
      </c>
      <c r="F236" s="397" t="s">
        <v>6269</v>
      </c>
      <c r="G236" s="428" t="s">
        <v>547</v>
      </c>
      <c r="H236" s="397" t="s">
        <v>2964</v>
      </c>
      <c r="I236" s="500">
        <v>43655.0</v>
      </c>
      <c r="J236" s="428">
        <v>7.0</v>
      </c>
      <c r="K236" s="531" t="s">
        <v>238</v>
      </c>
      <c r="L236" s="397" t="s">
        <v>258</v>
      </c>
      <c r="M236" s="529">
        <f t="shared" si="1"/>
        <v>2079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19">
        <v>23619.0</v>
      </c>
      <c r="B237" s="420" t="s">
        <v>6287</v>
      </c>
      <c r="C237" s="420">
        <v>2018.0</v>
      </c>
      <c r="D237" s="497">
        <v>43213.0</v>
      </c>
      <c r="E237" s="422" t="s">
        <v>6288</v>
      </c>
      <c r="F237" s="394" t="s">
        <v>5883</v>
      </c>
      <c r="G237" s="422" t="s">
        <v>17</v>
      </c>
      <c r="H237" s="394" t="s">
        <v>587</v>
      </c>
      <c r="I237" s="497">
        <v>43658.0</v>
      </c>
      <c r="J237" s="422">
        <v>7.0</v>
      </c>
      <c r="K237" s="531" t="s">
        <v>238</v>
      </c>
      <c r="L237" s="394" t="s">
        <v>258</v>
      </c>
      <c r="M237" s="528">
        <f t="shared" si="1"/>
        <v>445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25">
        <v>23719.0</v>
      </c>
      <c r="B238" s="426" t="s">
        <v>6289</v>
      </c>
      <c r="C238" s="426">
        <v>2019.0</v>
      </c>
      <c r="D238" s="500">
        <v>43524.0</v>
      </c>
      <c r="E238" s="428" t="s">
        <v>6290</v>
      </c>
      <c r="F238" s="397" t="s">
        <v>5883</v>
      </c>
      <c r="G238" s="428" t="s">
        <v>17</v>
      </c>
      <c r="H238" s="397" t="s">
        <v>56</v>
      </c>
      <c r="I238" s="500">
        <v>43658.0</v>
      </c>
      <c r="J238" s="428">
        <v>7.0</v>
      </c>
      <c r="K238" s="531" t="s">
        <v>238</v>
      </c>
      <c r="L238" s="397" t="s">
        <v>258</v>
      </c>
      <c r="M238" s="529">
        <f t="shared" si="1"/>
        <v>134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19">
        <v>23819.0</v>
      </c>
      <c r="B239" s="420" t="s">
        <v>6291</v>
      </c>
      <c r="C239" s="420">
        <v>2018.0</v>
      </c>
      <c r="D239" s="497">
        <v>43217.0</v>
      </c>
      <c r="E239" s="422" t="s">
        <v>6292</v>
      </c>
      <c r="F239" s="394" t="s">
        <v>5883</v>
      </c>
      <c r="G239" s="422" t="s">
        <v>17</v>
      </c>
      <c r="H239" s="394" t="s">
        <v>112</v>
      </c>
      <c r="I239" s="497">
        <v>43658.0</v>
      </c>
      <c r="J239" s="422">
        <v>7.0</v>
      </c>
      <c r="K239" s="531" t="s">
        <v>238</v>
      </c>
      <c r="L239" s="394" t="s">
        <v>258</v>
      </c>
      <c r="M239" s="528">
        <f t="shared" si="1"/>
        <v>441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25">
        <v>23919.0</v>
      </c>
      <c r="B240" s="426" t="s">
        <v>6293</v>
      </c>
      <c r="C240" s="426">
        <v>2014.0</v>
      </c>
      <c r="D240" s="500">
        <v>41976.0</v>
      </c>
      <c r="E240" s="428" t="s">
        <v>6294</v>
      </c>
      <c r="F240" s="397" t="s">
        <v>963</v>
      </c>
      <c r="G240" s="428" t="s">
        <v>17</v>
      </c>
      <c r="H240" s="397" t="s">
        <v>158</v>
      </c>
      <c r="I240" s="500">
        <v>43658.0</v>
      </c>
      <c r="J240" s="428">
        <v>7.0</v>
      </c>
      <c r="K240" s="535" t="s">
        <v>228</v>
      </c>
      <c r="L240" s="397" t="s">
        <v>258</v>
      </c>
      <c r="M240" s="529">
        <f t="shared" si="1"/>
        <v>1682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19">
        <v>24019.0</v>
      </c>
      <c r="B241" s="420" t="s">
        <v>6295</v>
      </c>
      <c r="C241" s="420">
        <v>2015.0</v>
      </c>
      <c r="D241" s="497">
        <v>42256.0</v>
      </c>
      <c r="E241" s="422" t="s">
        <v>6296</v>
      </c>
      <c r="F241" s="394" t="s">
        <v>2667</v>
      </c>
      <c r="G241" s="422" t="s">
        <v>17</v>
      </c>
      <c r="H241" s="394" t="s">
        <v>573</v>
      </c>
      <c r="I241" s="497">
        <v>43658.0</v>
      </c>
      <c r="J241" s="422">
        <v>7.0</v>
      </c>
      <c r="K241" s="535" t="s">
        <v>228</v>
      </c>
      <c r="L241" s="394" t="s">
        <v>258</v>
      </c>
      <c r="M241" s="528">
        <f t="shared" si="1"/>
        <v>1402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25">
        <v>24119.0</v>
      </c>
      <c r="B242" s="426" t="s">
        <v>6297</v>
      </c>
      <c r="C242" s="426">
        <v>2011.0</v>
      </c>
      <c r="D242" s="500">
        <v>40758.0</v>
      </c>
      <c r="E242" s="428" t="s">
        <v>6298</v>
      </c>
      <c r="F242" s="397" t="s">
        <v>44</v>
      </c>
      <c r="G242" s="428" t="s">
        <v>17</v>
      </c>
      <c r="H242" s="397" t="s">
        <v>50</v>
      </c>
      <c r="I242" s="500">
        <v>43658.0</v>
      </c>
      <c r="J242" s="428">
        <v>7.0</v>
      </c>
      <c r="K242" s="535" t="s">
        <v>228</v>
      </c>
      <c r="L242" s="397" t="s">
        <v>258</v>
      </c>
      <c r="M242" s="529">
        <f t="shared" si="1"/>
        <v>2900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19">
        <v>24219.0</v>
      </c>
      <c r="B243" s="420" t="s">
        <v>6299</v>
      </c>
      <c r="C243" s="420">
        <v>2016.0</v>
      </c>
      <c r="D243" s="497">
        <v>42669.0</v>
      </c>
      <c r="E243" s="422" t="s">
        <v>6300</v>
      </c>
      <c r="F243" s="394" t="s">
        <v>55</v>
      </c>
      <c r="G243" s="422" t="s">
        <v>17</v>
      </c>
      <c r="H243" s="394" t="s">
        <v>97</v>
      </c>
      <c r="I243" s="497">
        <v>43658.0</v>
      </c>
      <c r="J243" s="422">
        <v>7.0</v>
      </c>
      <c r="K243" s="531" t="s">
        <v>238</v>
      </c>
      <c r="L243" s="394" t="s">
        <v>256</v>
      </c>
      <c r="M243" s="528">
        <f t="shared" si="1"/>
        <v>989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25">
        <v>24319.0</v>
      </c>
      <c r="B244" s="426" t="s">
        <v>6301</v>
      </c>
      <c r="C244" s="426">
        <v>2015.0</v>
      </c>
      <c r="D244" s="500">
        <v>42285.0</v>
      </c>
      <c r="E244" s="428" t="s">
        <v>6302</v>
      </c>
      <c r="F244" s="397" t="s">
        <v>3536</v>
      </c>
      <c r="G244" s="428" t="s">
        <v>17</v>
      </c>
      <c r="H244" s="397" t="s">
        <v>45</v>
      </c>
      <c r="I244" s="500">
        <v>43658.0</v>
      </c>
      <c r="J244" s="428">
        <v>7.0</v>
      </c>
      <c r="K244" s="531" t="s">
        <v>238</v>
      </c>
      <c r="L244" s="397" t="s">
        <v>256</v>
      </c>
      <c r="M244" s="529">
        <f t="shared" si="1"/>
        <v>1373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19">
        <v>24419.0</v>
      </c>
      <c r="B245" s="420" t="s">
        <v>6303</v>
      </c>
      <c r="C245" s="420">
        <v>2013.0</v>
      </c>
      <c r="D245" s="497">
        <v>41452.0</v>
      </c>
      <c r="E245" s="422" t="s">
        <v>6304</v>
      </c>
      <c r="F245" s="394" t="s">
        <v>3536</v>
      </c>
      <c r="G245" s="422" t="s">
        <v>17</v>
      </c>
      <c r="H245" s="394" t="s">
        <v>5049</v>
      </c>
      <c r="I245" s="497">
        <v>43658.0</v>
      </c>
      <c r="J245" s="422">
        <v>7.0</v>
      </c>
      <c r="K245" s="531" t="s">
        <v>238</v>
      </c>
      <c r="L245" s="394" t="s">
        <v>256</v>
      </c>
      <c r="M245" s="528">
        <f t="shared" si="1"/>
        <v>2206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25">
        <v>24519.0</v>
      </c>
      <c r="B246" s="426" t="s">
        <v>6305</v>
      </c>
      <c r="C246" s="426">
        <v>2013.0</v>
      </c>
      <c r="D246" s="500">
        <v>41466.0</v>
      </c>
      <c r="E246" s="428" t="s">
        <v>6306</v>
      </c>
      <c r="F246" s="397" t="s">
        <v>3536</v>
      </c>
      <c r="G246" s="428" t="s">
        <v>17</v>
      </c>
      <c r="H246" s="397" t="s">
        <v>2164</v>
      </c>
      <c r="I246" s="500">
        <v>43658.0</v>
      </c>
      <c r="J246" s="428">
        <v>7.0</v>
      </c>
      <c r="K246" s="531" t="s">
        <v>238</v>
      </c>
      <c r="L246" s="397" t="s">
        <v>256</v>
      </c>
      <c r="M246" s="529">
        <f t="shared" si="1"/>
        <v>2192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19">
        <v>24619.0</v>
      </c>
      <c r="B247" s="420" t="s">
        <v>6307</v>
      </c>
      <c r="C247" s="420">
        <v>2018.0</v>
      </c>
      <c r="D247" s="497">
        <v>43280.0</v>
      </c>
      <c r="E247" s="422" t="s">
        <v>6308</v>
      </c>
      <c r="F247" s="394" t="s">
        <v>3536</v>
      </c>
      <c r="G247" s="422" t="s">
        <v>17</v>
      </c>
      <c r="H247" s="394" t="s">
        <v>2164</v>
      </c>
      <c r="I247" s="497">
        <v>43658.0</v>
      </c>
      <c r="J247" s="422">
        <v>7.0</v>
      </c>
      <c r="K247" s="531" t="s">
        <v>238</v>
      </c>
      <c r="L247" s="394" t="s">
        <v>256</v>
      </c>
      <c r="M247" s="528">
        <f t="shared" si="1"/>
        <v>378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25">
        <v>24719.0</v>
      </c>
      <c r="B248" s="426" t="s">
        <v>6309</v>
      </c>
      <c r="C248" s="426">
        <v>2016.0</v>
      </c>
      <c r="D248" s="500">
        <v>42576.0</v>
      </c>
      <c r="E248" s="428" t="s">
        <v>6310</v>
      </c>
      <c r="F248" s="397" t="s">
        <v>5844</v>
      </c>
      <c r="G248" s="428" t="s">
        <v>17</v>
      </c>
      <c r="H248" s="397" t="s">
        <v>573</v>
      </c>
      <c r="I248" s="500">
        <v>43658.0</v>
      </c>
      <c r="J248" s="428">
        <v>7.0</v>
      </c>
      <c r="K248" s="571" t="s">
        <v>244</v>
      </c>
      <c r="L248" s="397" t="s">
        <v>258</v>
      </c>
      <c r="M248" s="529">
        <f t="shared" si="1"/>
        <v>1082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19">
        <v>24819.0</v>
      </c>
      <c r="B249" s="420" t="s">
        <v>6311</v>
      </c>
      <c r="C249" s="420">
        <v>2017.0</v>
      </c>
      <c r="D249" s="497">
        <v>42902.0</v>
      </c>
      <c r="E249" s="422" t="s">
        <v>6312</v>
      </c>
      <c r="F249" s="394" t="s">
        <v>1823</v>
      </c>
      <c r="G249" s="422" t="s">
        <v>17</v>
      </c>
      <c r="H249" s="394" t="s">
        <v>583</v>
      </c>
      <c r="I249" s="497">
        <v>43658.0</v>
      </c>
      <c r="J249" s="422">
        <v>7.0</v>
      </c>
      <c r="K249" s="535" t="s">
        <v>228</v>
      </c>
      <c r="L249" s="394" t="s">
        <v>256</v>
      </c>
      <c r="M249" s="528">
        <f t="shared" si="1"/>
        <v>756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25">
        <v>24919.0</v>
      </c>
      <c r="B250" s="426" t="s">
        <v>6313</v>
      </c>
      <c r="C250" s="426">
        <v>2018.0</v>
      </c>
      <c r="D250" s="500">
        <v>43130.0</v>
      </c>
      <c r="E250" s="428" t="s">
        <v>6314</v>
      </c>
      <c r="F250" s="397" t="s">
        <v>1823</v>
      </c>
      <c r="G250" s="428" t="s">
        <v>17</v>
      </c>
      <c r="H250" s="397" t="s">
        <v>990</v>
      </c>
      <c r="I250" s="500">
        <v>43658.0</v>
      </c>
      <c r="J250" s="428">
        <v>7.0</v>
      </c>
      <c r="K250" s="535" t="s">
        <v>228</v>
      </c>
      <c r="L250" s="397" t="s">
        <v>256</v>
      </c>
      <c r="M250" s="529">
        <f t="shared" si="1"/>
        <v>528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19">
        <v>25019.0</v>
      </c>
      <c r="B251" s="420" t="s">
        <v>6315</v>
      </c>
      <c r="C251" s="420">
        <v>2017.0</v>
      </c>
      <c r="D251" s="497">
        <v>43049.0</v>
      </c>
      <c r="E251" s="422" t="s">
        <v>6316</v>
      </c>
      <c r="F251" s="394" t="s">
        <v>719</v>
      </c>
      <c r="G251" s="422" t="s">
        <v>17</v>
      </c>
      <c r="H251" s="394" t="s">
        <v>187</v>
      </c>
      <c r="I251" s="497">
        <v>43658.0</v>
      </c>
      <c r="J251" s="422">
        <v>7.0</v>
      </c>
      <c r="K251" s="531" t="s">
        <v>238</v>
      </c>
      <c r="L251" s="394" t="s">
        <v>256</v>
      </c>
      <c r="M251" s="528">
        <f t="shared" si="1"/>
        <v>609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25">
        <v>25119.0</v>
      </c>
      <c r="B252" s="426" t="s">
        <v>6317</v>
      </c>
      <c r="C252" s="426">
        <v>2012.0</v>
      </c>
      <c r="D252" s="500">
        <v>41257.0</v>
      </c>
      <c r="E252" s="428" t="s">
        <v>6318</v>
      </c>
      <c r="F252" s="397" t="s">
        <v>963</v>
      </c>
      <c r="G252" s="428" t="s">
        <v>552</v>
      </c>
      <c r="H252" s="397" t="s">
        <v>87</v>
      </c>
      <c r="I252" s="500">
        <v>43661.0</v>
      </c>
      <c r="J252" s="428">
        <v>7.0</v>
      </c>
      <c r="K252" s="531" t="s">
        <v>238</v>
      </c>
      <c r="L252" s="397" t="s">
        <v>258</v>
      </c>
      <c r="M252" s="529">
        <f t="shared" si="1"/>
        <v>2404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19">
        <v>25219.0</v>
      </c>
      <c r="B253" s="420" t="s">
        <v>6319</v>
      </c>
      <c r="C253" s="420">
        <v>2017.0</v>
      </c>
      <c r="D253" s="497">
        <v>42790.0</v>
      </c>
      <c r="E253" s="422" t="s">
        <v>6320</v>
      </c>
      <c r="F253" s="394" t="s">
        <v>3906</v>
      </c>
      <c r="G253" s="422" t="s">
        <v>547</v>
      </c>
      <c r="H253" s="394" t="s">
        <v>2964</v>
      </c>
      <c r="I253" s="497">
        <v>43661.0</v>
      </c>
      <c r="J253" s="422">
        <v>7.0</v>
      </c>
      <c r="K253" s="531" t="s">
        <v>238</v>
      </c>
      <c r="L253" s="394" t="s">
        <v>258</v>
      </c>
      <c r="M253" s="528">
        <f t="shared" si="1"/>
        <v>871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25">
        <v>25319.0</v>
      </c>
      <c r="B254" s="426" t="s">
        <v>6321</v>
      </c>
      <c r="C254" s="426">
        <v>2016.0</v>
      </c>
      <c r="D254" s="500">
        <v>42667.0</v>
      </c>
      <c r="E254" s="428" t="s">
        <v>6322</v>
      </c>
      <c r="F254" s="397" t="s">
        <v>2071</v>
      </c>
      <c r="G254" s="428" t="s">
        <v>552</v>
      </c>
      <c r="H254" s="397" t="s">
        <v>5049</v>
      </c>
      <c r="I254" s="500">
        <v>43663.0</v>
      </c>
      <c r="J254" s="428">
        <v>7.0</v>
      </c>
      <c r="K254" s="535" t="s">
        <v>228</v>
      </c>
      <c r="L254" s="397" t="s">
        <v>258</v>
      </c>
      <c r="M254" s="529">
        <f t="shared" si="1"/>
        <v>996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19">
        <v>25419.0</v>
      </c>
      <c r="B255" s="420" t="s">
        <v>6081</v>
      </c>
      <c r="C255" s="420">
        <v>2013.0</v>
      </c>
      <c r="D255" s="497">
        <v>41421.0</v>
      </c>
      <c r="E255" s="422" t="s">
        <v>6323</v>
      </c>
      <c r="F255" s="394" t="s">
        <v>44</v>
      </c>
      <c r="G255" s="422" t="s">
        <v>552</v>
      </c>
      <c r="H255" s="394" t="s">
        <v>740</v>
      </c>
      <c r="I255" s="497">
        <v>43663.0</v>
      </c>
      <c r="J255" s="422">
        <v>7.0</v>
      </c>
      <c r="K255" s="535" t="s">
        <v>228</v>
      </c>
      <c r="L255" s="394" t="s">
        <v>258</v>
      </c>
      <c r="M255" s="528">
        <f t="shared" si="1"/>
        <v>2242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25">
        <v>25519.0</v>
      </c>
      <c r="B256" s="426" t="s">
        <v>6324</v>
      </c>
      <c r="C256" s="426">
        <v>2011.0</v>
      </c>
      <c r="D256" s="500">
        <v>40809.0</v>
      </c>
      <c r="E256" s="428" t="s">
        <v>6325</v>
      </c>
      <c r="F256" s="397" t="s">
        <v>660</v>
      </c>
      <c r="G256" s="428" t="s">
        <v>650</v>
      </c>
      <c r="H256" s="397" t="s">
        <v>158</v>
      </c>
      <c r="I256" s="500">
        <v>43665.0</v>
      </c>
      <c r="J256" s="428">
        <v>7.0</v>
      </c>
      <c r="K256" s="535" t="s">
        <v>228</v>
      </c>
      <c r="L256" s="397" t="s">
        <v>258</v>
      </c>
      <c r="M256" s="529">
        <f t="shared" si="1"/>
        <v>2856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19">
        <v>25619.0</v>
      </c>
      <c r="B257" s="420" t="s">
        <v>6326</v>
      </c>
      <c r="C257" s="420">
        <v>2012.0</v>
      </c>
      <c r="D257" s="497">
        <v>40996.0</v>
      </c>
      <c r="E257" s="422" t="s">
        <v>6327</v>
      </c>
      <c r="F257" s="394" t="s">
        <v>660</v>
      </c>
      <c r="G257" s="422" t="s">
        <v>650</v>
      </c>
      <c r="H257" s="394" t="s">
        <v>158</v>
      </c>
      <c r="I257" s="497">
        <v>43665.0</v>
      </c>
      <c r="J257" s="422">
        <v>7.0</v>
      </c>
      <c r="K257" s="535" t="s">
        <v>228</v>
      </c>
      <c r="L257" s="394" t="s">
        <v>258</v>
      </c>
      <c r="M257" s="528">
        <f t="shared" si="1"/>
        <v>2669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25">
        <v>25719.0</v>
      </c>
      <c r="B258" s="426" t="s">
        <v>6328</v>
      </c>
      <c r="C258" s="426">
        <v>2012.0</v>
      </c>
      <c r="D258" s="500">
        <v>41129.0</v>
      </c>
      <c r="E258" s="428" t="s">
        <v>6329</v>
      </c>
      <c r="F258" s="397" t="s">
        <v>1255</v>
      </c>
      <c r="G258" s="428" t="s">
        <v>552</v>
      </c>
      <c r="H258" s="397" t="s">
        <v>130</v>
      </c>
      <c r="I258" s="500">
        <v>43665.0</v>
      </c>
      <c r="J258" s="428">
        <v>7.0</v>
      </c>
      <c r="K258" s="531" t="s">
        <v>238</v>
      </c>
      <c r="L258" s="397" t="s">
        <v>256</v>
      </c>
      <c r="M258" s="529">
        <f t="shared" si="1"/>
        <v>2536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19">
        <v>25819.0</v>
      </c>
      <c r="B259" s="420" t="s">
        <v>6330</v>
      </c>
      <c r="C259" s="420">
        <v>2012.0</v>
      </c>
      <c r="D259" s="497">
        <v>41129.0</v>
      </c>
      <c r="E259" s="422" t="s">
        <v>6331</v>
      </c>
      <c r="F259" s="394" t="s">
        <v>1255</v>
      </c>
      <c r="G259" s="422" t="s">
        <v>552</v>
      </c>
      <c r="H259" s="394" t="s">
        <v>130</v>
      </c>
      <c r="I259" s="497">
        <v>43665.0</v>
      </c>
      <c r="J259" s="422">
        <v>7.0</v>
      </c>
      <c r="K259" s="531" t="s">
        <v>238</v>
      </c>
      <c r="L259" s="394" t="s">
        <v>256</v>
      </c>
      <c r="M259" s="528">
        <f t="shared" si="1"/>
        <v>2536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25">
        <v>25919.0</v>
      </c>
      <c r="B260" s="426" t="s">
        <v>6332</v>
      </c>
      <c r="C260" s="426">
        <v>2013.0</v>
      </c>
      <c r="D260" s="500">
        <v>41604.0</v>
      </c>
      <c r="E260" s="428" t="s">
        <v>6333</v>
      </c>
      <c r="F260" s="397" t="s">
        <v>1823</v>
      </c>
      <c r="G260" s="428" t="s">
        <v>552</v>
      </c>
      <c r="H260" s="397" t="s">
        <v>130</v>
      </c>
      <c r="I260" s="500">
        <v>43665.0</v>
      </c>
      <c r="J260" s="428">
        <v>7.0</v>
      </c>
      <c r="K260" s="535" t="s">
        <v>228</v>
      </c>
      <c r="L260" s="397" t="s">
        <v>258</v>
      </c>
      <c r="M260" s="529">
        <f t="shared" si="1"/>
        <v>2061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19">
        <v>26019.0</v>
      </c>
      <c r="B261" s="420" t="s">
        <v>6334</v>
      </c>
      <c r="C261" s="420">
        <v>2013.0</v>
      </c>
      <c r="D261" s="497">
        <v>41607.0</v>
      </c>
      <c r="E261" s="422" t="s">
        <v>6335</v>
      </c>
      <c r="F261" s="394" t="s">
        <v>1108</v>
      </c>
      <c r="G261" s="422" t="s">
        <v>552</v>
      </c>
      <c r="H261" s="394" t="s">
        <v>149</v>
      </c>
      <c r="I261" s="497">
        <v>43665.0</v>
      </c>
      <c r="J261" s="422">
        <v>7.0</v>
      </c>
      <c r="K261" s="531" t="s">
        <v>238</v>
      </c>
      <c r="L261" s="394" t="s">
        <v>256</v>
      </c>
      <c r="M261" s="528">
        <f t="shared" si="1"/>
        <v>2058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25">
        <v>26119.0</v>
      </c>
      <c r="B262" s="426" t="s">
        <v>6336</v>
      </c>
      <c r="C262" s="426">
        <v>2015.0</v>
      </c>
      <c r="D262" s="500">
        <v>42199.0</v>
      </c>
      <c r="E262" s="428" t="s">
        <v>6337</v>
      </c>
      <c r="F262" s="397" t="s">
        <v>44</v>
      </c>
      <c r="G262" s="428" t="s">
        <v>650</v>
      </c>
      <c r="H262" s="397" t="s">
        <v>2964</v>
      </c>
      <c r="I262" s="500">
        <v>43665.0</v>
      </c>
      <c r="J262" s="428">
        <v>7.0</v>
      </c>
      <c r="K262" s="535" t="s">
        <v>228</v>
      </c>
      <c r="L262" s="397" t="s">
        <v>258</v>
      </c>
      <c r="M262" s="529">
        <f t="shared" si="1"/>
        <v>1466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19">
        <v>26219.0</v>
      </c>
      <c r="B263" s="420" t="s">
        <v>6338</v>
      </c>
      <c r="C263" s="420">
        <v>2015.0</v>
      </c>
      <c r="D263" s="497">
        <v>42167.0</v>
      </c>
      <c r="E263" s="422" t="s">
        <v>6339</v>
      </c>
      <c r="F263" s="394" t="s">
        <v>909</v>
      </c>
      <c r="G263" s="422" t="s">
        <v>552</v>
      </c>
      <c r="H263" s="394" t="s">
        <v>56</v>
      </c>
      <c r="I263" s="497">
        <v>43665.0</v>
      </c>
      <c r="J263" s="422">
        <v>7.0</v>
      </c>
      <c r="K263" s="531" t="s">
        <v>238</v>
      </c>
      <c r="L263" s="394" t="s">
        <v>258</v>
      </c>
      <c r="M263" s="528">
        <f t="shared" si="1"/>
        <v>1498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25">
        <v>26319.0</v>
      </c>
      <c r="B264" s="426" t="s">
        <v>6340</v>
      </c>
      <c r="C264" s="426">
        <v>2019.0</v>
      </c>
      <c r="D264" s="500">
        <v>43509.0</v>
      </c>
      <c r="E264" s="428" t="s">
        <v>6341</v>
      </c>
      <c r="F264" s="397" t="s">
        <v>5883</v>
      </c>
      <c r="G264" s="428" t="s">
        <v>17</v>
      </c>
      <c r="H264" s="397" t="s">
        <v>149</v>
      </c>
      <c r="I264" s="500">
        <v>43691.0</v>
      </c>
      <c r="J264" s="428">
        <v>8.0</v>
      </c>
      <c r="K264" s="531" t="s">
        <v>238</v>
      </c>
      <c r="L264" s="397" t="s">
        <v>258</v>
      </c>
      <c r="M264" s="529">
        <f t="shared" si="1"/>
        <v>182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19">
        <v>26419.0</v>
      </c>
      <c r="B265" s="420" t="s">
        <v>6342</v>
      </c>
      <c r="C265" s="420">
        <v>2018.0</v>
      </c>
      <c r="D265" s="497">
        <v>43427.0</v>
      </c>
      <c r="E265" s="422" t="s">
        <v>6343</v>
      </c>
      <c r="F265" s="394" t="s">
        <v>44</v>
      </c>
      <c r="G265" s="422" t="s">
        <v>17</v>
      </c>
      <c r="H265" s="394" t="s">
        <v>149</v>
      </c>
      <c r="I265" s="497">
        <v>43691.0</v>
      </c>
      <c r="J265" s="422">
        <v>8.0</v>
      </c>
      <c r="K265" s="535" t="s">
        <v>228</v>
      </c>
      <c r="L265" s="394" t="s">
        <v>258</v>
      </c>
      <c r="M265" s="528">
        <f t="shared" si="1"/>
        <v>264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25">
        <v>26519.0</v>
      </c>
      <c r="B266" s="426" t="s">
        <v>6344</v>
      </c>
      <c r="C266" s="426">
        <v>2015.0</v>
      </c>
      <c r="D266" s="500">
        <v>42242.0</v>
      </c>
      <c r="E266" s="428" t="s">
        <v>6345</v>
      </c>
      <c r="F266" s="397" t="s">
        <v>2192</v>
      </c>
      <c r="G266" s="428" t="s">
        <v>17</v>
      </c>
      <c r="H266" s="397" t="s">
        <v>50</v>
      </c>
      <c r="I266" s="500">
        <v>43691.0</v>
      </c>
      <c r="J266" s="428">
        <v>8.0</v>
      </c>
      <c r="K266" s="535" t="s">
        <v>228</v>
      </c>
      <c r="L266" s="397" t="s">
        <v>258</v>
      </c>
      <c r="M266" s="529">
        <f t="shared" si="1"/>
        <v>1449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19">
        <v>26619.0</v>
      </c>
      <c r="B267" s="420" t="s">
        <v>6346</v>
      </c>
      <c r="C267" s="420">
        <v>2016.0</v>
      </c>
      <c r="D267" s="497">
        <v>42383.0</v>
      </c>
      <c r="E267" s="422" t="s">
        <v>6347</v>
      </c>
      <c r="F267" s="394" t="s">
        <v>2192</v>
      </c>
      <c r="G267" s="422" t="s">
        <v>17</v>
      </c>
      <c r="H267" s="394" t="s">
        <v>573</v>
      </c>
      <c r="I267" s="497">
        <v>43691.0</v>
      </c>
      <c r="J267" s="422">
        <v>8.0</v>
      </c>
      <c r="K267" s="535" t="s">
        <v>228</v>
      </c>
      <c r="L267" s="394" t="s">
        <v>258</v>
      </c>
      <c r="M267" s="528">
        <f t="shared" si="1"/>
        <v>1308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25">
        <v>26719.0</v>
      </c>
      <c r="B268" s="426" t="s">
        <v>6348</v>
      </c>
      <c r="C268" s="426">
        <v>2015.0</v>
      </c>
      <c r="D268" s="500">
        <v>42311.0</v>
      </c>
      <c r="E268" s="428" t="s">
        <v>6349</v>
      </c>
      <c r="F268" s="397" t="s">
        <v>2192</v>
      </c>
      <c r="G268" s="428" t="s">
        <v>17</v>
      </c>
      <c r="H268" s="397" t="s">
        <v>583</v>
      </c>
      <c r="I268" s="500">
        <v>43691.0</v>
      </c>
      <c r="J268" s="428">
        <v>8.0</v>
      </c>
      <c r="K268" s="535" t="s">
        <v>228</v>
      </c>
      <c r="L268" s="397" t="s">
        <v>258</v>
      </c>
      <c r="M268" s="529">
        <f t="shared" si="1"/>
        <v>1380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19">
        <v>26819.0</v>
      </c>
      <c r="B269" s="420" t="s">
        <v>6350</v>
      </c>
      <c r="C269" s="420">
        <v>2016.0</v>
      </c>
      <c r="D269" s="497">
        <v>42415.0</v>
      </c>
      <c r="E269" s="422" t="s">
        <v>6351</v>
      </c>
      <c r="F269" s="394" t="s">
        <v>2192</v>
      </c>
      <c r="G269" s="422" t="s">
        <v>17</v>
      </c>
      <c r="H269" s="394" t="s">
        <v>163</v>
      </c>
      <c r="I269" s="497">
        <v>43691.0</v>
      </c>
      <c r="J269" s="422">
        <v>8.0</v>
      </c>
      <c r="K269" s="535" t="s">
        <v>228</v>
      </c>
      <c r="L269" s="394" t="s">
        <v>258</v>
      </c>
      <c r="M269" s="528">
        <f t="shared" si="1"/>
        <v>1276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425">
        <v>26919.0</v>
      </c>
      <c r="B270" s="426" t="s">
        <v>6352</v>
      </c>
      <c r="C270" s="426">
        <v>2017.0</v>
      </c>
      <c r="D270" s="500">
        <v>42971.0</v>
      </c>
      <c r="E270" s="428" t="s">
        <v>6353</v>
      </c>
      <c r="F270" s="397" t="s">
        <v>1440</v>
      </c>
      <c r="G270" s="428" t="s">
        <v>17</v>
      </c>
      <c r="H270" s="397" t="s">
        <v>26</v>
      </c>
      <c r="I270" s="500">
        <v>43691.0</v>
      </c>
      <c r="J270" s="428">
        <v>8.0</v>
      </c>
      <c r="K270" s="531" t="s">
        <v>238</v>
      </c>
      <c r="L270" s="397" t="s">
        <v>256</v>
      </c>
      <c r="M270" s="529">
        <f t="shared" si="1"/>
        <v>720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19">
        <v>27019.0</v>
      </c>
      <c r="B271" s="420" t="s">
        <v>6354</v>
      </c>
      <c r="C271" s="420">
        <v>2016.0</v>
      </c>
      <c r="D271" s="497">
        <v>42718.0</v>
      </c>
      <c r="E271" s="422" t="s">
        <v>6355</v>
      </c>
      <c r="F271" s="394" t="s">
        <v>3934</v>
      </c>
      <c r="G271" s="422" t="s">
        <v>17</v>
      </c>
      <c r="H271" s="394" t="s">
        <v>163</v>
      </c>
      <c r="I271" s="497">
        <v>43691.0</v>
      </c>
      <c r="J271" s="422">
        <v>8.0</v>
      </c>
      <c r="K271" s="539" t="s">
        <v>234</v>
      </c>
      <c r="L271" s="394" t="s">
        <v>256</v>
      </c>
      <c r="M271" s="528">
        <f t="shared" si="1"/>
        <v>973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25">
        <v>27119.0</v>
      </c>
      <c r="B272" s="426" t="s">
        <v>6356</v>
      </c>
      <c r="C272" s="426">
        <v>2017.0</v>
      </c>
      <c r="D272" s="500">
        <v>42838.0</v>
      </c>
      <c r="E272" s="428" t="s">
        <v>6357</v>
      </c>
      <c r="F272" s="397" t="s">
        <v>2667</v>
      </c>
      <c r="G272" s="428" t="s">
        <v>17</v>
      </c>
      <c r="H272" s="397" t="s">
        <v>573</v>
      </c>
      <c r="I272" s="500">
        <v>43691.0</v>
      </c>
      <c r="J272" s="428">
        <v>8.0</v>
      </c>
      <c r="K272" s="535" t="s">
        <v>228</v>
      </c>
      <c r="L272" s="397" t="s">
        <v>256</v>
      </c>
      <c r="M272" s="529">
        <f t="shared" si="1"/>
        <v>853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19">
        <v>27219.0</v>
      </c>
      <c r="B273" s="420" t="s">
        <v>6358</v>
      </c>
      <c r="C273" s="420">
        <v>2019.0</v>
      </c>
      <c r="D273" s="497">
        <v>43615.0</v>
      </c>
      <c r="E273" s="422" t="s">
        <v>6359</v>
      </c>
      <c r="F273" s="394" t="s">
        <v>171</v>
      </c>
      <c r="G273" s="422" t="s">
        <v>17</v>
      </c>
      <c r="H273" s="394" t="s">
        <v>1091</v>
      </c>
      <c r="I273" s="497">
        <v>43691.0</v>
      </c>
      <c r="J273" s="422">
        <v>8.0</v>
      </c>
      <c r="K273" s="531" t="s">
        <v>238</v>
      </c>
      <c r="L273" s="394" t="s">
        <v>256</v>
      </c>
      <c r="M273" s="528">
        <f t="shared" si="1"/>
        <v>76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25">
        <v>27319.0</v>
      </c>
      <c r="B274" s="426" t="s">
        <v>6360</v>
      </c>
      <c r="C274" s="426">
        <v>2019.0</v>
      </c>
      <c r="D274" s="500">
        <v>43522.0</v>
      </c>
      <c r="E274" s="428" t="s">
        <v>6361</v>
      </c>
      <c r="F274" s="397" t="s">
        <v>171</v>
      </c>
      <c r="G274" s="428" t="s">
        <v>17</v>
      </c>
      <c r="H274" s="397" t="s">
        <v>573</v>
      </c>
      <c r="I274" s="500">
        <v>43691.0</v>
      </c>
      <c r="J274" s="428">
        <v>8.0</v>
      </c>
      <c r="K274" s="531" t="s">
        <v>238</v>
      </c>
      <c r="L274" s="397" t="s">
        <v>256</v>
      </c>
      <c r="M274" s="529">
        <f t="shared" si="1"/>
        <v>169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19">
        <v>27419.0</v>
      </c>
      <c r="B275" s="420" t="s">
        <v>6362</v>
      </c>
      <c r="C275" s="420">
        <v>2018.0</v>
      </c>
      <c r="D275" s="497">
        <v>43298.0</v>
      </c>
      <c r="E275" s="422" t="s">
        <v>6363</v>
      </c>
      <c r="F275" s="394" t="s">
        <v>711</v>
      </c>
      <c r="G275" s="422" t="s">
        <v>17</v>
      </c>
      <c r="H275" s="394" t="s">
        <v>990</v>
      </c>
      <c r="I275" s="497">
        <v>43691.0</v>
      </c>
      <c r="J275" s="422">
        <v>8.0</v>
      </c>
      <c r="K275" s="531" t="s">
        <v>238</v>
      </c>
      <c r="L275" s="394" t="s">
        <v>256</v>
      </c>
      <c r="M275" s="528">
        <f t="shared" si="1"/>
        <v>393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425">
        <v>27519.0</v>
      </c>
      <c r="B276" s="426" t="s">
        <v>6364</v>
      </c>
      <c r="C276" s="426">
        <v>2018.0</v>
      </c>
      <c r="D276" s="500">
        <v>43311.0</v>
      </c>
      <c r="E276" s="428" t="s">
        <v>6365</v>
      </c>
      <c r="F276" s="397" t="s">
        <v>2233</v>
      </c>
      <c r="G276" s="428" t="s">
        <v>17</v>
      </c>
      <c r="H276" s="397" t="s">
        <v>573</v>
      </c>
      <c r="I276" s="500">
        <v>43691.0</v>
      </c>
      <c r="J276" s="428">
        <v>8.0</v>
      </c>
      <c r="K276" s="535" t="s">
        <v>228</v>
      </c>
      <c r="L276" s="397" t="s">
        <v>256</v>
      </c>
      <c r="M276" s="529">
        <f t="shared" si="1"/>
        <v>380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19">
        <v>27619.0</v>
      </c>
      <c r="B277" s="420" t="s">
        <v>6366</v>
      </c>
      <c r="C277" s="420">
        <v>2017.0</v>
      </c>
      <c r="D277" s="497">
        <v>43040.0</v>
      </c>
      <c r="E277" s="422" t="s">
        <v>6367</v>
      </c>
      <c r="F277" s="394" t="s">
        <v>1440</v>
      </c>
      <c r="G277" s="422" t="s">
        <v>17</v>
      </c>
      <c r="H277" s="394" t="s">
        <v>66</v>
      </c>
      <c r="I277" s="497">
        <v>43691.0</v>
      </c>
      <c r="J277" s="422">
        <v>8.0</v>
      </c>
      <c r="K277" s="531" t="s">
        <v>238</v>
      </c>
      <c r="L277" s="394" t="s">
        <v>256</v>
      </c>
      <c r="M277" s="528">
        <f t="shared" si="1"/>
        <v>651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25">
        <v>27719.0</v>
      </c>
      <c r="B278" s="426" t="s">
        <v>6368</v>
      </c>
      <c r="C278" s="426">
        <v>2013.0</v>
      </c>
      <c r="D278" s="500">
        <v>41453.0</v>
      </c>
      <c r="E278" s="428" t="s">
        <v>6369</v>
      </c>
      <c r="F278" s="397" t="s">
        <v>1811</v>
      </c>
      <c r="G278" s="428" t="s">
        <v>17</v>
      </c>
      <c r="H278" s="397" t="s">
        <v>66</v>
      </c>
      <c r="I278" s="500">
        <v>43691.0</v>
      </c>
      <c r="J278" s="428">
        <v>8.0</v>
      </c>
      <c r="K278" s="571" t="s">
        <v>244</v>
      </c>
      <c r="L278" s="397" t="s">
        <v>258</v>
      </c>
      <c r="M278" s="529">
        <f t="shared" si="1"/>
        <v>2238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19">
        <v>27819.0</v>
      </c>
      <c r="B279" s="420" t="s">
        <v>6370</v>
      </c>
      <c r="C279" s="420">
        <v>2014.0</v>
      </c>
      <c r="D279" s="497">
        <v>41927.0</v>
      </c>
      <c r="E279" s="422" t="s">
        <v>6371</v>
      </c>
      <c r="F279" s="394" t="s">
        <v>3934</v>
      </c>
      <c r="G279" s="422" t="s">
        <v>17</v>
      </c>
      <c r="H279" s="394" t="s">
        <v>2164</v>
      </c>
      <c r="I279" s="497">
        <v>43691.0</v>
      </c>
      <c r="J279" s="422">
        <v>8.0</v>
      </c>
      <c r="K279" s="539" t="s">
        <v>234</v>
      </c>
      <c r="L279" s="394" t="s">
        <v>256</v>
      </c>
      <c r="M279" s="528">
        <f t="shared" si="1"/>
        <v>1764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25">
        <v>27919.0</v>
      </c>
      <c r="B280" s="426" t="s">
        <v>6372</v>
      </c>
      <c r="C280" s="426">
        <v>2014.0</v>
      </c>
      <c r="D280" s="500">
        <v>41844.0</v>
      </c>
      <c r="E280" s="428" t="s">
        <v>6373</v>
      </c>
      <c r="F280" s="397" t="s">
        <v>3934</v>
      </c>
      <c r="G280" s="428" t="s">
        <v>17</v>
      </c>
      <c r="H280" s="397" t="s">
        <v>5049</v>
      </c>
      <c r="I280" s="500">
        <v>43691.0</v>
      </c>
      <c r="J280" s="428">
        <v>8.0</v>
      </c>
      <c r="K280" s="539" t="s">
        <v>234</v>
      </c>
      <c r="L280" s="397" t="s">
        <v>256</v>
      </c>
      <c r="M280" s="529">
        <f t="shared" si="1"/>
        <v>1847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19">
        <v>28019.0</v>
      </c>
      <c r="B281" s="420" t="s">
        <v>6374</v>
      </c>
      <c r="C281" s="420">
        <v>2014.0</v>
      </c>
      <c r="D281" s="497">
        <v>41880.0</v>
      </c>
      <c r="E281" s="422" t="s">
        <v>6375</v>
      </c>
      <c r="F281" s="394" t="s">
        <v>3934</v>
      </c>
      <c r="G281" s="422" t="s">
        <v>17</v>
      </c>
      <c r="H281" s="394" t="s">
        <v>50</v>
      </c>
      <c r="I281" s="497">
        <v>43691.0</v>
      </c>
      <c r="J281" s="422">
        <v>8.0</v>
      </c>
      <c r="K281" s="539" t="s">
        <v>234</v>
      </c>
      <c r="L281" s="394" t="s">
        <v>256</v>
      </c>
      <c r="M281" s="528">
        <f t="shared" si="1"/>
        <v>1811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25">
        <v>28119.0</v>
      </c>
      <c r="B282" s="426" t="s">
        <v>6376</v>
      </c>
      <c r="C282" s="426">
        <v>2017.0</v>
      </c>
      <c r="D282" s="500">
        <v>43088.0</v>
      </c>
      <c r="E282" s="428" t="s">
        <v>6377</v>
      </c>
      <c r="F282" s="397" t="s">
        <v>1108</v>
      </c>
      <c r="G282" s="428" t="s">
        <v>17</v>
      </c>
      <c r="H282" s="397" t="s">
        <v>66</v>
      </c>
      <c r="I282" s="500">
        <v>43691.0</v>
      </c>
      <c r="J282" s="428">
        <v>8.0</v>
      </c>
      <c r="K282" s="531" t="s">
        <v>238</v>
      </c>
      <c r="L282" s="397" t="s">
        <v>256</v>
      </c>
      <c r="M282" s="529">
        <f t="shared" si="1"/>
        <v>603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19">
        <v>28219.0</v>
      </c>
      <c r="B283" s="420" t="s">
        <v>6378</v>
      </c>
      <c r="C283" s="420">
        <v>2013.0</v>
      </c>
      <c r="D283" s="497">
        <v>41627.0</v>
      </c>
      <c r="E283" s="422" t="s">
        <v>6379</v>
      </c>
      <c r="F283" s="394" t="s">
        <v>6380</v>
      </c>
      <c r="G283" s="422" t="s">
        <v>547</v>
      </c>
      <c r="H283" s="394" t="s">
        <v>2964</v>
      </c>
      <c r="I283" s="497">
        <v>43691.0</v>
      </c>
      <c r="J283" s="422">
        <v>8.0</v>
      </c>
      <c r="K283" s="535" t="s">
        <v>228</v>
      </c>
      <c r="L283" s="394" t="s">
        <v>254</v>
      </c>
      <c r="M283" s="528">
        <f t="shared" si="1"/>
        <v>2064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25">
        <v>28319.0</v>
      </c>
      <c r="B284" s="426" t="s">
        <v>6381</v>
      </c>
      <c r="C284" s="426">
        <v>2013.0</v>
      </c>
      <c r="D284" s="500">
        <v>41515.0</v>
      </c>
      <c r="E284" s="428" t="s">
        <v>6382</v>
      </c>
      <c r="F284" s="397" t="s">
        <v>2307</v>
      </c>
      <c r="G284" s="428" t="s">
        <v>552</v>
      </c>
      <c r="H284" s="397" t="s">
        <v>1091</v>
      </c>
      <c r="I284" s="500">
        <v>43691.0</v>
      </c>
      <c r="J284" s="428">
        <v>8.0</v>
      </c>
      <c r="K284" s="531" t="s">
        <v>238</v>
      </c>
      <c r="L284" s="397" t="s">
        <v>256</v>
      </c>
      <c r="M284" s="529">
        <f t="shared" si="1"/>
        <v>2176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19">
        <v>28419.0</v>
      </c>
      <c r="B285" s="420" t="s">
        <v>6383</v>
      </c>
      <c r="C285" s="420">
        <v>2015.0</v>
      </c>
      <c r="D285" s="497">
        <v>42124.0</v>
      </c>
      <c r="E285" s="422" t="s">
        <v>6384</v>
      </c>
      <c r="F285" s="394" t="s">
        <v>1968</v>
      </c>
      <c r="G285" s="422" t="s">
        <v>552</v>
      </c>
      <c r="H285" s="394" t="s">
        <v>2164</v>
      </c>
      <c r="I285" s="497">
        <v>43691.0</v>
      </c>
      <c r="J285" s="422">
        <v>8.0</v>
      </c>
      <c r="K285" s="531" t="s">
        <v>238</v>
      </c>
      <c r="L285" s="394" t="s">
        <v>256</v>
      </c>
      <c r="M285" s="528">
        <f t="shared" si="1"/>
        <v>1567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25">
        <v>28519.0</v>
      </c>
      <c r="B286" s="426" t="s">
        <v>6385</v>
      </c>
      <c r="C286" s="426">
        <v>2014.0</v>
      </c>
      <c r="D286" s="500">
        <v>41914.0</v>
      </c>
      <c r="E286" s="428" t="s">
        <v>6386</v>
      </c>
      <c r="F286" s="397" t="s">
        <v>2071</v>
      </c>
      <c r="G286" s="428" t="s">
        <v>552</v>
      </c>
      <c r="H286" s="397" t="s">
        <v>50</v>
      </c>
      <c r="I286" s="500">
        <v>43691.0</v>
      </c>
      <c r="J286" s="428">
        <v>8.0</v>
      </c>
      <c r="K286" s="535" t="s">
        <v>228</v>
      </c>
      <c r="L286" s="397" t="s">
        <v>258</v>
      </c>
      <c r="M286" s="529">
        <f t="shared" si="1"/>
        <v>1777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19">
        <v>28619.0</v>
      </c>
      <c r="B287" s="420" t="s">
        <v>6387</v>
      </c>
      <c r="C287" s="420">
        <v>2015.0</v>
      </c>
      <c r="D287" s="497">
        <v>42300.0</v>
      </c>
      <c r="E287" s="422" t="s">
        <v>6388</v>
      </c>
      <c r="F287" s="394" t="s">
        <v>1464</v>
      </c>
      <c r="G287" s="422" t="s">
        <v>552</v>
      </c>
      <c r="H287" s="394" t="s">
        <v>66</v>
      </c>
      <c r="I287" s="497">
        <v>43691.0</v>
      </c>
      <c r="J287" s="422">
        <v>8.0</v>
      </c>
      <c r="K287" s="535" t="s">
        <v>228</v>
      </c>
      <c r="L287" s="394" t="s">
        <v>256</v>
      </c>
      <c r="M287" s="528">
        <f t="shared" si="1"/>
        <v>1391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25">
        <v>28719.0</v>
      </c>
      <c r="B288" s="426" t="s">
        <v>6389</v>
      </c>
      <c r="C288" s="426">
        <v>2015.0</v>
      </c>
      <c r="D288" s="500">
        <v>42094.0</v>
      </c>
      <c r="E288" s="428" t="s">
        <v>6390</v>
      </c>
      <c r="F288" s="397" t="s">
        <v>1401</v>
      </c>
      <c r="G288" s="428" t="s">
        <v>552</v>
      </c>
      <c r="H288" s="397" t="s">
        <v>5049</v>
      </c>
      <c r="I288" s="500">
        <v>43691.0</v>
      </c>
      <c r="J288" s="428">
        <v>8.0</v>
      </c>
      <c r="K288" s="531" t="s">
        <v>238</v>
      </c>
      <c r="L288" s="397" t="s">
        <v>258</v>
      </c>
      <c r="M288" s="529">
        <f t="shared" si="1"/>
        <v>1597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19">
        <v>28819.0</v>
      </c>
      <c r="B289" s="420" t="s">
        <v>6391</v>
      </c>
      <c r="C289" s="420">
        <v>2012.0</v>
      </c>
      <c r="D289" s="497">
        <v>41269.0</v>
      </c>
      <c r="E289" s="422" t="s">
        <v>6392</v>
      </c>
      <c r="F289" s="394" t="s">
        <v>6393</v>
      </c>
      <c r="G289" s="422" t="s">
        <v>552</v>
      </c>
      <c r="H289" s="394" t="s">
        <v>50</v>
      </c>
      <c r="I289" s="497">
        <v>43691.0</v>
      </c>
      <c r="J289" s="422">
        <v>8.0</v>
      </c>
      <c r="K289" s="535" t="s">
        <v>228</v>
      </c>
      <c r="L289" s="394" t="s">
        <v>256</v>
      </c>
      <c r="M289" s="528">
        <f t="shared" si="1"/>
        <v>2422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25">
        <v>28919.0</v>
      </c>
      <c r="B290" s="426" t="s">
        <v>6394</v>
      </c>
      <c r="C290" s="426">
        <v>2013.0</v>
      </c>
      <c r="D290" s="500">
        <v>41603.0</v>
      </c>
      <c r="E290" s="428" t="s">
        <v>6395</v>
      </c>
      <c r="F290" s="397" t="s">
        <v>1554</v>
      </c>
      <c r="G290" s="428" t="s">
        <v>552</v>
      </c>
      <c r="H290" s="397" t="s">
        <v>50</v>
      </c>
      <c r="I290" s="500">
        <v>43691.0</v>
      </c>
      <c r="J290" s="428">
        <v>8.0</v>
      </c>
      <c r="K290" s="531" t="s">
        <v>238</v>
      </c>
      <c r="L290" s="397" t="s">
        <v>258</v>
      </c>
      <c r="M290" s="529">
        <f t="shared" si="1"/>
        <v>2088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19">
        <v>29019.0</v>
      </c>
      <c r="B291" s="420" t="s">
        <v>6396</v>
      </c>
      <c r="C291" s="420">
        <v>2009.0</v>
      </c>
      <c r="D291" s="497">
        <v>40101.0</v>
      </c>
      <c r="E291" s="422" t="s">
        <v>6397</v>
      </c>
      <c r="F291" s="394" t="s">
        <v>6398</v>
      </c>
      <c r="G291" s="422" t="s">
        <v>34</v>
      </c>
      <c r="H291" s="394" t="s">
        <v>705</v>
      </c>
      <c r="I291" s="497">
        <v>43691.0</v>
      </c>
      <c r="J291" s="422">
        <v>8.0</v>
      </c>
      <c r="K291" s="531" t="s">
        <v>238</v>
      </c>
      <c r="L291" s="394" t="s">
        <v>256</v>
      </c>
      <c r="M291" s="528">
        <f t="shared" si="1"/>
        <v>3590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25">
        <v>29119.0</v>
      </c>
      <c r="B292" s="426" t="s">
        <v>6399</v>
      </c>
      <c r="C292" s="426">
        <v>2010.0</v>
      </c>
      <c r="D292" s="500">
        <v>40379.0</v>
      </c>
      <c r="E292" s="428" t="s">
        <v>6400</v>
      </c>
      <c r="F292" s="397" t="s">
        <v>6401</v>
      </c>
      <c r="G292" s="428" t="s">
        <v>34</v>
      </c>
      <c r="H292" s="397" t="s">
        <v>1002</v>
      </c>
      <c r="I292" s="500">
        <v>43691.0</v>
      </c>
      <c r="J292" s="428">
        <v>8.0</v>
      </c>
      <c r="K292" s="535" t="s">
        <v>228</v>
      </c>
      <c r="L292" s="397" t="s">
        <v>256</v>
      </c>
      <c r="M292" s="529">
        <f t="shared" si="1"/>
        <v>3312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19">
        <v>29219.0</v>
      </c>
      <c r="B293" s="420" t="s">
        <v>6402</v>
      </c>
      <c r="C293" s="420">
        <v>2015.0</v>
      </c>
      <c r="D293" s="497">
        <v>42216.0</v>
      </c>
      <c r="E293" s="422" t="s">
        <v>6403</v>
      </c>
      <c r="F293" s="394" t="s">
        <v>2260</v>
      </c>
      <c r="G293" s="422" t="s">
        <v>17</v>
      </c>
      <c r="H293" s="394" t="s">
        <v>573</v>
      </c>
      <c r="I293" s="497">
        <v>43691.0</v>
      </c>
      <c r="J293" s="422">
        <v>8.0</v>
      </c>
      <c r="K293" s="531" t="s">
        <v>238</v>
      </c>
      <c r="L293" s="394" t="s">
        <v>256</v>
      </c>
      <c r="M293" s="528">
        <f t="shared" si="1"/>
        <v>1475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25">
        <v>29319.0</v>
      </c>
      <c r="B294" s="426" t="s">
        <v>6404</v>
      </c>
      <c r="C294" s="426">
        <v>2017.0</v>
      </c>
      <c r="D294" s="500">
        <v>42802.0</v>
      </c>
      <c r="E294" s="428" t="s">
        <v>6405</v>
      </c>
      <c r="F294" s="397" t="s">
        <v>874</v>
      </c>
      <c r="G294" s="428" t="s">
        <v>17</v>
      </c>
      <c r="H294" s="397" t="s">
        <v>163</v>
      </c>
      <c r="I294" s="500">
        <v>43693.0</v>
      </c>
      <c r="J294" s="428">
        <v>8.0</v>
      </c>
      <c r="K294" s="539" t="s">
        <v>234</v>
      </c>
      <c r="L294" s="397" t="s">
        <v>256</v>
      </c>
      <c r="M294" s="529">
        <f t="shared" si="1"/>
        <v>891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19">
        <v>29419.0</v>
      </c>
      <c r="B295" s="420" t="s">
        <v>6406</v>
      </c>
      <c r="C295" s="420">
        <v>2018.0</v>
      </c>
      <c r="D295" s="497">
        <v>43131.0</v>
      </c>
      <c r="E295" s="422" t="s">
        <v>6407</v>
      </c>
      <c r="F295" s="394" t="s">
        <v>874</v>
      </c>
      <c r="G295" s="422" t="s">
        <v>17</v>
      </c>
      <c r="H295" s="394" t="s">
        <v>26</v>
      </c>
      <c r="I295" s="497">
        <v>43693.0</v>
      </c>
      <c r="J295" s="422">
        <v>8.0</v>
      </c>
      <c r="K295" s="539" t="s">
        <v>234</v>
      </c>
      <c r="L295" s="394" t="s">
        <v>256</v>
      </c>
      <c r="M295" s="528">
        <f t="shared" si="1"/>
        <v>562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25">
        <v>29519.0</v>
      </c>
      <c r="B296" s="426" t="s">
        <v>6408</v>
      </c>
      <c r="C296" s="426">
        <v>2018.0</v>
      </c>
      <c r="D296" s="500">
        <v>43403.0</v>
      </c>
      <c r="E296" s="428" t="s">
        <v>6409</v>
      </c>
      <c r="F296" s="397" t="s">
        <v>874</v>
      </c>
      <c r="G296" s="428" t="s">
        <v>17</v>
      </c>
      <c r="H296" s="397" t="s">
        <v>1091</v>
      </c>
      <c r="I296" s="500">
        <v>43693.0</v>
      </c>
      <c r="J296" s="428">
        <v>8.0</v>
      </c>
      <c r="K296" s="539" t="s">
        <v>234</v>
      </c>
      <c r="L296" s="397" t="s">
        <v>256</v>
      </c>
      <c r="M296" s="529">
        <f t="shared" si="1"/>
        <v>290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19">
        <v>29619.0</v>
      </c>
      <c r="B297" s="420" t="s">
        <v>6410</v>
      </c>
      <c r="C297" s="420">
        <v>2018.0</v>
      </c>
      <c r="D297" s="497">
        <v>43445.0</v>
      </c>
      <c r="E297" s="422" t="s">
        <v>6411</v>
      </c>
      <c r="F297" s="394" t="s">
        <v>874</v>
      </c>
      <c r="G297" s="422" t="s">
        <v>17</v>
      </c>
      <c r="H297" s="394" t="s">
        <v>573</v>
      </c>
      <c r="I297" s="497">
        <v>43693.0</v>
      </c>
      <c r="J297" s="422">
        <v>8.0</v>
      </c>
      <c r="K297" s="539" t="s">
        <v>234</v>
      </c>
      <c r="L297" s="394" t="s">
        <v>256</v>
      </c>
      <c r="M297" s="528">
        <f t="shared" si="1"/>
        <v>248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25">
        <v>29719.0</v>
      </c>
      <c r="B298" s="426" t="s">
        <v>6412</v>
      </c>
      <c r="C298" s="426">
        <v>2016.0</v>
      </c>
      <c r="D298" s="500">
        <v>42628.0</v>
      </c>
      <c r="E298" s="428" t="s">
        <v>6413</v>
      </c>
      <c r="F298" s="397" t="s">
        <v>2307</v>
      </c>
      <c r="G298" s="428" t="s">
        <v>17</v>
      </c>
      <c r="H298" s="397" t="s">
        <v>573</v>
      </c>
      <c r="I298" s="500">
        <v>43693.0</v>
      </c>
      <c r="J298" s="428">
        <v>8.0</v>
      </c>
      <c r="K298" s="531" t="s">
        <v>238</v>
      </c>
      <c r="L298" s="397" t="s">
        <v>256</v>
      </c>
      <c r="M298" s="529">
        <f t="shared" si="1"/>
        <v>1065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19">
        <v>29819.0</v>
      </c>
      <c r="B299" s="420" t="s">
        <v>6414</v>
      </c>
      <c r="C299" s="420">
        <v>2017.0</v>
      </c>
      <c r="D299" s="497">
        <v>43021.0</v>
      </c>
      <c r="E299" s="422" t="s">
        <v>6415</v>
      </c>
      <c r="F299" s="394" t="s">
        <v>2307</v>
      </c>
      <c r="G299" s="422" t="s">
        <v>17</v>
      </c>
      <c r="H299" s="394" t="s">
        <v>66</v>
      </c>
      <c r="I299" s="497">
        <v>43697.0</v>
      </c>
      <c r="J299" s="422">
        <v>8.0</v>
      </c>
      <c r="K299" s="531" t="s">
        <v>238</v>
      </c>
      <c r="L299" s="394" t="s">
        <v>256</v>
      </c>
      <c r="M299" s="528">
        <f t="shared" si="1"/>
        <v>676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25">
        <v>29919.0</v>
      </c>
      <c r="B300" s="426" t="s">
        <v>6416</v>
      </c>
      <c r="C300" s="426">
        <v>2016.0</v>
      </c>
      <c r="D300" s="500">
        <v>42711.0</v>
      </c>
      <c r="E300" s="428" t="s">
        <v>6417</v>
      </c>
      <c r="F300" s="397" t="s">
        <v>2307</v>
      </c>
      <c r="G300" s="428" t="s">
        <v>17</v>
      </c>
      <c r="H300" s="397" t="s">
        <v>934</v>
      </c>
      <c r="I300" s="500">
        <v>43697.0</v>
      </c>
      <c r="J300" s="428">
        <v>8.0</v>
      </c>
      <c r="K300" s="531" t="s">
        <v>238</v>
      </c>
      <c r="L300" s="397" t="s">
        <v>256</v>
      </c>
      <c r="M300" s="529">
        <f t="shared" si="1"/>
        <v>986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419">
        <v>30019.0</v>
      </c>
      <c r="B301" s="420" t="s">
        <v>6418</v>
      </c>
      <c r="C301" s="420">
        <v>2018.0</v>
      </c>
      <c r="D301" s="497">
        <v>43154.0</v>
      </c>
      <c r="E301" s="422" t="s">
        <v>6419</v>
      </c>
      <c r="F301" s="394" t="s">
        <v>2307</v>
      </c>
      <c r="G301" s="422" t="s">
        <v>17</v>
      </c>
      <c r="H301" s="394" t="s">
        <v>39</v>
      </c>
      <c r="I301" s="497">
        <v>43697.0</v>
      </c>
      <c r="J301" s="422">
        <v>8.0</v>
      </c>
      <c r="K301" s="531" t="s">
        <v>238</v>
      </c>
      <c r="L301" s="394" t="s">
        <v>256</v>
      </c>
      <c r="M301" s="528">
        <f t="shared" si="1"/>
        <v>543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25">
        <v>30119.0</v>
      </c>
      <c r="B302" s="426" t="s">
        <v>6420</v>
      </c>
      <c r="C302" s="426">
        <v>2013.0</v>
      </c>
      <c r="D302" s="500">
        <v>41628.0</v>
      </c>
      <c r="E302" s="428" t="s">
        <v>6421</v>
      </c>
      <c r="F302" s="397" t="s">
        <v>2307</v>
      </c>
      <c r="G302" s="428" t="s">
        <v>17</v>
      </c>
      <c r="H302" s="397" t="s">
        <v>5049</v>
      </c>
      <c r="I302" s="500">
        <v>43697.0</v>
      </c>
      <c r="J302" s="428">
        <v>8.0</v>
      </c>
      <c r="K302" s="531" t="s">
        <v>238</v>
      </c>
      <c r="L302" s="397" t="s">
        <v>256</v>
      </c>
      <c r="M302" s="529">
        <f t="shared" si="1"/>
        <v>2069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19">
        <v>30219.0</v>
      </c>
      <c r="B303" s="420" t="s">
        <v>6422</v>
      </c>
      <c r="C303" s="420">
        <v>2016.0</v>
      </c>
      <c r="D303" s="497">
        <v>42626.0</v>
      </c>
      <c r="E303" s="422" t="s">
        <v>6423</v>
      </c>
      <c r="F303" s="394" t="s">
        <v>2307</v>
      </c>
      <c r="G303" s="422" t="s">
        <v>17</v>
      </c>
      <c r="H303" s="394" t="s">
        <v>187</v>
      </c>
      <c r="I303" s="497">
        <v>43697.0</v>
      </c>
      <c r="J303" s="422">
        <v>8.0</v>
      </c>
      <c r="K303" s="531" t="s">
        <v>238</v>
      </c>
      <c r="L303" s="394" t="s">
        <v>256</v>
      </c>
      <c r="M303" s="528">
        <f t="shared" si="1"/>
        <v>1071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25">
        <v>30319.0</v>
      </c>
      <c r="B304" s="426" t="s">
        <v>6424</v>
      </c>
      <c r="C304" s="426">
        <v>2012.0</v>
      </c>
      <c r="D304" s="500">
        <v>41219.0</v>
      </c>
      <c r="E304" s="428" t="s">
        <v>6425</v>
      </c>
      <c r="F304" s="397" t="s">
        <v>2307</v>
      </c>
      <c r="G304" s="428" t="s">
        <v>17</v>
      </c>
      <c r="H304" s="397" t="s">
        <v>3482</v>
      </c>
      <c r="I304" s="500">
        <v>43697.0</v>
      </c>
      <c r="J304" s="428">
        <v>8.0</v>
      </c>
      <c r="K304" s="531" t="s">
        <v>238</v>
      </c>
      <c r="L304" s="397" t="s">
        <v>256</v>
      </c>
      <c r="M304" s="529">
        <f t="shared" si="1"/>
        <v>2478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19">
        <v>30419.0</v>
      </c>
      <c r="B305" s="420" t="s">
        <v>6426</v>
      </c>
      <c r="C305" s="420">
        <v>2012.0</v>
      </c>
      <c r="D305" s="497">
        <v>41263.0</v>
      </c>
      <c r="E305" s="422" t="s">
        <v>6427</v>
      </c>
      <c r="F305" s="394" t="s">
        <v>55</v>
      </c>
      <c r="G305" s="422" t="s">
        <v>17</v>
      </c>
      <c r="H305" s="394" t="s">
        <v>97</v>
      </c>
      <c r="I305" s="497">
        <v>43697.0</v>
      </c>
      <c r="J305" s="422">
        <v>8.0</v>
      </c>
      <c r="K305" s="531" t="s">
        <v>238</v>
      </c>
      <c r="L305" s="394" t="s">
        <v>256</v>
      </c>
      <c r="M305" s="528">
        <f t="shared" si="1"/>
        <v>2434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25">
        <v>30519.0</v>
      </c>
      <c r="B306" s="426" t="s">
        <v>6428</v>
      </c>
      <c r="C306" s="426">
        <v>2013.0</v>
      </c>
      <c r="D306" s="500">
        <v>41618.0</v>
      </c>
      <c r="E306" s="428" t="s">
        <v>6429</v>
      </c>
      <c r="F306" s="397" t="s">
        <v>55</v>
      </c>
      <c r="G306" s="428" t="s">
        <v>17</v>
      </c>
      <c r="H306" s="397" t="s">
        <v>149</v>
      </c>
      <c r="I306" s="500">
        <v>43697.0</v>
      </c>
      <c r="J306" s="428">
        <v>8.0</v>
      </c>
      <c r="K306" s="531" t="s">
        <v>238</v>
      </c>
      <c r="L306" s="397" t="s">
        <v>256</v>
      </c>
      <c r="M306" s="529">
        <f t="shared" si="1"/>
        <v>2079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19">
        <v>30619.0</v>
      </c>
      <c r="B307" s="420" t="s">
        <v>6430</v>
      </c>
      <c r="C307" s="420">
        <v>2013.0</v>
      </c>
      <c r="D307" s="497">
        <v>41604.0</v>
      </c>
      <c r="E307" s="422" t="s">
        <v>6431</v>
      </c>
      <c r="F307" s="394" t="s">
        <v>55</v>
      </c>
      <c r="G307" s="422" t="s">
        <v>17</v>
      </c>
      <c r="H307" s="394" t="s">
        <v>3482</v>
      </c>
      <c r="I307" s="497">
        <v>43697.0</v>
      </c>
      <c r="J307" s="422">
        <v>8.0</v>
      </c>
      <c r="K307" s="531" t="s">
        <v>238</v>
      </c>
      <c r="L307" s="394" t="s">
        <v>256</v>
      </c>
      <c r="M307" s="528">
        <f t="shared" si="1"/>
        <v>2093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25">
        <v>30719.0</v>
      </c>
      <c r="B308" s="426" t="s">
        <v>6432</v>
      </c>
      <c r="C308" s="426">
        <v>2018.0</v>
      </c>
      <c r="D308" s="500">
        <v>43343.0</v>
      </c>
      <c r="E308" s="428" t="s">
        <v>6433</v>
      </c>
      <c r="F308" s="397" t="s">
        <v>563</v>
      </c>
      <c r="G308" s="428" t="s">
        <v>17</v>
      </c>
      <c r="H308" s="397" t="s">
        <v>573</v>
      </c>
      <c r="I308" s="500">
        <v>43697.0</v>
      </c>
      <c r="J308" s="428">
        <v>8.0</v>
      </c>
      <c r="K308" s="539" t="s">
        <v>234</v>
      </c>
      <c r="L308" s="397" t="s">
        <v>256</v>
      </c>
      <c r="M308" s="529">
        <f t="shared" si="1"/>
        <v>354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19">
        <v>30819.0</v>
      </c>
      <c r="B309" s="420" t="s">
        <v>6434</v>
      </c>
      <c r="C309" s="420">
        <v>2012.0</v>
      </c>
      <c r="D309" s="497">
        <v>40954.0</v>
      </c>
      <c r="E309" s="422" t="s">
        <v>6435</v>
      </c>
      <c r="F309" s="394" t="s">
        <v>6436</v>
      </c>
      <c r="G309" s="422" t="s">
        <v>17</v>
      </c>
      <c r="H309" s="394" t="s">
        <v>56</v>
      </c>
      <c r="I309" s="497">
        <v>43697.0</v>
      </c>
      <c r="J309" s="422">
        <v>8.0</v>
      </c>
      <c r="K309" s="531" t="s">
        <v>238</v>
      </c>
      <c r="L309" s="394" t="s">
        <v>258</v>
      </c>
      <c r="M309" s="528">
        <f t="shared" si="1"/>
        <v>2743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25">
        <v>30919.0</v>
      </c>
      <c r="B310" s="426" t="s">
        <v>6437</v>
      </c>
      <c r="C310" s="426">
        <v>2011.0</v>
      </c>
      <c r="D310" s="500">
        <v>40905.0</v>
      </c>
      <c r="E310" s="428" t="s">
        <v>6438</v>
      </c>
      <c r="F310" s="397" t="s">
        <v>6436</v>
      </c>
      <c r="G310" s="428" t="s">
        <v>17</v>
      </c>
      <c r="H310" s="397" t="s">
        <v>50</v>
      </c>
      <c r="I310" s="500">
        <v>43697.0</v>
      </c>
      <c r="J310" s="428">
        <v>8.0</v>
      </c>
      <c r="K310" s="531" t="s">
        <v>238</v>
      </c>
      <c r="L310" s="397" t="s">
        <v>258</v>
      </c>
      <c r="M310" s="529">
        <f t="shared" si="1"/>
        <v>2792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19">
        <v>31019.0</v>
      </c>
      <c r="B311" s="420" t="s">
        <v>6439</v>
      </c>
      <c r="C311" s="420">
        <v>2014.0</v>
      </c>
      <c r="D311" s="497">
        <v>41669.0</v>
      </c>
      <c r="E311" s="422" t="s">
        <v>6440</v>
      </c>
      <c r="F311" s="394" t="s">
        <v>551</v>
      </c>
      <c r="G311" s="422" t="s">
        <v>17</v>
      </c>
      <c r="H311" s="394" t="s">
        <v>5049</v>
      </c>
      <c r="I311" s="497">
        <v>43697.0</v>
      </c>
      <c r="J311" s="422">
        <v>8.0</v>
      </c>
      <c r="K311" s="571" t="s">
        <v>244</v>
      </c>
      <c r="L311" s="394" t="s">
        <v>256</v>
      </c>
      <c r="M311" s="528">
        <f t="shared" si="1"/>
        <v>2028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25">
        <v>31119.0</v>
      </c>
      <c r="B312" s="426" t="s">
        <v>6441</v>
      </c>
      <c r="C312" s="426">
        <v>2013.0</v>
      </c>
      <c r="D312" s="500">
        <v>41569.0</v>
      </c>
      <c r="E312" s="428" t="s">
        <v>6442</v>
      </c>
      <c r="F312" s="397" t="s">
        <v>711</v>
      </c>
      <c r="G312" s="428" t="s">
        <v>17</v>
      </c>
      <c r="H312" s="397" t="s">
        <v>583</v>
      </c>
      <c r="I312" s="500">
        <v>43699.0</v>
      </c>
      <c r="J312" s="428">
        <v>8.0</v>
      </c>
      <c r="K312" s="572" t="s">
        <v>19</v>
      </c>
      <c r="L312" s="397" t="s">
        <v>256</v>
      </c>
      <c r="M312" s="529">
        <f t="shared" si="1"/>
        <v>2130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19">
        <v>31219.0</v>
      </c>
      <c r="B313" s="420" t="s">
        <v>6443</v>
      </c>
      <c r="C313" s="420">
        <v>2013.0</v>
      </c>
      <c r="D313" s="497">
        <v>41590.0</v>
      </c>
      <c r="E313" s="422" t="s">
        <v>6444</v>
      </c>
      <c r="F313" s="394" t="s">
        <v>711</v>
      </c>
      <c r="G313" s="422" t="s">
        <v>17</v>
      </c>
      <c r="H313" s="394" t="s">
        <v>163</v>
      </c>
      <c r="I313" s="497">
        <v>43699.0</v>
      </c>
      <c r="J313" s="422">
        <v>8.0</v>
      </c>
      <c r="K313" s="572" t="s">
        <v>19</v>
      </c>
      <c r="L313" s="394" t="s">
        <v>256</v>
      </c>
      <c r="M313" s="528">
        <f t="shared" si="1"/>
        <v>2109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25">
        <v>31319.0</v>
      </c>
      <c r="B314" s="426" t="s">
        <v>6445</v>
      </c>
      <c r="C314" s="426">
        <v>2014.0</v>
      </c>
      <c r="D314" s="500">
        <v>41835.0</v>
      </c>
      <c r="E314" s="428" t="s">
        <v>6446</v>
      </c>
      <c r="F314" s="397" t="s">
        <v>711</v>
      </c>
      <c r="G314" s="428" t="s">
        <v>17</v>
      </c>
      <c r="H314" s="397" t="s">
        <v>26</v>
      </c>
      <c r="I314" s="500">
        <v>43699.0</v>
      </c>
      <c r="J314" s="428">
        <v>8.0</v>
      </c>
      <c r="K314" s="572" t="s">
        <v>19</v>
      </c>
      <c r="L314" s="397" t="s">
        <v>256</v>
      </c>
      <c r="M314" s="529">
        <f t="shared" si="1"/>
        <v>1864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19">
        <v>31419.0</v>
      </c>
      <c r="B315" s="420" t="s">
        <v>6447</v>
      </c>
      <c r="C315" s="420">
        <v>2016.0</v>
      </c>
      <c r="D315" s="497">
        <v>42685.0</v>
      </c>
      <c r="E315" s="422" t="s">
        <v>6448</v>
      </c>
      <c r="F315" s="394" t="s">
        <v>711</v>
      </c>
      <c r="G315" s="422" t="s">
        <v>17</v>
      </c>
      <c r="H315" s="394" t="s">
        <v>573</v>
      </c>
      <c r="I315" s="497">
        <v>43699.0</v>
      </c>
      <c r="J315" s="422">
        <v>8.0</v>
      </c>
      <c r="K315" s="572" t="s">
        <v>19</v>
      </c>
      <c r="L315" s="394" t="s">
        <v>256</v>
      </c>
      <c r="M315" s="528">
        <f t="shared" si="1"/>
        <v>1014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25">
        <v>31519.0</v>
      </c>
      <c r="B316" s="426" t="s">
        <v>6449</v>
      </c>
      <c r="C316" s="426">
        <v>2017.0</v>
      </c>
      <c r="D316" s="500">
        <v>42990.0</v>
      </c>
      <c r="E316" s="428" t="s">
        <v>6450</v>
      </c>
      <c r="F316" s="397" t="s">
        <v>711</v>
      </c>
      <c r="G316" s="428" t="s">
        <v>17</v>
      </c>
      <c r="H316" s="397" t="s">
        <v>39</v>
      </c>
      <c r="I316" s="500">
        <v>43699.0</v>
      </c>
      <c r="J316" s="428">
        <v>8.0</v>
      </c>
      <c r="K316" s="572" t="s">
        <v>19</v>
      </c>
      <c r="L316" s="397" t="s">
        <v>256</v>
      </c>
      <c r="M316" s="529">
        <f t="shared" si="1"/>
        <v>709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419">
        <v>31619.0</v>
      </c>
      <c r="B317" s="420" t="s">
        <v>6451</v>
      </c>
      <c r="C317" s="420">
        <v>2019.0</v>
      </c>
      <c r="D317" s="497">
        <v>43509.0</v>
      </c>
      <c r="E317" s="422" t="s">
        <v>6452</v>
      </c>
      <c r="F317" s="394" t="s">
        <v>711</v>
      </c>
      <c r="G317" s="422" t="s">
        <v>17</v>
      </c>
      <c r="H317" s="394" t="s">
        <v>149</v>
      </c>
      <c r="I317" s="497">
        <v>43699.0</v>
      </c>
      <c r="J317" s="422">
        <v>8.0</v>
      </c>
      <c r="K317" s="572" t="s">
        <v>19</v>
      </c>
      <c r="L317" s="394" t="s">
        <v>256</v>
      </c>
      <c r="M317" s="528">
        <f t="shared" si="1"/>
        <v>190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25">
        <v>31719.0</v>
      </c>
      <c r="B318" s="426" t="s">
        <v>6453</v>
      </c>
      <c r="C318" s="426">
        <v>2013.0</v>
      </c>
      <c r="D318" s="500">
        <v>41498.0</v>
      </c>
      <c r="E318" s="428" t="s">
        <v>6454</v>
      </c>
      <c r="F318" s="397" t="s">
        <v>711</v>
      </c>
      <c r="G318" s="428" t="s">
        <v>17</v>
      </c>
      <c r="H318" s="397" t="s">
        <v>153</v>
      </c>
      <c r="I318" s="500">
        <v>43699.0</v>
      </c>
      <c r="J318" s="428">
        <v>8.0</v>
      </c>
      <c r="K318" s="531" t="s">
        <v>238</v>
      </c>
      <c r="L318" s="397" t="s">
        <v>256</v>
      </c>
      <c r="M318" s="529">
        <f t="shared" si="1"/>
        <v>2201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19">
        <v>31819.0</v>
      </c>
      <c r="B319" s="420" t="s">
        <v>6455</v>
      </c>
      <c r="C319" s="420">
        <v>2015.0</v>
      </c>
      <c r="D319" s="497">
        <v>42072.0</v>
      </c>
      <c r="E319" s="422" t="s">
        <v>6456</v>
      </c>
      <c r="F319" s="394" t="s">
        <v>711</v>
      </c>
      <c r="G319" s="422" t="s">
        <v>17</v>
      </c>
      <c r="H319" s="394" t="s">
        <v>56</v>
      </c>
      <c r="I319" s="497">
        <v>43699.0</v>
      </c>
      <c r="J319" s="422">
        <v>8.0</v>
      </c>
      <c r="K319" s="531" t="s">
        <v>238</v>
      </c>
      <c r="L319" s="394" t="s">
        <v>256</v>
      </c>
      <c r="M319" s="528">
        <f t="shared" si="1"/>
        <v>1627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25">
        <v>31919.0</v>
      </c>
      <c r="B320" s="426" t="s">
        <v>6457</v>
      </c>
      <c r="C320" s="426">
        <v>2013.0</v>
      </c>
      <c r="D320" s="500">
        <v>41509.0</v>
      </c>
      <c r="E320" s="428" t="s">
        <v>6458</v>
      </c>
      <c r="F320" s="397" t="s">
        <v>1464</v>
      </c>
      <c r="G320" s="428" t="s">
        <v>17</v>
      </c>
      <c r="H320" s="397" t="s">
        <v>929</v>
      </c>
      <c r="I320" s="500">
        <v>43699.0</v>
      </c>
      <c r="J320" s="428">
        <v>8.0</v>
      </c>
      <c r="K320" s="531" t="s">
        <v>238</v>
      </c>
      <c r="L320" s="397" t="s">
        <v>256</v>
      </c>
      <c r="M320" s="529">
        <f t="shared" si="1"/>
        <v>2190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19">
        <v>32019.0</v>
      </c>
      <c r="B321" s="420" t="s">
        <v>6378</v>
      </c>
      <c r="C321" s="420">
        <v>2013.0</v>
      </c>
      <c r="D321" s="497">
        <v>41627.0</v>
      </c>
      <c r="E321" s="422" t="s">
        <v>6459</v>
      </c>
      <c r="F321" s="394" t="s">
        <v>6380</v>
      </c>
      <c r="G321" s="422" t="s">
        <v>547</v>
      </c>
      <c r="H321" s="394" t="s">
        <v>2964</v>
      </c>
      <c r="I321" s="497">
        <v>43699.0</v>
      </c>
      <c r="J321" s="422">
        <v>8.0</v>
      </c>
      <c r="K321" s="535" t="s">
        <v>228</v>
      </c>
      <c r="L321" s="394" t="s">
        <v>254</v>
      </c>
      <c r="M321" s="528">
        <f t="shared" si="1"/>
        <v>2072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425">
        <v>32119.0</v>
      </c>
      <c r="B322" s="426" t="s">
        <v>6460</v>
      </c>
      <c r="C322" s="426">
        <v>2014.0</v>
      </c>
      <c r="D322" s="500">
        <v>41726.0</v>
      </c>
      <c r="E322" s="428" t="s">
        <v>6461</v>
      </c>
      <c r="F322" s="397" t="s">
        <v>6380</v>
      </c>
      <c r="G322" s="428" t="s">
        <v>547</v>
      </c>
      <c r="H322" s="397" t="s">
        <v>2964</v>
      </c>
      <c r="I322" s="500">
        <v>43699.0</v>
      </c>
      <c r="J322" s="428">
        <v>8.0</v>
      </c>
      <c r="K322" s="535" t="s">
        <v>228</v>
      </c>
      <c r="L322" s="397" t="s">
        <v>254</v>
      </c>
      <c r="M322" s="529">
        <f t="shared" si="1"/>
        <v>1973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19">
        <v>32219.0</v>
      </c>
      <c r="B323" s="420" t="s">
        <v>6462</v>
      </c>
      <c r="C323" s="420">
        <v>2015.0</v>
      </c>
      <c r="D323" s="497">
        <v>42023.0</v>
      </c>
      <c r="E323" s="422" t="s">
        <v>6463</v>
      </c>
      <c r="F323" s="394" t="s">
        <v>739</v>
      </c>
      <c r="G323" s="422" t="s">
        <v>552</v>
      </c>
      <c r="H323" s="394" t="s">
        <v>6464</v>
      </c>
      <c r="I323" s="497">
        <v>43699.0</v>
      </c>
      <c r="J323" s="422">
        <v>8.0</v>
      </c>
      <c r="K323" s="535" t="s">
        <v>228</v>
      </c>
      <c r="L323" s="394" t="s">
        <v>258</v>
      </c>
      <c r="M323" s="528">
        <f t="shared" si="1"/>
        <v>1676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25">
        <v>32319.0</v>
      </c>
      <c r="B324" s="426" t="s">
        <v>6465</v>
      </c>
      <c r="C324" s="426">
        <v>2016.0</v>
      </c>
      <c r="D324" s="500">
        <v>42703.0</v>
      </c>
      <c r="E324" s="428" t="s">
        <v>6466</v>
      </c>
      <c r="F324" s="397" t="s">
        <v>6398</v>
      </c>
      <c r="G324" s="428" t="s">
        <v>547</v>
      </c>
      <c r="H324" s="397" t="s">
        <v>705</v>
      </c>
      <c r="I324" s="500">
        <v>43700.0</v>
      </c>
      <c r="J324" s="428">
        <v>8.0</v>
      </c>
      <c r="K324" s="531" t="s">
        <v>238</v>
      </c>
      <c r="L324" s="397" t="s">
        <v>258</v>
      </c>
      <c r="M324" s="529">
        <f t="shared" si="1"/>
        <v>997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19">
        <v>32419.0</v>
      </c>
      <c r="B325" s="420" t="s">
        <v>6467</v>
      </c>
      <c r="C325" s="420">
        <v>2012.0</v>
      </c>
      <c r="D325" s="497">
        <v>41099.0</v>
      </c>
      <c r="E325" s="422" t="s">
        <v>6468</v>
      </c>
      <c r="F325" s="394" t="s">
        <v>1401</v>
      </c>
      <c r="G325" s="422" t="s">
        <v>552</v>
      </c>
      <c r="H325" s="394" t="s">
        <v>775</v>
      </c>
      <c r="I325" s="497">
        <v>43700.0</v>
      </c>
      <c r="J325" s="422">
        <v>8.0</v>
      </c>
      <c r="K325" s="539" t="s">
        <v>234</v>
      </c>
      <c r="L325" s="394" t="s">
        <v>258</v>
      </c>
      <c r="M325" s="528">
        <f t="shared" si="1"/>
        <v>2601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25">
        <v>32519.0</v>
      </c>
      <c r="B326" s="426" t="s">
        <v>6469</v>
      </c>
      <c r="C326" s="426">
        <v>2018.0</v>
      </c>
      <c r="D326" s="500">
        <v>43122.0</v>
      </c>
      <c r="E326" s="428" t="s">
        <v>6470</v>
      </c>
      <c r="F326" s="397" t="s">
        <v>3906</v>
      </c>
      <c r="G326" s="428" t="s">
        <v>547</v>
      </c>
      <c r="H326" s="397" t="s">
        <v>2964</v>
      </c>
      <c r="I326" s="500">
        <v>43700.0</v>
      </c>
      <c r="J326" s="428">
        <v>8.0</v>
      </c>
      <c r="K326" s="531" t="s">
        <v>238</v>
      </c>
      <c r="L326" s="397" t="s">
        <v>258</v>
      </c>
      <c r="M326" s="529">
        <f t="shared" si="1"/>
        <v>578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19">
        <v>32619.0</v>
      </c>
      <c r="B327" s="420" t="s">
        <v>6471</v>
      </c>
      <c r="C327" s="420">
        <v>2011.0</v>
      </c>
      <c r="D327" s="497">
        <v>40765.0</v>
      </c>
      <c r="E327" s="422" t="s">
        <v>6472</v>
      </c>
      <c r="F327" s="394" t="s">
        <v>4170</v>
      </c>
      <c r="G327" s="422" t="s">
        <v>552</v>
      </c>
      <c r="H327" s="394" t="s">
        <v>1178</v>
      </c>
      <c r="I327" s="497">
        <v>43714.0</v>
      </c>
      <c r="J327" s="422">
        <v>9.0</v>
      </c>
      <c r="K327" s="531" t="s">
        <v>238</v>
      </c>
      <c r="L327" s="394" t="s">
        <v>258</v>
      </c>
      <c r="M327" s="528">
        <f t="shared" si="1"/>
        <v>2949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25">
        <v>32719.0</v>
      </c>
      <c r="B328" s="426" t="s">
        <v>6473</v>
      </c>
      <c r="C328" s="426">
        <v>2011.0</v>
      </c>
      <c r="D328" s="500">
        <v>40626.0</v>
      </c>
      <c r="E328" s="428" t="s">
        <v>6474</v>
      </c>
      <c r="F328" s="397" t="s">
        <v>6401</v>
      </c>
      <c r="G328" s="428" t="s">
        <v>547</v>
      </c>
      <c r="H328" s="397" t="s">
        <v>1002</v>
      </c>
      <c r="I328" s="500">
        <v>43714.0</v>
      </c>
      <c r="J328" s="428">
        <v>9.0</v>
      </c>
      <c r="K328" s="531" t="s">
        <v>242</v>
      </c>
      <c r="L328" s="397" t="s">
        <v>256</v>
      </c>
      <c r="M328" s="529">
        <f t="shared" si="1"/>
        <v>3088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19">
        <v>32819.0</v>
      </c>
      <c r="B329" s="420" t="s">
        <v>6475</v>
      </c>
      <c r="C329" s="420">
        <v>2017.0</v>
      </c>
      <c r="D329" s="497">
        <v>42852.0</v>
      </c>
      <c r="E329" s="422" t="s">
        <v>6476</v>
      </c>
      <c r="F329" s="394" t="s">
        <v>6398</v>
      </c>
      <c r="G329" s="422" t="s">
        <v>547</v>
      </c>
      <c r="H329" s="394" t="s">
        <v>705</v>
      </c>
      <c r="I329" s="497">
        <v>43714.0</v>
      </c>
      <c r="J329" s="422">
        <v>9.0</v>
      </c>
      <c r="K329" s="531" t="s">
        <v>238</v>
      </c>
      <c r="L329" s="394" t="s">
        <v>256</v>
      </c>
      <c r="M329" s="528">
        <f t="shared" si="1"/>
        <v>862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25">
        <v>32919.0</v>
      </c>
      <c r="B330" s="426" t="s">
        <v>6477</v>
      </c>
      <c r="C330" s="426">
        <v>2011.0</v>
      </c>
      <c r="D330" s="500">
        <v>40599.0</v>
      </c>
      <c r="E330" s="428" t="s">
        <v>6478</v>
      </c>
      <c r="F330" s="397" t="s">
        <v>6401</v>
      </c>
      <c r="G330" s="428" t="s">
        <v>547</v>
      </c>
      <c r="H330" s="397" t="s">
        <v>1002</v>
      </c>
      <c r="I330" s="500">
        <v>43714.0</v>
      </c>
      <c r="J330" s="428">
        <v>9.0</v>
      </c>
      <c r="K330" s="531" t="s">
        <v>242</v>
      </c>
      <c r="L330" s="397" t="s">
        <v>256</v>
      </c>
      <c r="M330" s="529">
        <f t="shared" si="1"/>
        <v>3115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19">
        <v>33019.0</v>
      </c>
      <c r="B331" s="420" t="s">
        <v>6479</v>
      </c>
      <c r="C331" s="420">
        <v>2009.0</v>
      </c>
      <c r="D331" s="497">
        <v>39954.0</v>
      </c>
      <c r="E331" s="422" t="s">
        <v>6480</v>
      </c>
      <c r="F331" s="394" t="s">
        <v>3078</v>
      </c>
      <c r="G331" s="422" t="s">
        <v>650</v>
      </c>
      <c r="H331" s="394" t="s">
        <v>601</v>
      </c>
      <c r="I331" s="497">
        <v>43714.0</v>
      </c>
      <c r="J331" s="422">
        <v>9.0</v>
      </c>
      <c r="K331" s="571" t="s">
        <v>244</v>
      </c>
      <c r="L331" s="394" t="s">
        <v>256</v>
      </c>
      <c r="M331" s="528">
        <f t="shared" si="1"/>
        <v>3760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25">
        <v>33119.0</v>
      </c>
      <c r="B332" s="426" t="s">
        <v>6481</v>
      </c>
      <c r="C332" s="426">
        <v>2015.0</v>
      </c>
      <c r="D332" s="500">
        <v>42094.0</v>
      </c>
      <c r="E332" s="428" t="s">
        <v>6482</v>
      </c>
      <c r="F332" s="397" t="s">
        <v>6483</v>
      </c>
      <c r="G332" s="428" t="s">
        <v>547</v>
      </c>
      <c r="H332" s="397" t="s">
        <v>1002</v>
      </c>
      <c r="I332" s="500">
        <v>43714.0</v>
      </c>
      <c r="J332" s="428">
        <v>9.0</v>
      </c>
      <c r="K332" s="531" t="s">
        <v>240</v>
      </c>
      <c r="L332" s="397" t="s">
        <v>254</v>
      </c>
      <c r="M332" s="529">
        <f t="shared" si="1"/>
        <v>1620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19">
        <v>33219.0</v>
      </c>
      <c r="B333" s="420" t="s">
        <v>6484</v>
      </c>
      <c r="C333" s="420">
        <v>2014.0</v>
      </c>
      <c r="D333" s="497">
        <v>41927.0</v>
      </c>
      <c r="E333" s="422" t="s">
        <v>6485</v>
      </c>
      <c r="F333" s="394" t="s">
        <v>3934</v>
      </c>
      <c r="G333" s="422" t="s">
        <v>17</v>
      </c>
      <c r="H333" s="394" t="s">
        <v>1091</v>
      </c>
      <c r="I333" s="497">
        <v>43714.0</v>
      </c>
      <c r="J333" s="422">
        <v>9.0</v>
      </c>
      <c r="K333" s="539" t="s">
        <v>234</v>
      </c>
      <c r="L333" s="394" t="s">
        <v>256</v>
      </c>
      <c r="M333" s="528">
        <f t="shared" si="1"/>
        <v>1787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25">
        <v>33319.0</v>
      </c>
      <c r="B334" s="426" t="s">
        <v>6486</v>
      </c>
      <c r="C334" s="426">
        <v>2016.0</v>
      </c>
      <c r="D334" s="500">
        <v>42412.0</v>
      </c>
      <c r="E334" s="428" t="s">
        <v>6487</v>
      </c>
      <c r="F334" s="397" t="s">
        <v>3934</v>
      </c>
      <c r="G334" s="428" t="s">
        <v>17</v>
      </c>
      <c r="H334" s="397" t="s">
        <v>1872</v>
      </c>
      <c r="I334" s="500">
        <v>43714.0</v>
      </c>
      <c r="J334" s="428">
        <v>9.0</v>
      </c>
      <c r="K334" s="539" t="s">
        <v>234</v>
      </c>
      <c r="L334" s="397" t="s">
        <v>256</v>
      </c>
      <c r="M334" s="529">
        <f t="shared" si="1"/>
        <v>1302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19">
        <v>33419.0</v>
      </c>
      <c r="B335" s="420" t="s">
        <v>6488</v>
      </c>
      <c r="C335" s="420">
        <v>2014.0</v>
      </c>
      <c r="D335" s="497">
        <v>41786.0</v>
      </c>
      <c r="E335" s="422" t="s">
        <v>6489</v>
      </c>
      <c r="F335" s="394" t="s">
        <v>3934</v>
      </c>
      <c r="G335" s="422" t="s">
        <v>17</v>
      </c>
      <c r="H335" s="394" t="s">
        <v>583</v>
      </c>
      <c r="I335" s="497">
        <v>43714.0</v>
      </c>
      <c r="J335" s="422">
        <v>9.0</v>
      </c>
      <c r="K335" s="539" t="s">
        <v>234</v>
      </c>
      <c r="L335" s="394" t="s">
        <v>256</v>
      </c>
      <c r="M335" s="528">
        <f t="shared" si="1"/>
        <v>1928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25">
        <v>33519.0</v>
      </c>
      <c r="B336" s="426" t="s">
        <v>6490</v>
      </c>
      <c r="C336" s="426">
        <v>2014.0</v>
      </c>
      <c r="D336" s="500">
        <v>41886.0</v>
      </c>
      <c r="E336" s="428" t="s">
        <v>6491</v>
      </c>
      <c r="F336" s="397" t="s">
        <v>1203</v>
      </c>
      <c r="G336" s="428" t="s">
        <v>17</v>
      </c>
      <c r="H336" s="397" t="s">
        <v>66</v>
      </c>
      <c r="I336" s="500">
        <v>43714.0</v>
      </c>
      <c r="J336" s="428">
        <v>9.0</v>
      </c>
      <c r="K336" s="572" t="s">
        <v>19</v>
      </c>
      <c r="L336" s="397" t="s">
        <v>256</v>
      </c>
      <c r="M336" s="529">
        <f t="shared" si="1"/>
        <v>1828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19">
        <v>33619.0</v>
      </c>
      <c r="B337" s="420" t="s">
        <v>6492</v>
      </c>
      <c r="C337" s="420">
        <v>2013.0</v>
      </c>
      <c r="D337" s="497">
        <v>41592.0</v>
      </c>
      <c r="E337" s="422" t="s">
        <v>6493</v>
      </c>
      <c r="F337" s="394" t="s">
        <v>1150</v>
      </c>
      <c r="G337" s="422" t="s">
        <v>17</v>
      </c>
      <c r="H337" s="394" t="s">
        <v>163</v>
      </c>
      <c r="I337" s="497">
        <v>43714.0</v>
      </c>
      <c r="J337" s="422">
        <v>9.0</v>
      </c>
      <c r="K337" s="572" t="s">
        <v>19</v>
      </c>
      <c r="L337" s="394" t="s">
        <v>256</v>
      </c>
      <c r="M337" s="528">
        <f t="shared" si="1"/>
        <v>2122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25">
        <v>33719.0</v>
      </c>
      <c r="B338" s="426" t="s">
        <v>6494</v>
      </c>
      <c r="C338" s="426">
        <v>2016.0</v>
      </c>
      <c r="D338" s="500">
        <v>42674.0</v>
      </c>
      <c r="E338" s="428" t="s">
        <v>6495</v>
      </c>
      <c r="F338" s="397" t="s">
        <v>1150</v>
      </c>
      <c r="G338" s="428" t="s">
        <v>17</v>
      </c>
      <c r="H338" s="397" t="s">
        <v>163</v>
      </c>
      <c r="I338" s="500">
        <v>43714.0</v>
      </c>
      <c r="J338" s="428">
        <v>9.0</v>
      </c>
      <c r="K338" s="572" t="s">
        <v>19</v>
      </c>
      <c r="L338" s="397" t="s">
        <v>256</v>
      </c>
      <c r="M338" s="529">
        <f t="shared" si="1"/>
        <v>1040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19">
        <v>33819.0</v>
      </c>
      <c r="B339" s="420" t="s">
        <v>6496</v>
      </c>
      <c r="C339" s="420">
        <v>2015.0</v>
      </c>
      <c r="D339" s="497">
        <v>42359.0</v>
      </c>
      <c r="E339" s="422" t="s">
        <v>6497</v>
      </c>
      <c r="F339" s="394" t="s">
        <v>1150</v>
      </c>
      <c r="G339" s="422" t="s">
        <v>17</v>
      </c>
      <c r="H339" s="394" t="s">
        <v>573</v>
      </c>
      <c r="I339" s="497">
        <v>43714.0</v>
      </c>
      <c r="J339" s="422">
        <v>9.0</v>
      </c>
      <c r="K339" s="572" t="s">
        <v>19</v>
      </c>
      <c r="L339" s="394" t="s">
        <v>256</v>
      </c>
      <c r="M339" s="528">
        <f t="shared" si="1"/>
        <v>1355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425">
        <v>33919.0</v>
      </c>
      <c r="B340" s="426" t="s">
        <v>6498</v>
      </c>
      <c r="C340" s="426">
        <v>2019.0</v>
      </c>
      <c r="D340" s="500">
        <v>43607.0</v>
      </c>
      <c r="E340" s="428" t="s">
        <v>6499</v>
      </c>
      <c r="F340" s="397" t="s">
        <v>1823</v>
      </c>
      <c r="G340" s="428" t="s">
        <v>17</v>
      </c>
      <c r="H340" s="397" t="s">
        <v>2934</v>
      </c>
      <c r="I340" s="500">
        <v>43714.0</v>
      </c>
      <c r="J340" s="428">
        <v>9.0</v>
      </c>
      <c r="K340" s="572" t="s">
        <v>19</v>
      </c>
      <c r="L340" s="397" t="s">
        <v>256</v>
      </c>
      <c r="M340" s="529">
        <f t="shared" si="1"/>
        <v>107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19">
        <v>34019.0</v>
      </c>
      <c r="B341" s="420" t="s">
        <v>6500</v>
      </c>
      <c r="C341" s="420">
        <v>2018.0</v>
      </c>
      <c r="D341" s="497">
        <v>43448.0</v>
      </c>
      <c r="E341" s="422" t="s">
        <v>6501</v>
      </c>
      <c r="F341" s="394" t="s">
        <v>1464</v>
      </c>
      <c r="G341" s="422" t="s">
        <v>17</v>
      </c>
      <c r="H341" s="394" t="s">
        <v>573</v>
      </c>
      <c r="I341" s="497">
        <v>43714.0</v>
      </c>
      <c r="J341" s="422">
        <v>9.0</v>
      </c>
      <c r="K341" s="572" t="s">
        <v>19</v>
      </c>
      <c r="L341" s="394" t="s">
        <v>256</v>
      </c>
      <c r="M341" s="528">
        <f t="shared" si="1"/>
        <v>266</v>
      </c>
      <c r="N341" s="25"/>
      <c r="O341" s="133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25">
        <v>34119.0</v>
      </c>
      <c r="B342" s="426" t="s">
        <v>6502</v>
      </c>
      <c r="C342" s="426">
        <v>2015.0</v>
      </c>
      <c r="D342" s="500">
        <v>42271.0</v>
      </c>
      <c r="E342" s="428" t="s">
        <v>6503</v>
      </c>
      <c r="F342" s="397" t="s">
        <v>5883</v>
      </c>
      <c r="G342" s="428" t="s">
        <v>17</v>
      </c>
      <c r="H342" s="397" t="s">
        <v>2164</v>
      </c>
      <c r="I342" s="500">
        <v>43714.0</v>
      </c>
      <c r="J342" s="428">
        <v>9.0</v>
      </c>
      <c r="K342" s="572" t="s">
        <v>19</v>
      </c>
      <c r="L342" s="397" t="s">
        <v>258</v>
      </c>
      <c r="M342" s="529">
        <f t="shared" si="1"/>
        <v>1443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19">
        <v>34219.0</v>
      </c>
      <c r="B343" s="420" t="s">
        <v>6504</v>
      </c>
      <c r="C343" s="420">
        <v>2011.0</v>
      </c>
      <c r="D343" s="497">
        <v>40863.0</v>
      </c>
      <c r="E343" s="422" t="s">
        <v>6505</v>
      </c>
      <c r="F343" s="394" t="s">
        <v>4077</v>
      </c>
      <c r="G343" s="422" t="s">
        <v>17</v>
      </c>
      <c r="H343" s="394" t="s">
        <v>50</v>
      </c>
      <c r="I343" s="497">
        <v>43714.0</v>
      </c>
      <c r="J343" s="422">
        <v>9.0</v>
      </c>
      <c r="K343" s="572" t="s">
        <v>19</v>
      </c>
      <c r="L343" s="394" t="s">
        <v>258</v>
      </c>
      <c r="M343" s="528">
        <f t="shared" si="1"/>
        <v>2851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25">
        <v>34319.0</v>
      </c>
      <c r="B344" s="426" t="s">
        <v>6506</v>
      </c>
      <c r="C344" s="426">
        <v>2012.0</v>
      </c>
      <c r="D344" s="500">
        <v>41248.0</v>
      </c>
      <c r="E344" s="428" t="s">
        <v>6507</v>
      </c>
      <c r="F344" s="397" t="s">
        <v>6508</v>
      </c>
      <c r="G344" s="428" t="s">
        <v>17</v>
      </c>
      <c r="H344" s="397" t="s">
        <v>1329</v>
      </c>
      <c r="I344" s="500">
        <v>43714.0</v>
      </c>
      <c r="J344" s="428">
        <v>9.0</v>
      </c>
      <c r="K344" s="572" t="s">
        <v>19</v>
      </c>
      <c r="L344" s="397" t="s">
        <v>258</v>
      </c>
      <c r="M344" s="529">
        <f t="shared" si="1"/>
        <v>2466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19">
        <v>34419.0</v>
      </c>
      <c r="B345" s="420" t="s">
        <v>6509</v>
      </c>
      <c r="C345" s="420">
        <v>2013.0</v>
      </c>
      <c r="D345" s="497">
        <v>41347.0</v>
      </c>
      <c r="E345" s="422" t="s">
        <v>6510</v>
      </c>
      <c r="F345" s="394" t="s">
        <v>963</v>
      </c>
      <c r="G345" s="422" t="s">
        <v>17</v>
      </c>
      <c r="H345" s="394" t="s">
        <v>153</v>
      </c>
      <c r="I345" s="497">
        <v>43714.0</v>
      </c>
      <c r="J345" s="422">
        <v>9.0</v>
      </c>
      <c r="K345" s="572" t="s">
        <v>19</v>
      </c>
      <c r="L345" s="394" t="s">
        <v>258</v>
      </c>
      <c r="M345" s="528">
        <f t="shared" si="1"/>
        <v>2367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2.75" customHeight="1">
      <c r="A346" s="425">
        <v>34519.0</v>
      </c>
      <c r="B346" s="426" t="s">
        <v>6511</v>
      </c>
      <c r="C346" s="426">
        <v>2013.0</v>
      </c>
      <c r="D346" s="500">
        <v>41443.0</v>
      </c>
      <c r="E346" s="428" t="s">
        <v>6512</v>
      </c>
      <c r="F346" s="397" t="s">
        <v>6508</v>
      </c>
      <c r="G346" s="428" t="s">
        <v>17</v>
      </c>
      <c r="H346" s="397" t="s">
        <v>50</v>
      </c>
      <c r="I346" s="500">
        <v>43714.0</v>
      </c>
      <c r="J346" s="428">
        <v>9.0</v>
      </c>
      <c r="K346" s="572" t="s">
        <v>19</v>
      </c>
      <c r="L346" s="397" t="s">
        <v>258</v>
      </c>
      <c r="M346" s="529">
        <f t="shared" si="1"/>
        <v>2271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2.75" customHeight="1">
      <c r="A347" s="419">
        <v>34619.0</v>
      </c>
      <c r="B347" s="420" t="s">
        <v>6513</v>
      </c>
      <c r="C347" s="420">
        <v>2012.0</v>
      </c>
      <c r="D347" s="497">
        <v>40988.0</v>
      </c>
      <c r="E347" s="422" t="s">
        <v>6514</v>
      </c>
      <c r="F347" s="394" t="s">
        <v>6436</v>
      </c>
      <c r="G347" s="422" t="s">
        <v>17</v>
      </c>
      <c r="H347" s="394" t="s">
        <v>775</v>
      </c>
      <c r="I347" s="497">
        <v>43714.0</v>
      </c>
      <c r="J347" s="422">
        <v>9.0</v>
      </c>
      <c r="K347" s="531" t="s">
        <v>238</v>
      </c>
      <c r="L347" s="394" t="s">
        <v>258</v>
      </c>
      <c r="M347" s="528">
        <f t="shared" si="1"/>
        <v>2726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2.75" customHeight="1">
      <c r="A348" s="425">
        <v>34719.0</v>
      </c>
      <c r="B348" s="426" t="s">
        <v>6515</v>
      </c>
      <c r="C348" s="426">
        <v>2013.0</v>
      </c>
      <c r="D348" s="500">
        <v>41326.0</v>
      </c>
      <c r="E348" s="428" t="s">
        <v>6516</v>
      </c>
      <c r="F348" s="397" t="s">
        <v>765</v>
      </c>
      <c r="G348" s="428" t="s">
        <v>17</v>
      </c>
      <c r="H348" s="397" t="s">
        <v>97</v>
      </c>
      <c r="I348" s="500">
        <v>44096.0</v>
      </c>
      <c r="J348" s="428">
        <v>9.0</v>
      </c>
      <c r="K348" s="572" t="s">
        <v>19</v>
      </c>
      <c r="L348" s="397" t="s">
        <v>256</v>
      </c>
      <c r="M348" s="529">
        <f t="shared" si="1"/>
        <v>2770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419">
        <v>34819.0</v>
      </c>
      <c r="B349" s="420" t="s">
        <v>6517</v>
      </c>
      <c r="C349" s="420">
        <v>2017.0</v>
      </c>
      <c r="D349" s="497">
        <v>42878.0</v>
      </c>
      <c r="E349" s="422" t="s">
        <v>6518</v>
      </c>
      <c r="F349" s="394" t="s">
        <v>739</v>
      </c>
      <c r="G349" s="422" t="s">
        <v>17</v>
      </c>
      <c r="H349" s="394" t="s">
        <v>3482</v>
      </c>
      <c r="I349" s="497">
        <v>43714.0</v>
      </c>
      <c r="J349" s="422">
        <v>9.0</v>
      </c>
      <c r="K349" s="572" t="s">
        <v>19</v>
      </c>
      <c r="L349" s="394" t="s">
        <v>258</v>
      </c>
      <c r="M349" s="528">
        <f t="shared" si="1"/>
        <v>836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25">
        <v>34919.0</v>
      </c>
      <c r="B350" s="426" t="s">
        <v>6519</v>
      </c>
      <c r="C350" s="426">
        <v>2016.0</v>
      </c>
      <c r="D350" s="500">
        <v>42607.0</v>
      </c>
      <c r="E350" s="428" t="s">
        <v>6520</v>
      </c>
      <c r="F350" s="397" t="s">
        <v>739</v>
      </c>
      <c r="G350" s="428" t="s">
        <v>17</v>
      </c>
      <c r="H350" s="397" t="s">
        <v>573</v>
      </c>
      <c r="I350" s="500">
        <v>43714.0</v>
      </c>
      <c r="J350" s="428">
        <v>9.0</v>
      </c>
      <c r="K350" s="572" t="s">
        <v>19</v>
      </c>
      <c r="L350" s="397" t="s">
        <v>258</v>
      </c>
      <c r="M350" s="529">
        <f t="shared" si="1"/>
        <v>1107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19">
        <v>35019.0</v>
      </c>
      <c r="B351" s="420" t="s">
        <v>6521</v>
      </c>
      <c r="C351" s="420">
        <v>2015.0</v>
      </c>
      <c r="D351" s="497">
        <v>42130.0</v>
      </c>
      <c r="E351" s="422" t="s">
        <v>6522</v>
      </c>
      <c r="F351" s="394" t="s">
        <v>739</v>
      </c>
      <c r="G351" s="422" t="s">
        <v>17</v>
      </c>
      <c r="H351" s="394" t="s">
        <v>163</v>
      </c>
      <c r="I351" s="497">
        <v>43714.0</v>
      </c>
      <c r="J351" s="422">
        <v>9.0</v>
      </c>
      <c r="K351" s="572" t="s">
        <v>19</v>
      </c>
      <c r="L351" s="394" t="s">
        <v>258</v>
      </c>
      <c r="M351" s="528">
        <f t="shared" si="1"/>
        <v>1584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25">
        <v>35119.0</v>
      </c>
      <c r="B352" s="426" t="s">
        <v>6523</v>
      </c>
      <c r="C352" s="426">
        <v>2014.0</v>
      </c>
      <c r="D352" s="500">
        <v>41736.0</v>
      </c>
      <c r="E352" s="428" t="s">
        <v>6524</v>
      </c>
      <c r="F352" s="397" t="s">
        <v>739</v>
      </c>
      <c r="G352" s="428" t="s">
        <v>17</v>
      </c>
      <c r="H352" s="397" t="s">
        <v>149</v>
      </c>
      <c r="I352" s="500">
        <v>43714.0</v>
      </c>
      <c r="J352" s="428">
        <v>9.0</v>
      </c>
      <c r="K352" s="572" t="s">
        <v>19</v>
      </c>
      <c r="L352" s="397" t="s">
        <v>258</v>
      </c>
      <c r="M352" s="529">
        <f t="shared" si="1"/>
        <v>1978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19">
        <v>35219.0</v>
      </c>
      <c r="B353" s="420" t="s">
        <v>6525</v>
      </c>
      <c r="C353" s="420">
        <v>2013.0</v>
      </c>
      <c r="D353" s="497">
        <v>41596.0</v>
      </c>
      <c r="E353" s="422" t="s">
        <v>6526</v>
      </c>
      <c r="F353" s="394" t="s">
        <v>739</v>
      </c>
      <c r="G353" s="422" t="s">
        <v>17</v>
      </c>
      <c r="H353" s="394" t="s">
        <v>97</v>
      </c>
      <c r="I353" s="497">
        <v>43714.0</v>
      </c>
      <c r="J353" s="422">
        <v>9.0</v>
      </c>
      <c r="K353" s="572" t="s">
        <v>19</v>
      </c>
      <c r="L353" s="394" t="s">
        <v>258</v>
      </c>
      <c r="M353" s="528">
        <f t="shared" si="1"/>
        <v>2118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25">
        <v>35319.0</v>
      </c>
      <c r="B354" s="426" t="s">
        <v>6527</v>
      </c>
      <c r="C354" s="426">
        <v>2018.0</v>
      </c>
      <c r="D354" s="500">
        <v>43404.0</v>
      </c>
      <c r="E354" s="428" t="s">
        <v>6528</v>
      </c>
      <c r="F354" s="397" t="s">
        <v>563</v>
      </c>
      <c r="G354" s="428" t="s">
        <v>17</v>
      </c>
      <c r="H354" s="397" t="s">
        <v>6529</v>
      </c>
      <c r="I354" s="500">
        <v>43714.0</v>
      </c>
      <c r="J354" s="428">
        <v>9.0</v>
      </c>
      <c r="K354" s="572" t="s">
        <v>19</v>
      </c>
      <c r="L354" s="397" t="s">
        <v>256</v>
      </c>
      <c r="M354" s="529">
        <f t="shared" si="1"/>
        <v>310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19">
        <v>35419.0</v>
      </c>
      <c r="B355" s="420" t="s">
        <v>6530</v>
      </c>
      <c r="C355" s="420">
        <v>2018.0</v>
      </c>
      <c r="D355" s="497">
        <v>43441.0</v>
      </c>
      <c r="E355" s="422" t="s">
        <v>6531</v>
      </c>
      <c r="F355" s="394" t="s">
        <v>3647</v>
      </c>
      <c r="G355" s="422" t="s">
        <v>565</v>
      </c>
      <c r="H355" s="394" t="s">
        <v>2353</v>
      </c>
      <c r="I355" s="497">
        <v>43714.0</v>
      </c>
      <c r="J355" s="422">
        <v>9.0</v>
      </c>
      <c r="K355" s="571" t="s">
        <v>244</v>
      </c>
      <c r="L355" s="394" t="s">
        <v>260</v>
      </c>
      <c r="M355" s="528">
        <f t="shared" si="1"/>
        <v>273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25">
        <v>35519.0</v>
      </c>
      <c r="B356" s="426" t="s">
        <v>6532</v>
      </c>
      <c r="C356" s="426">
        <v>2018.0</v>
      </c>
      <c r="D356" s="500">
        <v>43398.0</v>
      </c>
      <c r="E356" s="428" t="s">
        <v>6533</v>
      </c>
      <c r="F356" s="397" t="s">
        <v>2330</v>
      </c>
      <c r="G356" s="428" t="s">
        <v>565</v>
      </c>
      <c r="H356" s="397" t="s">
        <v>6534</v>
      </c>
      <c r="I356" s="500">
        <v>43714.0</v>
      </c>
      <c r="J356" s="428">
        <v>9.0</v>
      </c>
      <c r="K356" s="571" t="s">
        <v>822</v>
      </c>
      <c r="L356" s="397" t="s">
        <v>260</v>
      </c>
      <c r="M356" s="529">
        <f t="shared" si="1"/>
        <v>316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19">
        <v>35619.0</v>
      </c>
      <c r="B357" s="420" t="s">
        <v>6535</v>
      </c>
      <c r="C357" s="420">
        <v>2015.0</v>
      </c>
      <c r="D357" s="497">
        <v>42094.0</v>
      </c>
      <c r="E357" s="422" t="s">
        <v>6536</v>
      </c>
      <c r="F357" s="394" t="s">
        <v>6537</v>
      </c>
      <c r="G357" s="422" t="s">
        <v>547</v>
      </c>
      <c r="H357" s="394" t="s">
        <v>1002</v>
      </c>
      <c r="I357" s="497">
        <v>43714.0</v>
      </c>
      <c r="J357" s="422">
        <v>9.0</v>
      </c>
      <c r="K357" s="531" t="s">
        <v>242</v>
      </c>
      <c r="L357" s="394" t="s">
        <v>254</v>
      </c>
      <c r="M357" s="528">
        <f t="shared" si="1"/>
        <v>1620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425">
        <v>35719.0</v>
      </c>
      <c r="B358" s="426" t="s">
        <v>6538</v>
      </c>
      <c r="C358" s="426">
        <v>2019.0</v>
      </c>
      <c r="D358" s="500">
        <v>43530.0</v>
      </c>
      <c r="E358" s="428" t="s">
        <v>6539</v>
      </c>
      <c r="F358" s="397" t="s">
        <v>5878</v>
      </c>
      <c r="G358" s="428" t="s">
        <v>565</v>
      </c>
      <c r="H358" s="397" t="s">
        <v>2550</v>
      </c>
      <c r="I358" s="500">
        <v>43714.0</v>
      </c>
      <c r="J358" s="428">
        <v>9.0</v>
      </c>
      <c r="K358" s="531" t="s">
        <v>238</v>
      </c>
      <c r="L358" s="397" t="s">
        <v>260</v>
      </c>
      <c r="M358" s="529">
        <f t="shared" si="1"/>
        <v>184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19">
        <v>35819.0</v>
      </c>
      <c r="B359" s="420" t="s">
        <v>6540</v>
      </c>
      <c r="C359" s="420">
        <v>2014.0</v>
      </c>
      <c r="D359" s="497">
        <v>41677.0</v>
      </c>
      <c r="E359" s="422" t="s">
        <v>6541</v>
      </c>
      <c r="F359" s="394" t="s">
        <v>44</v>
      </c>
      <c r="G359" s="422" t="s">
        <v>552</v>
      </c>
      <c r="H359" s="394" t="s">
        <v>4553</v>
      </c>
      <c r="I359" s="497">
        <v>43714.0</v>
      </c>
      <c r="J359" s="422">
        <v>9.0</v>
      </c>
      <c r="K359" s="535" t="s">
        <v>228</v>
      </c>
      <c r="L359" s="394" t="s">
        <v>258</v>
      </c>
      <c r="M359" s="528">
        <f t="shared" si="1"/>
        <v>2037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25">
        <v>35919.0</v>
      </c>
      <c r="B360" s="426" t="s">
        <v>6542</v>
      </c>
      <c r="C360" s="426">
        <v>2018.0</v>
      </c>
      <c r="D360" s="500">
        <v>43413.0</v>
      </c>
      <c r="E360" s="428" t="s">
        <v>6543</v>
      </c>
      <c r="F360" s="397" t="s">
        <v>6544</v>
      </c>
      <c r="G360" s="428" t="s">
        <v>565</v>
      </c>
      <c r="H360" s="397" t="s">
        <v>5463</v>
      </c>
      <c r="I360" s="500">
        <v>43717.0</v>
      </c>
      <c r="J360" s="428">
        <v>9.0</v>
      </c>
      <c r="K360" s="571" t="s">
        <v>244</v>
      </c>
      <c r="L360" s="397" t="s">
        <v>260</v>
      </c>
      <c r="M360" s="529">
        <f t="shared" si="1"/>
        <v>304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19">
        <v>36019.0</v>
      </c>
      <c r="B361" s="420" t="s">
        <v>6545</v>
      </c>
      <c r="C361" s="420">
        <v>2018.0</v>
      </c>
      <c r="D361" s="497">
        <v>43378.0</v>
      </c>
      <c r="E361" s="422" t="s">
        <v>6546</v>
      </c>
      <c r="F361" s="394" t="s">
        <v>6544</v>
      </c>
      <c r="G361" s="422" t="s">
        <v>565</v>
      </c>
      <c r="H361" s="394" t="s">
        <v>5463</v>
      </c>
      <c r="I361" s="497">
        <v>43717.0</v>
      </c>
      <c r="J361" s="422">
        <v>9.0</v>
      </c>
      <c r="K361" s="571" t="s">
        <v>244</v>
      </c>
      <c r="L361" s="394" t="s">
        <v>260</v>
      </c>
      <c r="M361" s="528">
        <f t="shared" si="1"/>
        <v>339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425">
        <v>36119.0</v>
      </c>
      <c r="B362" s="426" t="s">
        <v>6547</v>
      </c>
      <c r="C362" s="426">
        <v>2014.0</v>
      </c>
      <c r="D362" s="500">
        <v>41829.0</v>
      </c>
      <c r="E362" s="428" t="s">
        <v>6548</v>
      </c>
      <c r="F362" s="397" t="s">
        <v>6549</v>
      </c>
      <c r="G362" s="428" t="s">
        <v>552</v>
      </c>
      <c r="H362" s="397" t="s">
        <v>2199</v>
      </c>
      <c r="I362" s="500">
        <v>43717.0</v>
      </c>
      <c r="J362" s="428">
        <v>9.0</v>
      </c>
      <c r="K362" s="535" t="s">
        <v>228</v>
      </c>
      <c r="L362" s="397" t="s">
        <v>258</v>
      </c>
      <c r="M362" s="529">
        <f t="shared" si="1"/>
        <v>1888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19">
        <v>36219.0</v>
      </c>
      <c r="B363" s="420" t="s">
        <v>6550</v>
      </c>
      <c r="C363" s="420">
        <v>2018.0</v>
      </c>
      <c r="D363" s="497">
        <v>43276.0</v>
      </c>
      <c r="E363" s="422" t="s">
        <v>6551</v>
      </c>
      <c r="F363" s="394" t="s">
        <v>5883</v>
      </c>
      <c r="G363" s="422" t="s">
        <v>17</v>
      </c>
      <c r="H363" s="394" t="s">
        <v>163</v>
      </c>
      <c r="I363" s="497">
        <v>43718.0</v>
      </c>
      <c r="J363" s="422">
        <v>9.0</v>
      </c>
      <c r="K363" s="572" t="s">
        <v>19</v>
      </c>
      <c r="L363" s="394" t="s">
        <v>258</v>
      </c>
      <c r="M363" s="528">
        <f t="shared" si="1"/>
        <v>442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25">
        <v>36319.0</v>
      </c>
      <c r="B364" s="426" t="s">
        <v>6552</v>
      </c>
      <c r="C364" s="426">
        <v>2017.0</v>
      </c>
      <c r="D364" s="500">
        <v>43014.0</v>
      </c>
      <c r="E364" s="428" t="s">
        <v>6553</v>
      </c>
      <c r="F364" s="397" t="s">
        <v>5883</v>
      </c>
      <c r="G364" s="428" t="s">
        <v>17</v>
      </c>
      <c r="H364" s="397" t="s">
        <v>1178</v>
      </c>
      <c r="I364" s="500">
        <v>43718.0</v>
      </c>
      <c r="J364" s="428">
        <v>9.0</v>
      </c>
      <c r="K364" s="572" t="s">
        <v>19</v>
      </c>
      <c r="L364" s="397" t="s">
        <v>258</v>
      </c>
      <c r="M364" s="529">
        <f t="shared" si="1"/>
        <v>704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19">
        <v>36419.0</v>
      </c>
      <c r="B365" s="420" t="s">
        <v>6554</v>
      </c>
      <c r="C365" s="420">
        <v>2016.0</v>
      </c>
      <c r="D365" s="497">
        <v>42494.0</v>
      </c>
      <c r="E365" s="422" t="s">
        <v>6555</v>
      </c>
      <c r="F365" s="394" t="s">
        <v>1440</v>
      </c>
      <c r="G365" s="422" t="s">
        <v>552</v>
      </c>
      <c r="H365" s="394" t="s">
        <v>2164</v>
      </c>
      <c r="I365" s="497">
        <v>43720.0</v>
      </c>
      <c r="J365" s="422">
        <v>9.0</v>
      </c>
      <c r="K365" s="535" t="s">
        <v>228</v>
      </c>
      <c r="L365" s="394" t="s">
        <v>256</v>
      </c>
      <c r="M365" s="528">
        <f t="shared" si="1"/>
        <v>1226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25">
        <v>36519.0</v>
      </c>
      <c r="B366" s="426" t="s">
        <v>6556</v>
      </c>
      <c r="C366" s="426">
        <v>2014.0</v>
      </c>
      <c r="D366" s="500">
        <v>41789.0</v>
      </c>
      <c r="E366" s="428" t="s">
        <v>6557</v>
      </c>
      <c r="F366" s="397" t="s">
        <v>6398</v>
      </c>
      <c r="G366" s="428" t="s">
        <v>547</v>
      </c>
      <c r="H366" s="397" t="s">
        <v>705</v>
      </c>
      <c r="I366" s="500">
        <v>43720.0</v>
      </c>
      <c r="J366" s="428">
        <v>9.0</v>
      </c>
      <c r="K366" s="531" t="s">
        <v>238</v>
      </c>
      <c r="L366" s="397" t="s">
        <v>258</v>
      </c>
      <c r="M366" s="529">
        <f t="shared" si="1"/>
        <v>1931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19">
        <v>36619.0</v>
      </c>
      <c r="B367" s="420" t="s">
        <v>6558</v>
      </c>
      <c r="C367" s="420">
        <v>2012.0</v>
      </c>
      <c r="D367" s="497">
        <v>41107.0</v>
      </c>
      <c r="E367" s="422" t="s">
        <v>6559</v>
      </c>
      <c r="F367" s="394" t="s">
        <v>6560</v>
      </c>
      <c r="G367" s="422" t="s">
        <v>552</v>
      </c>
      <c r="H367" s="394" t="s">
        <v>125</v>
      </c>
      <c r="I367" s="497">
        <v>43720.0</v>
      </c>
      <c r="J367" s="422">
        <v>9.0</v>
      </c>
      <c r="K367" s="535" t="s">
        <v>228</v>
      </c>
      <c r="L367" s="394" t="s">
        <v>256</v>
      </c>
      <c r="M367" s="528">
        <f t="shared" si="1"/>
        <v>2613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25">
        <v>36719.0</v>
      </c>
      <c r="B368" s="426" t="s">
        <v>6561</v>
      </c>
      <c r="C368" s="426">
        <v>2011.0</v>
      </c>
      <c r="D368" s="500">
        <v>40653.0</v>
      </c>
      <c r="E368" s="428" t="s">
        <v>6562</v>
      </c>
      <c r="F368" s="397" t="s">
        <v>963</v>
      </c>
      <c r="G368" s="428" t="s">
        <v>552</v>
      </c>
      <c r="H368" s="397" t="s">
        <v>5826</v>
      </c>
      <c r="I368" s="500">
        <v>43720.0</v>
      </c>
      <c r="J368" s="428">
        <v>9.0</v>
      </c>
      <c r="K368" s="539" t="s">
        <v>234</v>
      </c>
      <c r="L368" s="397" t="s">
        <v>258</v>
      </c>
      <c r="M368" s="529">
        <f t="shared" si="1"/>
        <v>3067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19">
        <v>36819.0</v>
      </c>
      <c r="B369" s="420" t="s">
        <v>6563</v>
      </c>
      <c r="C369" s="420">
        <v>2018.0</v>
      </c>
      <c r="D369" s="497">
        <v>43458.0</v>
      </c>
      <c r="E369" s="422" t="s">
        <v>6564</v>
      </c>
      <c r="F369" s="503" t="s">
        <v>5593</v>
      </c>
      <c r="G369" s="422" t="s">
        <v>565</v>
      </c>
      <c r="H369" s="394" t="s">
        <v>5490</v>
      </c>
      <c r="I369" s="497">
        <v>43720.0</v>
      </c>
      <c r="J369" s="422">
        <v>9.0</v>
      </c>
      <c r="K369" s="531" t="s">
        <v>238</v>
      </c>
      <c r="L369" s="394" t="s">
        <v>260</v>
      </c>
      <c r="M369" s="528">
        <f t="shared" si="1"/>
        <v>262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25">
        <v>36919.0</v>
      </c>
      <c r="B370" s="426" t="s">
        <v>6565</v>
      </c>
      <c r="C370" s="426">
        <v>2017.0</v>
      </c>
      <c r="D370" s="500">
        <v>43069.0</v>
      </c>
      <c r="E370" s="428" t="s">
        <v>6566</v>
      </c>
      <c r="F370" s="397" t="s">
        <v>2800</v>
      </c>
      <c r="G370" s="428" t="s">
        <v>552</v>
      </c>
      <c r="H370" s="397" t="s">
        <v>2800</v>
      </c>
      <c r="I370" s="500">
        <v>43720.0</v>
      </c>
      <c r="J370" s="428">
        <v>9.0</v>
      </c>
      <c r="K370" s="531" t="s">
        <v>238</v>
      </c>
      <c r="L370" s="397" t="s">
        <v>256</v>
      </c>
      <c r="M370" s="529">
        <f t="shared" si="1"/>
        <v>651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19">
        <v>37019.0</v>
      </c>
      <c r="B371" s="420" t="s">
        <v>6567</v>
      </c>
      <c r="C371" s="420">
        <v>2013.0</v>
      </c>
      <c r="D371" s="497">
        <v>41631.0</v>
      </c>
      <c r="E371" s="422" t="s">
        <v>6568</v>
      </c>
      <c r="F371" s="394" t="s">
        <v>102</v>
      </c>
      <c r="G371" s="422" t="s">
        <v>552</v>
      </c>
      <c r="H371" s="394" t="s">
        <v>66</v>
      </c>
      <c r="I371" s="497">
        <v>43721.0</v>
      </c>
      <c r="J371" s="422">
        <v>9.0</v>
      </c>
      <c r="K371" s="531" t="s">
        <v>238</v>
      </c>
      <c r="L371" s="394" t="s">
        <v>258</v>
      </c>
      <c r="M371" s="528">
        <f t="shared" si="1"/>
        <v>2090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25">
        <v>37119.0</v>
      </c>
      <c r="B372" s="426" t="s">
        <v>6569</v>
      </c>
      <c r="C372" s="426">
        <v>2018.0</v>
      </c>
      <c r="D372" s="500">
        <v>43409.0</v>
      </c>
      <c r="E372" s="428" t="s">
        <v>6570</v>
      </c>
      <c r="F372" s="505" t="s">
        <v>2383</v>
      </c>
      <c r="G372" s="428" t="s">
        <v>569</v>
      </c>
      <c r="H372" s="397" t="s">
        <v>6571</v>
      </c>
      <c r="I372" s="500">
        <v>43721.0</v>
      </c>
      <c r="J372" s="428">
        <v>9.0</v>
      </c>
      <c r="K372" s="571" t="s">
        <v>850</v>
      </c>
      <c r="L372" s="397" t="s">
        <v>260</v>
      </c>
      <c r="M372" s="529">
        <f t="shared" si="1"/>
        <v>312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19">
        <v>37219.0</v>
      </c>
      <c r="B373" s="420" t="s">
        <v>6572</v>
      </c>
      <c r="C373" s="420">
        <v>2013.0</v>
      </c>
      <c r="D373" s="497">
        <v>41492.0</v>
      </c>
      <c r="E373" s="422" t="s">
        <v>6573</v>
      </c>
      <c r="F373" s="394" t="s">
        <v>2307</v>
      </c>
      <c r="G373" s="422" t="s">
        <v>17</v>
      </c>
      <c r="H373" s="394" t="s">
        <v>50</v>
      </c>
      <c r="I373" s="497">
        <v>43724.0</v>
      </c>
      <c r="J373" s="422">
        <v>9.0</v>
      </c>
      <c r="K373" s="531" t="s">
        <v>238</v>
      </c>
      <c r="L373" s="394" t="s">
        <v>256</v>
      </c>
      <c r="M373" s="528">
        <f t="shared" si="1"/>
        <v>2232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425">
        <v>37319.0</v>
      </c>
      <c r="B374" s="426" t="s">
        <v>6574</v>
      </c>
      <c r="C374" s="426">
        <v>2017.0</v>
      </c>
      <c r="D374" s="500">
        <v>42885.0</v>
      </c>
      <c r="E374" s="428" t="s">
        <v>6575</v>
      </c>
      <c r="F374" s="397" t="s">
        <v>3934</v>
      </c>
      <c r="G374" s="428" t="s">
        <v>17</v>
      </c>
      <c r="H374" s="397" t="s">
        <v>56</v>
      </c>
      <c r="I374" s="500">
        <v>43724.0</v>
      </c>
      <c r="J374" s="428">
        <v>9.0</v>
      </c>
      <c r="K374" s="539" t="s">
        <v>234</v>
      </c>
      <c r="L374" s="397" t="s">
        <v>256</v>
      </c>
      <c r="M374" s="529">
        <f t="shared" si="1"/>
        <v>839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19">
        <v>37419.0</v>
      </c>
      <c r="B375" s="420" t="s">
        <v>6576</v>
      </c>
      <c r="C375" s="420">
        <v>2017.0</v>
      </c>
      <c r="D375" s="497">
        <v>42975.0</v>
      </c>
      <c r="E375" s="422" t="s">
        <v>6577</v>
      </c>
      <c r="F375" s="394" t="s">
        <v>5883</v>
      </c>
      <c r="G375" s="422" t="s">
        <v>17</v>
      </c>
      <c r="H375" s="394" t="s">
        <v>66</v>
      </c>
      <c r="I375" s="497">
        <v>43724.0</v>
      </c>
      <c r="J375" s="422">
        <v>9.0</v>
      </c>
      <c r="K375" s="572" t="s">
        <v>19</v>
      </c>
      <c r="L375" s="394" t="s">
        <v>258</v>
      </c>
      <c r="M375" s="528">
        <f t="shared" si="1"/>
        <v>749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25">
        <v>37519.0</v>
      </c>
      <c r="B376" s="426" t="s">
        <v>6578</v>
      </c>
      <c r="C376" s="426">
        <v>2018.0</v>
      </c>
      <c r="D376" s="500">
        <v>43369.0</v>
      </c>
      <c r="E376" s="428" t="s">
        <v>6579</v>
      </c>
      <c r="F376" s="397" t="s">
        <v>5883</v>
      </c>
      <c r="G376" s="428" t="s">
        <v>17</v>
      </c>
      <c r="H376" s="397" t="s">
        <v>50</v>
      </c>
      <c r="I376" s="500">
        <v>43724.0</v>
      </c>
      <c r="J376" s="428">
        <v>9.0</v>
      </c>
      <c r="K376" s="572" t="s">
        <v>19</v>
      </c>
      <c r="L376" s="397" t="s">
        <v>258</v>
      </c>
      <c r="M376" s="529">
        <f t="shared" si="1"/>
        <v>355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19">
        <v>37619.0</v>
      </c>
      <c r="B377" s="420" t="s">
        <v>6580</v>
      </c>
      <c r="C377" s="420">
        <v>2013.0</v>
      </c>
      <c r="D377" s="497">
        <v>41466.0</v>
      </c>
      <c r="E377" s="422" t="s">
        <v>6581</v>
      </c>
      <c r="F377" s="394" t="s">
        <v>1957</v>
      </c>
      <c r="G377" s="422" t="s">
        <v>552</v>
      </c>
      <c r="H377" s="394" t="s">
        <v>934</v>
      </c>
      <c r="I377" s="497">
        <v>43726.0</v>
      </c>
      <c r="J377" s="422">
        <v>9.0</v>
      </c>
      <c r="K377" s="571" t="s">
        <v>244</v>
      </c>
      <c r="L377" s="394" t="s">
        <v>258</v>
      </c>
      <c r="M377" s="528">
        <f t="shared" si="1"/>
        <v>2260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25">
        <v>37719.0</v>
      </c>
      <c r="B378" s="426" t="s">
        <v>6582</v>
      </c>
      <c r="C378" s="426">
        <v>2008.0</v>
      </c>
      <c r="D378" s="500">
        <v>39584.0</v>
      </c>
      <c r="E378" s="428" t="s">
        <v>6583</v>
      </c>
      <c r="F378" s="397" t="s">
        <v>6584</v>
      </c>
      <c r="G378" s="428" t="s">
        <v>552</v>
      </c>
      <c r="H378" s="397" t="s">
        <v>1393</v>
      </c>
      <c r="I378" s="500">
        <v>43726.0</v>
      </c>
      <c r="J378" s="428">
        <v>9.0</v>
      </c>
      <c r="K378" s="535" t="s">
        <v>228</v>
      </c>
      <c r="L378" s="397" t="s">
        <v>256</v>
      </c>
      <c r="M378" s="529">
        <f t="shared" si="1"/>
        <v>4142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19">
        <v>37819.0</v>
      </c>
      <c r="B379" s="420" t="s">
        <v>6585</v>
      </c>
      <c r="C379" s="420">
        <v>2018.0</v>
      </c>
      <c r="D379" s="497">
        <v>43333.0</v>
      </c>
      <c r="E379" s="422" t="s">
        <v>6586</v>
      </c>
      <c r="F379" s="503" t="s">
        <v>2606</v>
      </c>
      <c r="G379" s="422" t="s">
        <v>565</v>
      </c>
      <c r="H379" s="394" t="s">
        <v>2093</v>
      </c>
      <c r="I379" s="497">
        <v>43738.0</v>
      </c>
      <c r="J379" s="422">
        <v>9.0</v>
      </c>
      <c r="K379" s="531" t="s">
        <v>238</v>
      </c>
      <c r="L379" s="394" t="s">
        <v>260</v>
      </c>
      <c r="M379" s="528">
        <f t="shared" si="1"/>
        <v>405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25">
        <v>37919.0</v>
      </c>
      <c r="B380" s="426" t="s">
        <v>6587</v>
      </c>
      <c r="C380" s="426">
        <v>2019.0</v>
      </c>
      <c r="D380" s="500">
        <v>43644.0</v>
      </c>
      <c r="E380" s="428" t="s">
        <v>6588</v>
      </c>
      <c r="F380" s="397" t="s">
        <v>1823</v>
      </c>
      <c r="G380" s="428" t="s">
        <v>17</v>
      </c>
      <c r="H380" s="397" t="s">
        <v>2164</v>
      </c>
      <c r="I380" s="500">
        <v>43739.0</v>
      </c>
      <c r="J380" s="428">
        <v>10.0</v>
      </c>
      <c r="K380" s="572" t="s">
        <v>19</v>
      </c>
      <c r="L380" s="397" t="s">
        <v>256</v>
      </c>
      <c r="M380" s="529">
        <f t="shared" si="1"/>
        <v>95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19">
        <v>38019.0</v>
      </c>
      <c r="B381" s="420" t="s">
        <v>6589</v>
      </c>
      <c r="C381" s="420">
        <v>2019.0</v>
      </c>
      <c r="D381" s="497">
        <v>43553.0</v>
      </c>
      <c r="E381" s="422" t="s">
        <v>6590</v>
      </c>
      <c r="F381" s="503" t="s">
        <v>2614</v>
      </c>
      <c r="G381" s="422" t="s">
        <v>569</v>
      </c>
      <c r="H381" s="394" t="s">
        <v>1850</v>
      </c>
      <c r="I381" s="497">
        <v>43739.0</v>
      </c>
      <c r="J381" s="422">
        <v>10.0</v>
      </c>
      <c r="K381" s="571" t="s">
        <v>244</v>
      </c>
      <c r="L381" s="394" t="s">
        <v>260</v>
      </c>
      <c r="M381" s="528">
        <f t="shared" si="1"/>
        <v>186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25">
        <v>38119.0</v>
      </c>
      <c r="B382" s="426" t="s">
        <v>6591</v>
      </c>
      <c r="C382" s="426">
        <v>2018.0</v>
      </c>
      <c r="D382" s="500">
        <v>43398.0</v>
      </c>
      <c r="E382" s="428" t="s">
        <v>6592</v>
      </c>
      <c r="F382" s="505" t="s">
        <v>5390</v>
      </c>
      <c r="G382" s="428" t="s">
        <v>565</v>
      </c>
      <c r="H382" s="397" t="s">
        <v>2353</v>
      </c>
      <c r="I382" s="500">
        <v>43739.0</v>
      </c>
      <c r="J382" s="428">
        <v>10.0</v>
      </c>
      <c r="K382" s="571" t="s">
        <v>244</v>
      </c>
      <c r="L382" s="397" t="s">
        <v>260</v>
      </c>
      <c r="M382" s="529">
        <f t="shared" si="1"/>
        <v>341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19">
        <v>38219.0</v>
      </c>
      <c r="B383" s="420" t="s">
        <v>6593</v>
      </c>
      <c r="C383" s="420">
        <v>2012.0</v>
      </c>
      <c r="D383" s="497">
        <v>41031.0</v>
      </c>
      <c r="E383" s="422" t="s">
        <v>6594</v>
      </c>
      <c r="F383" s="394" t="s">
        <v>6595</v>
      </c>
      <c r="G383" s="422" t="s">
        <v>552</v>
      </c>
      <c r="H383" s="394" t="s">
        <v>775</v>
      </c>
      <c r="I383" s="497">
        <v>43740.0</v>
      </c>
      <c r="J383" s="422">
        <v>10.0</v>
      </c>
      <c r="K383" s="531" t="s">
        <v>238</v>
      </c>
      <c r="L383" s="394" t="s">
        <v>258</v>
      </c>
      <c r="M383" s="528">
        <f t="shared" si="1"/>
        <v>2709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25">
        <v>38319.0</v>
      </c>
      <c r="B384" s="426" t="s">
        <v>6596</v>
      </c>
      <c r="C384" s="426">
        <v>2015.0</v>
      </c>
      <c r="D384" s="500">
        <v>42216.0</v>
      </c>
      <c r="E384" s="428" t="s">
        <v>6597</v>
      </c>
      <c r="F384" s="397" t="s">
        <v>6598</v>
      </c>
      <c r="G384" s="428" t="s">
        <v>547</v>
      </c>
      <c r="H384" s="397" t="s">
        <v>1002</v>
      </c>
      <c r="I384" s="500">
        <v>43762.0</v>
      </c>
      <c r="J384" s="428">
        <v>10.0</v>
      </c>
      <c r="K384" s="531" t="s">
        <v>242</v>
      </c>
      <c r="L384" s="397" t="s">
        <v>256</v>
      </c>
      <c r="M384" s="529">
        <f t="shared" si="1"/>
        <v>1546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19">
        <v>38419.0</v>
      </c>
      <c r="B385" s="420" t="s">
        <v>6599</v>
      </c>
      <c r="C385" s="420">
        <v>2017.0</v>
      </c>
      <c r="D385" s="497">
        <v>42737.0</v>
      </c>
      <c r="E385" s="422" t="s">
        <v>6600</v>
      </c>
      <c r="F385" s="394" t="s">
        <v>6601</v>
      </c>
      <c r="G385" s="422" t="s">
        <v>565</v>
      </c>
      <c r="H385" s="394" t="s">
        <v>782</v>
      </c>
      <c r="I385" s="497">
        <v>43762.0</v>
      </c>
      <c r="J385" s="422">
        <v>10.0</v>
      </c>
      <c r="K385" s="531" t="s">
        <v>242</v>
      </c>
      <c r="L385" s="394" t="s">
        <v>260</v>
      </c>
      <c r="M385" s="528">
        <f t="shared" si="1"/>
        <v>1025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2.75" customHeight="1">
      <c r="A386" s="425">
        <v>38519.0</v>
      </c>
      <c r="B386" s="426" t="s">
        <v>6602</v>
      </c>
      <c r="C386" s="426">
        <v>2015.0</v>
      </c>
      <c r="D386" s="500">
        <v>42090.0</v>
      </c>
      <c r="E386" s="428" t="s">
        <v>6603</v>
      </c>
      <c r="F386" s="397" t="s">
        <v>5883</v>
      </c>
      <c r="G386" s="428" t="s">
        <v>552</v>
      </c>
      <c r="H386" s="397" t="s">
        <v>929</v>
      </c>
      <c r="I386" s="500">
        <v>43762.0</v>
      </c>
      <c r="J386" s="428">
        <v>10.0</v>
      </c>
      <c r="K386" s="539" t="s">
        <v>234</v>
      </c>
      <c r="L386" s="397" t="s">
        <v>258</v>
      </c>
      <c r="M386" s="529">
        <f t="shared" si="1"/>
        <v>1672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419">
        <v>38619.0</v>
      </c>
      <c r="B387" s="420" t="s">
        <v>6604</v>
      </c>
      <c r="C387" s="420">
        <v>2013.0</v>
      </c>
      <c r="D387" s="497">
        <v>41549.0</v>
      </c>
      <c r="E387" s="422" t="s">
        <v>6605</v>
      </c>
      <c r="F387" s="394" t="s">
        <v>1232</v>
      </c>
      <c r="G387" s="422" t="s">
        <v>17</v>
      </c>
      <c r="H387" s="394" t="s">
        <v>934</v>
      </c>
      <c r="I387" s="497">
        <v>43762.0</v>
      </c>
      <c r="J387" s="422">
        <v>10.0</v>
      </c>
      <c r="K387" s="572" t="s">
        <v>19</v>
      </c>
      <c r="L387" s="394" t="s">
        <v>256</v>
      </c>
      <c r="M387" s="528">
        <f t="shared" si="1"/>
        <v>2213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25">
        <v>38719.0</v>
      </c>
      <c r="B388" s="426" t="s">
        <v>6606</v>
      </c>
      <c r="C388" s="426">
        <v>2014.0</v>
      </c>
      <c r="D388" s="500">
        <v>41659.0</v>
      </c>
      <c r="E388" s="428" t="s">
        <v>6607</v>
      </c>
      <c r="F388" s="397" t="s">
        <v>1968</v>
      </c>
      <c r="G388" s="428" t="s">
        <v>17</v>
      </c>
      <c r="H388" s="397" t="s">
        <v>125</v>
      </c>
      <c r="I388" s="500">
        <v>43762.0</v>
      </c>
      <c r="J388" s="428">
        <v>10.0</v>
      </c>
      <c r="K388" s="572" t="s">
        <v>19</v>
      </c>
      <c r="L388" s="397" t="s">
        <v>256</v>
      </c>
      <c r="M388" s="529">
        <f t="shared" si="1"/>
        <v>2103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19">
        <v>38819.0</v>
      </c>
      <c r="B389" s="420" t="s">
        <v>6608</v>
      </c>
      <c r="C389" s="420">
        <v>2014.0</v>
      </c>
      <c r="D389" s="497">
        <v>41704.0</v>
      </c>
      <c r="E389" s="422" t="s">
        <v>6609</v>
      </c>
      <c r="F389" s="394" t="s">
        <v>6610</v>
      </c>
      <c r="G389" s="422" t="s">
        <v>17</v>
      </c>
      <c r="H389" s="394" t="s">
        <v>1393</v>
      </c>
      <c r="I389" s="497">
        <v>43762.0</v>
      </c>
      <c r="J389" s="422">
        <v>10.0</v>
      </c>
      <c r="K389" s="572" t="s">
        <v>19</v>
      </c>
      <c r="L389" s="394" t="s">
        <v>256</v>
      </c>
      <c r="M389" s="528">
        <f t="shared" si="1"/>
        <v>2058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25">
        <v>38919.0</v>
      </c>
      <c r="B390" s="426" t="s">
        <v>6611</v>
      </c>
      <c r="C390" s="426">
        <v>2014.0</v>
      </c>
      <c r="D390" s="500">
        <v>41775.0</v>
      </c>
      <c r="E390" s="428" t="s">
        <v>6612</v>
      </c>
      <c r="F390" s="397" t="s">
        <v>963</v>
      </c>
      <c r="G390" s="428" t="s">
        <v>17</v>
      </c>
      <c r="H390" s="397" t="s">
        <v>153</v>
      </c>
      <c r="I390" s="500">
        <v>43762.0</v>
      </c>
      <c r="J390" s="428">
        <v>10.0</v>
      </c>
      <c r="K390" s="572" t="s">
        <v>19</v>
      </c>
      <c r="L390" s="397" t="s">
        <v>258</v>
      </c>
      <c r="M390" s="529">
        <f t="shared" si="1"/>
        <v>1987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19">
        <v>39019.0</v>
      </c>
      <c r="B391" s="420" t="s">
        <v>6613</v>
      </c>
      <c r="C391" s="420">
        <v>2014.0</v>
      </c>
      <c r="D391" s="497">
        <v>41779.0</v>
      </c>
      <c r="E391" s="422" t="s">
        <v>6614</v>
      </c>
      <c r="F391" s="394" t="s">
        <v>1232</v>
      </c>
      <c r="G391" s="422" t="s">
        <v>17</v>
      </c>
      <c r="H391" s="394" t="s">
        <v>163</v>
      </c>
      <c r="I391" s="497">
        <v>43762.0</v>
      </c>
      <c r="J391" s="422">
        <v>10.0</v>
      </c>
      <c r="K391" s="572" t="s">
        <v>19</v>
      </c>
      <c r="L391" s="394" t="s">
        <v>256</v>
      </c>
      <c r="M391" s="528">
        <f t="shared" si="1"/>
        <v>1983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25">
        <v>39119.0</v>
      </c>
      <c r="B392" s="426" t="s">
        <v>6615</v>
      </c>
      <c r="C392" s="426">
        <v>2015.0</v>
      </c>
      <c r="D392" s="500">
        <v>42132.0</v>
      </c>
      <c r="E392" s="428" t="s">
        <v>6616</v>
      </c>
      <c r="F392" s="397" t="s">
        <v>711</v>
      </c>
      <c r="G392" s="428" t="s">
        <v>17</v>
      </c>
      <c r="H392" s="397" t="s">
        <v>130</v>
      </c>
      <c r="I392" s="500">
        <v>43762.0</v>
      </c>
      <c r="J392" s="428">
        <v>10.0</v>
      </c>
      <c r="K392" s="572" t="s">
        <v>19</v>
      </c>
      <c r="L392" s="397" t="s">
        <v>256</v>
      </c>
      <c r="M392" s="529">
        <f t="shared" si="1"/>
        <v>1630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19">
        <v>39219.0</v>
      </c>
      <c r="B393" s="420" t="s">
        <v>6617</v>
      </c>
      <c r="C393" s="420">
        <v>2016.0</v>
      </c>
      <c r="D393" s="497">
        <v>42460.0</v>
      </c>
      <c r="E393" s="422" t="s">
        <v>6618</v>
      </c>
      <c r="F393" s="394" t="s">
        <v>5373</v>
      </c>
      <c r="G393" s="422" t="s">
        <v>17</v>
      </c>
      <c r="H393" s="394" t="s">
        <v>4922</v>
      </c>
      <c r="I393" s="497">
        <v>43762.0</v>
      </c>
      <c r="J393" s="422">
        <v>10.0</v>
      </c>
      <c r="K393" s="572" t="s">
        <v>19</v>
      </c>
      <c r="L393" s="394" t="s">
        <v>256</v>
      </c>
      <c r="M393" s="528">
        <f t="shared" si="1"/>
        <v>1302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25">
        <v>39319.0</v>
      </c>
      <c r="B394" s="426" t="s">
        <v>6619</v>
      </c>
      <c r="C394" s="426">
        <v>2017.0</v>
      </c>
      <c r="D394" s="500">
        <v>42759.0</v>
      </c>
      <c r="E394" s="428" t="s">
        <v>6620</v>
      </c>
      <c r="F394" s="397" t="s">
        <v>2307</v>
      </c>
      <c r="G394" s="428" t="s">
        <v>17</v>
      </c>
      <c r="H394" s="397" t="s">
        <v>77</v>
      </c>
      <c r="I394" s="500">
        <v>43762.0</v>
      </c>
      <c r="J394" s="428">
        <v>10.0</v>
      </c>
      <c r="K394" s="572" t="s">
        <v>19</v>
      </c>
      <c r="L394" s="397" t="s">
        <v>256</v>
      </c>
      <c r="M394" s="529">
        <f t="shared" si="1"/>
        <v>1003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19">
        <v>39419.0</v>
      </c>
      <c r="B395" s="420" t="s">
        <v>6621</v>
      </c>
      <c r="C395" s="420">
        <v>2017.0</v>
      </c>
      <c r="D395" s="497">
        <v>42825.0</v>
      </c>
      <c r="E395" s="422" t="s">
        <v>6622</v>
      </c>
      <c r="F395" s="394" t="s">
        <v>5883</v>
      </c>
      <c r="G395" s="422" t="s">
        <v>17</v>
      </c>
      <c r="H395" s="394" t="s">
        <v>153</v>
      </c>
      <c r="I395" s="497">
        <v>43762.0</v>
      </c>
      <c r="J395" s="422">
        <v>10.0</v>
      </c>
      <c r="K395" s="531" t="s">
        <v>238</v>
      </c>
      <c r="L395" s="394" t="s">
        <v>258</v>
      </c>
      <c r="M395" s="528">
        <f t="shared" si="1"/>
        <v>937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25">
        <v>39519.0</v>
      </c>
      <c r="B396" s="426" t="s">
        <v>6623</v>
      </c>
      <c r="C396" s="426">
        <v>2015.0</v>
      </c>
      <c r="D396" s="500">
        <v>42096.0</v>
      </c>
      <c r="E396" s="428" t="s">
        <v>6624</v>
      </c>
      <c r="F396" s="397" t="s">
        <v>1968</v>
      </c>
      <c r="G396" s="428" t="s">
        <v>17</v>
      </c>
      <c r="H396" s="397" t="s">
        <v>4553</v>
      </c>
      <c r="I396" s="500">
        <v>43762.0</v>
      </c>
      <c r="J396" s="428">
        <v>10.0</v>
      </c>
      <c r="K396" s="572" t="s">
        <v>19</v>
      </c>
      <c r="L396" s="397" t="s">
        <v>256</v>
      </c>
      <c r="M396" s="529">
        <f t="shared" si="1"/>
        <v>1666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19">
        <v>39619.0</v>
      </c>
      <c r="B397" s="420" t="s">
        <v>6625</v>
      </c>
      <c r="C397" s="420">
        <v>2014.0</v>
      </c>
      <c r="D397" s="497">
        <v>41927.0</v>
      </c>
      <c r="E397" s="422" t="s">
        <v>6626</v>
      </c>
      <c r="F397" s="394" t="s">
        <v>1811</v>
      </c>
      <c r="G397" s="422" t="s">
        <v>17</v>
      </c>
      <c r="H397" s="394" t="s">
        <v>149</v>
      </c>
      <c r="I397" s="497">
        <v>43762.0</v>
      </c>
      <c r="J397" s="422">
        <v>10.0</v>
      </c>
      <c r="K397" s="572" t="s">
        <v>19</v>
      </c>
      <c r="L397" s="394" t="s">
        <v>258</v>
      </c>
      <c r="M397" s="528">
        <f t="shared" si="1"/>
        <v>1835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25">
        <v>39719.0</v>
      </c>
      <c r="B398" s="426" t="s">
        <v>6627</v>
      </c>
      <c r="C398" s="426">
        <v>2018.0</v>
      </c>
      <c r="D398" s="500">
        <v>43402.0</v>
      </c>
      <c r="E398" s="428" t="s">
        <v>6628</v>
      </c>
      <c r="F398" s="397" t="s">
        <v>44</v>
      </c>
      <c r="G398" s="428" t="s">
        <v>17</v>
      </c>
      <c r="H398" s="397" t="s">
        <v>153</v>
      </c>
      <c r="I398" s="500">
        <v>43762.0</v>
      </c>
      <c r="J398" s="428">
        <v>10.0</v>
      </c>
      <c r="K398" s="535" t="s">
        <v>228</v>
      </c>
      <c r="L398" s="397" t="s">
        <v>258</v>
      </c>
      <c r="M398" s="529">
        <f t="shared" si="1"/>
        <v>360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19">
        <v>39819.0</v>
      </c>
      <c r="B399" s="420" t="s">
        <v>6629</v>
      </c>
      <c r="C399" s="420">
        <v>2012.0</v>
      </c>
      <c r="D399" s="497">
        <v>41050.0</v>
      </c>
      <c r="E399" s="422" t="s">
        <v>6630</v>
      </c>
      <c r="F399" s="394" t="s">
        <v>595</v>
      </c>
      <c r="G399" s="422" t="s">
        <v>17</v>
      </c>
      <c r="H399" s="394" t="s">
        <v>112</v>
      </c>
      <c r="I399" s="497">
        <v>43762.0</v>
      </c>
      <c r="J399" s="422">
        <v>10.0</v>
      </c>
      <c r="K399" s="572" t="s">
        <v>19</v>
      </c>
      <c r="L399" s="394" t="s">
        <v>254</v>
      </c>
      <c r="M399" s="528">
        <f t="shared" si="1"/>
        <v>2712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25">
        <v>39919.0</v>
      </c>
      <c r="B400" s="426" t="s">
        <v>6631</v>
      </c>
      <c r="C400" s="426">
        <v>2019.0</v>
      </c>
      <c r="D400" s="500">
        <v>43546.0</v>
      </c>
      <c r="E400" s="428" t="s">
        <v>6632</v>
      </c>
      <c r="F400" s="505" t="s">
        <v>6633</v>
      </c>
      <c r="G400" s="428" t="s">
        <v>565</v>
      </c>
      <c r="H400" s="397" t="s">
        <v>6634</v>
      </c>
      <c r="I400" s="500">
        <v>43762.0</v>
      </c>
      <c r="J400" s="428">
        <v>10.0</v>
      </c>
      <c r="K400" s="571" t="s">
        <v>822</v>
      </c>
      <c r="L400" s="397" t="s">
        <v>260</v>
      </c>
      <c r="M400" s="529">
        <f t="shared" si="1"/>
        <v>216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19">
        <v>40019.0</v>
      </c>
      <c r="B401" s="420" t="s">
        <v>6635</v>
      </c>
      <c r="C401" s="420">
        <v>2019.0</v>
      </c>
      <c r="D401" s="497">
        <v>43616.0</v>
      </c>
      <c r="E401" s="422" t="s">
        <v>6636</v>
      </c>
      <c r="F401" s="503" t="s">
        <v>2343</v>
      </c>
      <c r="G401" s="422" t="s">
        <v>565</v>
      </c>
      <c r="H401" s="394" t="s">
        <v>2150</v>
      </c>
      <c r="I401" s="497">
        <v>43762.0</v>
      </c>
      <c r="J401" s="422">
        <v>10.0</v>
      </c>
      <c r="K401" s="571" t="s">
        <v>244</v>
      </c>
      <c r="L401" s="394" t="s">
        <v>260</v>
      </c>
      <c r="M401" s="528">
        <f t="shared" si="1"/>
        <v>146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25">
        <v>40119.0</v>
      </c>
      <c r="B402" s="426" t="s">
        <v>6637</v>
      </c>
      <c r="C402" s="426">
        <v>2018.0</v>
      </c>
      <c r="D402" s="500">
        <v>43447.0</v>
      </c>
      <c r="E402" s="428" t="s">
        <v>6638</v>
      </c>
      <c r="F402" s="505" t="s">
        <v>6639</v>
      </c>
      <c r="G402" s="428" t="s">
        <v>565</v>
      </c>
      <c r="H402" s="397" t="s">
        <v>2550</v>
      </c>
      <c r="I402" s="500">
        <v>43762.0</v>
      </c>
      <c r="J402" s="428">
        <v>10.0</v>
      </c>
      <c r="K402" s="571" t="s">
        <v>244</v>
      </c>
      <c r="L402" s="397" t="s">
        <v>260</v>
      </c>
      <c r="M402" s="529">
        <f t="shared" si="1"/>
        <v>315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19">
        <v>40219.0</v>
      </c>
      <c r="B403" s="420" t="s">
        <v>6640</v>
      </c>
      <c r="C403" s="420">
        <v>2013.0</v>
      </c>
      <c r="D403" s="497">
        <v>41421.0</v>
      </c>
      <c r="E403" s="422" t="s">
        <v>6641</v>
      </c>
      <c r="F403" s="394" t="s">
        <v>719</v>
      </c>
      <c r="G403" s="422" t="s">
        <v>17</v>
      </c>
      <c r="H403" s="394" t="s">
        <v>153</v>
      </c>
      <c r="I403" s="497">
        <v>43773.0</v>
      </c>
      <c r="J403" s="422">
        <v>11.0</v>
      </c>
      <c r="K403" s="531" t="s">
        <v>238</v>
      </c>
      <c r="L403" s="394" t="s">
        <v>256</v>
      </c>
      <c r="M403" s="528">
        <f t="shared" si="1"/>
        <v>2352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25">
        <v>40319.0</v>
      </c>
      <c r="B404" s="426" t="s">
        <v>6642</v>
      </c>
      <c r="C404" s="426">
        <v>2019.0</v>
      </c>
      <c r="D404" s="500">
        <v>43677.0</v>
      </c>
      <c r="E404" s="428" t="s">
        <v>6643</v>
      </c>
      <c r="F404" s="397" t="s">
        <v>1823</v>
      </c>
      <c r="G404" s="428" t="s">
        <v>17</v>
      </c>
      <c r="H404" s="397" t="s">
        <v>26</v>
      </c>
      <c r="I404" s="500">
        <v>43773.0</v>
      </c>
      <c r="J404" s="428">
        <v>11.0</v>
      </c>
      <c r="K404" s="572" t="s">
        <v>19</v>
      </c>
      <c r="L404" s="397" t="s">
        <v>256</v>
      </c>
      <c r="M404" s="529">
        <f t="shared" si="1"/>
        <v>96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19">
        <v>40419.0</v>
      </c>
      <c r="B405" s="420" t="s">
        <v>6644</v>
      </c>
      <c r="C405" s="420">
        <v>2017.0</v>
      </c>
      <c r="D405" s="497">
        <v>42758.0</v>
      </c>
      <c r="E405" s="422" t="s">
        <v>6645</v>
      </c>
      <c r="F405" s="394" t="s">
        <v>148</v>
      </c>
      <c r="G405" s="422" t="s">
        <v>650</v>
      </c>
      <c r="H405" s="394" t="s">
        <v>705</v>
      </c>
      <c r="I405" s="497">
        <v>43776.0</v>
      </c>
      <c r="J405" s="422">
        <v>11.0</v>
      </c>
      <c r="K405" s="531" t="s">
        <v>238</v>
      </c>
      <c r="L405" s="394" t="s">
        <v>256</v>
      </c>
      <c r="M405" s="528">
        <f t="shared" si="1"/>
        <v>1018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25">
        <v>40519.0</v>
      </c>
      <c r="B406" s="426" t="s">
        <v>6646</v>
      </c>
      <c r="C406" s="426">
        <v>2019.0</v>
      </c>
      <c r="D406" s="500">
        <v>43515.0</v>
      </c>
      <c r="E406" s="428" t="s">
        <v>6647</v>
      </c>
      <c r="F406" s="505" t="s">
        <v>6648</v>
      </c>
      <c r="G406" s="428" t="s">
        <v>565</v>
      </c>
      <c r="H406" s="397" t="s">
        <v>2093</v>
      </c>
      <c r="I406" s="500">
        <v>43776.0</v>
      </c>
      <c r="J406" s="428">
        <v>11.0</v>
      </c>
      <c r="K406" s="571" t="s">
        <v>822</v>
      </c>
      <c r="L406" s="397" t="s">
        <v>260</v>
      </c>
      <c r="M406" s="529">
        <f t="shared" si="1"/>
        <v>261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2.75" customHeight="1">
      <c r="A407" s="419">
        <v>40619.0</v>
      </c>
      <c r="B407" s="420" t="s">
        <v>6649</v>
      </c>
      <c r="C407" s="420">
        <v>2018.0</v>
      </c>
      <c r="D407" s="497">
        <v>43349.0</v>
      </c>
      <c r="E407" s="422" t="s">
        <v>6650</v>
      </c>
      <c r="F407" s="503" t="s">
        <v>5878</v>
      </c>
      <c r="G407" s="422" t="s">
        <v>565</v>
      </c>
      <c r="H407" s="394" t="s">
        <v>5490</v>
      </c>
      <c r="I407" s="497">
        <v>43776.0</v>
      </c>
      <c r="J407" s="422">
        <v>11.0</v>
      </c>
      <c r="K407" s="571" t="s">
        <v>244</v>
      </c>
      <c r="L407" s="394" t="s">
        <v>260</v>
      </c>
      <c r="M407" s="528">
        <f t="shared" si="1"/>
        <v>427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2.75" customHeight="1">
      <c r="A408" s="425">
        <v>40719.0</v>
      </c>
      <c r="B408" s="426" t="s">
        <v>6651</v>
      </c>
      <c r="C408" s="426">
        <v>2018.0</v>
      </c>
      <c r="D408" s="500">
        <v>43349.0</v>
      </c>
      <c r="E408" s="428" t="s">
        <v>6652</v>
      </c>
      <c r="F408" s="505" t="s">
        <v>6653</v>
      </c>
      <c r="G408" s="428" t="s">
        <v>565</v>
      </c>
      <c r="H408" s="397" t="s">
        <v>5490</v>
      </c>
      <c r="I408" s="500">
        <v>43776.0</v>
      </c>
      <c r="J408" s="428">
        <v>11.0</v>
      </c>
      <c r="K408" s="571" t="s">
        <v>244</v>
      </c>
      <c r="L408" s="397" t="s">
        <v>260</v>
      </c>
      <c r="M408" s="529">
        <f t="shared" si="1"/>
        <v>427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2.75" customHeight="1">
      <c r="A409" s="419">
        <v>40819.0</v>
      </c>
      <c r="B409" s="420" t="s">
        <v>6654</v>
      </c>
      <c r="C409" s="420">
        <v>2013.0</v>
      </c>
      <c r="D409" s="497">
        <v>41324.0</v>
      </c>
      <c r="E409" s="422" t="s">
        <v>6655</v>
      </c>
      <c r="F409" s="394" t="s">
        <v>2222</v>
      </c>
      <c r="G409" s="422" t="s">
        <v>17</v>
      </c>
      <c r="H409" s="394" t="s">
        <v>775</v>
      </c>
      <c r="I409" s="497">
        <v>43781.0</v>
      </c>
      <c r="J409" s="422">
        <v>11.0</v>
      </c>
      <c r="K409" s="572" t="s">
        <v>19</v>
      </c>
      <c r="L409" s="394" t="s">
        <v>258</v>
      </c>
      <c r="M409" s="528">
        <f t="shared" si="1"/>
        <v>2457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425">
        <v>40919.0</v>
      </c>
      <c r="B410" s="426" t="s">
        <v>6656</v>
      </c>
      <c r="C410" s="426">
        <v>2013.0</v>
      </c>
      <c r="D410" s="500">
        <v>41337.0</v>
      </c>
      <c r="E410" s="428" t="s">
        <v>6657</v>
      </c>
      <c r="F410" s="397" t="s">
        <v>765</v>
      </c>
      <c r="G410" s="428" t="s">
        <v>17</v>
      </c>
      <c r="H410" s="397" t="s">
        <v>1393</v>
      </c>
      <c r="I410" s="500">
        <v>43781.0</v>
      </c>
      <c r="J410" s="428">
        <v>11.0</v>
      </c>
      <c r="K410" s="572" t="s">
        <v>19</v>
      </c>
      <c r="L410" s="397" t="s">
        <v>258</v>
      </c>
      <c r="M410" s="529">
        <f t="shared" si="1"/>
        <v>2444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19">
        <v>41019.0</v>
      </c>
      <c r="B411" s="420" t="s">
        <v>6658</v>
      </c>
      <c r="C411" s="420">
        <v>2013.0</v>
      </c>
      <c r="D411" s="497">
        <v>41446.0</v>
      </c>
      <c r="E411" s="422" t="s">
        <v>6659</v>
      </c>
      <c r="F411" s="394" t="s">
        <v>102</v>
      </c>
      <c r="G411" s="422" t="s">
        <v>17</v>
      </c>
      <c r="H411" s="394" t="s">
        <v>775</v>
      </c>
      <c r="I411" s="497">
        <v>43781.0</v>
      </c>
      <c r="J411" s="422">
        <v>11.0</v>
      </c>
      <c r="K411" s="572" t="s">
        <v>19</v>
      </c>
      <c r="L411" s="394" t="s">
        <v>258</v>
      </c>
      <c r="M411" s="528">
        <f t="shared" si="1"/>
        <v>2335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25">
        <v>41119.0</v>
      </c>
      <c r="B412" s="426" t="s">
        <v>6660</v>
      </c>
      <c r="C412" s="426">
        <v>2013.0</v>
      </c>
      <c r="D412" s="500">
        <v>41493.0</v>
      </c>
      <c r="E412" s="428" t="s">
        <v>6661</v>
      </c>
      <c r="F412" s="397" t="s">
        <v>102</v>
      </c>
      <c r="G412" s="428" t="s">
        <v>17</v>
      </c>
      <c r="H412" s="397" t="s">
        <v>130</v>
      </c>
      <c r="I412" s="500">
        <v>43781.0</v>
      </c>
      <c r="J412" s="428">
        <v>11.0</v>
      </c>
      <c r="K412" s="572" t="s">
        <v>19</v>
      </c>
      <c r="L412" s="397" t="s">
        <v>258</v>
      </c>
      <c r="M412" s="529">
        <f t="shared" si="1"/>
        <v>2288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19">
        <v>41219.0</v>
      </c>
      <c r="B413" s="420" t="s">
        <v>6662</v>
      </c>
      <c r="C413" s="420">
        <v>2013.0</v>
      </c>
      <c r="D413" s="497">
        <v>41579.0</v>
      </c>
      <c r="E413" s="422" t="s">
        <v>6663</v>
      </c>
      <c r="F413" s="394" t="s">
        <v>666</v>
      </c>
      <c r="G413" s="422" t="s">
        <v>17</v>
      </c>
      <c r="H413" s="394" t="s">
        <v>775</v>
      </c>
      <c r="I413" s="497">
        <v>43781.0</v>
      </c>
      <c r="J413" s="422">
        <v>11.0</v>
      </c>
      <c r="K413" s="572" t="s">
        <v>19</v>
      </c>
      <c r="L413" s="394" t="s">
        <v>258</v>
      </c>
      <c r="M413" s="528">
        <f t="shared" si="1"/>
        <v>2202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25">
        <v>41319.0</v>
      </c>
      <c r="B414" s="426" t="s">
        <v>6664</v>
      </c>
      <c r="C414" s="426">
        <v>2013.0</v>
      </c>
      <c r="D414" s="500">
        <v>41556.0</v>
      </c>
      <c r="E414" s="428" t="s">
        <v>6665</v>
      </c>
      <c r="F414" s="397" t="s">
        <v>6666</v>
      </c>
      <c r="G414" s="428" t="s">
        <v>17</v>
      </c>
      <c r="H414" s="397" t="s">
        <v>50</v>
      </c>
      <c r="I414" s="500">
        <v>43781.0</v>
      </c>
      <c r="J414" s="428">
        <v>11.0</v>
      </c>
      <c r="K414" s="572" t="s">
        <v>19</v>
      </c>
      <c r="L414" s="397" t="s">
        <v>256</v>
      </c>
      <c r="M414" s="529">
        <f t="shared" si="1"/>
        <v>2225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19">
        <v>41419.0</v>
      </c>
      <c r="B415" s="420" t="s">
        <v>6667</v>
      </c>
      <c r="C415" s="420">
        <v>2014.0</v>
      </c>
      <c r="D415" s="497">
        <v>41722.0</v>
      </c>
      <c r="E415" s="422" t="s">
        <v>6668</v>
      </c>
      <c r="F415" s="394" t="s">
        <v>666</v>
      </c>
      <c r="G415" s="422" t="s">
        <v>17</v>
      </c>
      <c r="H415" s="394" t="s">
        <v>149</v>
      </c>
      <c r="I415" s="497">
        <v>43781.0</v>
      </c>
      <c r="J415" s="422">
        <v>11.0</v>
      </c>
      <c r="K415" s="572" t="s">
        <v>19</v>
      </c>
      <c r="L415" s="394" t="s">
        <v>258</v>
      </c>
      <c r="M415" s="528">
        <f t="shared" si="1"/>
        <v>2059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25">
        <v>41519.0</v>
      </c>
      <c r="B416" s="426" t="s">
        <v>6669</v>
      </c>
      <c r="C416" s="426">
        <v>2014.0</v>
      </c>
      <c r="D416" s="500">
        <v>41747.0</v>
      </c>
      <c r="E416" s="428" t="s">
        <v>6670</v>
      </c>
      <c r="F416" s="397" t="s">
        <v>1968</v>
      </c>
      <c r="G416" s="428" t="s">
        <v>17</v>
      </c>
      <c r="H416" s="397" t="s">
        <v>39</v>
      </c>
      <c r="I416" s="500">
        <v>43781.0</v>
      </c>
      <c r="J416" s="428">
        <v>11.0</v>
      </c>
      <c r="K416" s="572" t="s">
        <v>19</v>
      </c>
      <c r="L416" s="397" t="s">
        <v>256</v>
      </c>
      <c r="M416" s="529">
        <f t="shared" si="1"/>
        <v>2034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19">
        <v>41619.0</v>
      </c>
      <c r="B417" s="420" t="s">
        <v>6671</v>
      </c>
      <c r="C417" s="420">
        <v>2014.0</v>
      </c>
      <c r="D417" s="497">
        <v>41829.0</v>
      </c>
      <c r="E417" s="422" t="s">
        <v>6672</v>
      </c>
      <c r="F417" s="394" t="s">
        <v>6666</v>
      </c>
      <c r="G417" s="422" t="s">
        <v>17</v>
      </c>
      <c r="H417" s="394" t="s">
        <v>775</v>
      </c>
      <c r="I417" s="497">
        <v>43781.0</v>
      </c>
      <c r="J417" s="422">
        <v>11.0</v>
      </c>
      <c r="K417" s="572" t="s">
        <v>19</v>
      </c>
      <c r="L417" s="394" t="s">
        <v>256</v>
      </c>
      <c r="M417" s="528">
        <f t="shared" si="1"/>
        <v>1952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25">
        <v>41719.0</v>
      </c>
      <c r="B418" s="426" t="s">
        <v>6673</v>
      </c>
      <c r="C418" s="426">
        <v>2014.0</v>
      </c>
      <c r="D418" s="500">
        <v>41787.0</v>
      </c>
      <c r="E418" s="428" t="s">
        <v>6674</v>
      </c>
      <c r="F418" s="397" t="s">
        <v>102</v>
      </c>
      <c r="G418" s="428" t="s">
        <v>17</v>
      </c>
      <c r="H418" s="397" t="s">
        <v>775</v>
      </c>
      <c r="I418" s="500">
        <v>43781.0</v>
      </c>
      <c r="J418" s="428">
        <v>11.0</v>
      </c>
      <c r="K418" s="572" t="s">
        <v>19</v>
      </c>
      <c r="L418" s="397" t="s">
        <v>258</v>
      </c>
      <c r="M418" s="529">
        <f t="shared" si="1"/>
        <v>1994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19">
        <v>41819.0</v>
      </c>
      <c r="B419" s="420" t="s">
        <v>6675</v>
      </c>
      <c r="C419" s="420">
        <v>2015.0</v>
      </c>
      <c r="D419" s="497">
        <v>42165.0</v>
      </c>
      <c r="E419" s="422" t="s">
        <v>6676</v>
      </c>
      <c r="F419" s="394" t="s">
        <v>162</v>
      </c>
      <c r="G419" s="422" t="s">
        <v>17</v>
      </c>
      <c r="H419" s="394" t="s">
        <v>153</v>
      </c>
      <c r="I419" s="497">
        <v>43781.0</v>
      </c>
      <c r="J419" s="422">
        <v>11.0</v>
      </c>
      <c r="K419" s="572" t="s">
        <v>19</v>
      </c>
      <c r="L419" s="394" t="s">
        <v>256</v>
      </c>
      <c r="M419" s="528">
        <f t="shared" si="1"/>
        <v>1616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25">
        <v>41919.0</v>
      </c>
      <c r="B420" s="426" t="s">
        <v>6677</v>
      </c>
      <c r="C420" s="426">
        <v>2016.0</v>
      </c>
      <c r="D420" s="500">
        <v>42445.0</v>
      </c>
      <c r="E420" s="428" t="s">
        <v>6678</v>
      </c>
      <c r="F420" s="397" t="s">
        <v>2667</v>
      </c>
      <c r="G420" s="428" t="s">
        <v>17</v>
      </c>
      <c r="H420" s="397" t="s">
        <v>573</v>
      </c>
      <c r="I420" s="500">
        <v>43781.0</v>
      </c>
      <c r="J420" s="428">
        <v>11.0</v>
      </c>
      <c r="K420" s="572" t="s">
        <v>19</v>
      </c>
      <c r="L420" s="397" t="s">
        <v>258</v>
      </c>
      <c r="M420" s="529">
        <f t="shared" si="1"/>
        <v>1336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19">
        <v>42019.0</v>
      </c>
      <c r="B421" s="420" t="s">
        <v>6679</v>
      </c>
      <c r="C421" s="420">
        <v>2016.0</v>
      </c>
      <c r="D421" s="497">
        <v>42591.0</v>
      </c>
      <c r="E421" s="422" t="s">
        <v>6680</v>
      </c>
      <c r="F421" s="394" t="s">
        <v>595</v>
      </c>
      <c r="G421" s="422" t="s">
        <v>17</v>
      </c>
      <c r="H421" s="394" t="s">
        <v>5049</v>
      </c>
      <c r="I421" s="497">
        <v>43781.0</v>
      </c>
      <c r="J421" s="422">
        <v>11.0</v>
      </c>
      <c r="K421" s="572" t="s">
        <v>19</v>
      </c>
      <c r="L421" s="394" t="s">
        <v>254</v>
      </c>
      <c r="M421" s="528">
        <f t="shared" si="1"/>
        <v>1190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25">
        <v>42119.0</v>
      </c>
      <c r="B422" s="426" t="s">
        <v>6681</v>
      </c>
      <c r="C422" s="426">
        <v>2019.0</v>
      </c>
      <c r="D422" s="500">
        <v>43580.0</v>
      </c>
      <c r="E422" s="428" t="s">
        <v>6682</v>
      </c>
      <c r="F422" s="397" t="s">
        <v>1232</v>
      </c>
      <c r="G422" s="428" t="s">
        <v>17</v>
      </c>
      <c r="H422" s="397" t="s">
        <v>712</v>
      </c>
      <c r="I422" s="500">
        <v>43781.0</v>
      </c>
      <c r="J422" s="428">
        <v>11.0</v>
      </c>
      <c r="K422" s="572" t="s">
        <v>19</v>
      </c>
      <c r="L422" s="397" t="s">
        <v>256</v>
      </c>
      <c r="M422" s="529">
        <f t="shared" si="1"/>
        <v>201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19">
        <v>42219.0</v>
      </c>
      <c r="B423" s="420" t="s">
        <v>6683</v>
      </c>
      <c r="C423" s="420">
        <v>2019.0</v>
      </c>
      <c r="D423" s="497">
        <v>43633.0</v>
      </c>
      <c r="E423" s="422" t="s">
        <v>6684</v>
      </c>
      <c r="F423" s="394" t="s">
        <v>3572</v>
      </c>
      <c r="G423" s="422" t="s">
        <v>17</v>
      </c>
      <c r="H423" s="394" t="s">
        <v>6685</v>
      </c>
      <c r="I423" s="497">
        <v>43781.0</v>
      </c>
      <c r="J423" s="422">
        <v>11.0</v>
      </c>
      <c r="K423" s="572" t="s">
        <v>19</v>
      </c>
      <c r="L423" s="394" t="s">
        <v>256</v>
      </c>
      <c r="M423" s="528">
        <f t="shared" si="1"/>
        <v>148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25">
        <v>42319.0</v>
      </c>
      <c r="B424" s="426" t="s">
        <v>6686</v>
      </c>
      <c r="C424" s="426">
        <v>2018.0</v>
      </c>
      <c r="D424" s="500">
        <v>43315.0</v>
      </c>
      <c r="E424" s="428" t="s">
        <v>6687</v>
      </c>
      <c r="F424" s="397" t="s">
        <v>5883</v>
      </c>
      <c r="G424" s="428" t="s">
        <v>17</v>
      </c>
      <c r="H424" s="397" t="s">
        <v>5049</v>
      </c>
      <c r="I424" s="500">
        <v>43781.0</v>
      </c>
      <c r="J424" s="428">
        <v>11.0</v>
      </c>
      <c r="K424" s="572" t="s">
        <v>19</v>
      </c>
      <c r="L424" s="397" t="s">
        <v>258</v>
      </c>
      <c r="M424" s="529">
        <f t="shared" si="1"/>
        <v>466</v>
      </c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2.75" customHeight="1">
      <c r="A425" s="419">
        <v>42419.0</v>
      </c>
      <c r="B425" s="420" t="s">
        <v>6688</v>
      </c>
      <c r="C425" s="420">
        <v>2018.0</v>
      </c>
      <c r="D425" s="497">
        <v>43255.0</v>
      </c>
      <c r="E425" s="422" t="s">
        <v>6689</v>
      </c>
      <c r="F425" s="394" t="s">
        <v>5883</v>
      </c>
      <c r="G425" s="422" t="s">
        <v>17</v>
      </c>
      <c r="H425" s="394" t="s">
        <v>5016</v>
      </c>
      <c r="I425" s="497">
        <v>43781.0</v>
      </c>
      <c r="J425" s="422">
        <v>11.0</v>
      </c>
      <c r="K425" s="572" t="s">
        <v>19</v>
      </c>
      <c r="L425" s="394" t="s">
        <v>258</v>
      </c>
      <c r="M425" s="528">
        <f t="shared" si="1"/>
        <v>526</v>
      </c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2.75" customHeight="1">
      <c r="A426" s="425">
        <v>42519.0</v>
      </c>
      <c r="B426" s="426" t="s">
        <v>6690</v>
      </c>
      <c r="C426" s="426">
        <v>2018.0</v>
      </c>
      <c r="D426" s="500">
        <v>43285.0</v>
      </c>
      <c r="E426" s="428" t="s">
        <v>6691</v>
      </c>
      <c r="F426" s="397" t="s">
        <v>5883</v>
      </c>
      <c r="G426" s="428" t="s">
        <v>17</v>
      </c>
      <c r="H426" s="397" t="s">
        <v>39</v>
      </c>
      <c r="I426" s="500">
        <v>43781.0</v>
      </c>
      <c r="J426" s="428">
        <v>11.0</v>
      </c>
      <c r="K426" s="572" t="s">
        <v>19</v>
      </c>
      <c r="L426" s="397" t="s">
        <v>258</v>
      </c>
      <c r="M426" s="529">
        <f t="shared" si="1"/>
        <v>496</v>
      </c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2.75" customHeight="1">
      <c r="A427" s="419">
        <v>42619.0</v>
      </c>
      <c r="B427" s="420" t="s">
        <v>6692</v>
      </c>
      <c r="C427" s="420">
        <v>2016.0</v>
      </c>
      <c r="D427" s="497">
        <v>42677.0</v>
      </c>
      <c r="E427" s="422" t="s">
        <v>6693</v>
      </c>
      <c r="F427" s="394" t="s">
        <v>5883</v>
      </c>
      <c r="G427" s="422" t="s">
        <v>17</v>
      </c>
      <c r="H427" s="394" t="s">
        <v>573</v>
      </c>
      <c r="I427" s="497">
        <v>43781.0</v>
      </c>
      <c r="J427" s="422">
        <v>11.0</v>
      </c>
      <c r="K427" s="572" t="s">
        <v>19</v>
      </c>
      <c r="L427" s="394" t="s">
        <v>258</v>
      </c>
      <c r="M427" s="528">
        <f t="shared" si="1"/>
        <v>1104</v>
      </c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2.75" customHeight="1">
      <c r="A428" s="425">
        <v>42719.0</v>
      </c>
      <c r="B428" s="426" t="s">
        <v>6694</v>
      </c>
      <c r="C428" s="426">
        <v>2014.0</v>
      </c>
      <c r="D428" s="500">
        <v>41893.0</v>
      </c>
      <c r="E428" s="428" t="s">
        <v>6695</v>
      </c>
      <c r="F428" s="397" t="s">
        <v>3095</v>
      </c>
      <c r="G428" s="428" t="s">
        <v>552</v>
      </c>
      <c r="H428" s="397" t="s">
        <v>130</v>
      </c>
      <c r="I428" s="500">
        <v>43789.0</v>
      </c>
      <c r="J428" s="428">
        <v>11.0</v>
      </c>
      <c r="K428" s="535" t="s">
        <v>228</v>
      </c>
      <c r="L428" s="397" t="s">
        <v>258</v>
      </c>
      <c r="M428" s="529">
        <f t="shared" si="1"/>
        <v>1896</v>
      </c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2.75" customHeight="1">
      <c r="A429" s="419">
        <v>42819.0</v>
      </c>
      <c r="B429" s="420" t="s">
        <v>6696</v>
      </c>
      <c r="C429" s="420">
        <v>2017.0</v>
      </c>
      <c r="D429" s="497">
        <v>42935.0</v>
      </c>
      <c r="E429" s="422" t="s">
        <v>6697</v>
      </c>
      <c r="F429" s="394" t="s">
        <v>3572</v>
      </c>
      <c r="G429" s="422" t="s">
        <v>552</v>
      </c>
      <c r="H429" s="394" t="s">
        <v>66</v>
      </c>
      <c r="I429" s="497">
        <v>43789.0</v>
      </c>
      <c r="J429" s="422">
        <v>11.0</v>
      </c>
      <c r="K429" s="531" t="s">
        <v>238</v>
      </c>
      <c r="L429" s="394" t="s">
        <v>256</v>
      </c>
      <c r="M429" s="528">
        <f t="shared" si="1"/>
        <v>854</v>
      </c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2.75" customHeight="1">
      <c r="A430" s="425">
        <v>42919.0</v>
      </c>
      <c r="B430" s="426" t="s">
        <v>6698</v>
      </c>
      <c r="C430" s="426">
        <v>2013.0</v>
      </c>
      <c r="D430" s="500">
        <v>41414.0</v>
      </c>
      <c r="E430" s="428" t="s">
        <v>6699</v>
      </c>
      <c r="F430" s="397" t="s">
        <v>1255</v>
      </c>
      <c r="G430" s="428" t="s">
        <v>552</v>
      </c>
      <c r="H430" s="397" t="s">
        <v>6700</v>
      </c>
      <c r="I430" s="500">
        <v>43789.0</v>
      </c>
      <c r="J430" s="428">
        <v>11.0</v>
      </c>
      <c r="K430" s="531" t="s">
        <v>240</v>
      </c>
      <c r="L430" s="397" t="s">
        <v>256</v>
      </c>
      <c r="M430" s="529">
        <f t="shared" si="1"/>
        <v>2375</v>
      </c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2.75" customHeight="1">
      <c r="A431" s="419">
        <v>43019.0</v>
      </c>
      <c r="B431" s="420" t="s">
        <v>6701</v>
      </c>
      <c r="C431" s="420">
        <v>2018.0</v>
      </c>
      <c r="D431" s="497">
        <v>43455.0</v>
      </c>
      <c r="E431" s="422" t="s">
        <v>6702</v>
      </c>
      <c r="F431" s="503" t="s">
        <v>6648</v>
      </c>
      <c r="G431" s="422" t="s">
        <v>565</v>
      </c>
      <c r="H431" s="394" t="s">
        <v>1872</v>
      </c>
      <c r="I431" s="497">
        <v>43789.0</v>
      </c>
      <c r="J431" s="422">
        <v>11.0</v>
      </c>
      <c r="K431" s="531" t="s">
        <v>238</v>
      </c>
      <c r="L431" s="394" t="s">
        <v>260</v>
      </c>
      <c r="M431" s="528">
        <f t="shared" si="1"/>
        <v>334</v>
      </c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2.75" customHeight="1">
      <c r="A432" s="425">
        <v>43119.0</v>
      </c>
      <c r="B432" s="426" t="s">
        <v>6703</v>
      </c>
      <c r="C432" s="426">
        <v>2019.0</v>
      </c>
      <c r="D432" s="500">
        <v>43600.0</v>
      </c>
      <c r="E432" s="428" t="s">
        <v>6704</v>
      </c>
      <c r="F432" s="505" t="s">
        <v>2614</v>
      </c>
      <c r="G432" s="428" t="s">
        <v>565</v>
      </c>
      <c r="H432" s="397" t="s">
        <v>6705</v>
      </c>
      <c r="I432" s="500">
        <v>43789.0</v>
      </c>
      <c r="J432" s="428">
        <v>11.0</v>
      </c>
      <c r="K432" s="531" t="s">
        <v>242</v>
      </c>
      <c r="L432" s="397" t="s">
        <v>260</v>
      </c>
      <c r="M432" s="529">
        <f t="shared" si="1"/>
        <v>189</v>
      </c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2.75" customHeight="1">
      <c r="A433" s="419">
        <v>43219.0</v>
      </c>
      <c r="B433" s="420" t="s">
        <v>6706</v>
      </c>
      <c r="C433" s="420">
        <v>2012.0</v>
      </c>
      <c r="D433" s="497">
        <v>40991.0</v>
      </c>
      <c r="E433" s="422" t="s">
        <v>6707</v>
      </c>
      <c r="F433" s="394" t="s">
        <v>1464</v>
      </c>
      <c r="G433" s="422" t="s">
        <v>552</v>
      </c>
      <c r="H433" s="394" t="s">
        <v>26</v>
      </c>
      <c r="I433" s="497">
        <v>43789.0</v>
      </c>
      <c r="J433" s="422">
        <v>11.0</v>
      </c>
      <c r="K433" s="531" t="s">
        <v>240</v>
      </c>
      <c r="L433" s="394" t="s">
        <v>256</v>
      </c>
      <c r="M433" s="528">
        <f t="shared" si="1"/>
        <v>2798</v>
      </c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2.75" customHeight="1">
      <c r="A434" s="425">
        <v>43319.0</v>
      </c>
      <c r="B434" s="426" t="s">
        <v>6708</v>
      </c>
      <c r="C434" s="426">
        <v>2014.0</v>
      </c>
      <c r="D434" s="500">
        <v>41766.0</v>
      </c>
      <c r="E434" s="428" t="s">
        <v>6709</v>
      </c>
      <c r="F434" s="397" t="s">
        <v>6666</v>
      </c>
      <c r="G434" s="428" t="s">
        <v>17</v>
      </c>
      <c r="H434" s="397" t="s">
        <v>583</v>
      </c>
      <c r="I434" s="500">
        <v>43790.0</v>
      </c>
      <c r="J434" s="428">
        <v>11.0</v>
      </c>
      <c r="K434" s="572" t="s">
        <v>19</v>
      </c>
      <c r="L434" s="397" t="s">
        <v>256</v>
      </c>
      <c r="M434" s="529">
        <f t="shared" si="1"/>
        <v>2024</v>
      </c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2.75" customHeight="1">
      <c r="A435" s="419">
        <v>43419.0</v>
      </c>
      <c r="B435" s="420" t="s">
        <v>6710</v>
      </c>
      <c r="C435" s="420">
        <v>2019.0</v>
      </c>
      <c r="D435" s="497">
        <v>43553.0</v>
      </c>
      <c r="E435" s="422" t="s">
        <v>6711</v>
      </c>
      <c r="F435" s="503" t="s">
        <v>2614</v>
      </c>
      <c r="G435" s="422" t="s">
        <v>569</v>
      </c>
      <c r="H435" s="394" t="s">
        <v>2150</v>
      </c>
      <c r="I435" s="497">
        <v>43790.0</v>
      </c>
      <c r="J435" s="422">
        <v>11.0</v>
      </c>
      <c r="K435" s="571" t="s">
        <v>244</v>
      </c>
      <c r="L435" s="394" t="s">
        <v>260</v>
      </c>
      <c r="M435" s="528">
        <f t="shared" si="1"/>
        <v>237</v>
      </c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2.75" customHeight="1">
      <c r="A436" s="425">
        <v>43519.0</v>
      </c>
      <c r="B436" s="426" t="s">
        <v>6712</v>
      </c>
      <c r="C436" s="426">
        <v>2016.0</v>
      </c>
      <c r="D436" s="500">
        <v>42396.0</v>
      </c>
      <c r="E436" s="428" t="s">
        <v>6713</v>
      </c>
      <c r="F436" s="397" t="s">
        <v>1401</v>
      </c>
      <c r="G436" s="428" t="s">
        <v>17</v>
      </c>
      <c r="H436" s="397" t="s">
        <v>163</v>
      </c>
      <c r="I436" s="500">
        <v>43791.0</v>
      </c>
      <c r="J436" s="428">
        <v>11.0</v>
      </c>
      <c r="K436" s="572" t="s">
        <v>19</v>
      </c>
      <c r="L436" s="397" t="s">
        <v>258</v>
      </c>
      <c r="M436" s="529">
        <f t="shared" si="1"/>
        <v>1395</v>
      </c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2.75" customHeight="1">
      <c r="A437" s="419">
        <v>43619.0</v>
      </c>
      <c r="B437" s="420" t="s">
        <v>6714</v>
      </c>
      <c r="C437" s="420">
        <v>2016.0</v>
      </c>
      <c r="D437" s="497">
        <v>42648.0</v>
      </c>
      <c r="E437" s="422" t="s">
        <v>6715</v>
      </c>
      <c r="F437" s="394" t="s">
        <v>171</v>
      </c>
      <c r="G437" s="422" t="s">
        <v>552</v>
      </c>
      <c r="H437" s="394" t="s">
        <v>50</v>
      </c>
      <c r="I437" s="497">
        <v>43791.0</v>
      </c>
      <c r="J437" s="422">
        <v>11.0</v>
      </c>
      <c r="K437" s="531" t="s">
        <v>238</v>
      </c>
      <c r="L437" s="394" t="s">
        <v>256</v>
      </c>
      <c r="M437" s="528">
        <f t="shared" si="1"/>
        <v>1143</v>
      </c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2.75" customHeight="1">
      <c r="A438" s="425">
        <v>43719.0</v>
      </c>
      <c r="B438" s="426" t="s">
        <v>6716</v>
      </c>
      <c r="C438" s="426">
        <v>2019.0</v>
      </c>
      <c r="D438" s="500">
        <v>43504.0</v>
      </c>
      <c r="E438" s="428" t="s">
        <v>6717</v>
      </c>
      <c r="F438" s="505" t="s">
        <v>6639</v>
      </c>
      <c r="G438" s="428" t="s">
        <v>565</v>
      </c>
      <c r="H438" s="397" t="s">
        <v>2550</v>
      </c>
      <c r="I438" s="500">
        <v>43791.0</v>
      </c>
      <c r="J438" s="428">
        <v>11.0</v>
      </c>
      <c r="K438" s="571" t="s">
        <v>244</v>
      </c>
      <c r="L438" s="397" t="s">
        <v>260</v>
      </c>
      <c r="M438" s="529">
        <f t="shared" si="1"/>
        <v>287</v>
      </c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2.75" customHeight="1">
      <c r="A439" s="419">
        <v>43819.0</v>
      </c>
      <c r="B439" s="420" t="s">
        <v>6718</v>
      </c>
      <c r="C439" s="420">
        <v>2018.0</v>
      </c>
      <c r="D439" s="497">
        <v>43441.0</v>
      </c>
      <c r="E439" s="422" t="s">
        <v>6719</v>
      </c>
      <c r="F439" s="503" t="s">
        <v>2614</v>
      </c>
      <c r="G439" s="422" t="s">
        <v>569</v>
      </c>
      <c r="H439" s="394" t="s">
        <v>6720</v>
      </c>
      <c r="I439" s="497">
        <v>43791.0</v>
      </c>
      <c r="J439" s="422">
        <v>11.0</v>
      </c>
      <c r="K439" s="571" t="s">
        <v>244</v>
      </c>
      <c r="L439" s="394" t="s">
        <v>260</v>
      </c>
      <c r="M439" s="528">
        <f t="shared" si="1"/>
        <v>350</v>
      </c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2.75" customHeight="1">
      <c r="A440" s="425">
        <v>43919.0</v>
      </c>
      <c r="B440" s="426" t="s">
        <v>6721</v>
      </c>
      <c r="C440" s="426">
        <v>2019.0</v>
      </c>
      <c r="D440" s="500">
        <v>43497.0</v>
      </c>
      <c r="E440" s="428" t="s">
        <v>6722</v>
      </c>
      <c r="F440" s="505" t="s">
        <v>6723</v>
      </c>
      <c r="G440" s="428" t="s">
        <v>565</v>
      </c>
      <c r="H440" s="397" t="s">
        <v>6724</v>
      </c>
      <c r="I440" s="500">
        <v>43794.0</v>
      </c>
      <c r="J440" s="428">
        <v>11.0</v>
      </c>
      <c r="K440" s="571" t="s">
        <v>850</v>
      </c>
      <c r="L440" s="397" t="s">
        <v>260</v>
      </c>
      <c r="M440" s="529">
        <f t="shared" si="1"/>
        <v>297</v>
      </c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2.75" customHeight="1">
      <c r="A441" s="419">
        <v>44019.0</v>
      </c>
      <c r="B441" s="420" t="s">
        <v>6725</v>
      </c>
      <c r="C441" s="420">
        <v>2011.0</v>
      </c>
      <c r="D441" s="497">
        <v>40602.0</v>
      </c>
      <c r="E441" s="422" t="s">
        <v>6726</v>
      </c>
      <c r="F441" s="394" t="s">
        <v>563</v>
      </c>
      <c r="G441" s="422" t="s">
        <v>552</v>
      </c>
      <c r="H441" s="394" t="s">
        <v>149</v>
      </c>
      <c r="I441" s="497">
        <v>43803.0</v>
      </c>
      <c r="J441" s="422">
        <v>12.0</v>
      </c>
      <c r="K441" s="535" t="s">
        <v>228</v>
      </c>
      <c r="L441" s="394" t="s">
        <v>256</v>
      </c>
      <c r="M441" s="528">
        <f t="shared" si="1"/>
        <v>3201</v>
      </c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2.75" customHeight="1">
      <c r="A442" s="425">
        <v>44119.0</v>
      </c>
      <c r="B442" s="426" t="s">
        <v>6727</v>
      </c>
      <c r="C442" s="426">
        <v>2011.0</v>
      </c>
      <c r="D442" s="500">
        <v>40802.0</v>
      </c>
      <c r="E442" s="428" t="s">
        <v>6728</v>
      </c>
      <c r="F442" s="397" t="s">
        <v>563</v>
      </c>
      <c r="G442" s="428" t="s">
        <v>17</v>
      </c>
      <c r="H442" s="397" t="s">
        <v>153</v>
      </c>
      <c r="I442" s="500">
        <v>43803.0</v>
      </c>
      <c r="J442" s="428">
        <v>12.0</v>
      </c>
      <c r="K442" s="572" t="s">
        <v>19</v>
      </c>
      <c r="L442" s="397" t="s">
        <v>256</v>
      </c>
      <c r="M442" s="529">
        <f t="shared" si="1"/>
        <v>3001</v>
      </c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2.75" customHeight="1">
      <c r="A443" s="419">
        <v>44219.0</v>
      </c>
      <c r="B443" s="420" t="s">
        <v>6729</v>
      </c>
      <c r="C443" s="420">
        <v>2013.0</v>
      </c>
      <c r="D443" s="497">
        <v>41396.0</v>
      </c>
      <c r="E443" s="422" t="s">
        <v>6730</v>
      </c>
      <c r="F443" s="394" t="s">
        <v>55</v>
      </c>
      <c r="G443" s="422" t="s">
        <v>17</v>
      </c>
      <c r="H443" s="394" t="s">
        <v>2164</v>
      </c>
      <c r="I443" s="497">
        <v>43803.0</v>
      </c>
      <c r="J443" s="422">
        <v>12.0</v>
      </c>
      <c r="K443" s="572" t="s">
        <v>19</v>
      </c>
      <c r="L443" s="394" t="s">
        <v>256</v>
      </c>
      <c r="M443" s="528">
        <f t="shared" si="1"/>
        <v>2407</v>
      </c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2.75" customHeight="1">
      <c r="A444" s="425">
        <v>44319.0</v>
      </c>
      <c r="B444" s="426" t="s">
        <v>6731</v>
      </c>
      <c r="C444" s="426">
        <v>2013.0</v>
      </c>
      <c r="D444" s="500">
        <v>41311.0</v>
      </c>
      <c r="E444" s="428" t="s">
        <v>6732</v>
      </c>
      <c r="F444" s="397" t="s">
        <v>55</v>
      </c>
      <c r="G444" s="428" t="s">
        <v>17</v>
      </c>
      <c r="H444" s="397" t="s">
        <v>1393</v>
      </c>
      <c r="I444" s="500">
        <v>43803.0</v>
      </c>
      <c r="J444" s="428">
        <v>12.0</v>
      </c>
      <c r="K444" s="572" t="s">
        <v>19</v>
      </c>
      <c r="L444" s="397" t="s">
        <v>256</v>
      </c>
      <c r="M444" s="529">
        <f t="shared" si="1"/>
        <v>2492</v>
      </c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2.75" customHeight="1">
      <c r="A445" s="419">
        <v>44419.0</v>
      </c>
      <c r="B445" s="420" t="s">
        <v>6733</v>
      </c>
      <c r="C445" s="420">
        <v>2013.0</v>
      </c>
      <c r="D445" s="497">
        <v>41513.0</v>
      </c>
      <c r="E445" s="422" t="s">
        <v>6734</v>
      </c>
      <c r="F445" s="394" t="s">
        <v>1823</v>
      </c>
      <c r="G445" s="422" t="s">
        <v>17</v>
      </c>
      <c r="H445" s="394" t="s">
        <v>929</v>
      </c>
      <c r="I445" s="497">
        <v>43803.0</v>
      </c>
      <c r="J445" s="422">
        <v>12.0</v>
      </c>
      <c r="K445" s="572" t="s">
        <v>19</v>
      </c>
      <c r="L445" s="394" t="s">
        <v>256</v>
      </c>
      <c r="M445" s="528">
        <f t="shared" si="1"/>
        <v>2290</v>
      </c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2.75" customHeight="1">
      <c r="A446" s="425">
        <v>44519.0</v>
      </c>
      <c r="B446" s="426" t="s">
        <v>6735</v>
      </c>
      <c r="C446" s="426">
        <v>2014.0</v>
      </c>
      <c r="D446" s="500">
        <v>41981.0</v>
      </c>
      <c r="E446" s="428" t="s">
        <v>6736</v>
      </c>
      <c r="F446" s="397" t="s">
        <v>711</v>
      </c>
      <c r="G446" s="428" t="s">
        <v>17</v>
      </c>
      <c r="H446" s="397" t="s">
        <v>1393</v>
      </c>
      <c r="I446" s="500">
        <v>43803.0</v>
      </c>
      <c r="J446" s="428">
        <v>12.0</v>
      </c>
      <c r="K446" s="572" t="s">
        <v>19</v>
      </c>
      <c r="L446" s="397" t="s">
        <v>256</v>
      </c>
      <c r="M446" s="529">
        <f t="shared" si="1"/>
        <v>1822</v>
      </c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2.75" customHeight="1">
      <c r="A447" s="419">
        <v>44619.0</v>
      </c>
      <c r="B447" s="420" t="s">
        <v>6737</v>
      </c>
      <c r="C447" s="420">
        <v>2016.0</v>
      </c>
      <c r="D447" s="497">
        <v>42720.0</v>
      </c>
      <c r="E447" s="422" t="s">
        <v>6738</v>
      </c>
      <c r="F447" s="394" t="s">
        <v>1811</v>
      </c>
      <c r="G447" s="422" t="s">
        <v>17</v>
      </c>
      <c r="H447" s="394" t="s">
        <v>56</v>
      </c>
      <c r="I447" s="497">
        <v>43803.0</v>
      </c>
      <c r="J447" s="422">
        <v>12.0</v>
      </c>
      <c r="K447" s="572" t="s">
        <v>19</v>
      </c>
      <c r="L447" s="394" t="s">
        <v>258</v>
      </c>
      <c r="M447" s="528">
        <f t="shared" si="1"/>
        <v>1083</v>
      </c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2.75" customHeight="1">
      <c r="A448" s="425">
        <v>44719.0</v>
      </c>
      <c r="B448" s="426" t="s">
        <v>6739</v>
      </c>
      <c r="C448" s="426">
        <v>2017.0</v>
      </c>
      <c r="D448" s="500">
        <v>42835.0</v>
      </c>
      <c r="E448" s="428" t="s">
        <v>6740</v>
      </c>
      <c r="F448" s="397" t="s">
        <v>1811</v>
      </c>
      <c r="G448" s="428" t="s">
        <v>17</v>
      </c>
      <c r="H448" s="397" t="s">
        <v>573</v>
      </c>
      <c r="I448" s="500">
        <v>43803.0</v>
      </c>
      <c r="J448" s="428">
        <v>12.0</v>
      </c>
      <c r="K448" s="572" t="s">
        <v>19</v>
      </c>
      <c r="L448" s="397" t="s">
        <v>258</v>
      </c>
      <c r="M448" s="529">
        <f t="shared" si="1"/>
        <v>968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2.75" customHeight="1">
      <c r="A449" s="419">
        <v>44819.0</v>
      </c>
      <c r="B449" s="420" t="s">
        <v>6741</v>
      </c>
      <c r="C449" s="420">
        <v>2017.0</v>
      </c>
      <c r="D449" s="497">
        <v>43069.0</v>
      </c>
      <c r="E449" s="422" t="s">
        <v>6742</v>
      </c>
      <c r="F449" s="394" t="s">
        <v>1811</v>
      </c>
      <c r="G449" s="422" t="s">
        <v>17</v>
      </c>
      <c r="H449" s="394" t="s">
        <v>1091</v>
      </c>
      <c r="I449" s="497">
        <v>43803.0</v>
      </c>
      <c r="J449" s="422">
        <v>12.0</v>
      </c>
      <c r="K449" s="572" t="s">
        <v>19</v>
      </c>
      <c r="L449" s="394" t="s">
        <v>258</v>
      </c>
      <c r="M449" s="528">
        <f t="shared" si="1"/>
        <v>734</v>
      </c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2.75" customHeight="1">
      <c r="A450" s="425">
        <v>44919.0</v>
      </c>
      <c r="B450" s="426" t="s">
        <v>6743</v>
      </c>
      <c r="C450" s="426">
        <v>2018.0</v>
      </c>
      <c r="D450" s="500">
        <v>43264.0</v>
      </c>
      <c r="E450" s="428" t="s">
        <v>6744</v>
      </c>
      <c r="F450" s="397" t="s">
        <v>1895</v>
      </c>
      <c r="G450" s="428" t="s">
        <v>17</v>
      </c>
      <c r="H450" s="397" t="s">
        <v>3482</v>
      </c>
      <c r="I450" s="500">
        <v>43803.0</v>
      </c>
      <c r="J450" s="428">
        <v>12.0</v>
      </c>
      <c r="K450" s="572" t="s">
        <v>19</v>
      </c>
      <c r="L450" s="397" t="s">
        <v>256</v>
      </c>
      <c r="M450" s="529">
        <f t="shared" si="1"/>
        <v>539</v>
      </c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2.75" customHeight="1">
      <c r="A451" s="419">
        <v>45019.0</v>
      </c>
      <c r="B451" s="420" t="s">
        <v>6745</v>
      </c>
      <c r="C451" s="420">
        <v>2013.0</v>
      </c>
      <c r="D451" s="497">
        <v>41457.0</v>
      </c>
      <c r="E451" s="422" t="s">
        <v>6746</v>
      </c>
      <c r="F451" s="394" t="s">
        <v>6747</v>
      </c>
      <c r="G451" s="422" t="s">
        <v>17</v>
      </c>
      <c r="H451" s="394" t="s">
        <v>50</v>
      </c>
      <c r="I451" s="497">
        <v>43803.0</v>
      </c>
      <c r="J451" s="422">
        <v>12.0</v>
      </c>
      <c r="K451" s="572" t="s">
        <v>19</v>
      </c>
      <c r="L451" s="394" t="s">
        <v>256</v>
      </c>
      <c r="M451" s="528">
        <f t="shared" si="1"/>
        <v>2346</v>
      </c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2.75" customHeight="1">
      <c r="A452" s="425">
        <v>45119.0</v>
      </c>
      <c r="B452" s="426" t="s">
        <v>6748</v>
      </c>
      <c r="C452" s="426">
        <v>2018.0</v>
      </c>
      <c r="D452" s="500">
        <v>43458.0</v>
      </c>
      <c r="E452" s="428" t="s">
        <v>6749</v>
      </c>
      <c r="F452" s="505" t="s">
        <v>2614</v>
      </c>
      <c r="G452" s="428" t="s">
        <v>565</v>
      </c>
      <c r="H452" s="397" t="s">
        <v>1872</v>
      </c>
      <c r="I452" s="500">
        <v>43803.0</v>
      </c>
      <c r="J452" s="428">
        <v>12.0</v>
      </c>
      <c r="K452" s="531" t="s">
        <v>242</v>
      </c>
      <c r="L452" s="397" t="s">
        <v>260</v>
      </c>
      <c r="M452" s="529">
        <f t="shared" si="1"/>
        <v>345</v>
      </c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2.75" customHeight="1">
      <c r="A453" s="419">
        <v>45219.0</v>
      </c>
      <c r="B453" s="420" t="s">
        <v>6750</v>
      </c>
      <c r="C453" s="420">
        <v>2017.0</v>
      </c>
      <c r="D453" s="497">
        <v>43089.0</v>
      </c>
      <c r="E453" s="422" t="s">
        <v>6751</v>
      </c>
      <c r="F453" s="394" t="s">
        <v>1762</v>
      </c>
      <c r="G453" s="422" t="s">
        <v>552</v>
      </c>
      <c r="H453" s="394" t="s">
        <v>66</v>
      </c>
      <c r="I453" s="497">
        <v>43803.0</v>
      </c>
      <c r="J453" s="422">
        <v>12.0</v>
      </c>
      <c r="K453" s="531" t="s">
        <v>238</v>
      </c>
      <c r="L453" s="394" t="s">
        <v>256</v>
      </c>
      <c r="M453" s="528">
        <f t="shared" si="1"/>
        <v>714</v>
      </c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2.75" customHeight="1">
      <c r="A454" s="425">
        <v>45319.0</v>
      </c>
      <c r="B454" s="426" t="s">
        <v>6752</v>
      </c>
      <c r="C454" s="426">
        <v>2019.0</v>
      </c>
      <c r="D454" s="500">
        <v>43553.0</v>
      </c>
      <c r="E454" s="428" t="s">
        <v>6753</v>
      </c>
      <c r="F454" s="505" t="s">
        <v>2343</v>
      </c>
      <c r="G454" s="428" t="s">
        <v>569</v>
      </c>
      <c r="H454" s="397" t="s">
        <v>1850</v>
      </c>
      <c r="I454" s="500">
        <v>43803.0</v>
      </c>
      <c r="J454" s="428">
        <v>12.0</v>
      </c>
      <c r="K454" s="571" t="s">
        <v>244</v>
      </c>
      <c r="L454" s="397" t="s">
        <v>260</v>
      </c>
      <c r="M454" s="529">
        <f t="shared" si="1"/>
        <v>250</v>
      </c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2.75" customHeight="1">
      <c r="A455" s="419">
        <v>45419.0</v>
      </c>
      <c r="B455" s="420" t="s">
        <v>6754</v>
      </c>
      <c r="C455" s="420">
        <v>2011.0</v>
      </c>
      <c r="D455" s="497">
        <v>40905.0</v>
      </c>
      <c r="E455" s="422" t="s">
        <v>6755</v>
      </c>
      <c r="F455" s="394" t="s">
        <v>1464</v>
      </c>
      <c r="G455" s="422" t="s">
        <v>552</v>
      </c>
      <c r="H455" s="394" t="s">
        <v>153</v>
      </c>
      <c r="I455" s="497">
        <v>43809.0</v>
      </c>
      <c r="J455" s="422">
        <v>12.0</v>
      </c>
      <c r="K455" s="535" t="s">
        <v>228</v>
      </c>
      <c r="L455" s="394" t="s">
        <v>256</v>
      </c>
      <c r="M455" s="528">
        <f t="shared" si="1"/>
        <v>2904</v>
      </c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2.75" customHeight="1">
      <c r="A456" s="425">
        <v>45519.0</v>
      </c>
      <c r="B456" s="426" t="s">
        <v>6756</v>
      </c>
      <c r="C456" s="426">
        <v>2016.0</v>
      </c>
      <c r="D456" s="500">
        <v>42627.0</v>
      </c>
      <c r="E456" s="428" t="s">
        <v>6757</v>
      </c>
      <c r="F456" s="397" t="s">
        <v>1203</v>
      </c>
      <c r="G456" s="428" t="s">
        <v>552</v>
      </c>
      <c r="H456" s="397" t="s">
        <v>583</v>
      </c>
      <c r="I456" s="500">
        <v>43809.0</v>
      </c>
      <c r="J456" s="428">
        <v>12.0</v>
      </c>
      <c r="K456" s="531" t="s">
        <v>242</v>
      </c>
      <c r="L456" s="397" t="s">
        <v>256</v>
      </c>
      <c r="M456" s="529">
        <f t="shared" si="1"/>
        <v>1182</v>
      </c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2.75" customHeight="1">
      <c r="A457" s="419">
        <v>45619.0</v>
      </c>
      <c r="B457" s="420" t="s">
        <v>6758</v>
      </c>
      <c r="C457" s="420">
        <v>2016.0</v>
      </c>
      <c r="D457" s="497">
        <v>42503.0</v>
      </c>
      <c r="E457" s="422" t="s">
        <v>6759</v>
      </c>
      <c r="F457" s="394" t="s">
        <v>1170</v>
      </c>
      <c r="G457" s="422" t="s">
        <v>552</v>
      </c>
      <c r="H457" s="394" t="s">
        <v>130</v>
      </c>
      <c r="I457" s="497">
        <v>43810.0</v>
      </c>
      <c r="J457" s="422">
        <v>12.0</v>
      </c>
      <c r="K457" s="531" t="s">
        <v>240</v>
      </c>
      <c r="L457" s="394" t="s">
        <v>256</v>
      </c>
      <c r="M457" s="528">
        <f t="shared" si="1"/>
        <v>1307</v>
      </c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2.75" customHeight="1">
      <c r="A458" s="425">
        <v>45719.0</v>
      </c>
      <c r="B458" s="426" t="s">
        <v>6760</v>
      </c>
      <c r="C458" s="426">
        <v>2011.0</v>
      </c>
      <c r="D458" s="500">
        <v>40687.0</v>
      </c>
      <c r="E458" s="428" t="s">
        <v>6761</v>
      </c>
      <c r="F458" s="397" t="s">
        <v>1895</v>
      </c>
      <c r="G458" s="428" t="s">
        <v>552</v>
      </c>
      <c r="H458" s="397" t="s">
        <v>934</v>
      </c>
      <c r="I458" s="500">
        <v>43810.0</v>
      </c>
      <c r="J458" s="428">
        <v>12.0</v>
      </c>
      <c r="K458" s="531" t="s">
        <v>240</v>
      </c>
      <c r="L458" s="397" t="s">
        <v>256</v>
      </c>
      <c r="M458" s="529">
        <f t="shared" si="1"/>
        <v>3123</v>
      </c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2.75" customHeight="1">
      <c r="A459" s="419">
        <v>45819.0</v>
      </c>
      <c r="B459" s="420" t="s">
        <v>6762</v>
      </c>
      <c r="C459" s="420">
        <v>2014.0</v>
      </c>
      <c r="D459" s="497">
        <v>41726.0</v>
      </c>
      <c r="E459" s="422" t="s">
        <v>6763</v>
      </c>
      <c r="F459" s="394" t="s">
        <v>162</v>
      </c>
      <c r="G459" s="422" t="s">
        <v>17</v>
      </c>
      <c r="H459" s="394" t="s">
        <v>158</v>
      </c>
      <c r="I459" s="497">
        <v>43816.0</v>
      </c>
      <c r="J459" s="422">
        <v>12.0</v>
      </c>
      <c r="K459" s="572" t="s">
        <v>19</v>
      </c>
      <c r="L459" s="394" t="s">
        <v>256</v>
      </c>
      <c r="M459" s="528">
        <f t="shared" si="1"/>
        <v>2090</v>
      </c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2.75" customHeight="1">
      <c r="A460" s="425">
        <v>45919.0</v>
      </c>
      <c r="B460" s="426" t="s">
        <v>6764</v>
      </c>
      <c r="C460" s="426">
        <v>2017.0</v>
      </c>
      <c r="D460" s="500">
        <v>43014.0</v>
      </c>
      <c r="E460" s="428" t="s">
        <v>6765</v>
      </c>
      <c r="F460" s="397" t="s">
        <v>4077</v>
      </c>
      <c r="G460" s="428" t="s">
        <v>17</v>
      </c>
      <c r="H460" s="397" t="s">
        <v>1178</v>
      </c>
      <c r="I460" s="500">
        <v>43816.0</v>
      </c>
      <c r="J460" s="428">
        <v>12.0</v>
      </c>
      <c r="K460" s="572" t="s">
        <v>19</v>
      </c>
      <c r="L460" s="397" t="s">
        <v>258</v>
      </c>
      <c r="M460" s="529">
        <f t="shared" si="1"/>
        <v>802</v>
      </c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2.75" customHeight="1">
      <c r="A461" s="419">
        <v>46019.0</v>
      </c>
      <c r="B461" s="420" t="s">
        <v>6766</v>
      </c>
      <c r="C461" s="420">
        <v>2013.0</v>
      </c>
      <c r="D461" s="497">
        <v>41599.0</v>
      </c>
      <c r="E461" s="422" t="s">
        <v>6767</v>
      </c>
      <c r="F461" s="394" t="s">
        <v>1762</v>
      </c>
      <c r="G461" s="422" t="s">
        <v>17</v>
      </c>
      <c r="H461" s="394" t="s">
        <v>130</v>
      </c>
      <c r="I461" s="497">
        <v>43816.0</v>
      </c>
      <c r="J461" s="422">
        <v>12.0</v>
      </c>
      <c r="K461" s="572" t="s">
        <v>19</v>
      </c>
      <c r="L461" s="394" t="s">
        <v>256</v>
      </c>
      <c r="M461" s="528">
        <f t="shared" si="1"/>
        <v>2217</v>
      </c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2.75" customHeight="1">
      <c r="A462" s="425">
        <v>46119.0</v>
      </c>
      <c r="B462" s="426" t="s">
        <v>6768</v>
      </c>
      <c r="C462" s="426">
        <v>2014.0</v>
      </c>
      <c r="D462" s="500">
        <v>41892.0</v>
      </c>
      <c r="E462" s="428" t="s">
        <v>6769</v>
      </c>
      <c r="F462" s="397" t="s">
        <v>1762</v>
      </c>
      <c r="G462" s="428" t="s">
        <v>17</v>
      </c>
      <c r="H462" s="397" t="s">
        <v>573</v>
      </c>
      <c r="I462" s="500">
        <v>43816.0</v>
      </c>
      <c r="J462" s="428">
        <v>12.0</v>
      </c>
      <c r="K462" s="572" t="s">
        <v>19</v>
      </c>
      <c r="L462" s="397" t="s">
        <v>256</v>
      </c>
      <c r="M462" s="529">
        <f t="shared" si="1"/>
        <v>1924</v>
      </c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2.75" customHeight="1">
      <c r="A463" s="419">
        <v>46219.0</v>
      </c>
      <c r="B463" s="420" t="s">
        <v>6770</v>
      </c>
      <c r="C463" s="420">
        <v>2018.0</v>
      </c>
      <c r="D463" s="497">
        <v>43122.0</v>
      </c>
      <c r="E463" s="422" t="s">
        <v>6771</v>
      </c>
      <c r="F463" s="394" t="s">
        <v>1401</v>
      </c>
      <c r="G463" s="422" t="s">
        <v>17</v>
      </c>
      <c r="H463" s="394" t="s">
        <v>50</v>
      </c>
      <c r="I463" s="497">
        <v>43816.0</v>
      </c>
      <c r="J463" s="422">
        <v>12.0</v>
      </c>
      <c r="K463" s="572" t="s">
        <v>19</v>
      </c>
      <c r="L463" s="394" t="s">
        <v>258</v>
      </c>
      <c r="M463" s="528">
        <f t="shared" si="1"/>
        <v>694</v>
      </c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2.75" customHeight="1">
      <c r="A464" s="425">
        <v>46319.0</v>
      </c>
      <c r="B464" s="426" t="s">
        <v>6772</v>
      </c>
      <c r="C464" s="426">
        <v>2017.0</v>
      </c>
      <c r="D464" s="500">
        <v>42996.0</v>
      </c>
      <c r="E464" s="428" t="s">
        <v>6773</v>
      </c>
      <c r="F464" s="397" t="s">
        <v>2667</v>
      </c>
      <c r="G464" s="428" t="s">
        <v>17</v>
      </c>
      <c r="H464" s="397" t="s">
        <v>50</v>
      </c>
      <c r="I464" s="500">
        <v>43816.0</v>
      </c>
      <c r="J464" s="428">
        <v>12.0</v>
      </c>
      <c r="K464" s="572" t="s">
        <v>19</v>
      </c>
      <c r="L464" s="397" t="s">
        <v>258</v>
      </c>
      <c r="M464" s="529">
        <f t="shared" si="1"/>
        <v>820</v>
      </c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2.75" customHeight="1">
      <c r="A465" s="419">
        <v>46419.0</v>
      </c>
      <c r="B465" s="420" t="s">
        <v>6774</v>
      </c>
      <c r="C465" s="420">
        <v>2013.0</v>
      </c>
      <c r="D465" s="497">
        <v>41414.0</v>
      </c>
      <c r="E465" s="422" t="s">
        <v>6775</v>
      </c>
      <c r="F465" s="394" t="s">
        <v>4170</v>
      </c>
      <c r="G465" s="422" t="s">
        <v>552</v>
      </c>
      <c r="H465" s="394" t="s">
        <v>6700</v>
      </c>
      <c r="I465" s="497">
        <v>43822.0</v>
      </c>
      <c r="J465" s="422">
        <v>12.0</v>
      </c>
      <c r="K465" s="531" t="s">
        <v>242</v>
      </c>
      <c r="L465" s="394" t="s">
        <v>258</v>
      </c>
      <c r="M465" s="528">
        <f t="shared" si="1"/>
        <v>2408</v>
      </c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2.75" customHeight="1">
      <c r="A466" s="425">
        <v>46519.0</v>
      </c>
      <c r="B466" s="426" t="s">
        <v>6776</v>
      </c>
      <c r="C466" s="426">
        <v>2015.0</v>
      </c>
      <c r="D466" s="500">
        <v>42270.0</v>
      </c>
      <c r="E466" s="428" t="s">
        <v>6777</v>
      </c>
      <c r="F466" s="397" t="s">
        <v>6595</v>
      </c>
      <c r="G466" s="428" t="s">
        <v>552</v>
      </c>
      <c r="H466" s="397" t="s">
        <v>5049</v>
      </c>
      <c r="I466" s="500">
        <v>43822.0</v>
      </c>
      <c r="J466" s="428">
        <v>12.0</v>
      </c>
      <c r="K466" s="531" t="s">
        <v>242</v>
      </c>
      <c r="L466" s="397" t="s">
        <v>258</v>
      </c>
      <c r="M466" s="529">
        <f t="shared" si="1"/>
        <v>1552</v>
      </c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2.75" customHeight="1">
      <c r="A467" s="419">
        <v>46619.0</v>
      </c>
      <c r="B467" s="420" t="s">
        <v>6778</v>
      </c>
      <c r="C467" s="420">
        <v>2019.0</v>
      </c>
      <c r="D467" s="497">
        <v>43546.0</v>
      </c>
      <c r="E467" s="422" t="s">
        <v>6779</v>
      </c>
      <c r="F467" s="503" t="s">
        <v>2383</v>
      </c>
      <c r="G467" s="422" t="s">
        <v>569</v>
      </c>
      <c r="H467" s="394" t="s">
        <v>6634</v>
      </c>
      <c r="I467" s="497">
        <v>43822.0</v>
      </c>
      <c r="J467" s="422">
        <v>12.0</v>
      </c>
      <c r="K467" s="571" t="s">
        <v>822</v>
      </c>
      <c r="L467" s="394" t="s">
        <v>260</v>
      </c>
      <c r="M467" s="528">
        <f t="shared" si="1"/>
        <v>276</v>
      </c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2.75" customHeight="1">
      <c r="A468" s="425">
        <v>46719.0</v>
      </c>
      <c r="B468" s="426" t="s">
        <v>6780</v>
      </c>
      <c r="C468" s="426">
        <v>2019.0</v>
      </c>
      <c r="D468" s="500">
        <v>43585.0</v>
      </c>
      <c r="E468" s="428" t="s">
        <v>6781</v>
      </c>
      <c r="F468" s="505" t="s">
        <v>2831</v>
      </c>
      <c r="G468" s="428" t="s">
        <v>565</v>
      </c>
      <c r="H468" s="397" t="s">
        <v>6782</v>
      </c>
      <c r="I468" s="500">
        <v>43822.0</v>
      </c>
      <c r="J468" s="428">
        <v>12.0</v>
      </c>
      <c r="K468" s="531" t="s">
        <v>242</v>
      </c>
      <c r="L468" s="397" t="s">
        <v>260</v>
      </c>
      <c r="M468" s="529">
        <f t="shared" si="1"/>
        <v>237</v>
      </c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2.75" customHeight="1">
      <c r="A469" s="419">
        <v>46819.0</v>
      </c>
      <c r="B469" s="420" t="s">
        <v>6783</v>
      </c>
      <c r="C469" s="420">
        <v>2019.0</v>
      </c>
      <c r="D469" s="497">
        <v>43686.0</v>
      </c>
      <c r="E469" s="422" t="s">
        <v>6784</v>
      </c>
      <c r="F469" s="503" t="s">
        <v>6633</v>
      </c>
      <c r="G469" s="422" t="s">
        <v>569</v>
      </c>
      <c r="H469" s="394" t="s">
        <v>1880</v>
      </c>
      <c r="I469" s="497">
        <v>43822.0</v>
      </c>
      <c r="J469" s="422">
        <v>12.0</v>
      </c>
      <c r="K469" s="571" t="s">
        <v>822</v>
      </c>
      <c r="L469" s="394" t="s">
        <v>260</v>
      </c>
      <c r="M469" s="528">
        <f t="shared" si="1"/>
        <v>136</v>
      </c>
      <c r="N469" s="512"/>
      <c r="O469" s="512"/>
      <c r="P469" s="512"/>
      <c r="Q469" s="512"/>
      <c r="R469" s="512"/>
      <c r="S469" s="512"/>
      <c r="T469" s="512"/>
      <c r="U469" s="512"/>
      <c r="V469" s="512"/>
      <c r="W469" s="512"/>
      <c r="X469" s="512"/>
      <c r="Y469" s="512"/>
      <c r="Z469" s="512"/>
    </row>
    <row r="470" ht="12.75" customHeight="1">
      <c r="A470" s="425">
        <v>46919.0</v>
      </c>
      <c r="B470" s="426" t="s">
        <v>6785</v>
      </c>
      <c r="C470" s="426">
        <v>2011.0</v>
      </c>
      <c r="D470" s="500">
        <v>40662.0</v>
      </c>
      <c r="E470" s="428" t="s">
        <v>6786</v>
      </c>
      <c r="F470" s="397" t="s">
        <v>595</v>
      </c>
      <c r="G470" s="428" t="s">
        <v>17</v>
      </c>
      <c r="H470" s="397" t="s">
        <v>1178</v>
      </c>
      <c r="I470" s="500">
        <v>43822.0</v>
      </c>
      <c r="J470" s="428">
        <v>12.0</v>
      </c>
      <c r="K470" s="572" t="s">
        <v>19</v>
      </c>
      <c r="L470" s="397" t="s">
        <v>256</v>
      </c>
      <c r="M470" s="529">
        <f t="shared" si="1"/>
        <v>3160</v>
      </c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2.75" customHeight="1">
      <c r="A471" s="419">
        <v>47019.0</v>
      </c>
      <c r="B471" s="420" t="s">
        <v>6787</v>
      </c>
      <c r="C471" s="420">
        <v>2013.0</v>
      </c>
      <c r="D471" s="497">
        <v>41354.0</v>
      </c>
      <c r="E471" s="422" t="s">
        <v>6788</v>
      </c>
      <c r="F471" s="394" t="s">
        <v>666</v>
      </c>
      <c r="G471" s="422" t="s">
        <v>17</v>
      </c>
      <c r="H471" s="394" t="s">
        <v>6789</v>
      </c>
      <c r="I471" s="497">
        <v>43822.0</v>
      </c>
      <c r="J471" s="422">
        <v>12.0</v>
      </c>
      <c r="K471" s="572" t="s">
        <v>19</v>
      </c>
      <c r="L471" s="394" t="s">
        <v>258</v>
      </c>
      <c r="M471" s="528">
        <f t="shared" si="1"/>
        <v>2468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2.75" customHeight="1">
      <c r="A472" s="425">
        <v>47119.0</v>
      </c>
      <c r="B472" s="426" t="s">
        <v>6790</v>
      </c>
      <c r="C472" s="426">
        <v>2014.0</v>
      </c>
      <c r="D472" s="500">
        <v>41939.0</v>
      </c>
      <c r="E472" s="428" t="s">
        <v>6791</v>
      </c>
      <c r="F472" s="397" t="s">
        <v>6792</v>
      </c>
      <c r="G472" s="428" t="s">
        <v>270</v>
      </c>
      <c r="H472" s="397" t="s">
        <v>1951</v>
      </c>
      <c r="I472" s="500">
        <v>43822.0</v>
      </c>
      <c r="J472" s="428">
        <v>12.0</v>
      </c>
      <c r="K472" s="531" t="s">
        <v>242</v>
      </c>
      <c r="L472" s="397" t="s">
        <v>260</v>
      </c>
      <c r="M472" s="529">
        <f t="shared" si="1"/>
        <v>1883</v>
      </c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2.75" customHeight="1">
      <c r="A473" s="419">
        <v>47219.0</v>
      </c>
      <c r="B473" s="420" t="s">
        <v>6793</v>
      </c>
      <c r="C473" s="420">
        <v>2015.0</v>
      </c>
      <c r="D473" s="497">
        <v>42352.0</v>
      </c>
      <c r="E473" s="422" t="s">
        <v>6794</v>
      </c>
      <c r="F473" s="394" t="s">
        <v>1464</v>
      </c>
      <c r="G473" s="422" t="s">
        <v>17</v>
      </c>
      <c r="H473" s="394" t="s">
        <v>587</v>
      </c>
      <c r="I473" s="497">
        <v>43822.0</v>
      </c>
      <c r="J473" s="422">
        <v>12.0</v>
      </c>
      <c r="K473" s="572" t="s">
        <v>19</v>
      </c>
      <c r="L473" s="394" t="s">
        <v>256</v>
      </c>
      <c r="M473" s="528">
        <f t="shared" si="1"/>
        <v>1470</v>
      </c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2.75" customHeight="1">
      <c r="A474" s="425">
        <v>47319.0</v>
      </c>
      <c r="B474" s="426" t="s">
        <v>6795</v>
      </c>
      <c r="C474" s="426">
        <v>2017.0</v>
      </c>
      <c r="D474" s="500">
        <v>43059.0</v>
      </c>
      <c r="E474" s="428" t="s">
        <v>6796</v>
      </c>
      <c r="F474" s="397" t="s">
        <v>2667</v>
      </c>
      <c r="G474" s="428" t="s">
        <v>17</v>
      </c>
      <c r="H474" s="397" t="s">
        <v>583</v>
      </c>
      <c r="I474" s="500">
        <v>43822.0</v>
      </c>
      <c r="J474" s="428">
        <v>12.0</v>
      </c>
      <c r="K474" s="572" t="s">
        <v>19</v>
      </c>
      <c r="L474" s="397" t="s">
        <v>258</v>
      </c>
      <c r="M474" s="529">
        <f t="shared" si="1"/>
        <v>763</v>
      </c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2.75" customHeight="1">
      <c r="A475" s="419">
        <v>47419.0</v>
      </c>
      <c r="B475" s="420" t="s">
        <v>6797</v>
      </c>
      <c r="C475" s="420">
        <v>2018.0</v>
      </c>
      <c r="D475" s="497">
        <v>43175.0</v>
      </c>
      <c r="E475" s="422" t="s">
        <v>6798</v>
      </c>
      <c r="F475" s="394" t="s">
        <v>2667</v>
      </c>
      <c r="G475" s="422" t="s">
        <v>17</v>
      </c>
      <c r="H475" s="394" t="s">
        <v>163</v>
      </c>
      <c r="I475" s="497">
        <v>43822.0</v>
      </c>
      <c r="J475" s="422">
        <v>12.0</v>
      </c>
      <c r="K475" s="572" t="s">
        <v>19</v>
      </c>
      <c r="L475" s="394" t="s">
        <v>258</v>
      </c>
      <c r="M475" s="528">
        <f t="shared" si="1"/>
        <v>647</v>
      </c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2.75" customHeight="1">
      <c r="A476" s="425">
        <v>47519.0</v>
      </c>
      <c r="B476" s="426" t="s">
        <v>6799</v>
      </c>
      <c r="C476" s="426">
        <v>2013.0</v>
      </c>
      <c r="D476" s="500">
        <v>41436.0</v>
      </c>
      <c r="E476" s="428" t="s">
        <v>6800</v>
      </c>
      <c r="F476" s="397" t="s">
        <v>1544</v>
      </c>
      <c r="G476" s="428" t="s">
        <v>17</v>
      </c>
      <c r="H476" s="397" t="s">
        <v>3303</v>
      </c>
      <c r="I476" s="500">
        <v>43822.0</v>
      </c>
      <c r="J476" s="428">
        <v>12.0</v>
      </c>
      <c r="K476" s="573" t="s">
        <v>19</v>
      </c>
      <c r="L476" s="397" t="s">
        <v>254</v>
      </c>
      <c r="M476" s="529">
        <f t="shared" si="1"/>
        <v>2386</v>
      </c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2.75" customHeight="1">
      <c r="A477" s="135"/>
      <c r="B477" s="135"/>
      <c r="C477" s="135"/>
      <c r="D477" s="516"/>
      <c r="E477" s="135"/>
      <c r="F477" s="135"/>
      <c r="G477" s="135"/>
      <c r="H477" s="135"/>
      <c r="I477" s="516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2.75" customHeight="1">
      <c r="A478" s="135"/>
      <c r="B478" s="135"/>
      <c r="C478" s="135"/>
      <c r="D478" s="516"/>
      <c r="E478" s="135"/>
      <c r="F478" s="135"/>
      <c r="G478" s="135"/>
      <c r="H478" s="135"/>
      <c r="I478" s="516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2.75" customHeight="1">
      <c r="A479" s="135"/>
      <c r="B479" s="135"/>
      <c r="C479" s="135"/>
      <c r="D479" s="516"/>
      <c r="E479" s="135"/>
      <c r="F479" s="135"/>
      <c r="G479" s="135"/>
      <c r="H479" s="135"/>
      <c r="I479" s="516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2.75" customHeight="1">
      <c r="A480" s="135"/>
      <c r="B480" s="135"/>
      <c r="C480" s="135"/>
      <c r="D480" s="516"/>
      <c r="E480" s="135"/>
      <c r="F480" s="135"/>
      <c r="G480" s="135"/>
      <c r="H480" s="135"/>
      <c r="I480" s="516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2.75" customHeight="1">
      <c r="A481" s="134"/>
      <c r="B481" s="135"/>
      <c r="C481" s="135"/>
      <c r="D481" s="516"/>
      <c r="E481" s="135"/>
      <c r="F481" s="135"/>
      <c r="G481" s="135"/>
      <c r="H481" s="135"/>
      <c r="I481" s="516"/>
      <c r="J481" s="135"/>
      <c r="K481" s="135"/>
      <c r="L481" s="135"/>
      <c r="M481" s="137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2.75" customHeight="1">
      <c r="A482" s="134"/>
      <c r="B482" s="135"/>
      <c r="C482" s="135"/>
      <c r="D482" s="516"/>
      <c r="E482" s="135"/>
      <c r="F482" s="135"/>
      <c r="G482" s="135"/>
      <c r="H482" s="135"/>
      <c r="I482" s="516"/>
      <c r="J482" s="135"/>
      <c r="K482" s="135"/>
      <c r="L482" s="135"/>
      <c r="M482" s="137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2.75" customHeight="1">
      <c r="A483" s="134"/>
      <c r="B483" s="135"/>
      <c r="C483" s="135"/>
      <c r="D483" s="516"/>
      <c r="E483" s="135"/>
      <c r="F483" s="135"/>
      <c r="G483" s="135"/>
      <c r="H483" s="135"/>
      <c r="I483" s="516"/>
      <c r="J483" s="135"/>
      <c r="K483" s="135"/>
      <c r="L483" s="135"/>
      <c r="M483" s="137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2.75" customHeight="1">
      <c r="A484" s="134"/>
      <c r="B484" s="135"/>
      <c r="C484" s="135"/>
      <c r="D484" s="516"/>
      <c r="E484" s="135"/>
      <c r="F484" s="135"/>
      <c r="G484" s="135"/>
      <c r="H484" s="135"/>
      <c r="I484" s="516"/>
      <c r="J484" s="135"/>
      <c r="K484" s="135"/>
      <c r="L484" s="135"/>
      <c r="M484" s="137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2.75" customHeight="1">
      <c r="A485" s="134"/>
      <c r="B485" s="135"/>
      <c r="C485" s="135"/>
      <c r="D485" s="516"/>
      <c r="E485" s="135"/>
      <c r="F485" s="135"/>
      <c r="G485" s="135"/>
      <c r="H485" s="135"/>
      <c r="I485" s="516"/>
      <c r="J485" s="135"/>
      <c r="K485" s="135"/>
      <c r="L485" s="135"/>
      <c r="M485" s="137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2.75" customHeight="1">
      <c r="A486" s="134"/>
      <c r="B486" s="135"/>
      <c r="C486" s="135"/>
      <c r="D486" s="516"/>
      <c r="E486" s="135"/>
      <c r="F486" s="135"/>
      <c r="G486" s="135"/>
      <c r="H486" s="135"/>
      <c r="I486" s="516"/>
      <c r="J486" s="135"/>
      <c r="K486" s="135"/>
      <c r="L486" s="135"/>
      <c r="M486" s="137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2.75" customHeight="1">
      <c r="A487" s="134"/>
      <c r="B487" s="135"/>
      <c r="C487" s="135"/>
      <c r="D487" s="516"/>
      <c r="E487" s="135"/>
      <c r="F487" s="135"/>
      <c r="G487" s="135"/>
      <c r="H487" s="135"/>
      <c r="I487" s="516"/>
      <c r="J487" s="135"/>
      <c r="K487" s="135"/>
      <c r="L487" s="135"/>
      <c r="M487" s="137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2.75" customHeight="1">
      <c r="A488" s="134"/>
      <c r="B488" s="135"/>
      <c r="C488" s="135"/>
      <c r="D488" s="516"/>
      <c r="E488" s="135"/>
      <c r="F488" s="135"/>
      <c r="G488" s="135"/>
      <c r="H488" s="135"/>
      <c r="I488" s="516"/>
      <c r="J488" s="135"/>
      <c r="K488" s="135"/>
      <c r="L488" s="135"/>
      <c r="M488" s="137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2.75" customHeight="1">
      <c r="A489" s="134"/>
      <c r="B489" s="135"/>
      <c r="C489" s="135"/>
      <c r="D489" s="516"/>
      <c r="E489" s="135"/>
      <c r="F489" s="135"/>
      <c r="G489" s="135"/>
      <c r="H489" s="135"/>
      <c r="I489" s="516"/>
      <c r="J489" s="135"/>
      <c r="K489" s="135"/>
      <c r="L489" s="135"/>
      <c r="M489" s="137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2.75" customHeight="1">
      <c r="A490" s="134"/>
      <c r="B490" s="135"/>
      <c r="C490" s="135"/>
      <c r="D490" s="516"/>
      <c r="E490" s="135"/>
      <c r="F490" s="135"/>
      <c r="G490" s="135"/>
      <c r="H490" s="135"/>
      <c r="I490" s="516"/>
      <c r="J490" s="135"/>
      <c r="K490" s="135"/>
      <c r="L490" s="135"/>
      <c r="M490" s="137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2.75" customHeight="1">
      <c r="A491" s="134"/>
      <c r="B491" s="135"/>
      <c r="C491" s="135"/>
      <c r="D491" s="516"/>
      <c r="E491" s="135"/>
      <c r="F491" s="135"/>
      <c r="G491" s="135"/>
      <c r="H491" s="135"/>
      <c r="I491" s="516"/>
      <c r="J491" s="135"/>
      <c r="K491" s="135"/>
      <c r="L491" s="135"/>
      <c r="M491" s="137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2.75" customHeight="1">
      <c r="A492" s="134"/>
      <c r="B492" s="135"/>
      <c r="C492" s="135"/>
      <c r="D492" s="516"/>
      <c r="E492" s="135"/>
      <c r="F492" s="135"/>
      <c r="G492" s="135"/>
      <c r="H492" s="135"/>
      <c r="I492" s="516"/>
      <c r="J492" s="135"/>
      <c r="K492" s="135"/>
      <c r="L492" s="135"/>
      <c r="M492" s="137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2.75" customHeight="1">
      <c r="A493" s="134"/>
      <c r="B493" s="135"/>
      <c r="C493" s="135"/>
      <c r="D493" s="516"/>
      <c r="E493" s="135"/>
      <c r="F493" s="135"/>
      <c r="G493" s="135"/>
      <c r="H493" s="135"/>
      <c r="I493" s="516"/>
      <c r="J493" s="135"/>
      <c r="K493" s="135"/>
      <c r="L493" s="135"/>
      <c r="M493" s="137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2.75" hidden="1" customHeight="1">
      <c r="A494" s="134"/>
      <c r="B494" s="135"/>
      <c r="C494" s="135"/>
      <c r="D494" s="516"/>
      <c r="E494" s="135"/>
      <c r="F494" s="135"/>
      <c r="G494" s="135"/>
      <c r="H494" s="135"/>
      <c r="I494" s="516"/>
      <c r="J494" s="135"/>
      <c r="K494" s="135"/>
      <c r="L494" s="135"/>
      <c r="M494" s="137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2.75" hidden="1" customHeight="1">
      <c r="A495" s="134"/>
      <c r="B495" s="135"/>
      <c r="C495" s="135"/>
      <c r="D495" s="516"/>
      <c r="E495" s="135"/>
      <c r="F495" s="135"/>
      <c r="G495" s="135"/>
      <c r="H495" s="135"/>
      <c r="I495" s="516"/>
      <c r="J495" s="135"/>
      <c r="K495" s="135"/>
      <c r="L495" s="135"/>
      <c r="M495" s="137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2.75" hidden="1" customHeight="1">
      <c r="A496" s="134"/>
      <c r="B496" s="135"/>
      <c r="C496" s="135"/>
      <c r="D496" s="516"/>
      <c r="E496" s="135"/>
      <c r="F496" s="135"/>
      <c r="G496" s="135"/>
      <c r="H496" s="135"/>
      <c r="I496" s="516"/>
      <c r="J496" s="135"/>
      <c r="K496" s="135"/>
      <c r="L496" s="135"/>
      <c r="M496" s="137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2.75" hidden="1" customHeight="1">
      <c r="A497" s="134"/>
      <c r="B497" s="135"/>
      <c r="C497" s="135"/>
      <c r="D497" s="516"/>
      <c r="E497" s="135"/>
      <c r="F497" s="135"/>
      <c r="G497" s="135"/>
      <c r="H497" s="135"/>
      <c r="I497" s="516"/>
      <c r="J497" s="135"/>
      <c r="K497" s="135"/>
      <c r="L497" s="135"/>
      <c r="M497" s="137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2.75" hidden="1" customHeight="1">
      <c r="A498" s="134"/>
      <c r="B498" s="135"/>
      <c r="C498" s="135"/>
      <c r="D498" s="516"/>
      <c r="E498" s="135"/>
      <c r="F498" s="135"/>
      <c r="G498" s="135"/>
      <c r="H498" s="135"/>
      <c r="I498" s="516"/>
      <c r="J498" s="135"/>
      <c r="K498" s="135"/>
      <c r="L498" s="135"/>
      <c r="M498" s="137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2.75" hidden="1" customHeight="1">
      <c r="A499" s="134"/>
      <c r="B499" s="135"/>
      <c r="C499" s="135"/>
      <c r="D499" s="516"/>
      <c r="E499" s="135"/>
      <c r="F499" s="135"/>
      <c r="G499" s="135"/>
      <c r="H499" s="135"/>
      <c r="I499" s="516"/>
      <c r="J499" s="135"/>
      <c r="K499" s="135"/>
      <c r="L499" s="135"/>
      <c r="M499" s="137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2.75" hidden="1" customHeight="1">
      <c r="A500" s="134"/>
      <c r="B500" s="135"/>
      <c r="C500" s="135"/>
      <c r="D500" s="516"/>
      <c r="E500" s="135"/>
      <c r="F500" s="135"/>
      <c r="G500" s="135"/>
      <c r="H500" s="135"/>
      <c r="I500" s="516"/>
      <c r="J500" s="135"/>
      <c r="K500" s="135"/>
      <c r="L500" s="135"/>
      <c r="M500" s="137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2.75" hidden="1" customHeight="1">
      <c r="A501" s="134"/>
      <c r="B501" s="135"/>
      <c r="C501" s="135"/>
      <c r="D501" s="516"/>
      <c r="E501" s="135"/>
      <c r="F501" s="135"/>
      <c r="G501" s="135"/>
      <c r="H501" s="135"/>
      <c r="I501" s="516"/>
      <c r="J501" s="135"/>
      <c r="K501" s="135"/>
      <c r="L501" s="135"/>
      <c r="M501" s="137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2.75" hidden="1" customHeight="1">
      <c r="A502" s="134"/>
      <c r="B502" s="135"/>
      <c r="C502" s="135"/>
      <c r="D502" s="516"/>
      <c r="E502" s="135"/>
      <c r="F502" s="135"/>
      <c r="G502" s="135"/>
      <c r="H502" s="135"/>
      <c r="I502" s="516"/>
      <c r="J502" s="135"/>
      <c r="K502" s="135"/>
      <c r="L502" s="135"/>
      <c r="M502" s="137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2.75" hidden="1" customHeight="1">
      <c r="A503" s="134"/>
      <c r="B503" s="135"/>
      <c r="C503" s="135"/>
      <c r="D503" s="516"/>
      <c r="E503" s="135"/>
      <c r="F503" s="135"/>
      <c r="G503" s="135"/>
      <c r="H503" s="135"/>
      <c r="I503" s="516"/>
      <c r="J503" s="135"/>
      <c r="K503" s="135"/>
      <c r="L503" s="135"/>
      <c r="M503" s="137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2.75" hidden="1" customHeight="1">
      <c r="A504" s="134"/>
      <c r="B504" s="135"/>
      <c r="C504" s="135"/>
      <c r="D504" s="516"/>
      <c r="E504" s="135"/>
      <c r="F504" s="135"/>
      <c r="G504" s="135"/>
      <c r="H504" s="135"/>
      <c r="I504" s="516"/>
      <c r="J504" s="135"/>
      <c r="K504" s="135"/>
      <c r="L504" s="135"/>
      <c r="M504" s="137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2.75" hidden="1" customHeight="1">
      <c r="A505" s="134"/>
      <c r="B505" s="135"/>
      <c r="C505" s="135"/>
      <c r="D505" s="516"/>
      <c r="E505" s="135"/>
      <c r="F505" s="135"/>
      <c r="G505" s="135"/>
      <c r="H505" s="135"/>
      <c r="I505" s="516"/>
      <c r="J505" s="135"/>
      <c r="K505" s="135"/>
      <c r="L505" s="135"/>
      <c r="M505" s="137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2.75" hidden="1" customHeight="1">
      <c r="A506" s="134"/>
      <c r="B506" s="135"/>
      <c r="C506" s="135"/>
      <c r="D506" s="516"/>
      <c r="E506" s="135"/>
      <c r="F506" s="135"/>
      <c r="G506" s="135"/>
      <c r="H506" s="135"/>
      <c r="I506" s="516"/>
      <c r="J506" s="135"/>
      <c r="K506" s="135"/>
      <c r="L506" s="135"/>
      <c r="M506" s="137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2.75" hidden="1" customHeight="1">
      <c r="A507" s="134"/>
      <c r="B507" s="135"/>
      <c r="C507" s="135"/>
      <c r="D507" s="516"/>
      <c r="E507" s="135"/>
      <c r="F507" s="135"/>
      <c r="G507" s="135"/>
      <c r="H507" s="135"/>
      <c r="I507" s="516"/>
      <c r="J507" s="135"/>
      <c r="K507" s="135"/>
      <c r="L507" s="135"/>
      <c r="M507" s="137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2.75" hidden="1" customHeight="1">
      <c r="A508" s="134"/>
      <c r="B508" s="135"/>
      <c r="C508" s="135"/>
      <c r="D508" s="516"/>
      <c r="E508" s="135"/>
      <c r="F508" s="135"/>
      <c r="G508" s="135"/>
      <c r="H508" s="135"/>
      <c r="I508" s="516"/>
      <c r="J508" s="135"/>
      <c r="K508" s="135"/>
      <c r="L508" s="135"/>
      <c r="M508" s="137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2.75" hidden="1" customHeight="1">
      <c r="A509" s="134"/>
      <c r="B509" s="135"/>
      <c r="C509" s="135"/>
      <c r="D509" s="516"/>
      <c r="E509" s="135"/>
      <c r="F509" s="135"/>
      <c r="G509" s="135"/>
      <c r="H509" s="135"/>
      <c r="I509" s="516"/>
      <c r="J509" s="135"/>
      <c r="K509" s="135"/>
      <c r="L509" s="135"/>
      <c r="M509" s="137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2.75" hidden="1" customHeight="1">
      <c r="A510" s="134"/>
      <c r="B510" s="135"/>
      <c r="C510" s="135"/>
      <c r="D510" s="516"/>
      <c r="E510" s="135"/>
      <c r="F510" s="135"/>
      <c r="G510" s="135"/>
      <c r="H510" s="135"/>
      <c r="I510" s="516"/>
      <c r="J510" s="135"/>
      <c r="K510" s="135"/>
      <c r="L510" s="135"/>
      <c r="M510" s="137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2.75" hidden="1" customHeight="1">
      <c r="A511" s="134"/>
      <c r="B511" s="135"/>
      <c r="C511" s="135"/>
      <c r="D511" s="516"/>
      <c r="E511" s="135"/>
      <c r="F511" s="135"/>
      <c r="G511" s="135"/>
      <c r="H511" s="135"/>
      <c r="I511" s="516"/>
      <c r="J511" s="135"/>
      <c r="K511" s="135"/>
      <c r="L511" s="135"/>
      <c r="M511" s="137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2.75" hidden="1" customHeight="1">
      <c r="A512" s="134"/>
      <c r="B512" s="135"/>
      <c r="C512" s="135"/>
      <c r="D512" s="516"/>
      <c r="E512" s="135"/>
      <c r="F512" s="135"/>
      <c r="G512" s="135"/>
      <c r="H512" s="135"/>
      <c r="I512" s="516"/>
      <c r="J512" s="135"/>
      <c r="K512" s="135"/>
      <c r="L512" s="135"/>
      <c r="M512" s="137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2.75" hidden="1" customHeight="1">
      <c r="A513" s="134"/>
      <c r="B513" s="135"/>
      <c r="C513" s="135"/>
      <c r="D513" s="516"/>
      <c r="E513" s="135"/>
      <c r="F513" s="135"/>
      <c r="G513" s="135"/>
      <c r="H513" s="135"/>
      <c r="I513" s="516"/>
      <c r="J513" s="135"/>
      <c r="K513" s="135"/>
      <c r="L513" s="135"/>
      <c r="M513" s="137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2.75" hidden="1" customHeight="1">
      <c r="A514" s="134"/>
      <c r="B514" s="135"/>
      <c r="C514" s="135"/>
      <c r="D514" s="516"/>
      <c r="E514" s="135"/>
      <c r="F514" s="135"/>
      <c r="G514" s="135"/>
      <c r="H514" s="135"/>
      <c r="I514" s="516"/>
      <c r="J514" s="135"/>
      <c r="K514" s="135"/>
      <c r="L514" s="135"/>
      <c r="M514" s="137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2.75" hidden="1" customHeight="1">
      <c r="A515" s="134"/>
      <c r="B515" s="135"/>
      <c r="C515" s="135"/>
      <c r="D515" s="516"/>
      <c r="E515" s="135"/>
      <c r="F515" s="135"/>
      <c r="G515" s="135"/>
      <c r="H515" s="135"/>
      <c r="I515" s="516"/>
      <c r="J515" s="135"/>
      <c r="K515" s="135"/>
      <c r="L515" s="135"/>
      <c r="M515" s="137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2.75" hidden="1" customHeight="1">
      <c r="A516" s="134"/>
      <c r="B516" s="135"/>
      <c r="C516" s="135"/>
      <c r="D516" s="516"/>
      <c r="E516" s="135"/>
      <c r="F516" s="135"/>
      <c r="G516" s="135"/>
      <c r="H516" s="135"/>
      <c r="I516" s="516"/>
      <c r="J516" s="135"/>
      <c r="K516" s="135"/>
      <c r="L516" s="135"/>
      <c r="M516" s="137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2.75" hidden="1" customHeight="1">
      <c r="A517" s="134"/>
      <c r="B517" s="135"/>
      <c r="C517" s="135"/>
      <c r="D517" s="516"/>
      <c r="E517" s="135"/>
      <c r="F517" s="135"/>
      <c r="G517" s="135"/>
      <c r="H517" s="135"/>
      <c r="I517" s="516"/>
      <c r="J517" s="135"/>
      <c r="K517" s="135"/>
      <c r="L517" s="135"/>
      <c r="M517" s="137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2.75" hidden="1" customHeight="1">
      <c r="A518" s="134"/>
      <c r="B518" s="135"/>
      <c r="C518" s="135"/>
      <c r="D518" s="516"/>
      <c r="E518" s="135"/>
      <c r="F518" s="135"/>
      <c r="G518" s="135"/>
      <c r="H518" s="135"/>
      <c r="I518" s="516"/>
      <c r="J518" s="135"/>
      <c r="K518" s="135"/>
      <c r="L518" s="135"/>
      <c r="M518" s="137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2.75" hidden="1" customHeight="1">
      <c r="A519" s="134"/>
      <c r="B519" s="135"/>
      <c r="C519" s="135"/>
      <c r="D519" s="516"/>
      <c r="E519" s="135"/>
      <c r="F519" s="135"/>
      <c r="G519" s="135"/>
      <c r="H519" s="135"/>
      <c r="I519" s="516"/>
      <c r="J519" s="135"/>
      <c r="K519" s="135"/>
      <c r="L519" s="135"/>
      <c r="M519" s="137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2.75" hidden="1" customHeight="1">
      <c r="A520" s="134"/>
      <c r="B520" s="135"/>
      <c r="C520" s="135"/>
      <c r="D520" s="516"/>
      <c r="E520" s="135"/>
      <c r="F520" s="135"/>
      <c r="G520" s="135"/>
      <c r="H520" s="135"/>
      <c r="I520" s="516"/>
      <c r="J520" s="135"/>
      <c r="K520" s="135"/>
      <c r="L520" s="135"/>
      <c r="M520" s="137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2.75" hidden="1" customHeight="1">
      <c r="A521" s="134"/>
      <c r="B521" s="135"/>
      <c r="C521" s="135"/>
      <c r="D521" s="516"/>
      <c r="E521" s="135"/>
      <c r="F521" s="135"/>
      <c r="G521" s="135"/>
      <c r="H521" s="135"/>
      <c r="I521" s="516"/>
      <c r="J521" s="135"/>
      <c r="K521" s="135"/>
      <c r="L521" s="135"/>
      <c r="M521" s="137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2.75" hidden="1" customHeight="1">
      <c r="A522" s="134"/>
      <c r="B522" s="135"/>
      <c r="C522" s="135"/>
      <c r="D522" s="516"/>
      <c r="E522" s="135"/>
      <c r="F522" s="135"/>
      <c r="G522" s="135"/>
      <c r="H522" s="135"/>
      <c r="I522" s="516"/>
      <c r="J522" s="135"/>
      <c r="K522" s="135"/>
      <c r="L522" s="135"/>
      <c r="M522" s="137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2.75" hidden="1" customHeight="1">
      <c r="A523" s="134"/>
      <c r="B523" s="135"/>
      <c r="C523" s="135"/>
      <c r="D523" s="516"/>
      <c r="E523" s="135"/>
      <c r="F523" s="135"/>
      <c r="G523" s="135"/>
      <c r="H523" s="135"/>
      <c r="I523" s="516"/>
      <c r="J523" s="135"/>
      <c r="K523" s="135"/>
      <c r="L523" s="135"/>
      <c r="M523" s="137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2.75" hidden="1" customHeight="1">
      <c r="A524" s="134"/>
      <c r="B524" s="135"/>
      <c r="C524" s="135"/>
      <c r="D524" s="516"/>
      <c r="E524" s="135"/>
      <c r="F524" s="135"/>
      <c r="G524" s="135"/>
      <c r="H524" s="135"/>
      <c r="I524" s="516"/>
      <c r="J524" s="135"/>
      <c r="K524" s="135"/>
      <c r="L524" s="135"/>
      <c r="M524" s="137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2.75" hidden="1" customHeight="1">
      <c r="A525" s="134"/>
      <c r="B525" s="135"/>
      <c r="C525" s="135"/>
      <c r="D525" s="516"/>
      <c r="E525" s="135"/>
      <c r="F525" s="135"/>
      <c r="G525" s="135"/>
      <c r="H525" s="135"/>
      <c r="I525" s="516"/>
      <c r="J525" s="135"/>
      <c r="K525" s="135"/>
      <c r="L525" s="135"/>
      <c r="M525" s="137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2.75" hidden="1" customHeight="1">
      <c r="A526" s="134"/>
      <c r="B526" s="135"/>
      <c r="C526" s="135"/>
      <c r="D526" s="516"/>
      <c r="E526" s="135"/>
      <c r="F526" s="135"/>
      <c r="G526" s="135"/>
      <c r="H526" s="135"/>
      <c r="I526" s="516"/>
      <c r="J526" s="135"/>
      <c r="K526" s="135"/>
      <c r="L526" s="135"/>
      <c r="M526" s="137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2.75" hidden="1" customHeight="1">
      <c r="A527" s="134"/>
      <c r="B527" s="135"/>
      <c r="C527" s="135"/>
      <c r="D527" s="516"/>
      <c r="E527" s="135"/>
      <c r="F527" s="135"/>
      <c r="G527" s="135"/>
      <c r="H527" s="135"/>
      <c r="I527" s="516"/>
      <c r="J527" s="135"/>
      <c r="K527" s="135"/>
      <c r="L527" s="135"/>
      <c r="M527" s="137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2.75" hidden="1" customHeight="1">
      <c r="A528" s="134"/>
      <c r="B528" s="135"/>
      <c r="C528" s="135"/>
      <c r="D528" s="516"/>
      <c r="E528" s="135"/>
      <c r="F528" s="135"/>
      <c r="G528" s="135"/>
      <c r="H528" s="135"/>
      <c r="I528" s="516"/>
      <c r="J528" s="135"/>
      <c r="K528" s="135"/>
      <c r="L528" s="135"/>
      <c r="M528" s="137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2.75" hidden="1" customHeight="1">
      <c r="A529" s="134"/>
      <c r="B529" s="135"/>
      <c r="C529" s="135"/>
      <c r="D529" s="516"/>
      <c r="E529" s="135"/>
      <c r="F529" s="135"/>
      <c r="G529" s="135"/>
      <c r="H529" s="135"/>
      <c r="I529" s="516"/>
      <c r="J529" s="135"/>
      <c r="K529" s="135"/>
      <c r="L529" s="135"/>
      <c r="M529" s="137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2.75" hidden="1" customHeight="1">
      <c r="A530" s="134"/>
      <c r="B530" s="135"/>
      <c r="C530" s="135"/>
      <c r="D530" s="516"/>
      <c r="E530" s="135"/>
      <c r="F530" s="135"/>
      <c r="G530" s="135"/>
      <c r="H530" s="135"/>
      <c r="I530" s="516"/>
      <c r="J530" s="135"/>
      <c r="K530" s="135"/>
      <c r="L530" s="135"/>
      <c r="M530" s="137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2.75" hidden="1" customHeight="1">
      <c r="A531" s="134"/>
      <c r="B531" s="135"/>
      <c r="C531" s="135"/>
      <c r="D531" s="516"/>
      <c r="E531" s="135"/>
      <c r="F531" s="135"/>
      <c r="G531" s="135"/>
      <c r="H531" s="135"/>
      <c r="I531" s="516"/>
      <c r="J531" s="135"/>
      <c r="K531" s="135"/>
      <c r="L531" s="135"/>
      <c r="M531" s="137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2.75" hidden="1" customHeight="1">
      <c r="A532" s="134"/>
      <c r="B532" s="135"/>
      <c r="C532" s="135"/>
      <c r="D532" s="516"/>
      <c r="E532" s="135"/>
      <c r="F532" s="135"/>
      <c r="G532" s="135"/>
      <c r="H532" s="135"/>
      <c r="I532" s="516"/>
      <c r="J532" s="135"/>
      <c r="K532" s="135"/>
      <c r="L532" s="135"/>
      <c r="M532" s="137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2.75" hidden="1" customHeight="1">
      <c r="A533" s="134"/>
      <c r="B533" s="135"/>
      <c r="C533" s="135"/>
      <c r="D533" s="516"/>
      <c r="E533" s="135"/>
      <c r="F533" s="135"/>
      <c r="G533" s="135"/>
      <c r="H533" s="135"/>
      <c r="I533" s="516"/>
      <c r="J533" s="135"/>
      <c r="K533" s="135"/>
      <c r="L533" s="135"/>
      <c r="M533" s="137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2.75" hidden="1" customHeight="1">
      <c r="A534" s="134"/>
      <c r="B534" s="135"/>
      <c r="C534" s="135"/>
      <c r="D534" s="516"/>
      <c r="E534" s="135"/>
      <c r="F534" s="135"/>
      <c r="G534" s="135"/>
      <c r="H534" s="135"/>
      <c r="I534" s="516"/>
      <c r="J534" s="135"/>
      <c r="K534" s="135"/>
      <c r="L534" s="135"/>
      <c r="M534" s="137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2.75" hidden="1" customHeight="1">
      <c r="A535" s="134"/>
      <c r="B535" s="135"/>
      <c r="C535" s="135"/>
      <c r="D535" s="516"/>
      <c r="E535" s="135"/>
      <c r="F535" s="135"/>
      <c r="G535" s="135"/>
      <c r="H535" s="135"/>
      <c r="I535" s="516"/>
      <c r="J535" s="135"/>
      <c r="K535" s="135"/>
      <c r="L535" s="135"/>
      <c r="M535" s="137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2.75" hidden="1" customHeight="1">
      <c r="A536" s="134"/>
      <c r="B536" s="135"/>
      <c r="C536" s="135"/>
      <c r="D536" s="516"/>
      <c r="E536" s="135"/>
      <c r="F536" s="135"/>
      <c r="G536" s="135"/>
      <c r="H536" s="135"/>
      <c r="I536" s="516"/>
      <c r="J536" s="135"/>
      <c r="K536" s="135"/>
      <c r="L536" s="135"/>
      <c r="M536" s="137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2.75" hidden="1" customHeight="1">
      <c r="A537" s="134"/>
      <c r="B537" s="135"/>
      <c r="C537" s="135"/>
      <c r="D537" s="516"/>
      <c r="E537" s="135"/>
      <c r="F537" s="135"/>
      <c r="G537" s="135"/>
      <c r="H537" s="135"/>
      <c r="I537" s="516"/>
      <c r="J537" s="135"/>
      <c r="K537" s="135"/>
      <c r="L537" s="135"/>
      <c r="M537" s="137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2.75" hidden="1" customHeight="1">
      <c r="A538" s="134"/>
      <c r="B538" s="135"/>
      <c r="C538" s="135"/>
      <c r="D538" s="516"/>
      <c r="E538" s="135"/>
      <c r="F538" s="135"/>
      <c r="G538" s="135"/>
      <c r="H538" s="135"/>
      <c r="I538" s="516"/>
      <c r="J538" s="135"/>
      <c r="K538" s="135"/>
      <c r="L538" s="135"/>
      <c r="M538" s="137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2.75" hidden="1" customHeight="1">
      <c r="A539" s="134"/>
      <c r="B539" s="135"/>
      <c r="C539" s="135"/>
      <c r="D539" s="516"/>
      <c r="E539" s="135"/>
      <c r="F539" s="135"/>
      <c r="G539" s="135"/>
      <c r="H539" s="135"/>
      <c r="I539" s="516"/>
      <c r="J539" s="135"/>
      <c r="K539" s="135"/>
      <c r="L539" s="135"/>
      <c r="M539" s="137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2.75" hidden="1" customHeight="1">
      <c r="A540" s="134"/>
      <c r="B540" s="135"/>
      <c r="C540" s="135"/>
      <c r="D540" s="516"/>
      <c r="E540" s="135"/>
      <c r="F540" s="135"/>
      <c r="G540" s="135"/>
      <c r="H540" s="135"/>
      <c r="I540" s="516"/>
      <c r="J540" s="135"/>
      <c r="K540" s="135"/>
      <c r="L540" s="135"/>
      <c r="M540" s="137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2.75" hidden="1" customHeight="1">
      <c r="A541" s="134"/>
      <c r="B541" s="135"/>
      <c r="C541" s="135"/>
      <c r="D541" s="516"/>
      <c r="E541" s="135"/>
      <c r="F541" s="135"/>
      <c r="G541" s="135"/>
      <c r="H541" s="135"/>
      <c r="I541" s="516"/>
      <c r="J541" s="135"/>
      <c r="K541" s="135"/>
      <c r="L541" s="135"/>
      <c r="M541" s="137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2.75" hidden="1" customHeight="1">
      <c r="A542" s="134"/>
      <c r="B542" s="135"/>
      <c r="C542" s="135"/>
      <c r="D542" s="516"/>
      <c r="E542" s="135"/>
      <c r="F542" s="135"/>
      <c r="G542" s="135"/>
      <c r="H542" s="135"/>
      <c r="I542" s="516"/>
      <c r="J542" s="135"/>
      <c r="K542" s="135"/>
      <c r="L542" s="135"/>
      <c r="M542" s="137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2.75" hidden="1" customHeight="1">
      <c r="A543" s="134"/>
      <c r="B543" s="135"/>
      <c r="C543" s="135"/>
      <c r="D543" s="516"/>
      <c r="E543" s="135"/>
      <c r="F543" s="135"/>
      <c r="G543" s="135"/>
      <c r="H543" s="135"/>
      <c r="I543" s="516"/>
      <c r="J543" s="135"/>
      <c r="K543" s="135"/>
      <c r="L543" s="135"/>
      <c r="M543" s="137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2.75" hidden="1" customHeight="1">
      <c r="A544" s="134"/>
      <c r="B544" s="135"/>
      <c r="C544" s="135"/>
      <c r="D544" s="516"/>
      <c r="E544" s="135"/>
      <c r="F544" s="135"/>
      <c r="G544" s="135"/>
      <c r="H544" s="135"/>
      <c r="I544" s="516"/>
      <c r="J544" s="135"/>
      <c r="K544" s="135"/>
      <c r="L544" s="135"/>
      <c r="M544" s="137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2.75" hidden="1" customHeight="1">
      <c r="A545" s="134"/>
      <c r="B545" s="135"/>
      <c r="C545" s="135"/>
      <c r="D545" s="516"/>
      <c r="E545" s="135"/>
      <c r="F545" s="135"/>
      <c r="G545" s="135"/>
      <c r="H545" s="135"/>
      <c r="I545" s="516"/>
      <c r="J545" s="135"/>
      <c r="K545" s="135"/>
      <c r="L545" s="135"/>
      <c r="M545" s="137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2.75" hidden="1" customHeight="1">
      <c r="A546" s="134"/>
      <c r="B546" s="135"/>
      <c r="C546" s="135"/>
      <c r="D546" s="516"/>
      <c r="E546" s="135"/>
      <c r="F546" s="135"/>
      <c r="G546" s="135"/>
      <c r="H546" s="135"/>
      <c r="I546" s="516"/>
      <c r="J546" s="135"/>
      <c r="K546" s="135"/>
      <c r="L546" s="135"/>
      <c r="M546" s="137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2.75" hidden="1" customHeight="1">
      <c r="A547" s="134"/>
      <c r="B547" s="135"/>
      <c r="C547" s="135"/>
      <c r="D547" s="516"/>
      <c r="E547" s="135"/>
      <c r="F547" s="135"/>
      <c r="G547" s="135"/>
      <c r="H547" s="135"/>
      <c r="I547" s="516"/>
      <c r="J547" s="135"/>
      <c r="K547" s="135"/>
      <c r="L547" s="135"/>
      <c r="M547" s="137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2.75" hidden="1" customHeight="1">
      <c r="A548" s="134"/>
      <c r="B548" s="135"/>
      <c r="C548" s="135"/>
      <c r="D548" s="516"/>
      <c r="E548" s="135"/>
      <c r="F548" s="135"/>
      <c r="G548" s="135"/>
      <c r="H548" s="135"/>
      <c r="I548" s="516"/>
      <c r="J548" s="135"/>
      <c r="K548" s="135"/>
      <c r="L548" s="135"/>
      <c r="M548" s="137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2.75" hidden="1" customHeight="1">
      <c r="A549" s="134"/>
      <c r="B549" s="135"/>
      <c r="C549" s="135"/>
      <c r="D549" s="516"/>
      <c r="E549" s="135"/>
      <c r="F549" s="135"/>
      <c r="G549" s="135"/>
      <c r="H549" s="135"/>
      <c r="I549" s="516"/>
      <c r="J549" s="135"/>
      <c r="K549" s="135"/>
      <c r="L549" s="135"/>
      <c r="M549" s="137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2.75" hidden="1" customHeight="1">
      <c r="A550" s="134"/>
      <c r="B550" s="135"/>
      <c r="C550" s="135"/>
      <c r="D550" s="516"/>
      <c r="E550" s="135"/>
      <c r="F550" s="135"/>
      <c r="G550" s="135"/>
      <c r="H550" s="135"/>
      <c r="I550" s="516"/>
      <c r="J550" s="135"/>
      <c r="K550" s="135"/>
      <c r="L550" s="135"/>
      <c r="M550" s="137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2.75" hidden="1" customHeight="1">
      <c r="A551" s="134"/>
      <c r="B551" s="135"/>
      <c r="C551" s="135"/>
      <c r="D551" s="516"/>
      <c r="E551" s="135"/>
      <c r="F551" s="135"/>
      <c r="G551" s="135"/>
      <c r="H551" s="135"/>
      <c r="I551" s="516"/>
      <c r="J551" s="135"/>
      <c r="K551" s="135"/>
      <c r="L551" s="135"/>
      <c r="M551" s="137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2.75" hidden="1" customHeight="1">
      <c r="A552" s="134"/>
      <c r="B552" s="135"/>
      <c r="C552" s="135"/>
      <c r="D552" s="516"/>
      <c r="E552" s="135"/>
      <c r="F552" s="135"/>
      <c r="G552" s="135"/>
      <c r="H552" s="135"/>
      <c r="I552" s="516"/>
      <c r="J552" s="135"/>
      <c r="K552" s="135"/>
      <c r="L552" s="135"/>
      <c r="M552" s="137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2.75" hidden="1" customHeight="1">
      <c r="A553" s="134"/>
      <c r="B553" s="135"/>
      <c r="C553" s="135"/>
      <c r="D553" s="516"/>
      <c r="E553" s="135"/>
      <c r="F553" s="135"/>
      <c r="G553" s="135"/>
      <c r="H553" s="135"/>
      <c r="I553" s="516"/>
      <c r="J553" s="135"/>
      <c r="K553" s="135"/>
      <c r="L553" s="135"/>
      <c r="M553" s="137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2.75" hidden="1" customHeight="1">
      <c r="A554" s="134"/>
      <c r="B554" s="135"/>
      <c r="C554" s="135"/>
      <c r="D554" s="516"/>
      <c r="E554" s="135"/>
      <c r="F554" s="135"/>
      <c r="G554" s="135"/>
      <c r="H554" s="135"/>
      <c r="I554" s="516"/>
      <c r="J554" s="135"/>
      <c r="K554" s="135"/>
      <c r="L554" s="135"/>
      <c r="M554" s="137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2.75" hidden="1" customHeight="1">
      <c r="A555" s="134"/>
      <c r="B555" s="135"/>
      <c r="C555" s="135"/>
      <c r="D555" s="516"/>
      <c r="E555" s="135"/>
      <c r="F555" s="135"/>
      <c r="G555" s="135"/>
      <c r="H555" s="135"/>
      <c r="I555" s="516"/>
      <c r="J555" s="135"/>
      <c r="K555" s="135"/>
      <c r="L555" s="135"/>
      <c r="M555" s="137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2.75" hidden="1" customHeight="1">
      <c r="A556" s="134"/>
      <c r="B556" s="135"/>
      <c r="C556" s="135"/>
      <c r="D556" s="516"/>
      <c r="E556" s="135"/>
      <c r="F556" s="135"/>
      <c r="G556" s="135"/>
      <c r="H556" s="135"/>
      <c r="I556" s="516"/>
      <c r="J556" s="135"/>
      <c r="K556" s="135"/>
      <c r="L556" s="135"/>
      <c r="M556" s="137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2.75" hidden="1" customHeight="1">
      <c r="A557" s="134"/>
      <c r="B557" s="135"/>
      <c r="C557" s="135"/>
      <c r="D557" s="516"/>
      <c r="E557" s="135"/>
      <c r="F557" s="135"/>
      <c r="G557" s="135"/>
      <c r="H557" s="135"/>
      <c r="I557" s="516"/>
      <c r="J557" s="135"/>
      <c r="K557" s="135"/>
      <c r="L557" s="135"/>
      <c r="M557" s="137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2.75" hidden="1" customHeight="1">
      <c r="A558" s="134"/>
      <c r="B558" s="135"/>
      <c r="C558" s="135"/>
      <c r="D558" s="516"/>
      <c r="E558" s="135"/>
      <c r="F558" s="135"/>
      <c r="G558" s="135"/>
      <c r="H558" s="135"/>
      <c r="I558" s="516"/>
      <c r="J558" s="135"/>
      <c r="K558" s="135"/>
      <c r="L558" s="135"/>
      <c r="M558" s="137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2.75" hidden="1" customHeight="1">
      <c r="A559" s="134"/>
      <c r="B559" s="135"/>
      <c r="C559" s="135"/>
      <c r="D559" s="516"/>
      <c r="E559" s="135"/>
      <c r="F559" s="135"/>
      <c r="G559" s="135"/>
      <c r="H559" s="135"/>
      <c r="I559" s="516"/>
      <c r="J559" s="135"/>
      <c r="K559" s="135"/>
      <c r="L559" s="135"/>
      <c r="M559" s="137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2.75" hidden="1" customHeight="1">
      <c r="A560" s="134"/>
      <c r="B560" s="135"/>
      <c r="C560" s="135"/>
      <c r="D560" s="516"/>
      <c r="E560" s="135"/>
      <c r="F560" s="135"/>
      <c r="G560" s="135"/>
      <c r="H560" s="135"/>
      <c r="I560" s="516"/>
      <c r="J560" s="135"/>
      <c r="K560" s="135"/>
      <c r="L560" s="135"/>
      <c r="M560" s="137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2.75" hidden="1" customHeight="1">
      <c r="A561" s="134"/>
      <c r="B561" s="135"/>
      <c r="C561" s="135"/>
      <c r="D561" s="516"/>
      <c r="E561" s="135"/>
      <c r="F561" s="135"/>
      <c r="G561" s="135"/>
      <c r="H561" s="135"/>
      <c r="I561" s="516"/>
      <c r="J561" s="135"/>
      <c r="K561" s="135"/>
      <c r="L561" s="135"/>
      <c r="M561" s="137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2.75" hidden="1" customHeight="1">
      <c r="A562" s="134"/>
      <c r="B562" s="135"/>
      <c r="C562" s="135"/>
      <c r="D562" s="516"/>
      <c r="E562" s="135"/>
      <c r="F562" s="135"/>
      <c r="G562" s="135"/>
      <c r="H562" s="135"/>
      <c r="I562" s="516"/>
      <c r="J562" s="135"/>
      <c r="K562" s="135"/>
      <c r="L562" s="135"/>
      <c r="M562" s="137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2.75" hidden="1" customHeight="1">
      <c r="A563" s="134"/>
      <c r="B563" s="135"/>
      <c r="C563" s="135"/>
      <c r="D563" s="516"/>
      <c r="E563" s="135"/>
      <c r="F563" s="135"/>
      <c r="G563" s="135"/>
      <c r="H563" s="135"/>
      <c r="I563" s="516"/>
      <c r="J563" s="135"/>
      <c r="K563" s="135"/>
      <c r="L563" s="135"/>
      <c r="M563" s="137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2.75" hidden="1" customHeight="1">
      <c r="A564" s="134"/>
      <c r="B564" s="135"/>
      <c r="C564" s="135"/>
      <c r="D564" s="516"/>
      <c r="E564" s="135"/>
      <c r="F564" s="135"/>
      <c r="G564" s="135"/>
      <c r="H564" s="135"/>
      <c r="I564" s="516"/>
      <c r="J564" s="135"/>
      <c r="K564" s="135"/>
      <c r="L564" s="135"/>
      <c r="M564" s="137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2.75" hidden="1" customHeight="1">
      <c r="A565" s="134"/>
      <c r="B565" s="135"/>
      <c r="C565" s="135"/>
      <c r="D565" s="516"/>
      <c r="E565" s="135"/>
      <c r="F565" s="135"/>
      <c r="G565" s="135"/>
      <c r="H565" s="135"/>
      <c r="I565" s="516"/>
      <c r="J565" s="135"/>
      <c r="K565" s="135"/>
      <c r="L565" s="135"/>
      <c r="M565" s="137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2.75" hidden="1" customHeight="1">
      <c r="A566" s="134"/>
      <c r="B566" s="135"/>
      <c r="C566" s="135"/>
      <c r="D566" s="516"/>
      <c r="E566" s="135"/>
      <c r="F566" s="135"/>
      <c r="G566" s="135"/>
      <c r="H566" s="135"/>
      <c r="I566" s="516"/>
      <c r="J566" s="135"/>
      <c r="K566" s="135"/>
      <c r="L566" s="135"/>
      <c r="M566" s="137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2.75" hidden="1" customHeight="1">
      <c r="A567" s="134"/>
      <c r="B567" s="135"/>
      <c r="C567" s="135"/>
      <c r="D567" s="516"/>
      <c r="E567" s="135"/>
      <c r="F567" s="135"/>
      <c r="G567" s="135"/>
      <c r="H567" s="135"/>
      <c r="I567" s="516"/>
      <c r="J567" s="135"/>
      <c r="K567" s="135"/>
      <c r="L567" s="135"/>
      <c r="M567" s="137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2.75" hidden="1" customHeight="1">
      <c r="A568" s="134"/>
      <c r="B568" s="135"/>
      <c r="C568" s="135"/>
      <c r="D568" s="516"/>
      <c r="E568" s="135"/>
      <c r="F568" s="135"/>
      <c r="G568" s="135"/>
      <c r="H568" s="135"/>
      <c r="I568" s="516"/>
      <c r="J568" s="135"/>
      <c r="K568" s="135"/>
      <c r="L568" s="135"/>
      <c r="M568" s="137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2.75" hidden="1" customHeight="1">
      <c r="A569" s="134"/>
      <c r="B569" s="135"/>
      <c r="C569" s="135"/>
      <c r="D569" s="516"/>
      <c r="E569" s="135"/>
      <c r="F569" s="135"/>
      <c r="G569" s="135"/>
      <c r="H569" s="135"/>
      <c r="I569" s="516"/>
      <c r="J569" s="135"/>
      <c r="K569" s="135"/>
      <c r="L569" s="135"/>
      <c r="M569" s="137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2.75" hidden="1" customHeight="1">
      <c r="A570" s="134"/>
      <c r="B570" s="135"/>
      <c r="C570" s="135"/>
      <c r="D570" s="516"/>
      <c r="E570" s="135"/>
      <c r="F570" s="135"/>
      <c r="G570" s="135"/>
      <c r="H570" s="135"/>
      <c r="I570" s="516"/>
      <c r="J570" s="135"/>
      <c r="K570" s="135"/>
      <c r="L570" s="135"/>
      <c r="M570" s="137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2.75" hidden="1" customHeight="1">
      <c r="A571" s="134"/>
      <c r="B571" s="135"/>
      <c r="C571" s="135"/>
      <c r="D571" s="516"/>
      <c r="E571" s="135"/>
      <c r="F571" s="135"/>
      <c r="G571" s="135"/>
      <c r="H571" s="135"/>
      <c r="I571" s="516"/>
      <c r="J571" s="135"/>
      <c r="K571" s="135"/>
      <c r="L571" s="135"/>
      <c r="M571" s="137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2.75" hidden="1" customHeight="1">
      <c r="A572" s="134"/>
      <c r="B572" s="135"/>
      <c r="C572" s="135"/>
      <c r="D572" s="516"/>
      <c r="E572" s="135"/>
      <c r="F572" s="135"/>
      <c r="G572" s="135"/>
      <c r="H572" s="135"/>
      <c r="I572" s="516"/>
      <c r="J572" s="135"/>
      <c r="K572" s="135"/>
      <c r="L572" s="135"/>
      <c r="M572" s="137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2.75" hidden="1" customHeight="1">
      <c r="A573" s="134"/>
      <c r="B573" s="135"/>
      <c r="C573" s="135"/>
      <c r="D573" s="516"/>
      <c r="E573" s="135"/>
      <c r="F573" s="135"/>
      <c r="G573" s="135"/>
      <c r="H573" s="135"/>
      <c r="I573" s="516"/>
      <c r="J573" s="135"/>
      <c r="K573" s="135"/>
      <c r="L573" s="135"/>
      <c r="M573" s="137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2.75" hidden="1" customHeight="1">
      <c r="A574" s="134"/>
      <c r="B574" s="135"/>
      <c r="C574" s="135"/>
      <c r="D574" s="516"/>
      <c r="E574" s="135"/>
      <c r="F574" s="135"/>
      <c r="G574" s="135"/>
      <c r="H574" s="135"/>
      <c r="I574" s="516"/>
      <c r="J574" s="135"/>
      <c r="K574" s="135"/>
      <c r="L574" s="135"/>
      <c r="M574" s="137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2.75" hidden="1" customHeight="1">
      <c r="A575" s="134"/>
      <c r="B575" s="135"/>
      <c r="C575" s="135"/>
      <c r="D575" s="516"/>
      <c r="E575" s="135"/>
      <c r="F575" s="135"/>
      <c r="G575" s="135"/>
      <c r="H575" s="135"/>
      <c r="I575" s="516"/>
      <c r="J575" s="135"/>
      <c r="K575" s="135"/>
      <c r="L575" s="135"/>
      <c r="M575" s="137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2.75" hidden="1" customHeight="1">
      <c r="A576" s="134"/>
      <c r="B576" s="135"/>
      <c r="C576" s="135"/>
      <c r="D576" s="516"/>
      <c r="E576" s="135"/>
      <c r="F576" s="135"/>
      <c r="G576" s="135"/>
      <c r="H576" s="135"/>
      <c r="I576" s="516"/>
      <c r="J576" s="135"/>
      <c r="K576" s="135"/>
      <c r="L576" s="135"/>
      <c r="M576" s="137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2.75" hidden="1" customHeight="1">
      <c r="A577" s="134"/>
      <c r="B577" s="135"/>
      <c r="C577" s="135"/>
      <c r="D577" s="516"/>
      <c r="E577" s="135"/>
      <c r="F577" s="135"/>
      <c r="G577" s="135"/>
      <c r="H577" s="135"/>
      <c r="I577" s="516"/>
      <c r="J577" s="135"/>
      <c r="K577" s="135"/>
      <c r="L577" s="135"/>
      <c r="M577" s="137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2.75" hidden="1" customHeight="1">
      <c r="A578" s="134"/>
      <c r="B578" s="135"/>
      <c r="C578" s="135"/>
      <c r="D578" s="516"/>
      <c r="E578" s="135"/>
      <c r="F578" s="135"/>
      <c r="G578" s="135"/>
      <c r="H578" s="135"/>
      <c r="I578" s="516"/>
      <c r="J578" s="135"/>
      <c r="K578" s="135"/>
      <c r="L578" s="135"/>
      <c r="M578" s="137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2.75" hidden="1" customHeight="1">
      <c r="A579" s="134"/>
      <c r="B579" s="135"/>
      <c r="C579" s="135"/>
      <c r="D579" s="516"/>
      <c r="E579" s="135"/>
      <c r="F579" s="135"/>
      <c r="G579" s="135"/>
      <c r="H579" s="135"/>
      <c r="I579" s="516"/>
      <c r="J579" s="135"/>
      <c r="K579" s="135"/>
      <c r="L579" s="135"/>
      <c r="M579" s="137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2.75" hidden="1" customHeight="1">
      <c r="A580" s="134"/>
      <c r="B580" s="135"/>
      <c r="C580" s="135"/>
      <c r="D580" s="516"/>
      <c r="E580" s="135"/>
      <c r="F580" s="135"/>
      <c r="G580" s="135"/>
      <c r="H580" s="135"/>
      <c r="I580" s="516"/>
      <c r="J580" s="135"/>
      <c r="K580" s="135"/>
      <c r="L580" s="135"/>
      <c r="M580" s="137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2.75" hidden="1" customHeight="1">
      <c r="A581" s="134"/>
      <c r="B581" s="135"/>
      <c r="C581" s="135"/>
      <c r="D581" s="516"/>
      <c r="E581" s="135"/>
      <c r="F581" s="135"/>
      <c r="G581" s="135"/>
      <c r="H581" s="135"/>
      <c r="I581" s="516"/>
      <c r="J581" s="135"/>
      <c r="K581" s="135"/>
      <c r="L581" s="135"/>
      <c r="M581" s="137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2.75" hidden="1" customHeight="1">
      <c r="A582" s="134"/>
      <c r="B582" s="135"/>
      <c r="C582" s="135"/>
      <c r="D582" s="516"/>
      <c r="E582" s="135"/>
      <c r="F582" s="135"/>
      <c r="G582" s="135"/>
      <c r="H582" s="135"/>
      <c r="I582" s="516"/>
      <c r="J582" s="135"/>
      <c r="K582" s="135"/>
      <c r="L582" s="135"/>
      <c r="M582" s="137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2.75" hidden="1" customHeight="1">
      <c r="A583" s="134"/>
      <c r="B583" s="135"/>
      <c r="C583" s="135"/>
      <c r="D583" s="516"/>
      <c r="E583" s="135"/>
      <c r="F583" s="135"/>
      <c r="G583" s="135"/>
      <c r="H583" s="135"/>
      <c r="I583" s="516"/>
      <c r="J583" s="135"/>
      <c r="K583" s="135"/>
      <c r="L583" s="135"/>
      <c r="M583" s="137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2.75" hidden="1" customHeight="1">
      <c r="A584" s="134"/>
      <c r="B584" s="135"/>
      <c r="C584" s="135"/>
      <c r="D584" s="516"/>
      <c r="E584" s="135"/>
      <c r="F584" s="135"/>
      <c r="G584" s="135"/>
      <c r="H584" s="135"/>
      <c r="I584" s="516"/>
      <c r="J584" s="135"/>
      <c r="K584" s="135"/>
      <c r="L584" s="135"/>
      <c r="M584" s="137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2.75" hidden="1" customHeight="1">
      <c r="A585" s="134"/>
      <c r="B585" s="135"/>
      <c r="C585" s="135"/>
      <c r="D585" s="516"/>
      <c r="E585" s="135"/>
      <c r="F585" s="135"/>
      <c r="G585" s="135"/>
      <c r="H585" s="135"/>
      <c r="I585" s="516"/>
      <c r="J585" s="135"/>
      <c r="K585" s="135"/>
      <c r="L585" s="135"/>
      <c r="M585" s="137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2.75" hidden="1" customHeight="1">
      <c r="A586" s="134"/>
      <c r="B586" s="135"/>
      <c r="C586" s="135"/>
      <c r="D586" s="516"/>
      <c r="E586" s="135"/>
      <c r="F586" s="135"/>
      <c r="G586" s="135"/>
      <c r="H586" s="135"/>
      <c r="I586" s="516"/>
      <c r="J586" s="135"/>
      <c r="K586" s="135"/>
      <c r="L586" s="135"/>
      <c r="M586" s="137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2.75" hidden="1" customHeight="1">
      <c r="A587" s="134"/>
      <c r="B587" s="135"/>
      <c r="C587" s="135"/>
      <c r="D587" s="516"/>
      <c r="E587" s="135"/>
      <c r="F587" s="135"/>
      <c r="G587" s="135"/>
      <c r="H587" s="135"/>
      <c r="I587" s="516"/>
      <c r="J587" s="135"/>
      <c r="K587" s="135"/>
      <c r="L587" s="135"/>
      <c r="M587" s="137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2.75" hidden="1" customHeight="1">
      <c r="A588" s="134"/>
      <c r="B588" s="135"/>
      <c r="C588" s="135"/>
      <c r="D588" s="516"/>
      <c r="E588" s="135"/>
      <c r="F588" s="135"/>
      <c r="G588" s="135"/>
      <c r="H588" s="135"/>
      <c r="I588" s="516"/>
      <c r="J588" s="135"/>
      <c r="K588" s="135"/>
      <c r="L588" s="135"/>
      <c r="M588" s="137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2.75" hidden="1" customHeight="1">
      <c r="A589" s="134"/>
      <c r="B589" s="135"/>
      <c r="C589" s="135"/>
      <c r="D589" s="516"/>
      <c r="E589" s="135"/>
      <c r="F589" s="135"/>
      <c r="G589" s="135"/>
      <c r="H589" s="135"/>
      <c r="I589" s="516"/>
      <c r="J589" s="135"/>
      <c r="K589" s="135"/>
      <c r="L589" s="135"/>
      <c r="M589" s="137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2.75" hidden="1" customHeight="1">
      <c r="A590" s="134"/>
      <c r="B590" s="135"/>
      <c r="C590" s="135"/>
      <c r="D590" s="516"/>
      <c r="E590" s="135"/>
      <c r="F590" s="135"/>
      <c r="G590" s="135"/>
      <c r="H590" s="135"/>
      <c r="I590" s="516"/>
      <c r="J590" s="135"/>
      <c r="K590" s="135"/>
      <c r="L590" s="135"/>
      <c r="M590" s="137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2.75" hidden="1" customHeight="1">
      <c r="A591" s="134"/>
      <c r="B591" s="135"/>
      <c r="C591" s="135"/>
      <c r="D591" s="516"/>
      <c r="E591" s="135"/>
      <c r="F591" s="135"/>
      <c r="G591" s="135"/>
      <c r="H591" s="135"/>
      <c r="I591" s="516"/>
      <c r="J591" s="135"/>
      <c r="K591" s="135"/>
      <c r="L591" s="135"/>
      <c r="M591" s="137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2.75" hidden="1" customHeight="1">
      <c r="A592" s="134"/>
      <c r="B592" s="135"/>
      <c r="C592" s="135"/>
      <c r="D592" s="516"/>
      <c r="E592" s="135"/>
      <c r="F592" s="135"/>
      <c r="G592" s="135"/>
      <c r="H592" s="135"/>
      <c r="I592" s="516"/>
      <c r="J592" s="135"/>
      <c r="K592" s="135"/>
      <c r="L592" s="135"/>
      <c r="M592" s="137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2.75" hidden="1" customHeight="1">
      <c r="A593" s="134"/>
      <c r="B593" s="135"/>
      <c r="C593" s="135"/>
      <c r="D593" s="516"/>
      <c r="E593" s="135"/>
      <c r="F593" s="135"/>
      <c r="G593" s="135"/>
      <c r="H593" s="135"/>
      <c r="I593" s="516"/>
      <c r="J593" s="135"/>
      <c r="K593" s="135"/>
      <c r="L593" s="135"/>
      <c r="M593" s="137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2.75" hidden="1" customHeight="1">
      <c r="A594" s="134"/>
      <c r="B594" s="135"/>
      <c r="C594" s="135"/>
      <c r="D594" s="516"/>
      <c r="E594" s="135"/>
      <c r="F594" s="135"/>
      <c r="G594" s="135"/>
      <c r="H594" s="135"/>
      <c r="I594" s="516"/>
      <c r="J594" s="135"/>
      <c r="K594" s="135"/>
      <c r="L594" s="135"/>
      <c r="M594" s="137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2.75" hidden="1" customHeight="1">
      <c r="A595" s="134"/>
      <c r="B595" s="135"/>
      <c r="C595" s="135"/>
      <c r="D595" s="516"/>
      <c r="E595" s="135"/>
      <c r="F595" s="135"/>
      <c r="G595" s="135"/>
      <c r="H595" s="135"/>
      <c r="I595" s="516"/>
      <c r="J595" s="135"/>
      <c r="K595" s="135"/>
      <c r="L595" s="135"/>
      <c r="M595" s="137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2.75" hidden="1" customHeight="1">
      <c r="A596" s="134"/>
      <c r="B596" s="135"/>
      <c r="C596" s="135"/>
      <c r="D596" s="516"/>
      <c r="E596" s="135"/>
      <c r="F596" s="135"/>
      <c r="G596" s="135"/>
      <c r="H596" s="135"/>
      <c r="I596" s="516"/>
      <c r="J596" s="135"/>
      <c r="K596" s="135"/>
      <c r="L596" s="135"/>
      <c r="M596" s="137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2.75" hidden="1" customHeight="1">
      <c r="A597" s="134"/>
      <c r="B597" s="135"/>
      <c r="C597" s="135"/>
      <c r="D597" s="516"/>
      <c r="E597" s="135"/>
      <c r="F597" s="135"/>
      <c r="G597" s="135"/>
      <c r="H597" s="135"/>
      <c r="I597" s="516"/>
      <c r="J597" s="135"/>
      <c r="K597" s="135"/>
      <c r="L597" s="135"/>
      <c r="M597" s="137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2.75" hidden="1" customHeight="1">
      <c r="A598" s="134"/>
      <c r="B598" s="135"/>
      <c r="C598" s="135"/>
      <c r="D598" s="516"/>
      <c r="E598" s="135"/>
      <c r="F598" s="135"/>
      <c r="G598" s="135"/>
      <c r="H598" s="135"/>
      <c r="I598" s="516"/>
      <c r="J598" s="135"/>
      <c r="K598" s="135"/>
      <c r="L598" s="135"/>
      <c r="M598" s="137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2.75" hidden="1" customHeight="1">
      <c r="A599" s="134"/>
      <c r="B599" s="135"/>
      <c r="C599" s="135"/>
      <c r="D599" s="516"/>
      <c r="E599" s="135"/>
      <c r="F599" s="135"/>
      <c r="G599" s="135"/>
      <c r="H599" s="135"/>
      <c r="I599" s="516"/>
      <c r="J599" s="135"/>
      <c r="K599" s="135"/>
      <c r="L599" s="135"/>
      <c r="M599" s="137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2.75" hidden="1" customHeight="1">
      <c r="A600" s="134"/>
      <c r="B600" s="135"/>
      <c r="C600" s="135"/>
      <c r="D600" s="516"/>
      <c r="E600" s="135"/>
      <c r="F600" s="135"/>
      <c r="G600" s="135"/>
      <c r="H600" s="135"/>
      <c r="I600" s="516"/>
      <c r="J600" s="135"/>
      <c r="K600" s="135"/>
      <c r="L600" s="135"/>
      <c r="M600" s="137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2.75" hidden="1" customHeight="1">
      <c r="A601" s="134"/>
      <c r="B601" s="135"/>
      <c r="C601" s="135"/>
      <c r="D601" s="516"/>
      <c r="E601" s="135"/>
      <c r="F601" s="135"/>
      <c r="G601" s="135"/>
      <c r="H601" s="135"/>
      <c r="I601" s="516"/>
      <c r="J601" s="135"/>
      <c r="K601" s="135"/>
      <c r="L601" s="135"/>
      <c r="M601" s="137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2.75" hidden="1" customHeight="1">
      <c r="A602" s="134"/>
      <c r="B602" s="135"/>
      <c r="C602" s="135"/>
      <c r="D602" s="516"/>
      <c r="E602" s="135"/>
      <c r="F602" s="135"/>
      <c r="G602" s="135"/>
      <c r="H602" s="135"/>
      <c r="I602" s="516"/>
      <c r="J602" s="135"/>
      <c r="K602" s="135"/>
      <c r="L602" s="135"/>
      <c r="M602" s="137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2.75" hidden="1" customHeight="1">
      <c r="A603" s="134"/>
      <c r="B603" s="135"/>
      <c r="C603" s="135"/>
      <c r="D603" s="516"/>
      <c r="E603" s="135"/>
      <c r="F603" s="135"/>
      <c r="G603" s="135"/>
      <c r="H603" s="135"/>
      <c r="I603" s="516"/>
      <c r="J603" s="135"/>
      <c r="K603" s="135"/>
      <c r="L603" s="135"/>
      <c r="M603" s="137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2.75" hidden="1" customHeight="1">
      <c r="A604" s="134"/>
      <c r="B604" s="135"/>
      <c r="C604" s="135"/>
      <c r="D604" s="516"/>
      <c r="E604" s="135"/>
      <c r="F604" s="135"/>
      <c r="G604" s="135"/>
      <c r="H604" s="135"/>
      <c r="I604" s="516"/>
      <c r="J604" s="135"/>
      <c r="K604" s="135"/>
      <c r="L604" s="135"/>
      <c r="M604" s="137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2.75" hidden="1" customHeight="1">
      <c r="A605" s="134"/>
      <c r="B605" s="135"/>
      <c r="C605" s="135"/>
      <c r="D605" s="516"/>
      <c r="E605" s="135"/>
      <c r="F605" s="135"/>
      <c r="G605" s="135"/>
      <c r="H605" s="135"/>
      <c r="I605" s="516"/>
      <c r="J605" s="135"/>
      <c r="K605" s="135"/>
      <c r="L605" s="135"/>
      <c r="M605" s="137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2.75" hidden="1" customHeight="1">
      <c r="A606" s="134"/>
      <c r="B606" s="135"/>
      <c r="C606" s="135"/>
      <c r="D606" s="516"/>
      <c r="E606" s="135"/>
      <c r="F606" s="135"/>
      <c r="G606" s="135"/>
      <c r="H606" s="135"/>
      <c r="I606" s="516"/>
      <c r="J606" s="135"/>
      <c r="K606" s="135"/>
      <c r="L606" s="135"/>
      <c r="M606" s="137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2.75" hidden="1" customHeight="1">
      <c r="A607" s="134"/>
      <c r="B607" s="135"/>
      <c r="C607" s="135"/>
      <c r="D607" s="516"/>
      <c r="E607" s="135"/>
      <c r="F607" s="135"/>
      <c r="G607" s="135"/>
      <c r="H607" s="135"/>
      <c r="I607" s="516"/>
      <c r="J607" s="135"/>
      <c r="K607" s="135"/>
      <c r="L607" s="135"/>
      <c r="M607" s="137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2.75" hidden="1" customHeight="1">
      <c r="A608" s="134"/>
      <c r="B608" s="135"/>
      <c r="C608" s="135"/>
      <c r="D608" s="516"/>
      <c r="E608" s="135"/>
      <c r="F608" s="135"/>
      <c r="G608" s="135"/>
      <c r="H608" s="135"/>
      <c r="I608" s="516"/>
      <c r="J608" s="135"/>
      <c r="K608" s="135"/>
      <c r="L608" s="135"/>
      <c r="M608" s="137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2.75" hidden="1" customHeight="1">
      <c r="A609" s="134"/>
      <c r="B609" s="135"/>
      <c r="C609" s="135"/>
      <c r="D609" s="516"/>
      <c r="E609" s="135"/>
      <c r="F609" s="135"/>
      <c r="G609" s="135"/>
      <c r="H609" s="135"/>
      <c r="I609" s="516"/>
      <c r="J609" s="135"/>
      <c r="K609" s="135"/>
      <c r="L609" s="135"/>
      <c r="M609" s="137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2.75" hidden="1" customHeight="1">
      <c r="A610" s="134"/>
      <c r="B610" s="135"/>
      <c r="C610" s="135"/>
      <c r="D610" s="516"/>
      <c r="E610" s="135"/>
      <c r="F610" s="135"/>
      <c r="G610" s="135"/>
      <c r="H610" s="135"/>
      <c r="I610" s="516"/>
      <c r="J610" s="135"/>
      <c r="K610" s="135"/>
      <c r="L610" s="135"/>
      <c r="M610" s="137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2.75" hidden="1" customHeight="1">
      <c r="A611" s="134"/>
      <c r="B611" s="135"/>
      <c r="C611" s="135"/>
      <c r="D611" s="516"/>
      <c r="E611" s="135"/>
      <c r="F611" s="135"/>
      <c r="G611" s="135"/>
      <c r="H611" s="135"/>
      <c r="I611" s="516"/>
      <c r="J611" s="135"/>
      <c r="K611" s="135"/>
      <c r="L611" s="135"/>
      <c r="M611" s="137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2.75" hidden="1" customHeight="1">
      <c r="A612" s="134"/>
      <c r="B612" s="135"/>
      <c r="C612" s="135"/>
      <c r="D612" s="516"/>
      <c r="E612" s="135"/>
      <c r="F612" s="135"/>
      <c r="G612" s="135"/>
      <c r="H612" s="135"/>
      <c r="I612" s="516"/>
      <c r="J612" s="135"/>
      <c r="K612" s="135"/>
      <c r="L612" s="135"/>
      <c r="M612" s="137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2.75" hidden="1" customHeight="1">
      <c r="A613" s="134"/>
      <c r="B613" s="135"/>
      <c r="C613" s="135"/>
      <c r="D613" s="516"/>
      <c r="E613" s="135"/>
      <c r="F613" s="135"/>
      <c r="G613" s="135"/>
      <c r="H613" s="135"/>
      <c r="I613" s="516"/>
      <c r="J613" s="135"/>
      <c r="K613" s="135"/>
      <c r="L613" s="135"/>
      <c r="M613" s="137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2.75" hidden="1" customHeight="1">
      <c r="A614" s="134"/>
      <c r="B614" s="135"/>
      <c r="C614" s="135"/>
      <c r="D614" s="516"/>
      <c r="E614" s="135"/>
      <c r="F614" s="135"/>
      <c r="G614" s="135"/>
      <c r="H614" s="135"/>
      <c r="I614" s="516"/>
      <c r="J614" s="135"/>
      <c r="K614" s="135"/>
      <c r="L614" s="135"/>
      <c r="M614" s="137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2.75" hidden="1" customHeight="1">
      <c r="A615" s="134"/>
      <c r="B615" s="135"/>
      <c r="C615" s="135"/>
      <c r="D615" s="516"/>
      <c r="E615" s="135"/>
      <c r="F615" s="135"/>
      <c r="G615" s="135"/>
      <c r="H615" s="135"/>
      <c r="I615" s="516"/>
      <c r="J615" s="135"/>
      <c r="K615" s="135"/>
      <c r="L615" s="135"/>
      <c r="M615" s="137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2.75" hidden="1" customHeight="1">
      <c r="A616" s="134"/>
      <c r="B616" s="135"/>
      <c r="C616" s="135"/>
      <c r="D616" s="516"/>
      <c r="E616" s="135"/>
      <c r="F616" s="135"/>
      <c r="G616" s="135"/>
      <c r="H616" s="135"/>
      <c r="I616" s="516"/>
      <c r="J616" s="135"/>
      <c r="K616" s="135"/>
      <c r="L616" s="135"/>
      <c r="M616" s="137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2.75" hidden="1" customHeight="1">
      <c r="A617" s="134"/>
      <c r="B617" s="135"/>
      <c r="C617" s="135"/>
      <c r="D617" s="516"/>
      <c r="E617" s="135"/>
      <c r="F617" s="135"/>
      <c r="G617" s="135"/>
      <c r="H617" s="135"/>
      <c r="I617" s="516"/>
      <c r="J617" s="135"/>
      <c r="K617" s="135"/>
      <c r="L617" s="135"/>
      <c r="M617" s="137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2.75" hidden="1" customHeight="1">
      <c r="A618" s="134"/>
      <c r="B618" s="135"/>
      <c r="C618" s="135"/>
      <c r="D618" s="516"/>
      <c r="E618" s="135"/>
      <c r="F618" s="135"/>
      <c r="G618" s="135"/>
      <c r="H618" s="135"/>
      <c r="I618" s="516"/>
      <c r="J618" s="135"/>
      <c r="K618" s="135"/>
      <c r="L618" s="135"/>
      <c r="M618" s="137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2.75" hidden="1" customHeight="1">
      <c r="A619" s="134"/>
      <c r="B619" s="135"/>
      <c r="C619" s="135"/>
      <c r="D619" s="516"/>
      <c r="E619" s="135"/>
      <c r="F619" s="135"/>
      <c r="G619" s="135"/>
      <c r="H619" s="135"/>
      <c r="I619" s="516"/>
      <c r="J619" s="135"/>
      <c r="K619" s="135"/>
      <c r="L619" s="135"/>
      <c r="M619" s="137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2.75" hidden="1" customHeight="1">
      <c r="A620" s="134"/>
      <c r="B620" s="135"/>
      <c r="C620" s="135"/>
      <c r="D620" s="516"/>
      <c r="E620" s="135"/>
      <c r="F620" s="135"/>
      <c r="G620" s="135"/>
      <c r="H620" s="135"/>
      <c r="I620" s="516"/>
      <c r="J620" s="135"/>
      <c r="K620" s="135"/>
      <c r="L620" s="135"/>
      <c r="M620" s="137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2.75" hidden="1" customHeight="1">
      <c r="A621" s="134"/>
      <c r="B621" s="135"/>
      <c r="C621" s="135"/>
      <c r="D621" s="516"/>
      <c r="E621" s="135"/>
      <c r="F621" s="135"/>
      <c r="G621" s="135"/>
      <c r="H621" s="135"/>
      <c r="I621" s="516"/>
      <c r="J621" s="135"/>
      <c r="K621" s="135"/>
      <c r="L621" s="135"/>
      <c r="M621" s="137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2.75" hidden="1" customHeight="1">
      <c r="A622" s="134"/>
      <c r="B622" s="135"/>
      <c r="C622" s="135"/>
      <c r="D622" s="516"/>
      <c r="E622" s="135"/>
      <c r="F622" s="135"/>
      <c r="G622" s="135"/>
      <c r="H622" s="135"/>
      <c r="I622" s="516"/>
      <c r="J622" s="135"/>
      <c r="K622" s="135"/>
      <c r="L622" s="135"/>
      <c r="M622" s="137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2.75" hidden="1" customHeight="1">
      <c r="A623" s="134"/>
      <c r="B623" s="135"/>
      <c r="C623" s="135"/>
      <c r="D623" s="516"/>
      <c r="E623" s="135"/>
      <c r="F623" s="135"/>
      <c r="G623" s="135"/>
      <c r="H623" s="135"/>
      <c r="I623" s="516"/>
      <c r="J623" s="135"/>
      <c r="K623" s="135"/>
      <c r="L623" s="135"/>
      <c r="M623" s="137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2.75" hidden="1" customHeight="1">
      <c r="A624" s="134"/>
      <c r="B624" s="135"/>
      <c r="C624" s="135"/>
      <c r="D624" s="516"/>
      <c r="E624" s="135"/>
      <c r="F624" s="135"/>
      <c r="G624" s="135"/>
      <c r="H624" s="135"/>
      <c r="I624" s="516"/>
      <c r="J624" s="135"/>
      <c r="K624" s="135"/>
      <c r="L624" s="135"/>
      <c r="M624" s="137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2.75" hidden="1" customHeight="1">
      <c r="A625" s="134"/>
      <c r="B625" s="135"/>
      <c r="C625" s="135"/>
      <c r="D625" s="516"/>
      <c r="E625" s="135"/>
      <c r="F625" s="135"/>
      <c r="G625" s="135"/>
      <c r="H625" s="135"/>
      <c r="I625" s="516"/>
      <c r="J625" s="135"/>
      <c r="K625" s="135"/>
      <c r="L625" s="135"/>
      <c r="M625" s="137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2.75" hidden="1" customHeight="1">
      <c r="A626" s="134"/>
      <c r="B626" s="135"/>
      <c r="C626" s="135"/>
      <c r="D626" s="516"/>
      <c r="E626" s="135"/>
      <c r="F626" s="135"/>
      <c r="G626" s="135"/>
      <c r="H626" s="135"/>
      <c r="I626" s="516"/>
      <c r="J626" s="135"/>
      <c r="K626" s="135"/>
      <c r="L626" s="135"/>
      <c r="M626" s="137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2.75" hidden="1" customHeight="1">
      <c r="A627" s="134"/>
      <c r="B627" s="135"/>
      <c r="C627" s="135"/>
      <c r="D627" s="516"/>
      <c r="E627" s="135"/>
      <c r="F627" s="135"/>
      <c r="G627" s="135"/>
      <c r="H627" s="135"/>
      <c r="I627" s="516"/>
      <c r="J627" s="135"/>
      <c r="K627" s="135"/>
      <c r="L627" s="135"/>
      <c r="M627" s="137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2.75" hidden="1" customHeight="1">
      <c r="A628" s="134"/>
      <c r="B628" s="135"/>
      <c r="C628" s="135"/>
      <c r="D628" s="516"/>
      <c r="E628" s="135"/>
      <c r="F628" s="135"/>
      <c r="G628" s="135"/>
      <c r="H628" s="135"/>
      <c r="I628" s="516"/>
      <c r="J628" s="135"/>
      <c r="K628" s="135"/>
      <c r="L628" s="135"/>
      <c r="M628" s="137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2.75" hidden="1" customHeight="1">
      <c r="A629" s="134"/>
      <c r="B629" s="135"/>
      <c r="C629" s="135"/>
      <c r="D629" s="516"/>
      <c r="E629" s="135"/>
      <c r="F629" s="135"/>
      <c r="G629" s="135"/>
      <c r="H629" s="135"/>
      <c r="I629" s="516"/>
      <c r="J629" s="135"/>
      <c r="K629" s="135"/>
      <c r="L629" s="135"/>
      <c r="M629" s="137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2.75" hidden="1" customHeight="1">
      <c r="A630" s="134"/>
      <c r="B630" s="135"/>
      <c r="C630" s="135"/>
      <c r="D630" s="516"/>
      <c r="E630" s="135"/>
      <c r="F630" s="135"/>
      <c r="G630" s="135"/>
      <c r="H630" s="135"/>
      <c r="I630" s="516"/>
      <c r="J630" s="135"/>
      <c r="K630" s="135"/>
      <c r="L630" s="135"/>
      <c r="M630" s="137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2.75" hidden="1" customHeight="1">
      <c r="A631" s="134"/>
      <c r="B631" s="135"/>
      <c r="C631" s="135"/>
      <c r="D631" s="516"/>
      <c r="E631" s="135"/>
      <c r="F631" s="135"/>
      <c r="G631" s="135"/>
      <c r="H631" s="135"/>
      <c r="I631" s="516"/>
      <c r="J631" s="135"/>
      <c r="K631" s="135"/>
      <c r="L631" s="135"/>
      <c r="M631" s="137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2.75" hidden="1" customHeight="1">
      <c r="A632" s="134"/>
      <c r="B632" s="135"/>
      <c r="C632" s="135"/>
      <c r="D632" s="516"/>
      <c r="E632" s="135"/>
      <c r="F632" s="135"/>
      <c r="G632" s="135"/>
      <c r="H632" s="135"/>
      <c r="I632" s="516"/>
      <c r="J632" s="135"/>
      <c r="K632" s="135"/>
      <c r="L632" s="135"/>
      <c r="M632" s="137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2.75" hidden="1" customHeight="1">
      <c r="A633" s="134"/>
      <c r="B633" s="135"/>
      <c r="C633" s="135"/>
      <c r="D633" s="516"/>
      <c r="E633" s="135"/>
      <c r="F633" s="135"/>
      <c r="G633" s="135"/>
      <c r="H633" s="135"/>
      <c r="I633" s="516"/>
      <c r="J633" s="135"/>
      <c r="K633" s="135"/>
      <c r="L633" s="135"/>
      <c r="M633" s="137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2.75" hidden="1" customHeight="1">
      <c r="A634" s="134"/>
      <c r="B634" s="135"/>
      <c r="C634" s="135"/>
      <c r="D634" s="516"/>
      <c r="E634" s="135"/>
      <c r="F634" s="135"/>
      <c r="G634" s="135"/>
      <c r="H634" s="135"/>
      <c r="I634" s="516"/>
      <c r="J634" s="135"/>
      <c r="K634" s="135"/>
      <c r="L634" s="135"/>
      <c r="M634" s="137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2.75" hidden="1" customHeight="1">
      <c r="A635" s="134"/>
      <c r="B635" s="135"/>
      <c r="C635" s="135"/>
      <c r="D635" s="516"/>
      <c r="E635" s="135"/>
      <c r="F635" s="135"/>
      <c r="G635" s="135"/>
      <c r="H635" s="135"/>
      <c r="I635" s="516"/>
      <c r="J635" s="135"/>
      <c r="K635" s="135"/>
      <c r="L635" s="135"/>
      <c r="M635" s="137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2.75" hidden="1" customHeight="1">
      <c r="A636" s="134"/>
      <c r="B636" s="135"/>
      <c r="C636" s="135"/>
      <c r="D636" s="516"/>
      <c r="E636" s="135"/>
      <c r="F636" s="135"/>
      <c r="G636" s="135"/>
      <c r="H636" s="135"/>
      <c r="I636" s="516"/>
      <c r="J636" s="135"/>
      <c r="K636" s="135"/>
      <c r="L636" s="135"/>
      <c r="M636" s="137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2.75" hidden="1" customHeight="1">
      <c r="A637" s="134"/>
      <c r="B637" s="135"/>
      <c r="C637" s="135"/>
      <c r="D637" s="516"/>
      <c r="E637" s="135"/>
      <c r="F637" s="135"/>
      <c r="G637" s="135"/>
      <c r="H637" s="135"/>
      <c r="I637" s="516"/>
      <c r="J637" s="135"/>
      <c r="K637" s="135"/>
      <c r="L637" s="135"/>
      <c r="M637" s="137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2.75" hidden="1" customHeight="1">
      <c r="A638" s="134"/>
      <c r="B638" s="135"/>
      <c r="C638" s="135"/>
      <c r="D638" s="516"/>
      <c r="E638" s="135"/>
      <c r="F638" s="135"/>
      <c r="G638" s="135"/>
      <c r="H638" s="135"/>
      <c r="I638" s="516"/>
      <c r="J638" s="135"/>
      <c r="K638" s="135"/>
      <c r="L638" s="135"/>
      <c r="M638" s="137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2.75" hidden="1" customHeight="1">
      <c r="A639" s="134"/>
      <c r="B639" s="135"/>
      <c r="C639" s="135"/>
      <c r="D639" s="516"/>
      <c r="E639" s="135"/>
      <c r="F639" s="135"/>
      <c r="G639" s="135"/>
      <c r="H639" s="135"/>
      <c r="I639" s="516"/>
      <c r="J639" s="135"/>
      <c r="K639" s="135"/>
      <c r="L639" s="135"/>
      <c r="M639" s="137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2.75" hidden="1" customHeight="1">
      <c r="A640" s="134"/>
      <c r="B640" s="135"/>
      <c r="C640" s="135"/>
      <c r="D640" s="516"/>
      <c r="E640" s="135"/>
      <c r="F640" s="135"/>
      <c r="G640" s="135"/>
      <c r="H640" s="135"/>
      <c r="I640" s="516"/>
      <c r="J640" s="135"/>
      <c r="K640" s="135"/>
      <c r="L640" s="135"/>
      <c r="M640" s="137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2.75" hidden="1" customHeight="1">
      <c r="A641" s="134"/>
      <c r="B641" s="135"/>
      <c r="C641" s="135"/>
      <c r="D641" s="516"/>
      <c r="E641" s="135"/>
      <c r="F641" s="135"/>
      <c r="G641" s="135"/>
      <c r="H641" s="135"/>
      <c r="I641" s="516"/>
      <c r="J641" s="135"/>
      <c r="K641" s="135"/>
      <c r="L641" s="135"/>
      <c r="M641" s="137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2.75" hidden="1" customHeight="1">
      <c r="A642" s="134"/>
      <c r="B642" s="135"/>
      <c r="C642" s="135"/>
      <c r="D642" s="516"/>
      <c r="E642" s="135"/>
      <c r="F642" s="135"/>
      <c r="G642" s="135"/>
      <c r="H642" s="135"/>
      <c r="I642" s="516"/>
      <c r="J642" s="135"/>
      <c r="K642" s="135"/>
      <c r="L642" s="135"/>
      <c r="M642" s="137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2.75" hidden="1" customHeight="1">
      <c r="A643" s="134"/>
      <c r="B643" s="135"/>
      <c r="C643" s="135"/>
      <c r="D643" s="516"/>
      <c r="E643" s="135"/>
      <c r="F643" s="135"/>
      <c r="G643" s="135"/>
      <c r="H643" s="135"/>
      <c r="I643" s="516"/>
      <c r="J643" s="135"/>
      <c r="K643" s="135"/>
      <c r="L643" s="135"/>
      <c r="M643" s="137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2.75" hidden="1" customHeight="1">
      <c r="A644" s="134"/>
      <c r="B644" s="135"/>
      <c r="C644" s="135"/>
      <c r="D644" s="516"/>
      <c r="E644" s="135"/>
      <c r="F644" s="135"/>
      <c r="G644" s="135"/>
      <c r="H644" s="135"/>
      <c r="I644" s="516"/>
      <c r="J644" s="135"/>
      <c r="K644" s="135"/>
      <c r="L644" s="135"/>
      <c r="M644" s="137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2.75" hidden="1" customHeight="1">
      <c r="A645" s="134"/>
      <c r="B645" s="135"/>
      <c r="C645" s="135"/>
      <c r="D645" s="516"/>
      <c r="E645" s="135"/>
      <c r="F645" s="135"/>
      <c r="G645" s="135"/>
      <c r="H645" s="135"/>
      <c r="I645" s="516"/>
      <c r="J645" s="135"/>
      <c r="K645" s="135"/>
      <c r="L645" s="135"/>
      <c r="M645" s="137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2.75" hidden="1" customHeight="1">
      <c r="A646" s="134"/>
      <c r="B646" s="135"/>
      <c r="C646" s="135"/>
      <c r="D646" s="516"/>
      <c r="E646" s="135"/>
      <c r="F646" s="135"/>
      <c r="G646" s="135"/>
      <c r="H646" s="135"/>
      <c r="I646" s="516"/>
      <c r="J646" s="135"/>
      <c r="K646" s="135"/>
      <c r="L646" s="135"/>
      <c r="M646" s="137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2.75" hidden="1" customHeight="1">
      <c r="A647" s="134"/>
      <c r="B647" s="135"/>
      <c r="C647" s="135"/>
      <c r="D647" s="516"/>
      <c r="E647" s="135"/>
      <c r="F647" s="135"/>
      <c r="G647" s="135"/>
      <c r="H647" s="135"/>
      <c r="I647" s="516"/>
      <c r="J647" s="135"/>
      <c r="K647" s="135"/>
      <c r="L647" s="135"/>
      <c r="M647" s="137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2.75" hidden="1" customHeight="1">
      <c r="A648" s="134"/>
      <c r="B648" s="135"/>
      <c r="C648" s="135"/>
      <c r="D648" s="516"/>
      <c r="E648" s="135"/>
      <c r="F648" s="135"/>
      <c r="G648" s="135"/>
      <c r="H648" s="135"/>
      <c r="I648" s="516"/>
      <c r="J648" s="135"/>
      <c r="K648" s="135"/>
      <c r="L648" s="135"/>
      <c r="M648" s="137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2.75" hidden="1" customHeight="1">
      <c r="A649" s="134"/>
      <c r="B649" s="135"/>
      <c r="C649" s="135"/>
      <c r="D649" s="516"/>
      <c r="E649" s="135"/>
      <c r="F649" s="135"/>
      <c r="G649" s="135"/>
      <c r="H649" s="135"/>
      <c r="I649" s="516"/>
      <c r="J649" s="135"/>
      <c r="K649" s="135"/>
      <c r="L649" s="135"/>
      <c r="M649" s="137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2.75" hidden="1" customHeight="1">
      <c r="A650" s="134"/>
      <c r="B650" s="135"/>
      <c r="C650" s="135"/>
      <c r="D650" s="516"/>
      <c r="E650" s="135"/>
      <c r="F650" s="135"/>
      <c r="G650" s="135"/>
      <c r="H650" s="135"/>
      <c r="I650" s="516"/>
      <c r="J650" s="135"/>
      <c r="K650" s="135"/>
      <c r="L650" s="135"/>
      <c r="M650" s="137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2.75" hidden="1" customHeight="1">
      <c r="A651" s="134"/>
      <c r="B651" s="135"/>
      <c r="C651" s="135"/>
      <c r="D651" s="516"/>
      <c r="E651" s="135"/>
      <c r="F651" s="135"/>
      <c r="G651" s="135"/>
      <c r="H651" s="135"/>
      <c r="I651" s="516"/>
      <c r="J651" s="135"/>
      <c r="K651" s="135"/>
      <c r="L651" s="135"/>
      <c r="M651" s="137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2.75" hidden="1" customHeight="1">
      <c r="A652" s="134"/>
      <c r="B652" s="135"/>
      <c r="C652" s="135"/>
      <c r="D652" s="516"/>
      <c r="E652" s="135"/>
      <c r="F652" s="135"/>
      <c r="G652" s="135"/>
      <c r="H652" s="135"/>
      <c r="I652" s="516"/>
      <c r="J652" s="135"/>
      <c r="K652" s="135"/>
      <c r="L652" s="135"/>
      <c r="M652" s="137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2.75" hidden="1" customHeight="1">
      <c r="A653" s="134"/>
      <c r="B653" s="135"/>
      <c r="C653" s="135"/>
      <c r="D653" s="516"/>
      <c r="E653" s="135"/>
      <c r="F653" s="135"/>
      <c r="G653" s="135"/>
      <c r="H653" s="135"/>
      <c r="I653" s="516"/>
      <c r="J653" s="135"/>
      <c r="K653" s="135"/>
      <c r="L653" s="135"/>
      <c r="M653" s="137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2.75" hidden="1" customHeight="1">
      <c r="A654" s="134"/>
      <c r="B654" s="135"/>
      <c r="C654" s="135"/>
      <c r="D654" s="516"/>
      <c r="E654" s="135"/>
      <c r="F654" s="135"/>
      <c r="G654" s="135"/>
      <c r="H654" s="135"/>
      <c r="I654" s="516"/>
      <c r="J654" s="135"/>
      <c r="K654" s="135"/>
      <c r="L654" s="135"/>
      <c r="M654" s="137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2.75" hidden="1" customHeight="1">
      <c r="A655" s="134"/>
      <c r="B655" s="135"/>
      <c r="C655" s="135"/>
      <c r="D655" s="516"/>
      <c r="E655" s="135"/>
      <c r="F655" s="135"/>
      <c r="G655" s="135"/>
      <c r="H655" s="135"/>
      <c r="I655" s="516"/>
      <c r="J655" s="135"/>
      <c r="K655" s="135"/>
      <c r="L655" s="135"/>
      <c r="M655" s="137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2.75" hidden="1" customHeight="1">
      <c r="A656" s="134"/>
      <c r="B656" s="135"/>
      <c r="C656" s="135"/>
      <c r="D656" s="516"/>
      <c r="E656" s="135"/>
      <c r="F656" s="135"/>
      <c r="G656" s="135"/>
      <c r="H656" s="135"/>
      <c r="I656" s="516"/>
      <c r="J656" s="135"/>
      <c r="K656" s="135"/>
      <c r="L656" s="135"/>
      <c r="M656" s="137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2.75" hidden="1" customHeight="1">
      <c r="A657" s="134"/>
      <c r="B657" s="135"/>
      <c r="C657" s="135"/>
      <c r="D657" s="516"/>
      <c r="E657" s="135"/>
      <c r="F657" s="135"/>
      <c r="G657" s="135"/>
      <c r="H657" s="135"/>
      <c r="I657" s="516"/>
      <c r="J657" s="135"/>
      <c r="K657" s="135"/>
      <c r="L657" s="135"/>
      <c r="M657" s="137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2.75" hidden="1" customHeight="1">
      <c r="A658" s="134"/>
      <c r="B658" s="135"/>
      <c r="C658" s="135"/>
      <c r="D658" s="516"/>
      <c r="E658" s="135"/>
      <c r="F658" s="135"/>
      <c r="G658" s="135"/>
      <c r="H658" s="135"/>
      <c r="I658" s="516"/>
      <c r="J658" s="135"/>
      <c r="K658" s="135"/>
      <c r="L658" s="135"/>
      <c r="M658" s="137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2.75" hidden="1" customHeight="1">
      <c r="A659" s="134"/>
      <c r="B659" s="135"/>
      <c r="C659" s="135"/>
      <c r="D659" s="516"/>
      <c r="E659" s="135"/>
      <c r="F659" s="135"/>
      <c r="G659" s="135"/>
      <c r="H659" s="135"/>
      <c r="I659" s="516"/>
      <c r="J659" s="135"/>
      <c r="K659" s="135"/>
      <c r="L659" s="135"/>
      <c r="M659" s="137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2.75" hidden="1" customHeight="1">
      <c r="A660" s="134"/>
      <c r="B660" s="135"/>
      <c r="C660" s="135"/>
      <c r="D660" s="516"/>
      <c r="E660" s="135"/>
      <c r="F660" s="135"/>
      <c r="G660" s="135"/>
      <c r="H660" s="135"/>
      <c r="I660" s="516"/>
      <c r="J660" s="135"/>
      <c r="K660" s="135"/>
      <c r="L660" s="135"/>
      <c r="M660" s="137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2.75" hidden="1" customHeight="1">
      <c r="A661" s="134"/>
      <c r="B661" s="135"/>
      <c r="C661" s="135"/>
      <c r="D661" s="516"/>
      <c r="E661" s="135"/>
      <c r="F661" s="135"/>
      <c r="G661" s="135"/>
      <c r="H661" s="135"/>
      <c r="I661" s="516"/>
      <c r="J661" s="135"/>
      <c r="K661" s="135"/>
      <c r="L661" s="135"/>
      <c r="M661" s="137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2.75" hidden="1" customHeight="1">
      <c r="A662" s="134"/>
      <c r="B662" s="135"/>
      <c r="C662" s="135"/>
      <c r="D662" s="516"/>
      <c r="E662" s="135"/>
      <c r="F662" s="135"/>
      <c r="G662" s="135"/>
      <c r="H662" s="135"/>
      <c r="I662" s="516"/>
      <c r="J662" s="135"/>
      <c r="K662" s="135"/>
      <c r="L662" s="135"/>
      <c r="M662" s="137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2.75" hidden="1" customHeight="1">
      <c r="A663" s="134"/>
      <c r="B663" s="135"/>
      <c r="C663" s="135"/>
      <c r="D663" s="516"/>
      <c r="E663" s="135"/>
      <c r="F663" s="135"/>
      <c r="G663" s="135"/>
      <c r="H663" s="135"/>
      <c r="I663" s="516"/>
      <c r="J663" s="135"/>
      <c r="K663" s="135"/>
      <c r="L663" s="135"/>
      <c r="M663" s="137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2.75" hidden="1" customHeight="1">
      <c r="A664" s="134"/>
      <c r="B664" s="135"/>
      <c r="C664" s="135"/>
      <c r="D664" s="516"/>
      <c r="E664" s="135"/>
      <c r="F664" s="135"/>
      <c r="G664" s="135"/>
      <c r="H664" s="135"/>
      <c r="I664" s="516"/>
      <c r="J664" s="135"/>
      <c r="K664" s="135"/>
      <c r="L664" s="135"/>
      <c r="M664" s="137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2.75" hidden="1" customHeight="1">
      <c r="A665" s="134"/>
      <c r="B665" s="135"/>
      <c r="C665" s="135"/>
      <c r="D665" s="516"/>
      <c r="E665" s="135"/>
      <c r="F665" s="135"/>
      <c r="G665" s="135"/>
      <c r="H665" s="135"/>
      <c r="I665" s="516"/>
      <c r="J665" s="135"/>
      <c r="K665" s="135"/>
      <c r="L665" s="135"/>
      <c r="M665" s="137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2.75" hidden="1" customHeight="1">
      <c r="A666" s="134"/>
      <c r="B666" s="135"/>
      <c r="C666" s="135"/>
      <c r="D666" s="516"/>
      <c r="E666" s="135"/>
      <c r="F666" s="135"/>
      <c r="G666" s="135"/>
      <c r="H666" s="135"/>
      <c r="I666" s="516"/>
      <c r="J666" s="135"/>
      <c r="K666" s="135"/>
      <c r="L666" s="135"/>
      <c r="M666" s="137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2.75" hidden="1" customHeight="1">
      <c r="A667" s="134"/>
      <c r="B667" s="135"/>
      <c r="C667" s="135"/>
      <c r="D667" s="516"/>
      <c r="E667" s="135"/>
      <c r="F667" s="135"/>
      <c r="G667" s="135"/>
      <c r="H667" s="135"/>
      <c r="I667" s="516"/>
      <c r="J667" s="135"/>
      <c r="K667" s="135"/>
      <c r="L667" s="135"/>
      <c r="M667" s="137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2.75" hidden="1" customHeight="1">
      <c r="A668" s="134"/>
      <c r="B668" s="135"/>
      <c r="C668" s="135"/>
      <c r="D668" s="516"/>
      <c r="E668" s="135"/>
      <c r="F668" s="135"/>
      <c r="G668" s="135"/>
      <c r="H668" s="135"/>
      <c r="I668" s="516"/>
      <c r="J668" s="135"/>
      <c r="K668" s="135"/>
      <c r="L668" s="135"/>
      <c r="M668" s="137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2.75" hidden="1" customHeight="1">
      <c r="A669" s="134"/>
      <c r="B669" s="135"/>
      <c r="C669" s="135"/>
      <c r="D669" s="516"/>
      <c r="E669" s="135"/>
      <c r="F669" s="135"/>
      <c r="G669" s="135"/>
      <c r="H669" s="135"/>
      <c r="I669" s="516"/>
      <c r="J669" s="135"/>
      <c r="K669" s="135"/>
      <c r="L669" s="135"/>
      <c r="M669" s="137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2.75" hidden="1" customHeight="1">
      <c r="A670" s="134"/>
      <c r="B670" s="135"/>
      <c r="C670" s="135"/>
      <c r="D670" s="516"/>
      <c r="E670" s="135"/>
      <c r="F670" s="135"/>
      <c r="G670" s="135"/>
      <c r="H670" s="135"/>
      <c r="I670" s="516"/>
      <c r="J670" s="135"/>
      <c r="K670" s="135"/>
      <c r="L670" s="135"/>
      <c r="M670" s="137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2.75" hidden="1" customHeight="1">
      <c r="A671" s="134"/>
      <c r="B671" s="135"/>
      <c r="C671" s="135"/>
      <c r="D671" s="516"/>
      <c r="E671" s="135"/>
      <c r="F671" s="135"/>
      <c r="G671" s="135"/>
      <c r="H671" s="135"/>
      <c r="I671" s="516"/>
      <c r="J671" s="135"/>
      <c r="K671" s="135"/>
      <c r="L671" s="135"/>
      <c r="M671" s="137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2.75" hidden="1" customHeight="1">
      <c r="A672" s="134"/>
      <c r="B672" s="135"/>
      <c r="C672" s="135"/>
      <c r="D672" s="516"/>
      <c r="E672" s="135"/>
      <c r="F672" s="135"/>
      <c r="G672" s="135"/>
      <c r="H672" s="135"/>
      <c r="I672" s="516"/>
      <c r="J672" s="135"/>
      <c r="K672" s="135"/>
      <c r="L672" s="135"/>
      <c r="M672" s="137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2.75" hidden="1" customHeight="1">
      <c r="A673" s="134"/>
      <c r="B673" s="135"/>
      <c r="C673" s="135"/>
      <c r="D673" s="516"/>
      <c r="E673" s="135"/>
      <c r="F673" s="135"/>
      <c r="G673" s="135"/>
      <c r="H673" s="135"/>
      <c r="I673" s="516"/>
      <c r="J673" s="135"/>
      <c r="K673" s="135"/>
      <c r="L673" s="135"/>
      <c r="M673" s="137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2.75" hidden="1" customHeight="1">
      <c r="A674" s="134"/>
      <c r="B674" s="135"/>
      <c r="C674" s="135"/>
      <c r="D674" s="516"/>
      <c r="E674" s="135"/>
      <c r="F674" s="135"/>
      <c r="G674" s="135"/>
      <c r="H674" s="135"/>
      <c r="I674" s="516"/>
      <c r="J674" s="135"/>
      <c r="K674" s="135"/>
      <c r="L674" s="135"/>
      <c r="M674" s="137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2.75" hidden="1" customHeight="1">
      <c r="A675" s="134"/>
      <c r="B675" s="135"/>
      <c r="C675" s="135"/>
      <c r="D675" s="516"/>
      <c r="E675" s="135"/>
      <c r="F675" s="135"/>
      <c r="G675" s="135"/>
      <c r="H675" s="135"/>
      <c r="I675" s="516"/>
      <c r="J675" s="135"/>
      <c r="K675" s="135"/>
      <c r="L675" s="135"/>
      <c r="M675" s="137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2.75" hidden="1" customHeight="1">
      <c r="A676" s="134"/>
      <c r="B676" s="135"/>
      <c r="C676" s="135"/>
      <c r="D676" s="516"/>
      <c r="E676" s="135"/>
      <c r="F676" s="135"/>
      <c r="G676" s="135"/>
      <c r="H676" s="135"/>
      <c r="I676" s="516"/>
      <c r="J676" s="135"/>
      <c r="K676" s="135"/>
      <c r="L676" s="135"/>
      <c r="M676" s="137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2.75" customHeight="1">
      <c r="A677" s="138"/>
      <c r="B677" s="139"/>
      <c r="C677" s="139"/>
      <c r="D677" s="194"/>
      <c r="E677" s="141"/>
      <c r="F677" s="142"/>
      <c r="G677" s="141"/>
      <c r="H677" s="142"/>
      <c r="I677" s="194"/>
      <c r="J677" s="141"/>
      <c r="K677" s="141"/>
      <c r="L677" s="141"/>
      <c r="M677" s="143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2.75" customHeight="1">
      <c r="A678" s="138"/>
      <c r="B678" s="139"/>
      <c r="C678" s="139"/>
      <c r="D678" s="194"/>
      <c r="E678" s="141"/>
      <c r="F678" s="142"/>
      <c r="G678" s="141"/>
      <c r="H678" s="142"/>
      <c r="I678" s="194"/>
      <c r="J678" s="141"/>
      <c r="K678" s="141"/>
      <c r="L678" s="141"/>
      <c r="M678" s="143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2.75" customHeight="1">
      <c r="A679" s="138"/>
      <c r="B679" s="139"/>
      <c r="C679" s="139"/>
      <c r="D679" s="194"/>
      <c r="E679" s="141"/>
      <c r="F679" s="142"/>
      <c r="G679" s="141"/>
      <c r="H679" s="142"/>
      <c r="I679" s="194"/>
      <c r="J679" s="141"/>
      <c r="K679" s="141"/>
      <c r="L679" s="141"/>
      <c r="M679" s="143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2.75" customHeight="1">
      <c r="A680" s="138"/>
      <c r="B680" s="139"/>
      <c r="C680" s="139"/>
      <c r="D680" s="194"/>
      <c r="E680" s="141"/>
      <c r="F680" s="142"/>
      <c r="G680" s="141"/>
      <c r="H680" s="142"/>
      <c r="I680" s="194"/>
      <c r="J680" s="141"/>
      <c r="K680" s="141"/>
      <c r="L680" s="141"/>
      <c r="M680" s="143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2.75" customHeight="1">
      <c r="A681" s="138"/>
      <c r="B681" s="139"/>
      <c r="C681" s="139"/>
      <c r="D681" s="194"/>
      <c r="E681" s="141"/>
      <c r="F681" s="142"/>
      <c r="G681" s="141"/>
      <c r="H681" s="142"/>
      <c r="I681" s="194"/>
      <c r="J681" s="141"/>
      <c r="K681" s="141"/>
      <c r="L681" s="141"/>
      <c r="M681" s="143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2.75" customHeight="1">
      <c r="A682" s="138"/>
      <c r="B682" s="139"/>
      <c r="C682" s="139"/>
      <c r="D682" s="194"/>
      <c r="E682" s="141"/>
      <c r="F682" s="142"/>
      <c r="G682" s="141"/>
      <c r="H682" s="142"/>
      <c r="I682" s="194"/>
      <c r="J682" s="141"/>
      <c r="K682" s="141"/>
      <c r="L682" s="141"/>
      <c r="M682" s="143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2.75" customHeight="1">
      <c r="A683" s="138"/>
      <c r="B683" s="139"/>
      <c r="C683" s="139"/>
      <c r="D683" s="194"/>
      <c r="E683" s="141"/>
      <c r="F683" s="142"/>
      <c r="G683" s="141"/>
      <c r="H683" s="142"/>
      <c r="I683" s="194"/>
      <c r="J683" s="141"/>
      <c r="K683" s="141"/>
      <c r="L683" s="141"/>
      <c r="M683" s="143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2.75" customHeight="1">
      <c r="A684" s="138"/>
      <c r="B684" s="139"/>
      <c r="C684" s="139"/>
      <c r="D684" s="194"/>
      <c r="E684" s="141"/>
      <c r="F684" s="142"/>
      <c r="G684" s="141"/>
      <c r="H684" s="142"/>
      <c r="I684" s="194"/>
      <c r="J684" s="141"/>
      <c r="K684" s="141"/>
      <c r="L684" s="141"/>
      <c r="M684" s="143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2.75" customHeight="1">
      <c r="A685" s="138"/>
      <c r="B685" s="139"/>
      <c r="C685" s="139"/>
      <c r="D685" s="194"/>
      <c r="E685" s="141"/>
      <c r="F685" s="142"/>
      <c r="G685" s="141"/>
      <c r="H685" s="142"/>
      <c r="I685" s="194"/>
      <c r="J685" s="141"/>
      <c r="K685" s="141"/>
      <c r="L685" s="141"/>
      <c r="M685" s="143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2.75" customHeight="1">
      <c r="A686" s="138"/>
      <c r="B686" s="139"/>
      <c r="C686" s="139"/>
      <c r="D686" s="194"/>
      <c r="E686" s="141"/>
      <c r="F686" s="142"/>
      <c r="G686" s="141"/>
      <c r="H686" s="142"/>
      <c r="I686" s="194"/>
      <c r="J686" s="141"/>
      <c r="K686" s="141"/>
      <c r="L686" s="141"/>
      <c r="M686" s="143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2.75" customHeight="1">
      <c r="A687" s="138"/>
      <c r="B687" s="139"/>
      <c r="C687" s="139"/>
      <c r="D687" s="194"/>
      <c r="E687" s="141"/>
      <c r="F687" s="142"/>
      <c r="G687" s="141"/>
      <c r="H687" s="142"/>
      <c r="I687" s="194"/>
      <c r="J687" s="141"/>
      <c r="K687" s="141"/>
      <c r="L687" s="141"/>
      <c r="M687" s="143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2.75" customHeight="1">
      <c r="A688" s="138"/>
      <c r="B688" s="139"/>
      <c r="C688" s="139"/>
      <c r="D688" s="194"/>
      <c r="E688" s="141"/>
      <c r="F688" s="142"/>
      <c r="G688" s="141"/>
      <c r="H688" s="142"/>
      <c r="I688" s="194"/>
      <c r="J688" s="141"/>
      <c r="K688" s="141"/>
      <c r="L688" s="141"/>
      <c r="M688" s="143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2.75" customHeight="1">
      <c r="A689" s="138"/>
      <c r="B689" s="139"/>
      <c r="C689" s="139"/>
      <c r="D689" s="194"/>
      <c r="E689" s="141"/>
      <c r="F689" s="142"/>
      <c r="G689" s="141"/>
      <c r="H689" s="142"/>
      <c r="I689" s="194"/>
      <c r="J689" s="141"/>
      <c r="K689" s="141"/>
      <c r="L689" s="141"/>
      <c r="M689" s="143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2.75" customHeight="1">
      <c r="A690" s="138"/>
      <c r="B690" s="139"/>
      <c r="C690" s="139"/>
      <c r="D690" s="194"/>
      <c r="E690" s="141"/>
      <c r="F690" s="142"/>
      <c r="G690" s="141"/>
      <c r="H690" s="142"/>
      <c r="I690" s="194"/>
      <c r="J690" s="141"/>
      <c r="K690" s="141"/>
      <c r="L690" s="141"/>
      <c r="M690" s="143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2.75" customHeight="1">
      <c r="A691" s="138"/>
      <c r="B691" s="139"/>
      <c r="C691" s="139"/>
      <c r="D691" s="194"/>
      <c r="E691" s="141"/>
      <c r="F691" s="142"/>
      <c r="G691" s="141"/>
      <c r="H691" s="142"/>
      <c r="I691" s="194"/>
      <c r="J691" s="141"/>
      <c r="K691" s="141"/>
      <c r="L691" s="141"/>
      <c r="M691" s="143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2.75" customHeight="1">
      <c r="A692" s="138"/>
      <c r="B692" s="139"/>
      <c r="C692" s="139"/>
      <c r="D692" s="194"/>
      <c r="E692" s="141"/>
      <c r="F692" s="142"/>
      <c r="G692" s="141"/>
      <c r="H692" s="142"/>
      <c r="I692" s="194"/>
      <c r="J692" s="141"/>
      <c r="K692" s="141"/>
      <c r="L692" s="141"/>
      <c r="M692" s="143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2.75" customHeight="1">
      <c r="A693" s="138"/>
      <c r="B693" s="139"/>
      <c r="C693" s="139"/>
      <c r="D693" s="194"/>
      <c r="E693" s="141"/>
      <c r="F693" s="142"/>
      <c r="G693" s="141"/>
      <c r="H693" s="142"/>
      <c r="I693" s="194"/>
      <c r="J693" s="141"/>
      <c r="K693" s="141"/>
      <c r="L693" s="141"/>
      <c r="M693" s="143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2.75" customHeight="1">
      <c r="A694" s="138"/>
      <c r="B694" s="139"/>
      <c r="C694" s="139"/>
      <c r="D694" s="194"/>
      <c r="E694" s="141"/>
      <c r="F694" s="142"/>
      <c r="G694" s="141"/>
      <c r="H694" s="142"/>
      <c r="I694" s="194"/>
      <c r="J694" s="141"/>
      <c r="K694" s="141"/>
      <c r="L694" s="141"/>
      <c r="M694" s="143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2.75" customHeight="1">
      <c r="A695" s="138"/>
      <c r="B695" s="139"/>
      <c r="C695" s="139"/>
      <c r="D695" s="194"/>
      <c r="E695" s="141"/>
      <c r="F695" s="142"/>
      <c r="G695" s="141"/>
      <c r="H695" s="142"/>
      <c r="I695" s="194"/>
      <c r="J695" s="141"/>
      <c r="K695" s="141"/>
      <c r="L695" s="141"/>
      <c r="M695" s="143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2.75" customHeight="1">
      <c r="A696" s="138"/>
      <c r="B696" s="139"/>
      <c r="C696" s="139"/>
      <c r="D696" s="194"/>
      <c r="E696" s="141"/>
      <c r="F696" s="142"/>
      <c r="G696" s="141"/>
      <c r="H696" s="142"/>
      <c r="I696" s="194"/>
      <c r="J696" s="141"/>
      <c r="K696" s="141"/>
      <c r="L696" s="141"/>
      <c r="M696" s="143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2.75" customHeight="1">
      <c r="A697" s="138"/>
      <c r="B697" s="139"/>
      <c r="C697" s="139"/>
      <c r="D697" s="194"/>
      <c r="E697" s="141"/>
      <c r="F697" s="142"/>
      <c r="G697" s="141"/>
      <c r="H697" s="142"/>
      <c r="I697" s="194"/>
      <c r="J697" s="141"/>
      <c r="K697" s="141"/>
      <c r="L697" s="141"/>
      <c r="M697" s="143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2.75" customHeight="1">
      <c r="A698" s="138"/>
      <c r="B698" s="139"/>
      <c r="C698" s="139"/>
      <c r="D698" s="194"/>
      <c r="E698" s="141"/>
      <c r="F698" s="142"/>
      <c r="G698" s="141"/>
      <c r="H698" s="142"/>
      <c r="I698" s="194"/>
      <c r="J698" s="141"/>
      <c r="K698" s="141"/>
      <c r="L698" s="141"/>
      <c r="M698" s="143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2.75" customHeight="1">
      <c r="A699" s="138"/>
      <c r="B699" s="139"/>
      <c r="C699" s="139"/>
      <c r="D699" s="194"/>
      <c r="E699" s="141"/>
      <c r="F699" s="142"/>
      <c r="G699" s="141"/>
      <c r="H699" s="142"/>
      <c r="I699" s="194"/>
      <c r="J699" s="141"/>
      <c r="K699" s="141"/>
      <c r="L699" s="141"/>
      <c r="M699" s="143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2.75" customHeight="1">
      <c r="A700" s="138"/>
      <c r="B700" s="139"/>
      <c r="C700" s="139"/>
      <c r="D700" s="194"/>
      <c r="E700" s="141"/>
      <c r="F700" s="142"/>
      <c r="G700" s="141"/>
      <c r="H700" s="142"/>
      <c r="I700" s="194"/>
      <c r="J700" s="141"/>
      <c r="K700" s="141"/>
      <c r="L700" s="141"/>
      <c r="M700" s="143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2.75" customHeight="1">
      <c r="A701" s="138"/>
      <c r="B701" s="139"/>
      <c r="C701" s="139"/>
      <c r="D701" s="194"/>
      <c r="E701" s="141"/>
      <c r="F701" s="142"/>
      <c r="G701" s="141"/>
      <c r="H701" s="142"/>
      <c r="I701" s="194"/>
      <c r="J701" s="141"/>
      <c r="K701" s="141"/>
      <c r="L701" s="141"/>
      <c r="M701" s="143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2.75" customHeight="1">
      <c r="A702" s="138"/>
      <c r="B702" s="139"/>
      <c r="C702" s="139"/>
      <c r="D702" s="194"/>
      <c r="E702" s="141"/>
      <c r="F702" s="142"/>
      <c r="G702" s="141"/>
      <c r="H702" s="142"/>
      <c r="I702" s="194"/>
      <c r="J702" s="141"/>
      <c r="K702" s="141"/>
      <c r="L702" s="141"/>
      <c r="M702" s="143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2.75" customHeight="1">
      <c r="A703" s="138"/>
      <c r="B703" s="139"/>
      <c r="C703" s="139"/>
      <c r="D703" s="194"/>
      <c r="E703" s="141"/>
      <c r="F703" s="142"/>
      <c r="G703" s="141"/>
      <c r="H703" s="142"/>
      <c r="I703" s="194"/>
      <c r="J703" s="141"/>
      <c r="K703" s="141"/>
      <c r="L703" s="141"/>
      <c r="M703" s="143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2.75" customHeight="1">
      <c r="A704" s="138"/>
      <c r="B704" s="139"/>
      <c r="C704" s="139"/>
      <c r="D704" s="194"/>
      <c r="E704" s="141"/>
      <c r="F704" s="142"/>
      <c r="G704" s="141"/>
      <c r="H704" s="142"/>
      <c r="I704" s="194"/>
      <c r="J704" s="141"/>
      <c r="K704" s="141"/>
      <c r="L704" s="141"/>
      <c r="M704" s="143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2.75" customHeight="1">
      <c r="A705" s="138"/>
      <c r="B705" s="139"/>
      <c r="C705" s="139"/>
      <c r="D705" s="194"/>
      <c r="E705" s="141"/>
      <c r="F705" s="142"/>
      <c r="G705" s="141"/>
      <c r="H705" s="142"/>
      <c r="I705" s="194"/>
      <c r="J705" s="141"/>
      <c r="K705" s="141"/>
      <c r="L705" s="141"/>
      <c r="M705" s="143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2.75" customHeight="1">
      <c r="A706" s="138"/>
      <c r="B706" s="139"/>
      <c r="C706" s="139"/>
      <c r="D706" s="194"/>
      <c r="E706" s="141"/>
      <c r="F706" s="142"/>
      <c r="G706" s="141"/>
      <c r="H706" s="142"/>
      <c r="I706" s="194"/>
      <c r="J706" s="141"/>
      <c r="K706" s="141"/>
      <c r="L706" s="141"/>
      <c r="M706" s="143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2.75" customHeight="1">
      <c r="A707" s="138"/>
      <c r="B707" s="139"/>
      <c r="C707" s="139"/>
      <c r="D707" s="194"/>
      <c r="E707" s="141"/>
      <c r="F707" s="142"/>
      <c r="G707" s="141"/>
      <c r="H707" s="142"/>
      <c r="I707" s="194"/>
      <c r="J707" s="141"/>
      <c r="K707" s="141"/>
      <c r="L707" s="141"/>
      <c r="M707" s="143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2.75" customHeight="1">
      <c r="A708" s="138"/>
      <c r="B708" s="139"/>
      <c r="C708" s="139"/>
      <c r="D708" s="194"/>
      <c r="E708" s="141"/>
      <c r="F708" s="142"/>
      <c r="G708" s="141"/>
      <c r="H708" s="142"/>
      <c r="I708" s="194"/>
      <c r="J708" s="141"/>
      <c r="K708" s="141"/>
      <c r="L708" s="141"/>
      <c r="M708" s="143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2.75" customHeight="1">
      <c r="A709" s="138"/>
      <c r="B709" s="139"/>
      <c r="C709" s="139"/>
      <c r="D709" s="194"/>
      <c r="E709" s="141"/>
      <c r="F709" s="142"/>
      <c r="G709" s="141"/>
      <c r="H709" s="142"/>
      <c r="I709" s="194"/>
      <c r="J709" s="141"/>
      <c r="K709" s="141"/>
      <c r="L709" s="141"/>
      <c r="M709" s="143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2.75" customHeight="1">
      <c r="A710" s="138"/>
      <c r="B710" s="139"/>
      <c r="C710" s="139"/>
      <c r="D710" s="194"/>
      <c r="E710" s="141"/>
      <c r="F710" s="142"/>
      <c r="G710" s="141"/>
      <c r="H710" s="142"/>
      <c r="I710" s="194"/>
      <c r="J710" s="141"/>
      <c r="K710" s="141"/>
      <c r="L710" s="141"/>
      <c r="M710" s="143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2.75" customHeight="1">
      <c r="A711" s="138"/>
      <c r="B711" s="139"/>
      <c r="C711" s="139"/>
      <c r="D711" s="194"/>
      <c r="E711" s="141"/>
      <c r="F711" s="142"/>
      <c r="G711" s="141"/>
      <c r="H711" s="142"/>
      <c r="I711" s="194"/>
      <c r="J711" s="141"/>
      <c r="K711" s="141"/>
      <c r="L711" s="141"/>
      <c r="M711" s="143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2.75" customHeight="1">
      <c r="A712" s="138"/>
      <c r="B712" s="139"/>
      <c r="C712" s="139"/>
      <c r="D712" s="194"/>
      <c r="E712" s="141"/>
      <c r="F712" s="142"/>
      <c r="G712" s="141"/>
      <c r="H712" s="142"/>
      <c r="I712" s="194"/>
      <c r="J712" s="141"/>
      <c r="K712" s="141"/>
      <c r="L712" s="141"/>
      <c r="M712" s="143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2.75" customHeight="1">
      <c r="A713" s="138"/>
      <c r="B713" s="139"/>
      <c r="C713" s="139"/>
      <c r="D713" s="194"/>
      <c r="E713" s="141"/>
      <c r="F713" s="142"/>
      <c r="G713" s="141"/>
      <c r="H713" s="142"/>
      <c r="I713" s="194"/>
      <c r="J713" s="141"/>
      <c r="K713" s="141"/>
      <c r="L713" s="141"/>
      <c r="M713" s="143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2.75" customHeight="1">
      <c r="A714" s="138"/>
      <c r="B714" s="139"/>
      <c r="C714" s="139"/>
      <c r="D714" s="194"/>
      <c r="E714" s="141"/>
      <c r="F714" s="142"/>
      <c r="G714" s="141"/>
      <c r="H714" s="142"/>
      <c r="I714" s="194"/>
      <c r="J714" s="141"/>
      <c r="K714" s="141"/>
      <c r="L714" s="141"/>
      <c r="M714" s="143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2.75" customHeight="1">
      <c r="A715" s="138"/>
      <c r="B715" s="139"/>
      <c r="C715" s="139"/>
      <c r="D715" s="194"/>
      <c r="E715" s="141"/>
      <c r="F715" s="142"/>
      <c r="G715" s="141"/>
      <c r="H715" s="142"/>
      <c r="I715" s="194"/>
      <c r="J715" s="141"/>
      <c r="K715" s="141"/>
      <c r="L715" s="141"/>
      <c r="M715" s="143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2.75" customHeight="1">
      <c r="A716" s="138"/>
      <c r="B716" s="139"/>
      <c r="C716" s="139"/>
      <c r="D716" s="194"/>
      <c r="E716" s="141"/>
      <c r="F716" s="142"/>
      <c r="G716" s="141"/>
      <c r="H716" s="142"/>
      <c r="I716" s="194"/>
      <c r="J716" s="141"/>
      <c r="K716" s="141"/>
      <c r="L716" s="141"/>
      <c r="M716" s="143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2.75" customHeight="1">
      <c r="A717" s="138"/>
      <c r="B717" s="139"/>
      <c r="C717" s="139"/>
      <c r="D717" s="194"/>
      <c r="E717" s="141"/>
      <c r="F717" s="142"/>
      <c r="G717" s="141"/>
      <c r="H717" s="142"/>
      <c r="I717" s="194"/>
      <c r="J717" s="141"/>
      <c r="K717" s="141"/>
      <c r="L717" s="141"/>
      <c r="M717" s="143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2.75" customHeight="1">
      <c r="A718" s="138"/>
      <c r="B718" s="139"/>
      <c r="C718" s="139"/>
      <c r="D718" s="194"/>
      <c r="E718" s="141"/>
      <c r="F718" s="142"/>
      <c r="G718" s="141"/>
      <c r="H718" s="142"/>
      <c r="I718" s="194"/>
      <c r="J718" s="141"/>
      <c r="K718" s="141"/>
      <c r="L718" s="141"/>
      <c r="M718" s="143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2.75" customHeight="1">
      <c r="A719" s="138"/>
      <c r="B719" s="139"/>
      <c r="C719" s="139"/>
      <c r="D719" s="194"/>
      <c r="E719" s="141"/>
      <c r="F719" s="142"/>
      <c r="G719" s="141"/>
      <c r="H719" s="142"/>
      <c r="I719" s="194"/>
      <c r="J719" s="141"/>
      <c r="K719" s="141"/>
      <c r="L719" s="141"/>
      <c r="M719" s="143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2.75" customHeight="1">
      <c r="A720" s="138"/>
      <c r="B720" s="139"/>
      <c r="C720" s="139"/>
      <c r="D720" s="194"/>
      <c r="E720" s="141"/>
      <c r="F720" s="142"/>
      <c r="G720" s="141"/>
      <c r="H720" s="142"/>
      <c r="I720" s="194"/>
      <c r="J720" s="141"/>
      <c r="K720" s="141"/>
      <c r="L720" s="141"/>
      <c r="M720" s="143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2.75" customHeight="1">
      <c r="A721" s="138"/>
      <c r="B721" s="139"/>
      <c r="C721" s="139"/>
      <c r="D721" s="194"/>
      <c r="E721" s="141"/>
      <c r="F721" s="142"/>
      <c r="G721" s="141"/>
      <c r="H721" s="142"/>
      <c r="I721" s="194"/>
      <c r="J721" s="141"/>
      <c r="K721" s="141"/>
      <c r="L721" s="141"/>
      <c r="M721" s="143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2.75" customHeight="1">
      <c r="A722" s="138"/>
      <c r="B722" s="139"/>
      <c r="C722" s="139"/>
      <c r="D722" s="194"/>
      <c r="E722" s="141"/>
      <c r="F722" s="142"/>
      <c r="G722" s="141"/>
      <c r="H722" s="142"/>
      <c r="I722" s="194"/>
      <c r="J722" s="141"/>
      <c r="K722" s="141"/>
      <c r="L722" s="141"/>
      <c r="M722" s="143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2.75" customHeight="1">
      <c r="A723" s="138"/>
      <c r="B723" s="139"/>
      <c r="C723" s="139"/>
      <c r="D723" s="194"/>
      <c r="E723" s="141"/>
      <c r="F723" s="142"/>
      <c r="G723" s="141"/>
      <c r="H723" s="142"/>
      <c r="I723" s="194"/>
      <c r="J723" s="141"/>
      <c r="K723" s="141"/>
      <c r="L723" s="141"/>
      <c r="M723" s="143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2.75" customHeight="1">
      <c r="A724" s="138"/>
      <c r="B724" s="139"/>
      <c r="C724" s="139"/>
      <c r="D724" s="194"/>
      <c r="E724" s="141"/>
      <c r="F724" s="142"/>
      <c r="G724" s="141"/>
      <c r="H724" s="142"/>
      <c r="I724" s="194"/>
      <c r="J724" s="141"/>
      <c r="K724" s="141"/>
      <c r="L724" s="141"/>
      <c r="M724" s="143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2.75" customHeight="1">
      <c r="A725" s="138"/>
      <c r="B725" s="139"/>
      <c r="C725" s="139"/>
      <c r="D725" s="194"/>
      <c r="E725" s="141"/>
      <c r="F725" s="142"/>
      <c r="G725" s="141"/>
      <c r="H725" s="142"/>
      <c r="I725" s="194"/>
      <c r="J725" s="141"/>
      <c r="K725" s="141"/>
      <c r="L725" s="141"/>
      <c r="M725" s="143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2.75" customHeight="1">
      <c r="A726" s="138"/>
      <c r="B726" s="139"/>
      <c r="C726" s="139"/>
      <c r="D726" s="194"/>
      <c r="E726" s="141"/>
      <c r="F726" s="142"/>
      <c r="G726" s="141"/>
      <c r="H726" s="142"/>
      <c r="I726" s="194"/>
      <c r="J726" s="141"/>
      <c r="K726" s="141"/>
      <c r="L726" s="141"/>
      <c r="M726" s="143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2.75" customHeight="1">
      <c r="A727" s="138"/>
      <c r="B727" s="139"/>
      <c r="C727" s="139"/>
      <c r="D727" s="194"/>
      <c r="E727" s="141"/>
      <c r="F727" s="142"/>
      <c r="G727" s="141"/>
      <c r="H727" s="142"/>
      <c r="I727" s="194"/>
      <c r="J727" s="141"/>
      <c r="K727" s="141"/>
      <c r="L727" s="141"/>
      <c r="M727" s="143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2.75" customHeight="1">
      <c r="A728" s="138"/>
      <c r="B728" s="139"/>
      <c r="C728" s="139"/>
      <c r="D728" s="194"/>
      <c r="E728" s="141"/>
      <c r="F728" s="142"/>
      <c r="G728" s="141"/>
      <c r="H728" s="142"/>
      <c r="I728" s="194"/>
      <c r="J728" s="141"/>
      <c r="K728" s="141"/>
      <c r="L728" s="141"/>
      <c r="M728" s="143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2.75" customHeight="1">
      <c r="A729" s="138"/>
      <c r="B729" s="139"/>
      <c r="C729" s="139"/>
      <c r="D729" s="194"/>
      <c r="E729" s="141"/>
      <c r="F729" s="142"/>
      <c r="G729" s="141"/>
      <c r="H729" s="142"/>
      <c r="I729" s="194"/>
      <c r="J729" s="141"/>
      <c r="K729" s="141"/>
      <c r="L729" s="141"/>
      <c r="M729" s="143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2.75" customHeight="1">
      <c r="A730" s="138"/>
      <c r="B730" s="139"/>
      <c r="C730" s="139"/>
      <c r="D730" s="194"/>
      <c r="E730" s="141"/>
      <c r="F730" s="142"/>
      <c r="G730" s="141"/>
      <c r="H730" s="142"/>
      <c r="I730" s="194"/>
      <c r="J730" s="141"/>
      <c r="K730" s="141"/>
      <c r="L730" s="141"/>
      <c r="M730" s="143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2.75" customHeight="1">
      <c r="A731" s="138"/>
      <c r="B731" s="139"/>
      <c r="C731" s="139"/>
      <c r="D731" s="194"/>
      <c r="E731" s="141"/>
      <c r="F731" s="142"/>
      <c r="G731" s="141"/>
      <c r="H731" s="142"/>
      <c r="I731" s="194"/>
      <c r="J731" s="141"/>
      <c r="K731" s="141"/>
      <c r="L731" s="141"/>
      <c r="M731" s="143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2.75" customHeight="1">
      <c r="A732" s="138"/>
      <c r="B732" s="139"/>
      <c r="C732" s="139"/>
      <c r="D732" s="194"/>
      <c r="E732" s="141"/>
      <c r="F732" s="142"/>
      <c r="G732" s="141"/>
      <c r="H732" s="142"/>
      <c r="I732" s="194"/>
      <c r="J732" s="141"/>
      <c r="K732" s="141"/>
      <c r="L732" s="141"/>
      <c r="M732" s="143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2.75" customHeight="1">
      <c r="A733" s="138"/>
      <c r="B733" s="139"/>
      <c r="C733" s="139"/>
      <c r="D733" s="194"/>
      <c r="E733" s="141"/>
      <c r="F733" s="142"/>
      <c r="G733" s="141"/>
      <c r="H733" s="142"/>
      <c r="I733" s="194"/>
      <c r="J733" s="141"/>
      <c r="K733" s="141"/>
      <c r="L733" s="141"/>
      <c r="M733" s="143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2.75" customHeight="1">
      <c r="A734" s="138"/>
      <c r="B734" s="139"/>
      <c r="C734" s="139"/>
      <c r="D734" s="194"/>
      <c r="E734" s="141"/>
      <c r="F734" s="142"/>
      <c r="G734" s="141"/>
      <c r="H734" s="142"/>
      <c r="I734" s="194"/>
      <c r="J734" s="141"/>
      <c r="K734" s="141"/>
      <c r="L734" s="141"/>
      <c r="M734" s="143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2.75" customHeight="1">
      <c r="A735" s="138"/>
      <c r="B735" s="139"/>
      <c r="C735" s="139"/>
      <c r="D735" s="194"/>
      <c r="E735" s="141"/>
      <c r="F735" s="142"/>
      <c r="G735" s="141"/>
      <c r="H735" s="142"/>
      <c r="I735" s="194"/>
      <c r="J735" s="141"/>
      <c r="K735" s="141"/>
      <c r="L735" s="141"/>
      <c r="M735" s="143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2.75" customHeight="1">
      <c r="A736" s="138"/>
      <c r="B736" s="139"/>
      <c r="C736" s="139"/>
      <c r="D736" s="194"/>
      <c r="E736" s="141"/>
      <c r="F736" s="142"/>
      <c r="G736" s="141"/>
      <c r="H736" s="142"/>
      <c r="I736" s="194"/>
      <c r="J736" s="141"/>
      <c r="K736" s="141"/>
      <c r="L736" s="141"/>
      <c r="M736" s="143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2.75" customHeight="1">
      <c r="A737" s="138"/>
      <c r="B737" s="139"/>
      <c r="C737" s="139"/>
      <c r="D737" s="194"/>
      <c r="E737" s="141"/>
      <c r="F737" s="142"/>
      <c r="G737" s="141"/>
      <c r="H737" s="142"/>
      <c r="I737" s="194"/>
      <c r="J737" s="141"/>
      <c r="K737" s="141"/>
      <c r="L737" s="141"/>
      <c r="M737" s="143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2.75" customHeight="1">
      <c r="A738" s="138"/>
      <c r="B738" s="139"/>
      <c r="C738" s="139"/>
      <c r="D738" s="194"/>
      <c r="E738" s="141"/>
      <c r="F738" s="142"/>
      <c r="G738" s="141"/>
      <c r="H738" s="142"/>
      <c r="I738" s="194"/>
      <c r="J738" s="141"/>
      <c r="K738" s="141"/>
      <c r="L738" s="141"/>
      <c r="M738" s="143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2.75" customHeight="1">
      <c r="A739" s="138"/>
      <c r="B739" s="139"/>
      <c r="C739" s="139"/>
      <c r="D739" s="194"/>
      <c r="E739" s="141"/>
      <c r="F739" s="142"/>
      <c r="G739" s="141"/>
      <c r="H739" s="142"/>
      <c r="I739" s="194"/>
      <c r="J739" s="141"/>
      <c r="K739" s="141"/>
      <c r="L739" s="141"/>
      <c r="M739" s="143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2.75" customHeight="1">
      <c r="A740" s="138"/>
      <c r="B740" s="139"/>
      <c r="C740" s="139"/>
      <c r="D740" s="194"/>
      <c r="E740" s="141"/>
      <c r="F740" s="142"/>
      <c r="G740" s="141"/>
      <c r="H740" s="142"/>
      <c r="I740" s="194"/>
      <c r="J740" s="141"/>
      <c r="K740" s="141"/>
      <c r="L740" s="141"/>
      <c r="M740" s="143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2.75" customHeight="1">
      <c r="A741" s="138"/>
      <c r="B741" s="139"/>
      <c r="C741" s="139"/>
      <c r="D741" s="194"/>
      <c r="E741" s="141"/>
      <c r="F741" s="142"/>
      <c r="G741" s="141"/>
      <c r="H741" s="142"/>
      <c r="I741" s="194"/>
      <c r="J741" s="141"/>
      <c r="K741" s="141"/>
      <c r="L741" s="141"/>
      <c r="M741" s="143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2.75" customHeight="1">
      <c r="A742" s="138"/>
      <c r="B742" s="139"/>
      <c r="C742" s="139"/>
      <c r="D742" s="194"/>
      <c r="E742" s="141"/>
      <c r="F742" s="142"/>
      <c r="G742" s="141"/>
      <c r="H742" s="142"/>
      <c r="I742" s="194"/>
      <c r="J742" s="141"/>
      <c r="K742" s="141"/>
      <c r="L742" s="141"/>
      <c r="M742" s="143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2.75" customHeight="1">
      <c r="A743" s="138"/>
      <c r="B743" s="139"/>
      <c r="C743" s="139"/>
      <c r="D743" s="194"/>
      <c r="E743" s="141"/>
      <c r="F743" s="142"/>
      <c r="G743" s="141"/>
      <c r="H743" s="142"/>
      <c r="I743" s="194"/>
      <c r="J743" s="141"/>
      <c r="K743" s="141"/>
      <c r="L743" s="141"/>
      <c r="M743" s="143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2.75" customHeight="1">
      <c r="A744" s="138"/>
      <c r="B744" s="139"/>
      <c r="C744" s="139"/>
      <c r="D744" s="194"/>
      <c r="E744" s="141"/>
      <c r="F744" s="142"/>
      <c r="G744" s="141"/>
      <c r="H744" s="142"/>
      <c r="I744" s="194"/>
      <c r="J744" s="141"/>
      <c r="K744" s="141"/>
      <c r="L744" s="141"/>
      <c r="M744" s="143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2.75" customHeight="1">
      <c r="A745" s="138"/>
      <c r="B745" s="139"/>
      <c r="C745" s="139"/>
      <c r="D745" s="194"/>
      <c r="E745" s="141"/>
      <c r="F745" s="142"/>
      <c r="G745" s="141"/>
      <c r="H745" s="142"/>
      <c r="I745" s="194"/>
      <c r="J745" s="141"/>
      <c r="K745" s="141"/>
      <c r="L745" s="141"/>
      <c r="M745" s="143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2.75" customHeight="1">
      <c r="A746" s="138"/>
      <c r="B746" s="139"/>
      <c r="C746" s="139"/>
      <c r="D746" s="194"/>
      <c r="E746" s="141"/>
      <c r="F746" s="142"/>
      <c r="G746" s="141"/>
      <c r="H746" s="142"/>
      <c r="I746" s="194"/>
      <c r="J746" s="141"/>
      <c r="K746" s="141"/>
      <c r="L746" s="141"/>
      <c r="M746" s="143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2.75" customHeight="1">
      <c r="A747" s="138"/>
      <c r="B747" s="139"/>
      <c r="C747" s="139"/>
      <c r="D747" s="194"/>
      <c r="E747" s="141"/>
      <c r="F747" s="142"/>
      <c r="G747" s="141"/>
      <c r="H747" s="142"/>
      <c r="I747" s="194"/>
      <c r="J747" s="141"/>
      <c r="K747" s="141"/>
      <c r="L747" s="141"/>
      <c r="M747" s="143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2.75" customHeight="1">
      <c r="A748" s="138"/>
      <c r="B748" s="139"/>
      <c r="C748" s="139"/>
      <c r="D748" s="194"/>
      <c r="E748" s="141"/>
      <c r="F748" s="142"/>
      <c r="G748" s="141"/>
      <c r="H748" s="142"/>
      <c r="I748" s="194"/>
      <c r="J748" s="141"/>
      <c r="K748" s="141"/>
      <c r="L748" s="141"/>
      <c r="M748" s="143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2.75" customHeight="1">
      <c r="A749" s="138"/>
      <c r="B749" s="139"/>
      <c r="C749" s="139"/>
      <c r="D749" s="194"/>
      <c r="E749" s="141"/>
      <c r="F749" s="142"/>
      <c r="G749" s="141"/>
      <c r="H749" s="142"/>
      <c r="I749" s="194"/>
      <c r="J749" s="141"/>
      <c r="K749" s="141"/>
      <c r="L749" s="141"/>
      <c r="M749" s="143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2.75" customHeight="1">
      <c r="A750" s="138"/>
      <c r="B750" s="139"/>
      <c r="C750" s="139"/>
      <c r="D750" s="194"/>
      <c r="E750" s="141"/>
      <c r="F750" s="142"/>
      <c r="G750" s="141"/>
      <c r="H750" s="142"/>
      <c r="I750" s="194"/>
      <c r="J750" s="141"/>
      <c r="K750" s="141"/>
      <c r="L750" s="141"/>
      <c r="M750" s="143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2.75" customHeight="1">
      <c r="A751" s="138"/>
      <c r="B751" s="139"/>
      <c r="C751" s="139"/>
      <c r="D751" s="194"/>
      <c r="E751" s="141"/>
      <c r="F751" s="142"/>
      <c r="G751" s="141"/>
      <c r="H751" s="142"/>
      <c r="I751" s="194"/>
      <c r="J751" s="141"/>
      <c r="K751" s="141"/>
      <c r="L751" s="141"/>
      <c r="M751" s="143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2.75" customHeight="1">
      <c r="A752" s="138"/>
      <c r="B752" s="139"/>
      <c r="C752" s="139"/>
      <c r="D752" s="194"/>
      <c r="E752" s="141"/>
      <c r="F752" s="142"/>
      <c r="G752" s="141"/>
      <c r="H752" s="142"/>
      <c r="I752" s="194"/>
      <c r="J752" s="141"/>
      <c r="K752" s="141"/>
      <c r="L752" s="141"/>
      <c r="M752" s="143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2.75" customHeight="1">
      <c r="A753" s="138"/>
      <c r="B753" s="139"/>
      <c r="C753" s="139"/>
      <c r="D753" s="194"/>
      <c r="E753" s="141"/>
      <c r="F753" s="142"/>
      <c r="G753" s="141"/>
      <c r="H753" s="142"/>
      <c r="I753" s="194"/>
      <c r="J753" s="141"/>
      <c r="K753" s="141"/>
      <c r="L753" s="141"/>
      <c r="M753" s="143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2.75" customHeight="1">
      <c r="A754" s="138"/>
      <c r="B754" s="139"/>
      <c r="C754" s="139"/>
      <c r="D754" s="194"/>
      <c r="E754" s="141"/>
      <c r="F754" s="142"/>
      <c r="G754" s="141"/>
      <c r="H754" s="142"/>
      <c r="I754" s="194"/>
      <c r="J754" s="141"/>
      <c r="K754" s="141"/>
      <c r="L754" s="141"/>
      <c r="M754" s="143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2.75" customHeight="1">
      <c r="A755" s="138"/>
      <c r="B755" s="139"/>
      <c r="C755" s="139"/>
      <c r="D755" s="194"/>
      <c r="E755" s="141"/>
      <c r="F755" s="142"/>
      <c r="G755" s="141"/>
      <c r="H755" s="142"/>
      <c r="I755" s="194"/>
      <c r="J755" s="141"/>
      <c r="K755" s="141"/>
      <c r="L755" s="141"/>
      <c r="M755" s="143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2.75" customHeight="1">
      <c r="A756" s="138"/>
      <c r="B756" s="139"/>
      <c r="C756" s="139"/>
      <c r="D756" s="194"/>
      <c r="E756" s="141"/>
      <c r="F756" s="142"/>
      <c r="G756" s="141"/>
      <c r="H756" s="142"/>
      <c r="I756" s="194"/>
      <c r="J756" s="141"/>
      <c r="K756" s="141"/>
      <c r="L756" s="141"/>
      <c r="M756" s="143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2.75" customHeight="1">
      <c r="A757" s="138"/>
      <c r="B757" s="139"/>
      <c r="C757" s="139"/>
      <c r="D757" s="194"/>
      <c r="E757" s="141"/>
      <c r="F757" s="142"/>
      <c r="G757" s="141"/>
      <c r="H757" s="142"/>
      <c r="I757" s="194"/>
      <c r="J757" s="141"/>
      <c r="K757" s="141"/>
      <c r="L757" s="141"/>
      <c r="M757" s="143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2.75" customHeight="1">
      <c r="A758" s="138"/>
      <c r="B758" s="139"/>
      <c r="C758" s="139"/>
      <c r="D758" s="194"/>
      <c r="E758" s="141"/>
      <c r="F758" s="142"/>
      <c r="G758" s="141"/>
      <c r="H758" s="142"/>
      <c r="I758" s="194"/>
      <c r="J758" s="141"/>
      <c r="K758" s="141"/>
      <c r="L758" s="141"/>
      <c r="M758" s="143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2.75" customHeight="1">
      <c r="A759" s="138"/>
      <c r="B759" s="139"/>
      <c r="C759" s="139"/>
      <c r="D759" s="194"/>
      <c r="E759" s="141"/>
      <c r="F759" s="142"/>
      <c r="G759" s="141"/>
      <c r="H759" s="142"/>
      <c r="I759" s="194"/>
      <c r="J759" s="141"/>
      <c r="K759" s="141"/>
      <c r="L759" s="141"/>
      <c r="M759" s="143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2.75" customHeight="1">
      <c r="A760" s="138"/>
      <c r="B760" s="139"/>
      <c r="C760" s="139"/>
      <c r="D760" s="194"/>
      <c r="E760" s="141"/>
      <c r="F760" s="142"/>
      <c r="G760" s="141"/>
      <c r="H760" s="142"/>
      <c r="I760" s="194"/>
      <c r="J760" s="141"/>
      <c r="K760" s="141"/>
      <c r="L760" s="141"/>
      <c r="M760" s="143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2.75" customHeight="1">
      <c r="A761" s="138"/>
      <c r="B761" s="139"/>
      <c r="C761" s="139"/>
      <c r="D761" s="194"/>
      <c r="E761" s="141"/>
      <c r="F761" s="142"/>
      <c r="G761" s="141"/>
      <c r="H761" s="142"/>
      <c r="I761" s="194"/>
      <c r="J761" s="141"/>
      <c r="K761" s="141"/>
      <c r="L761" s="141"/>
      <c r="M761" s="143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2.75" customHeight="1">
      <c r="A762" s="138"/>
      <c r="B762" s="139"/>
      <c r="C762" s="139"/>
      <c r="D762" s="194"/>
      <c r="E762" s="141"/>
      <c r="F762" s="142"/>
      <c r="G762" s="141"/>
      <c r="H762" s="142"/>
      <c r="I762" s="194"/>
      <c r="J762" s="141"/>
      <c r="K762" s="141"/>
      <c r="L762" s="141"/>
      <c r="M762" s="143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2.75" customHeight="1">
      <c r="A763" s="138"/>
      <c r="B763" s="139"/>
      <c r="C763" s="139"/>
      <c r="D763" s="194"/>
      <c r="E763" s="141"/>
      <c r="F763" s="142"/>
      <c r="G763" s="141"/>
      <c r="H763" s="142"/>
      <c r="I763" s="194"/>
      <c r="J763" s="141"/>
      <c r="K763" s="141"/>
      <c r="L763" s="141"/>
      <c r="M763" s="143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2.75" customHeight="1">
      <c r="A764" s="138"/>
      <c r="B764" s="139"/>
      <c r="C764" s="139"/>
      <c r="D764" s="194"/>
      <c r="E764" s="141"/>
      <c r="F764" s="142"/>
      <c r="G764" s="141"/>
      <c r="H764" s="142"/>
      <c r="I764" s="194"/>
      <c r="J764" s="141"/>
      <c r="K764" s="141"/>
      <c r="L764" s="141"/>
      <c r="M764" s="143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2.75" customHeight="1">
      <c r="A765" s="138"/>
      <c r="B765" s="139"/>
      <c r="C765" s="139"/>
      <c r="D765" s="194"/>
      <c r="E765" s="141"/>
      <c r="F765" s="142"/>
      <c r="G765" s="141"/>
      <c r="H765" s="142"/>
      <c r="I765" s="194"/>
      <c r="J765" s="141"/>
      <c r="K765" s="141"/>
      <c r="L765" s="141"/>
      <c r="M765" s="143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2.75" customHeight="1">
      <c r="A766" s="138"/>
      <c r="B766" s="139"/>
      <c r="C766" s="139"/>
      <c r="D766" s="194"/>
      <c r="E766" s="141"/>
      <c r="F766" s="142"/>
      <c r="G766" s="141"/>
      <c r="H766" s="142"/>
      <c r="I766" s="194"/>
      <c r="J766" s="141"/>
      <c r="K766" s="141"/>
      <c r="L766" s="141"/>
      <c r="M766" s="143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2.75" customHeight="1">
      <c r="A767" s="138"/>
      <c r="B767" s="139"/>
      <c r="C767" s="139"/>
      <c r="D767" s="194"/>
      <c r="E767" s="141"/>
      <c r="F767" s="142"/>
      <c r="G767" s="141"/>
      <c r="H767" s="142"/>
      <c r="I767" s="194"/>
      <c r="J767" s="141"/>
      <c r="K767" s="141"/>
      <c r="L767" s="141"/>
      <c r="M767" s="143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2.75" customHeight="1">
      <c r="A768" s="138"/>
      <c r="B768" s="139"/>
      <c r="C768" s="139"/>
      <c r="D768" s="194"/>
      <c r="E768" s="141"/>
      <c r="F768" s="142"/>
      <c r="G768" s="141"/>
      <c r="H768" s="142"/>
      <c r="I768" s="194"/>
      <c r="J768" s="141"/>
      <c r="K768" s="141"/>
      <c r="L768" s="141"/>
      <c r="M768" s="143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2.75" customHeight="1">
      <c r="A769" s="138"/>
      <c r="B769" s="139"/>
      <c r="C769" s="139"/>
      <c r="D769" s="194"/>
      <c r="E769" s="141"/>
      <c r="F769" s="142"/>
      <c r="G769" s="141"/>
      <c r="H769" s="142"/>
      <c r="I769" s="194"/>
      <c r="J769" s="141"/>
      <c r="K769" s="141"/>
      <c r="L769" s="141"/>
      <c r="M769" s="143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2.75" customHeight="1">
      <c r="A770" s="138"/>
      <c r="B770" s="139"/>
      <c r="C770" s="139"/>
      <c r="D770" s="194"/>
      <c r="E770" s="141"/>
      <c r="F770" s="142"/>
      <c r="G770" s="141"/>
      <c r="H770" s="142"/>
      <c r="I770" s="194"/>
      <c r="J770" s="141"/>
      <c r="K770" s="141"/>
      <c r="L770" s="141"/>
      <c r="M770" s="143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2.75" customHeight="1">
      <c r="A771" s="138"/>
      <c r="B771" s="139"/>
      <c r="C771" s="139"/>
      <c r="D771" s="194"/>
      <c r="E771" s="141"/>
      <c r="F771" s="142"/>
      <c r="G771" s="141"/>
      <c r="H771" s="142"/>
      <c r="I771" s="194"/>
      <c r="J771" s="141"/>
      <c r="K771" s="141"/>
      <c r="L771" s="141"/>
      <c r="M771" s="143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2.75" customHeight="1">
      <c r="A772" s="138"/>
      <c r="B772" s="139"/>
      <c r="C772" s="139"/>
      <c r="D772" s="194"/>
      <c r="E772" s="141"/>
      <c r="F772" s="142"/>
      <c r="G772" s="141"/>
      <c r="H772" s="142"/>
      <c r="I772" s="194"/>
      <c r="J772" s="141"/>
      <c r="K772" s="141"/>
      <c r="L772" s="141"/>
      <c r="M772" s="143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2.75" customHeight="1">
      <c r="A773" s="138"/>
      <c r="B773" s="139"/>
      <c r="C773" s="139"/>
      <c r="D773" s="194"/>
      <c r="E773" s="141"/>
      <c r="F773" s="142"/>
      <c r="G773" s="141"/>
      <c r="H773" s="142"/>
      <c r="I773" s="194"/>
      <c r="J773" s="141"/>
      <c r="K773" s="141"/>
      <c r="L773" s="141"/>
      <c r="M773" s="143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2.75" customHeight="1">
      <c r="A774" s="138"/>
      <c r="B774" s="139"/>
      <c r="C774" s="139"/>
      <c r="D774" s="194"/>
      <c r="E774" s="141"/>
      <c r="F774" s="142"/>
      <c r="G774" s="141"/>
      <c r="H774" s="142"/>
      <c r="I774" s="194"/>
      <c r="J774" s="141"/>
      <c r="K774" s="141"/>
      <c r="L774" s="141"/>
      <c r="M774" s="143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2.75" customHeight="1">
      <c r="A775" s="138"/>
      <c r="B775" s="139"/>
      <c r="C775" s="139"/>
      <c r="D775" s="194"/>
      <c r="E775" s="141"/>
      <c r="F775" s="142"/>
      <c r="G775" s="141"/>
      <c r="H775" s="142"/>
      <c r="I775" s="194"/>
      <c r="J775" s="141"/>
      <c r="K775" s="141"/>
      <c r="L775" s="141"/>
      <c r="M775" s="143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2.75" customHeight="1">
      <c r="A776" s="138"/>
      <c r="B776" s="139"/>
      <c r="C776" s="139"/>
      <c r="D776" s="194"/>
      <c r="E776" s="141"/>
      <c r="F776" s="142"/>
      <c r="G776" s="141"/>
      <c r="H776" s="142"/>
      <c r="I776" s="194"/>
      <c r="J776" s="141"/>
      <c r="K776" s="141"/>
      <c r="L776" s="141"/>
      <c r="M776" s="143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2.75" customHeight="1">
      <c r="A777" s="138"/>
      <c r="B777" s="139"/>
      <c r="C777" s="139"/>
      <c r="D777" s="194"/>
      <c r="E777" s="141"/>
      <c r="F777" s="142"/>
      <c r="G777" s="141"/>
      <c r="H777" s="142"/>
      <c r="I777" s="194"/>
      <c r="J777" s="141"/>
      <c r="K777" s="141"/>
      <c r="L777" s="141"/>
      <c r="M777" s="143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2.75" customHeight="1">
      <c r="A778" s="138"/>
      <c r="B778" s="139"/>
      <c r="C778" s="139"/>
      <c r="D778" s="194"/>
      <c r="E778" s="141"/>
      <c r="F778" s="142"/>
      <c r="G778" s="141"/>
      <c r="H778" s="142"/>
      <c r="I778" s="194"/>
      <c r="J778" s="141"/>
      <c r="K778" s="141"/>
      <c r="L778" s="141"/>
      <c r="M778" s="143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2.75" customHeight="1">
      <c r="A779" s="138"/>
      <c r="B779" s="139"/>
      <c r="C779" s="139"/>
      <c r="D779" s="194"/>
      <c r="E779" s="141"/>
      <c r="F779" s="142"/>
      <c r="G779" s="141"/>
      <c r="H779" s="142"/>
      <c r="I779" s="194"/>
      <c r="J779" s="141"/>
      <c r="K779" s="141"/>
      <c r="L779" s="141"/>
      <c r="M779" s="143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2.75" customHeight="1">
      <c r="A780" s="138"/>
      <c r="B780" s="139"/>
      <c r="C780" s="139"/>
      <c r="D780" s="194"/>
      <c r="E780" s="141"/>
      <c r="F780" s="142"/>
      <c r="G780" s="141"/>
      <c r="H780" s="142"/>
      <c r="I780" s="194"/>
      <c r="J780" s="141"/>
      <c r="K780" s="141"/>
      <c r="L780" s="141"/>
      <c r="M780" s="143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2.75" customHeight="1">
      <c r="A781" s="138"/>
      <c r="B781" s="139"/>
      <c r="C781" s="139"/>
      <c r="D781" s="194"/>
      <c r="E781" s="141"/>
      <c r="F781" s="142"/>
      <c r="G781" s="141"/>
      <c r="H781" s="142"/>
      <c r="I781" s="194"/>
      <c r="J781" s="141"/>
      <c r="K781" s="141"/>
      <c r="L781" s="141"/>
      <c r="M781" s="143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2.75" customHeight="1">
      <c r="A782" s="138"/>
      <c r="B782" s="139"/>
      <c r="C782" s="139"/>
      <c r="D782" s="194"/>
      <c r="E782" s="141"/>
      <c r="F782" s="142"/>
      <c r="G782" s="141"/>
      <c r="H782" s="142"/>
      <c r="I782" s="194"/>
      <c r="J782" s="141"/>
      <c r="K782" s="141"/>
      <c r="L782" s="141"/>
      <c r="M782" s="143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2.75" customHeight="1">
      <c r="A783" s="138"/>
      <c r="B783" s="139"/>
      <c r="C783" s="139"/>
      <c r="D783" s="194"/>
      <c r="E783" s="141"/>
      <c r="F783" s="142"/>
      <c r="G783" s="141"/>
      <c r="H783" s="142"/>
      <c r="I783" s="194"/>
      <c r="J783" s="141"/>
      <c r="K783" s="141"/>
      <c r="L783" s="141"/>
      <c r="M783" s="143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2.75" customHeight="1">
      <c r="A784" s="138"/>
      <c r="B784" s="139"/>
      <c r="C784" s="139"/>
      <c r="D784" s="194"/>
      <c r="E784" s="141"/>
      <c r="F784" s="142"/>
      <c r="G784" s="141"/>
      <c r="H784" s="142"/>
      <c r="I784" s="194"/>
      <c r="J784" s="141"/>
      <c r="K784" s="141"/>
      <c r="L784" s="141"/>
      <c r="M784" s="143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2.75" customHeight="1">
      <c r="A785" s="138"/>
      <c r="B785" s="139"/>
      <c r="C785" s="139"/>
      <c r="D785" s="194"/>
      <c r="E785" s="141"/>
      <c r="F785" s="142"/>
      <c r="G785" s="141"/>
      <c r="H785" s="142"/>
      <c r="I785" s="194"/>
      <c r="J785" s="141"/>
      <c r="K785" s="141"/>
      <c r="L785" s="141"/>
      <c r="M785" s="143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2.75" customHeight="1">
      <c r="A786" s="138"/>
      <c r="B786" s="139"/>
      <c r="C786" s="139"/>
      <c r="D786" s="194"/>
      <c r="E786" s="141"/>
      <c r="F786" s="142"/>
      <c r="G786" s="141"/>
      <c r="H786" s="142"/>
      <c r="I786" s="194"/>
      <c r="J786" s="141"/>
      <c r="K786" s="141"/>
      <c r="L786" s="141"/>
      <c r="M786" s="143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2.75" customHeight="1">
      <c r="A787" s="138"/>
      <c r="B787" s="139"/>
      <c r="C787" s="139"/>
      <c r="D787" s="194"/>
      <c r="E787" s="141"/>
      <c r="F787" s="142"/>
      <c r="G787" s="141"/>
      <c r="H787" s="142"/>
      <c r="I787" s="194"/>
      <c r="J787" s="141"/>
      <c r="K787" s="141"/>
      <c r="L787" s="141"/>
      <c r="M787" s="143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2.75" customHeight="1">
      <c r="A788" s="138"/>
      <c r="B788" s="139"/>
      <c r="C788" s="139"/>
      <c r="D788" s="194"/>
      <c r="E788" s="141"/>
      <c r="F788" s="142"/>
      <c r="G788" s="141"/>
      <c r="H788" s="142"/>
      <c r="I788" s="194"/>
      <c r="J788" s="141"/>
      <c r="K788" s="141"/>
      <c r="L788" s="141"/>
      <c r="M788" s="143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2.75" customHeight="1">
      <c r="A789" s="138"/>
      <c r="B789" s="139"/>
      <c r="C789" s="139"/>
      <c r="D789" s="194"/>
      <c r="E789" s="141"/>
      <c r="F789" s="142"/>
      <c r="G789" s="141"/>
      <c r="H789" s="142"/>
      <c r="I789" s="194"/>
      <c r="J789" s="141"/>
      <c r="K789" s="141"/>
      <c r="L789" s="141"/>
      <c r="M789" s="143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2.75" customHeight="1">
      <c r="A790" s="138"/>
      <c r="B790" s="139"/>
      <c r="C790" s="139"/>
      <c r="D790" s="194"/>
      <c r="E790" s="141"/>
      <c r="F790" s="142"/>
      <c r="G790" s="141"/>
      <c r="H790" s="142"/>
      <c r="I790" s="194"/>
      <c r="J790" s="141"/>
      <c r="K790" s="141"/>
      <c r="L790" s="141"/>
      <c r="M790" s="143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2.75" customHeight="1">
      <c r="A791" s="138"/>
      <c r="B791" s="139"/>
      <c r="C791" s="139"/>
      <c r="D791" s="194"/>
      <c r="E791" s="141"/>
      <c r="F791" s="142"/>
      <c r="G791" s="141"/>
      <c r="H791" s="142"/>
      <c r="I791" s="194"/>
      <c r="J791" s="141"/>
      <c r="K791" s="141"/>
      <c r="L791" s="141"/>
      <c r="M791" s="143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2.75" customHeight="1">
      <c r="A792" s="138"/>
      <c r="B792" s="139"/>
      <c r="C792" s="139"/>
      <c r="D792" s="194"/>
      <c r="E792" s="141"/>
      <c r="F792" s="142"/>
      <c r="G792" s="141"/>
      <c r="H792" s="142"/>
      <c r="I792" s="194"/>
      <c r="J792" s="141"/>
      <c r="K792" s="141"/>
      <c r="L792" s="141"/>
      <c r="M792" s="143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2.75" customHeight="1">
      <c r="A793" s="138"/>
      <c r="B793" s="139"/>
      <c r="C793" s="139"/>
      <c r="D793" s="194"/>
      <c r="E793" s="141"/>
      <c r="F793" s="142"/>
      <c r="G793" s="141"/>
      <c r="H793" s="142"/>
      <c r="I793" s="194"/>
      <c r="J793" s="141"/>
      <c r="K793" s="141"/>
      <c r="L793" s="141"/>
      <c r="M793" s="143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2.75" customHeight="1">
      <c r="A794" s="138"/>
      <c r="B794" s="139"/>
      <c r="C794" s="139"/>
      <c r="D794" s="194"/>
      <c r="E794" s="141"/>
      <c r="F794" s="142"/>
      <c r="G794" s="141"/>
      <c r="H794" s="142"/>
      <c r="I794" s="194"/>
      <c r="J794" s="141"/>
      <c r="K794" s="141"/>
      <c r="L794" s="141"/>
      <c r="M794" s="143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2.75" customHeight="1">
      <c r="A795" s="138"/>
      <c r="B795" s="139"/>
      <c r="C795" s="139"/>
      <c r="D795" s="194"/>
      <c r="E795" s="141"/>
      <c r="F795" s="142"/>
      <c r="G795" s="141"/>
      <c r="H795" s="142"/>
      <c r="I795" s="194"/>
      <c r="J795" s="141"/>
      <c r="K795" s="141"/>
      <c r="L795" s="141"/>
      <c r="M795" s="143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2.75" customHeight="1">
      <c r="A796" s="138"/>
      <c r="B796" s="139"/>
      <c r="C796" s="139"/>
      <c r="D796" s="194"/>
      <c r="E796" s="141"/>
      <c r="F796" s="142"/>
      <c r="G796" s="141"/>
      <c r="H796" s="142"/>
      <c r="I796" s="194"/>
      <c r="J796" s="141"/>
      <c r="K796" s="141"/>
      <c r="L796" s="141"/>
      <c r="M796" s="143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2.75" customHeight="1">
      <c r="A797" s="138"/>
      <c r="B797" s="139"/>
      <c r="C797" s="139"/>
      <c r="D797" s="194"/>
      <c r="E797" s="141"/>
      <c r="F797" s="142"/>
      <c r="G797" s="141"/>
      <c r="H797" s="142"/>
      <c r="I797" s="194"/>
      <c r="J797" s="141"/>
      <c r="K797" s="141"/>
      <c r="L797" s="141"/>
      <c r="M797" s="143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2.75" customHeight="1">
      <c r="A798" s="138"/>
      <c r="B798" s="139"/>
      <c r="C798" s="139"/>
      <c r="D798" s="194"/>
      <c r="E798" s="141"/>
      <c r="F798" s="142"/>
      <c r="G798" s="141"/>
      <c r="H798" s="142"/>
      <c r="I798" s="194"/>
      <c r="J798" s="141"/>
      <c r="K798" s="141"/>
      <c r="L798" s="141"/>
      <c r="M798" s="143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2.75" customHeight="1">
      <c r="A799" s="138"/>
      <c r="B799" s="139"/>
      <c r="C799" s="139"/>
      <c r="D799" s="194"/>
      <c r="E799" s="141"/>
      <c r="F799" s="142"/>
      <c r="G799" s="141"/>
      <c r="H799" s="142"/>
      <c r="I799" s="194"/>
      <c r="J799" s="141"/>
      <c r="K799" s="141"/>
      <c r="L799" s="141"/>
      <c r="M799" s="143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2.75" customHeight="1">
      <c r="A800" s="138"/>
      <c r="B800" s="139"/>
      <c r="C800" s="139"/>
      <c r="D800" s="194"/>
      <c r="E800" s="141"/>
      <c r="F800" s="142"/>
      <c r="G800" s="141"/>
      <c r="H800" s="142"/>
      <c r="I800" s="194"/>
      <c r="J800" s="141"/>
      <c r="K800" s="141"/>
      <c r="L800" s="141"/>
      <c r="M800" s="143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2.75" customHeight="1">
      <c r="A801" s="138"/>
      <c r="B801" s="139"/>
      <c r="C801" s="139"/>
      <c r="D801" s="194"/>
      <c r="E801" s="141"/>
      <c r="F801" s="142"/>
      <c r="G801" s="141"/>
      <c r="H801" s="142"/>
      <c r="I801" s="194"/>
      <c r="J801" s="141"/>
      <c r="K801" s="141"/>
      <c r="L801" s="141"/>
      <c r="M801" s="143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2.75" customHeight="1">
      <c r="A802" s="138"/>
      <c r="B802" s="139"/>
      <c r="C802" s="139"/>
      <c r="D802" s="194"/>
      <c r="E802" s="141"/>
      <c r="F802" s="142"/>
      <c r="G802" s="141"/>
      <c r="H802" s="142"/>
      <c r="I802" s="194"/>
      <c r="J802" s="141"/>
      <c r="K802" s="141"/>
      <c r="L802" s="141"/>
      <c r="M802" s="143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2.75" customHeight="1">
      <c r="A803" s="138"/>
      <c r="B803" s="139"/>
      <c r="C803" s="139"/>
      <c r="D803" s="194"/>
      <c r="E803" s="141"/>
      <c r="F803" s="142"/>
      <c r="G803" s="141"/>
      <c r="H803" s="142"/>
      <c r="I803" s="194"/>
      <c r="J803" s="141"/>
      <c r="K803" s="141"/>
      <c r="L803" s="141"/>
      <c r="M803" s="143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2.75" customHeight="1">
      <c r="A804" s="138"/>
      <c r="B804" s="139"/>
      <c r="C804" s="139"/>
      <c r="D804" s="194"/>
      <c r="E804" s="141"/>
      <c r="F804" s="142"/>
      <c r="G804" s="141"/>
      <c r="H804" s="142"/>
      <c r="I804" s="194"/>
      <c r="J804" s="141"/>
      <c r="K804" s="141"/>
      <c r="L804" s="141"/>
      <c r="M804" s="143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2.75" customHeight="1">
      <c r="A805" s="138"/>
      <c r="B805" s="139"/>
      <c r="C805" s="139"/>
      <c r="D805" s="194"/>
      <c r="E805" s="141"/>
      <c r="F805" s="142"/>
      <c r="G805" s="141"/>
      <c r="H805" s="142"/>
      <c r="I805" s="194"/>
      <c r="J805" s="141"/>
      <c r="K805" s="141"/>
      <c r="L805" s="141"/>
      <c r="M805" s="143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2.75" customHeight="1">
      <c r="A806" s="138"/>
      <c r="B806" s="139"/>
      <c r="C806" s="139"/>
      <c r="D806" s="194"/>
      <c r="E806" s="141"/>
      <c r="F806" s="142"/>
      <c r="G806" s="141"/>
      <c r="H806" s="142"/>
      <c r="I806" s="194"/>
      <c r="J806" s="141"/>
      <c r="K806" s="141"/>
      <c r="L806" s="141"/>
      <c r="M806" s="143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2.75" customHeight="1">
      <c r="A807" s="138"/>
      <c r="B807" s="139"/>
      <c r="C807" s="139"/>
      <c r="D807" s="194"/>
      <c r="E807" s="141"/>
      <c r="F807" s="142"/>
      <c r="G807" s="141"/>
      <c r="H807" s="142"/>
      <c r="I807" s="194"/>
      <c r="J807" s="141"/>
      <c r="K807" s="141"/>
      <c r="L807" s="141"/>
      <c r="M807" s="143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2.75" customHeight="1">
      <c r="A808" s="138"/>
      <c r="B808" s="139"/>
      <c r="C808" s="139"/>
      <c r="D808" s="194"/>
      <c r="E808" s="141"/>
      <c r="F808" s="142"/>
      <c r="G808" s="141"/>
      <c r="H808" s="142"/>
      <c r="I808" s="194"/>
      <c r="J808" s="141"/>
      <c r="K808" s="141"/>
      <c r="L808" s="141"/>
      <c r="M808" s="143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2.75" customHeight="1">
      <c r="A809" s="138"/>
      <c r="B809" s="139"/>
      <c r="C809" s="139"/>
      <c r="D809" s="194"/>
      <c r="E809" s="141"/>
      <c r="F809" s="142"/>
      <c r="G809" s="141"/>
      <c r="H809" s="142"/>
      <c r="I809" s="194"/>
      <c r="J809" s="141"/>
      <c r="K809" s="141"/>
      <c r="L809" s="141"/>
      <c r="M809" s="143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2.75" customHeight="1">
      <c r="A810" s="138"/>
      <c r="B810" s="139"/>
      <c r="C810" s="139"/>
      <c r="D810" s="194"/>
      <c r="E810" s="141"/>
      <c r="F810" s="142"/>
      <c r="G810" s="141"/>
      <c r="H810" s="142"/>
      <c r="I810" s="194"/>
      <c r="J810" s="141"/>
      <c r="K810" s="141"/>
      <c r="L810" s="141"/>
      <c r="M810" s="143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2.75" customHeight="1">
      <c r="A811" s="138"/>
      <c r="B811" s="139"/>
      <c r="C811" s="139"/>
      <c r="D811" s="194"/>
      <c r="E811" s="141"/>
      <c r="F811" s="142"/>
      <c r="G811" s="141"/>
      <c r="H811" s="142"/>
      <c r="I811" s="194"/>
      <c r="J811" s="141"/>
      <c r="K811" s="141"/>
      <c r="L811" s="141"/>
      <c r="M811" s="143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2.75" customHeight="1">
      <c r="A812" s="138"/>
      <c r="B812" s="139"/>
      <c r="C812" s="139"/>
      <c r="D812" s="194"/>
      <c r="E812" s="141"/>
      <c r="F812" s="142"/>
      <c r="G812" s="141"/>
      <c r="H812" s="142"/>
      <c r="I812" s="194"/>
      <c r="J812" s="141"/>
      <c r="K812" s="141"/>
      <c r="L812" s="141"/>
      <c r="M812" s="143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2.75" customHeight="1">
      <c r="A813" s="138"/>
      <c r="B813" s="139"/>
      <c r="C813" s="139"/>
      <c r="D813" s="194"/>
      <c r="E813" s="141"/>
      <c r="F813" s="142"/>
      <c r="G813" s="141"/>
      <c r="H813" s="142"/>
      <c r="I813" s="194"/>
      <c r="J813" s="141"/>
      <c r="K813" s="141"/>
      <c r="L813" s="141"/>
      <c r="M813" s="143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2.75" customHeight="1">
      <c r="A814" s="138"/>
      <c r="B814" s="139"/>
      <c r="C814" s="139"/>
      <c r="D814" s="194"/>
      <c r="E814" s="141"/>
      <c r="F814" s="142"/>
      <c r="G814" s="141"/>
      <c r="H814" s="142"/>
      <c r="I814" s="194"/>
      <c r="J814" s="141"/>
      <c r="K814" s="141"/>
      <c r="L814" s="141"/>
      <c r="M814" s="143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2.75" customHeight="1">
      <c r="A815" s="138"/>
      <c r="B815" s="139"/>
      <c r="C815" s="139"/>
      <c r="D815" s="194"/>
      <c r="E815" s="141"/>
      <c r="F815" s="142"/>
      <c r="G815" s="141"/>
      <c r="H815" s="142"/>
      <c r="I815" s="194"/>
      <c r="J815" s="141"/>
      <c r="K815" s="141"/>
      <c r="L815" s="141"/>
      <c r="M815" s="143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2.75" customHeight="1">
      <c r="A816" s="138"/>
      <c r="B816" s="139"/>
      <c r="C816" s="139"/>
      <c r="D816" s="194"/>
      <c r="E816" s="141"/>
      <c r="F816" s="142"/>
      <c r="G816" s="141"/>
      <c r="H816" s="142"/>
      <c r="I816" s="194"/>
      <c r="J816" s="141"/>
      <c r="K816" s="141"/>
      <c r="L816" s="141"/>
      <c r="M816" s="143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2.75" customHeight="1">
      <c r="A817" s="138"/>
      <c r="B817" s="139"/>
      <c r="C817" s="139"/>
      <c r="D817" s="194"/>
      <c r="E817" s="141"/>
      <c r="F817" s="142"/>
      <c r="G817" s="141"/>
      <c r="H817" s="142"/>
      <c r="I817" s="194"/>
      <c r="J817" s="141"/>
      <c r="K817" s="141"/>
      <c r="L817" s="141"/>
      <c r="M817" s="143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2.75" customHeight="1">
      <c r="A818" s="138"/>
      <c r="B818" s="139"/>
      <c r="C818" s="139"/>
      <c r="D818" s="194"/>
      <c r="E818" s="141"/>
      <c r="F818" s="142"/>
      <c r="G818" s="141"/>
      <c r="H818" s="142"/>
      <c r="I818" s="194"/>
      <c r="J818" s="141"/>
      <c r="K818" s="141"/>
      <c r="L818" s="141"/>
      <c r="M818" s="143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2.75" customHeight="1">
      <c r="A819" s="138"/>
      <c r="B819" s="139"/>
      <c r="C819" s="139"/>
      <c r="D819" s="194"/>
      <c r="E819" s="141"/>
      <c r="F819" s="142"/>
      <c r="G819" s="141"/>
      <c r="H819" s="142"/>
      <c r="I819" s="194"/>
      <c r="J819" s="141"/>
      <c r="K819" s="141"/>
      <c r="L819" s="141"/>
      <c r="M819" s="143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2.75" customHeight="1">
      <c r="A820" s="138"/>
      <c r="B820" s="139"/>
      <c r="C820" s="139"/>
      <c r="D820" s="194"/>
      <c r="E820" s="141"/>
      <c r="F820" s="142"/>
      <c r="G820" s="141"/>
      <c r="H820" s="142"/>
      <c r="I820" s="194"/>
      <c r="J820" s="141"/>
      <c r="K820" s="141"/>
      <c r="L820" s="141"/>
      <c r="M820" s="143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2.75" customHeight="1">
      <c r="A821" s="138"/>
      <c r="B821" s="139"/>
      <c r="C821" s="139"/>
      <c r="D821" s="194"/>
      <c r="E821" s="141"/>
      <c r="F821" s="142"/>
      <c r="G821" s="141"/>
      <c r="H821" s="142"/>
      <c r="I821" s="194"/>
      <c r="J821" s="141"/>
      <c r="K821" s="141"/>
      <c r="L821" s="141"/>
      <c r="M821" s="143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2.75" customHeight="1">
      <c r="A822" s="138"/>
      <c r="B822" s="139"/>
      <c r="C822" s="139"/>
      <c r="D822" s="194"/>
      <c r="E822" s="141"/>
      <c r="F822" s="142"/>
      <c r="G822" s="141"/>
      <c r="H822" s="142"/>
      <c r="I822" s="194"/>
      <c r="J822" s="141"/>
      <c r="K822" s="141"/>
      <c r="L822" s="141"/>
      <c r="M822" s="143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2.75" customHeight="1">
      <c r="A823" s="138"/>
      <c r="B823" s="139"/>
      <c r="C823" s="139"/>
      <c r="D823" s="194"/>
      <c r="E823" s="141"/>
      <c r="F823" s="142"/>
      <c r="G823" s="141"/>
      <c r="H823" s="142"/>
      <c r="I823" s="194"/>
      <c r="J823" s="141"/>
      <c r="K823" s="141"/>
      <c r="L823" s="141"/>
      <c r="M823" s="143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2.75" customHeight="1">
      <c r="A824" s="138"/>
      <c r="B824" s="139"/>
      <c r="C824" s="139"/>
      <c r="D824" s="194"/>
      <c r="E824" s="141"/>
      <c r="F824" s="142"/>
      <c r="G824" s="141"/>
      <c r="H824" s="142"/>
      <c r="I824" s="194"/>
      <c r="J824" s="141"/>
      <c r="K824" s="141"/>
      <c r="L824" s="141"/>
      <c r="M824" s="143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2.75" customHeight="1">
      <c r="A825" s="138"/>
      <c r="B825" s="139"/>
      <c r="C825" s="139"/>
      <c r="D825" s="194"/>
      <c r="E825" s="141"/>
      <c r="F825" s="142"/>
      <c r="G825" s="141"/>
      <c r="H825" s="142"/>
      <c r="I825" s="194"/>
      <c r="J825" s="141"/>
      <c r="K825" s="141"/>
      <c r="L825" s="141"/>
      <c r="M825" s="143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2.75" customHeight="1">
      <c r="A826" s="138"/>
      <c r="B826" s="139"/>
      <c r="C826" s="139"/>
      <c r="D826" s="194"/>
      <c r="E826" s="141"/>
      <c r="F826" s="142"/>
      <c r="G826" s="141"/>
      <c r="H826" s="142"/>
      <c r="I826" s="194"/>
      <c r="J826" s="141"/>
      <c r="K826" s="141"/>
      <c r="L826" s="141"/>
      <c r="M826" s="143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2.75" customHeight="1">
      <c r="A827" s="138"/>
      <c r="B827" s="139"/>
      <c r="C827" s="139"/>
      <c r="D827" s="194"/>
      <c r="E827" s="141"/>
      <c r="F827" s="142"/>
      <c r="G827" s="141"/>
      <c r="H827" s="142"/>
      <c r="I827" s="194"/>
      <c r="J827" s="141"/>
      <c r="K827" s="141"/>
      <c r="L827" s="141"/>
      <c r="M827" s="143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2.75" customHeight="1">
      <c r="A828" s="138"/>
      <c r="B828" s="139"/>
      <c r="C828" s="139"/>
      <c r="D828" s="194"/>
      <c r="E828" s="141"/>
      <c r="F828" s="142"/>
      <c r="G828" s="141"/>
      <c r="H828" s="142"/>
      <c r="I828" s="194"/>
      <c r="J828" s="141"/>
      <c r="K828" s="141"/>
      <c r="L828" s="141"/>
      <c r="M828" s="143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2.75" customHeight="1">
      <c r="A829" s="138"/>
      <c r="B829" s="139"/>
      <c r="C829" s="139"/>
      <c r="D829" s="194"/>
      <c r="E829" s="141"/>
      <c r="F829" s="142"/>
      <c r="G829" s="141"/>
      <c r="H829" s="142"/>
      <c r="I829" s="194"/>
      <c r="J829" s="141"/>
      <c r="K829" s="141"/>
      <c r="L829" s="141"/>
      <c r="M829" s="143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2.75" customHeight="1">
      <c r="A830" s="138"/>
      <c r="B830" s="139"/>
      <c r="C830" s="139"/>
      <c r="D830" s="194"/>
      <c r="E830" s="141"/>
      <c r="F830" s="142"/>
      <c r="G830" s="141"/>
      <c r="H830" s="142"/>
      <c r="I830" s="194"/>
      <c r="J830" s="141"/>
      <c r="K830" s="141"/>
      <c r="L830" s="141"/>
      <c r="M830" s="143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2.75" customHeight="1">
      <c r="A831" s="138"/>
      <c r="B831" s="139"/>
      <c r="C831" s="139"/>
      <c r="D831" s="194"/>
      <c r="E831" s="141"/>
      <c r="F831" s="142"/>
      <c r="G831" s="141"/>
      <c r="H831" s="142"/>
      <c r="I831" s="194"/>
      <c r="J831" s="141"/>
      <c r="K831" s="141"/>
      <c r="L831" s="141"/>
      <c r="M831" s="143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2.75" customHeight="1">
      <c r="A832" s="138"/>
      <c r="B832" s="139"/>
      <c r="C832" s="139"/>
      <c r="D832" s="194"/>
      <c r="E832" s="141"/>
      <c r="F832" s="142"/>
      <c r="G832" s="141"/>
      <c r="H832" s="142"/>
      <c r="I832" s="194"/>
      <c r="J832" s="141"/>
      <c r="K832" s="141"/>
      <c r="L832" s="141"/>
      <c r="M832" s="143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2.75" customHeight="1">
      <c r="A833" s="138"/>
      <c r="B833" s="139"/>
      <c r="C833" s="139"/>
      <c r="D833" s="194"/>
      <c r="E833" s="141"/>
      <c r="F833" s="142"/>
      <c r="G833" s="141"/>
      <c r="H833" s="142"/>
      <c r="I833" s="194"/>
      <c r="J833" s="141"/>
      <c r="K833" s="141"/>
      <c r="L833" s="141"/>
      <c r="M833" s="143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2.75" customHeight="1">
      <c r="A834" s="138"/>
      <c r="B834" s="139"/>
      <c r="C834" s="139"/>
      <c r="D834" s="194"/>
      <c r="E834" s="141"/>
      <c r="F834" s="142"/>
      <c r="G834" s="141"/>
      <c r="H834" s="142"/>
      <c r="I834" s="194"/>
      <c r="J834" s="141"/>
      <c r="K834" s="141"/>
      <c r="L834" s="141"/>
      <c r="M834" s="143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2.75" customHeight="1">
      <c r="A835" s="138"/>
      <c r="B835" s="139"/>
      <c r="C835" s="139"/>
      <c r="D835" s="194"/>
      <c r="E835" s="141"/>
      <c r="F835" s="142"/>
      <c r="G835" s="141"/>
      <c r="H835" s="142"/>
      <c r="I835" s="194"/>
      <c r="J835" s="141"/>
      <c r="K835" s="141"/>
      <c r="L835" s="141"/>
      <c r="M835" s="143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2.75" customHeight="1">
      <c r="A836" s="138"/>
      <c r="B836" s="139"/>
      <c r="C836" s="139"/>
      <c r="D836" s="194"/>
      <c r="E836" s="141"/>
      <c r="F836" s="142"/>
      <c r="G836" s="141"/>
      <c r="H836" s="142"/>
      <c r="I836" s="194"/>
      <c r="J836" s="141"/>
      <c r="K836" s="141"/>
      <c r="L836" s="141"/>
      <c r="M836" s="143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2.75" customHeight="1">
      <c r="A837" s="138"/>
      <c r="B837" s="139"/>
      <c r="C837" s="139"/>
      <c r="D837" s="194"/>
      <c r="E837" s="141"/>
      <c r="F837" s="142"/>
      <c r="G837" s="141"/>
      <c r="H837" s="142"/>
      <c r="I837" s="194"/>
      <c r="J837" s="141"/>
      <c r="K837" s="141"/>
      <c r="L837" s="141"/>
      <c r="M837" s="143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2.75" customHeight="1">
      <c r="A838" s="138"/>
      <c r="B838" s="139"/>
      <c r="C838" s="139"/>
      <c r="D838" s="194"/>
      <c r="E838" s="141"/>
      <c r="F838" s="142"/>
      <c r="G838" s="141"/>
      <c r="H838" s="142"/>
      <c r="I838" s="194"/>
      <c r="J838" s="141"/>
      <c r="K838" s="141"/>
      <c r="L838" s="141"/>
      <c r="M838" s="143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2.75" customHeight="1">
      <c r="A839" s="138"/>
      <c r="B839" s="139"/>
      <c r="C839" s="139"/>
      <c r="D839" s="194"/>
      <c r="E839" s="141"/>
      <c r="F839" s="142"/>
      <c r="G839" s="141"/>
      <c r="H839" s="142"/>
      <c r="I839" s="194"/>
      <c r="J839" s="141"/>
      <c r="K839" s="141"/>
      <c r="L839" s="141"/>
      <c r="M839" s="143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2.75" customHeight="1">
      <c r="A840" s="138"/>
      <c r="B840" s="139"/>
      <c r="C840" s="139"/>
      <c r="D840" s="194"/>
      <c r="E840" s="141"/>
      <c r="F840" s="142"/>
      <c r="G840" s="141"/>
      <c r="H840" s="142"/>
      <c r="I840" s="194"/>
      <c r="J840" s="141"/>
      <c r="K840" s="141"/>
      <c r="L840" s="141"/>
      <c r="M840" s="143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2.75" customHeight="1">
      <c r="A841" s="138"/>
      <c r="B841" s="139"/>
      <c r="C841" s="139"/>
      <c r="D841" s="194"/>
      <c r="E841" s="141"/>
      <c r="F841" s="142"/>
      <c r="G841" s="141"/>
      <c r="H841" s="142"/>
      <c r="I841" s="194"/>
      <c r="J841" s="141"/>
      <c r="K841" s="141"/>
      <c r="L841" s="141"/>
      <c r="M841" s="143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2.75" customHeight="1">
      <c r="A842" s="138"/>
      <c r="B842" s="139"/>
      <c r="C842" s="139"/>
      <c r="D842" s="194"/>
      <c r="E842" s="141"/>
      <c r="F842" s="142"/>
      <c r="G842" s="141"/>
      <c r="H842" s="142"/>
      <c r="I842" s="194"/>
      <c r="J842" s="141"/>
      <c r="K842" s="141"/>
      <c r="L842" s="141"/>
      <c r="M842" s="143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2.75" customHeight="1">
      <c r="A843" s="138"/>
      <c r="B843" s="139"/>
      <c r="C843" s="139"/>
      <c r="D843" s="194"/>
      <c r="E843" s="141"/>
      <c r="F843" s="142"/>
      <c r="G843" s="141"/>
      <c r="H843" s="142"/>
      <c r="I843" s="194"/>
      <c r="J843" s="141"/>
      <c r="K843" s="141"/>
      <c r="L843" s="141"/>
      <c r="M843" s="143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2.75" customHeight="1">
      <c r="A844" s="138"/>
      <c r="B844" s="139"/>
      <c r="C844" s="139"/>
      <c r="D844" s="194"/>
      <c r="E844" s="141"/>
      <c r="F844" s="142"/>
      <c r="G844" s="141"/>
      <c r="H844" s="142"/>
      <c r="I844" s="194"/>
      <c r="J844" s="141"/>
      <c r="K844" s="141"/>
      <c r="L844" s="141"/>
      <c r="M844" s="143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2.75" customHeight="1">
      <c r="A845" s="138"/>
      <c r="B845" s="139"/>
      <c r="C845" s="139"/>
      <c r="D845" s="194"/>
      <c r="E845" s="141"/>
      <c r="F845" s="142"/>
      <c r="G845" s="141"/>
      <c r="H845" s="142"/>
      <c r="I845" s="194"/>
      <c r="J845" s="141"/>
      <c r="K845" s="141"/>
      <c r="L845" s="141"/>
      <c r="M845" s="143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2.75" customHeight="1">
      <c r="A846" s="138"/>
      <c r="B846" s="139"/>
      <c r="C846" s="139"/>
      <c r="D846" s="194"/>
      <c r="E846" s="141"/>
      <c r="F846" s="142"/>
      <c r="G846" s="141"/>
      <c r="H846" s="142"/>
      <c r="I846" s="194"/>
      <c r="J846" s="141"/>
      <c r="K846" s="141"/>
      <c r="L846" s="141"/>
      <c r="M846" s="143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2.75" customHeight="1">
      <c r="A847" s="138"/>
      <c r="B847" s="139"/>
      <c r="C847" s="139"/>
      <c r="D847" s="194"/>
      <c r="E847" s="141"/>
      <c r="F847" s="142"/>
      <c r="G847" s="141"/>
      <c r="H847" s="142"/>
      <c r="I847" s="194"/>
      <c r="J847" s="141"/>
      <c r="K847" s="141"/>
      <c r="L847" s="141"/>
      <c r="M847" s="143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2.75" customHeight="1">
      <c r="A848" s="138"/>
      <c r="B848" s="139"/>
      <c r="C848" s="139"/>
      <c r="D848" s="194"/>
      <c r="E848" s="141"/>
      <c r="F848" s="142"/>
      <c r="G848" s="141"/>
      <c r="H848" s="142"/>
      <c r="I848" s="194"/>
      <c r="J848" s="141"/>
      <c r="K848" s="141"/>
      <c r="L848" s="141"/>
      <c r="M848" s="143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2.75" customHeight="1">
      <c r="A849" s="138"/>
      <c r="B849" s="139"/>
      <c r="C849" s="139"/>
      <c r="D849" s="194"/>
      <c r="E849" s="141"/>
      <c r="F849" s="142"/>
      <c r="G849" s="141"/>
      <c r="H849" s="142"/>
      <c r="I849" s="194"/>
      <c r="J849" s="141"/>
      <c r="K849" s="141"/>
      <c r="L849" s="141"/>
      <c r="M849" s="143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2.75" customHeight="1">
      <c r="A850" s="138"/>
      <c r="B850" s="139"/>
      <c r="C850" s="139"/>
      <c r="D850" s="194"/>
      <c r="E850" s="141"/>
      <c r="F850" s="142"/>
      <c r="G850" s="141"/>
      <c r="H850" s="142"/>
      <c r="I850" s="194"/>
      <c r="J850" s="141"/>
      <c r="K850" s="141"/>
      <c r="L850" s="141"/>
      <c r="M850" s="143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2.75" customHeight="1">
      <c r="A851" s="138"/>
      <c r="B851" s="139"/>
      <c r="C851" s="139"/>
      <c r="D851" s="194"/>
      <c r="E851" s="141"/>
      <c r="F851" s="142"/>
      <c r="G851" s="141"/>
      <c r="H851" s="142"/>
      <c r="I851" s="194"/>
      <c r="J851" s="141"/>
      <c r="K851" s="141"/>
      <c r="L851" s="141"/>
      <c r="M851" s="143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2.75" customHeight="1">
      <c r="A852" s="138"/>
      <c r="B852" s="139"/>
      <c r="C852" s="139"/>
      <c r="D852" s="194"/>
      <c r="E852" s="141"/>
      <c r="F852" s="142"/>
      <c r="G852" s="141"/>
      <c r="H852" s="142"/>
      <c r="I852" s="194"/>
      <c r="J852" s="141"/>
      <c r="K852" s="141"/>
      <c r="L852" s="141"/>
      <c r="M852" s="143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2.75" customHeight="1">
      <c r="A853" s="138"/>
      <c r="B853" s="139"/>
      <c r="C853" s="139"/>
      <c r="D853" s="194"/>
      <c r="E853" s="141"/>
      <c r="F853" s="142"/>
      <c r="G853" s="141"/>
      <c r="H853" s="142"/>
      <c r="I853" s="194"/>
      <c r="J853" s="141"/>
      <c r="K853" s="141"/>
      <c r="L853" s="141"/>
      <c r="M853" s="143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2.75" customHeight="1">
      <c r="A854" s="138"/>
      <c r="B854" s="139"/>
      <c r="C854" s="139"/>
      <c r="D854" s="194"/>
      <c r="E854" s="141"/>
      <c r="F854" s="142"/>
      <c r="G854" s="141"/>
      <c r="H854" s="142"/>
      <c r="I854" s="194"/>
      <c r="J854" s="141"/>
      <c r="K854" s="141"/>
      <c r="L854" s="141"/>
      <c r="M854" s="143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2.75" customHeight="1">
      <c r="A855" s="138"/>
      <c r="B855" s="139"/>
      <c r="C855" s="139"/>
      <c r="D855" s="194"/>
      <c r="E855" s="141"/>
      <c r="F855" s="142"/>
      <c r="G855" s="141"/>
      <c r="H855" s="142"/>
      <c r="I855" s="194"/>
      <c r="J855" s="141"/>
      <c r="K855" s="141"/>
      <c r="L855" s="141"/>
      <c r="M855" s="143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2.75" customHeight="1">
      <c r="A856" s="138"/>
      <c r="B856" s="139"/>
      <c r="C856" s="139"/>
      <c r="D856" s="194"/>
      <c r="E856" s="141"/>
      <c r="F856" s="142"/>
      <c r="G856" s="141"/>
      <c r="H856" s="142"/>
      <c r="I856" s="194"/>
      <c r="J856" s="141"/>
      <c r="K856" s="141"/>
      <c r="L856" s="141"/>
      <c r="M856" s="143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2.75" customHeight="1">
      <c r="A857" s="138"/>
      <c r="B857" s="139"/>
      <c r="C857" s="139"/>
      <c r="D857" s="194"/>
      <c r="E857" s="141"/>
      <c r="F857" s="142"/>
      <c r="G857" s="141"/>
      <c r="H857" s="142"/>
      <c r="I857" s="194"/>
      <c r="J857" s="141"/>
      <c r="K857" s="141"/>
      <c r="L857" s="141"/>
      <c r="M857" s="143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2.75" customHeight="1">
      <c r="A858" s="138"/>
      <c r="B858" s="139"/>
      <c r="C858" s="139"/>
      <c r="D858" s="194"/>
      <c r="E858" s="141"/>
      <c r="F858" s="142"/>
      <c r="G858" s="141"/>
      <c r="H858" s="142"/>
      <c r="I858" s="194"/>
      <c r="J858" s="141"/>
      <c r="K858" s="141"/>
      <c r="L858" s="141"/>
      <c r="M858" s="143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2.75" customHeight="1">
      <c r="A859" s="138"/>
      <c r="B859" s="139"/>
      <c r="C859" s="139"/>
      <c r="D859" s="194"/>
      <c r="E859" s="141"/>
      <c r="F859" s="142"/>
      <c r="G859" s="141"/>
      <c r="H859" s="142"/>
      <c r="I859" s="194"/>
      <c r="J859" s="141"/>
      <c r="K859" s="141"/>
      <c r="L859" s="141"/>
      <c r="M859" s="143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2.75" customHeight="1">
      <c r="A860" s="138"/>
      <c r="B860" s="139"/>
      <c r="C860" s="139"/>
      <c r="D860" s="194"/>
      <c r="E860" s="141"/>
      <c r="F860" s="142"/>
      <c r="G860" s="141"/>
      <c r="H860" s="142"/>
      <c r="I860" s="194"/>
      <c r="J860" s="141"/>
      <c r="K860" s="141"/>
      <c r="L860" s="141"/>
      <c r="M860" s="143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2.75" customHeight="1">
      <c r="A861" s="138"/>
      <c r="B861" s="139"/>
      <c r="C861" s="139"/>
      <c r="D861" s="194"/>
      <c r="E861" s="141"/>
      <c r="F861" s="142"/>
      <c r="G861" s="141"/>
      <c r="H861" s="142"/>
      <c r="I861" s="194"/>
      <c r="J861" s="141"/>
      <c r="K861" s="141"/>
      <c r="L861" s="141"/>
      <c r="M861" s="143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2.75" customHeight="1">
      <c r="A862" s="138"/>
      <c r="B862" s="139"/>
      <c r="C862" s="139"/>
      <c r="D862" s="194"/>
      <c r="E862" s="141"/>
      <c r="F862" s="142"/>
      <c r="G862" s="141"/>
      <c r="H862" s="142"/>
      <c r="I862" s="194"/>
      <c r="J862" s="141"/>
      <c r="K862" s="141"/>
      <c r="L862" s="141"/>
      <c r="M862" s="143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2.75" customHeight="1">
      <c r="A863" s="138"/>
      <c r="B863" s="139"/>
      <c r="C863" s="139"/>
      <c r="D863" s="194"/>
      <c r="E863" s="141"/>
      <c r="F863" s="142"/>
      <c r="G863" s="141"/>
      <c r="H863" s="142"/>
      <c r="I863" s="194"/>
      <c r="J863" s="141"/>
      <c r="K863" s="141"/>
      <c r="L863" s="141"/>
      <c r="M863" s="143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2.75" customHeight="1">
      <c r="A864" s="138"/>
      <c r="B864" s="139"/>
      <c r="C864" s="139"/>
      <c r="D864" s="194"/>
      <c r="E864" s="141"/>
      <c r="F864" s="142"/>
      <c r="G864" s="141"/>
      <c r="H864" s="142"/>
      <c r="I864" s="194"/>
      <c r="J864" s="141"/>
      <c r="K864" s="141"/>
      <c r="L864" s="141"/>
      <c r="M864" s="143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2.75" customHeight="1">
      <c r="A865" s="138"/>
      <c r="B865" s="139"/>
      <c r="C865" s="139"/>
      <c r="D865" s="194"/>
      <c r="E865" s="141"/>
      <c r="F865" s="142"/>
      <c r="G865" s="141"/>
      <c r="H865" s="142"/>
      <c r="I865" s="194"/>
      <c r="J865" s="141"/>
      <c r="K865" s="141"/>
      <c r="L865" s="141"/>
      <c r="M865" s="143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2.75" customHeight="1">
      <c r="A866" s="138"/>
      <c r="B866" s="139"/>
      <c r="C866" s="139"/>
      <c r="D866" s="194"/>
      <c r="E866" s="141"/>
      <c r="F866" s="142"/>
      <c r="G866" s="141"/>
      <c r="H866" s="142"/>
      <c r="I866" s="194"/>
      <c r="J866" s="141"/>
      <c r="K866" s="141"/>
      <c r="L866" s="141"/>
      <c r="M866" s="143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2.75" customHeight="1">
      <c r="A867" s="138"/>
      <c r="B867" s="139"/>
      <c r="C867" s="139"/>
      <c r="D867" s="194"/>
      <c r="E867" s="141"/>
      <c r="F867" s="142"/>
      <c r="G867" s="141"/>
      <c r="H867" s="142"/>
      <c r="I867" s="194"/>
      <c r="J867" s="141"/>
      <c r="K867" s="141"/>
      <c r="L867" s="141"/>
      <c r="M867" s="143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2.75" customHeight="1">
      <c r="A868" s="138"/>
      <c r="B868" s="139"/>
      <c r="C868" s="139"/>
      <c r="D868" s="194"/>
      <c r="E868" s="141"/>
      <c r="F868" s="142"/>
      <c r="G868" s="141"/>
      <c r="H868" s="142"/>
      <c r="I868" s="194"/>
      <c r="J868" s="141"/>
      <c r="K868" s="141"/>
      <c r="L868" s="141"/>
      <c r="M868" s="143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2.75" customHeight="1">
      <c r="A869" s="138"/>
      <c r="B869" s="139"/>
      <c r="C869" s="139"/>
      <c r="D869" s="194"/>
      <c r="E869" s="141"/>
      <c r="F869" s="142"/>
      <c r="G869" s="141"/>
      <c r="H869" s="142"/>
      <c r="I869" s="194"/>
      <c r="J869" s="141"/>
      <c r="K869" s="141"/>
      <c r="L869" s="141"/>
      <c r="M869" s="143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2.75" customHeight="1">
      <c r="A870" s="138"/>
      <c r="B870" s="139"/>
      <c r="C870" s="139"/>
      <c r="D870" s="194"/>
      <c r="E870" s="141"/>
      <c r="F870" s="142"/>
      <c r="G870" s="141"/>
      <c r="H870" s="142"/>
      <c r="I870" s="194"/>
      <c r="J870" s="141"/>
      <c r="K870" s="141"/>
      <c r="L870" s="141"/>
      <c r="M870" s="143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2.75" customHeight="1">
      <c r="A871" s="138"/>
      <c r="B871" s="139"/>
      <c r="C871" s="139"/>
      <c r="D871" s="194"/>
      <c r="E871" s="141"/>
      <c r="F871" s="142"/>
      <c r="G871" s="141"/>
      <c r="H871" s="142"/>
      <c r="I871" s="194"/>
      <c r="J871" s="141"/>
      <c r="K871" s="141"/>
      <c r="L871" s="141"/>
      <c r="M871" s="143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2.75" customHeight="1">
      <c r="A872" s="138"/>
      <c r="B872" s="139"/>
      <c r="C872" s="139"/>
      <c r="D872" s="194"/>
      <c r="E872" s="141"/>
      <c r="F872" s="142"/>
      <c r="G872" s="141"/>
      <c r="H872" s="142"/>
      <c r="I872" s="194"/>
      <c r="J872" s="141"/>
      <c r="K872" s="141"/>
      <c r="L872" s="141"/>
      <c r="M872" s="143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2.75" customHeight="1">
      <c r="A873" s="138"/>
      <c r="B873" s="139"/>
      <c r="C873" s="139"/>
      <c r="D873" s="194"/>
      <c r="E873" s="141"/>
      <c r="F873" s="142"/>
      <c r="G873" s="141"/>
      <c r="H873" s="142"/>
      <c r="I873" s="194"/>
      <c r="J873" s="141"/>
      <c r="K873" s="141"/>
      <c r="L873" s="141"/>
      <c r="M873" s="143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2.75" customHeight="1">
      <c r="A874" s="138"/>
      <c r="B874" s="139"/>
      <c r="C874" s="139"/>
      <c r="D874" s="194"/>
      <c r="E874" s="141"/>
      <c r="F874" s="142"/>
      <c r="G874" s="141"/>
      <c r="H874" s="142"/>
      <c r="I874" s="194"/>
      <c r="J874" s="141"/>
      <c r="K874" s="141"/>
      <c r="L874" s="141"/>
      <c r="M874" s="143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2.75" customHeight="1">
      <c r="A875" s="138"/>
      <c r="B875" s="139"/>
      <c r="C875" s="139"/>
      <c r="D875" s="194"/>
      <c r="E875" s="141"/>
      <c r="F875" s="142"/>
      <c r="G875" s="141"/>
      <c r="H875" s="142"/>
      <c r="I875" s="194"/>
      <c r="J875" s="141"/>
      <c r="K875" s="141"/>
      <c r="L875" s="141"/>
      <c r="M875" s="143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2.75" customHeight="1">
      <c r="A876" s="138"/>
      <c r="B876" s="139"/>
      <c r="C876" s="139"/>
      <c r="D876" s="194"/>
      <c r="E876" s="141"/>
      <c r="F876" s="142"/>
      <c r="G876" s="141"/>
      <c r="H876" s="142"/>
      <c r="I876" s="194"/>
      <c r="J876" s="141"/>
      <c r="K876" s="141"/>
      <c r="L876" s="141"/>
      <c r="M876" s="143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2.75" customHeight="1">
      <c r="A877" s="138"/>
      <c r="B877" s="139"/>
      <c r="C877" s="139"/>
      <c r="D877" s="194"/>
      <c r="E877" s="141"/>
      <c r="F877" s="142"/>
      <c r="G877" s="141"/>
      <c r="H877" s="142"/>
      <c r="I877" s="194"/>
      <c r="J877" s="141"/>
      <c r="K877" s="141"/>
      <c r="L877" s="141"/>
      <c r="M877" s="143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2.75" customHeight="1">
      <c r="A878" s="138"/>
      <c r="B878" s="139"/>
      <c r="C878" s="139"/>
      <c r="D878" s="194"/>
      <c r="E878" s="141"/>
      <c r="F878" s="142"/>
      <c r="G878" s="141"/>
      <c r="H878" s="142"/>
      <c r="I878" s="194"/>
      <c r="J878" s="141"/>
      <c r="K878" s="141"/>
      <c r="L878" s="141"/>
      <c r="M878" s="143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2.75" customHeight="1">
      <c r="A879" s="138"/>
      <c r="B879" s="139"/>
      <c r="C879" s="139"/>
      <c r="D879" s="194"/>
      <c r="E879" s="141"/>
      <c r="F879" s="142"/>
      <c r="G879" s="141"/>
      <c r="H879" s="142"/>
      <c r="I879" s="194"/>
      <c r="J879" s="141"/>
      <c r="K879" s="141"/>
      <c r="L879" s="141"/>
      <c r="M879" s="143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2.75" customHeight="1">
      <c r="A880" s="138"/>
      <c r="B880" s="139"/>
      <c r="C880" s="139"/>
      <c r="D880" s="194"/>
      <c r="E880" s="141"/>
      <c r="F880" s="142"/>
      <c r="G880" s="141"/>
      <c r="H880" s="142"/>
      <c r="I880" s="194"/>
      <c r="J880" s="141"/>
      <c r="K880" s="141"/>
      <c r="L880" s="141"/>
      <c r="M880" s="143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2.75" customHeight="1">
      <c r="A881" s="138"/>
      <c r="B881" s="139"/>
      <c r="C881" s="139"/>
      <c r="D881" s="194"/>
      <c r="E881" s="141"/>
      <c r="F881" s="142"/>
      <c r="G881" s="141"/>
      <c r="H881" s="142"/>
      <c r="I881" s="194"/>
      <c r="J881" s="141"/>
      <c r="K881" s="141"/>
      <c r="L881" s="141"/>
      <c r="M881" s="143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2.75" customHeight="1">
      <c r="A882" s="138"/>
      <c r="B882" s="139"/>
      <c r="C882" s="139"/>
      <c r="D882" s="194"/>
      <c r="E882" s="141"/>
      <c r="F882" s="142"/>
      <c r="G882" s="141"/>
      <c r="H882" s="142"/>
      <c r="I882" s="194"/>
      <c r="J882" s="141"/>
      <c r="K882" s="141"/>
      <c r="L882" s="141"/>
      <c r="M882" s="143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2.75" customHeight="1">
      <c r="A883" s="138"/>
      <c r="B883" s="139"/>
      <c r="C883" s="139"/>
      <c r="D883" s="194"/>
      <c r="E883" s="141"/>
      <c r="F883" s="142"/>
      <c r="G883" s="141"/>
      <c r="H883" s="142"/>
      <c r="I883" s="194"/>
      <c r="J883" s="141"/>
      <c r="K883" s="141"/>
      <c r="L883" s="141"/>
      <c r="M883" s="143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2.75" customHeight="1">
      <c r="A884" s="138"/>
      <c r="B884" s="139"/>
      <c r="C884" s="139"/>
      <c r="D884" s="194"/>
      <c r="E884" s="141"/>
      <c r="F884" s="142"/>
      <c r="G884" s="141"/>
      <c r="H884" s="142"/>
      <c r="I884" s="194"/>
      <c r="J884" s="141"/>
      <c r="K884" s="141"/>
      <c r="L884" s="141"/>
      <c r="M884" s="143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2.75" customHeight="1">
      <c r="A885" s="138"/>
      <c r="B885" s="139"/>
      <c r="C885" s="139"/>
      <c r="D885" s="194"/>
      <c r="E885" s="141"/>
      <c r="F885" s="142"/>
      <c r="G885" s="141"/>
      <c r="H885" s="142"/>
      <c r="I885" s="194"/>
      <c r="J885" s="141"/>
      <c r="K885" s="141"/>
      <c r="L885" s="141"/>
      <c r="M885" s="143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2.75" customHeight="1">
      <c r="A886" s="138"/>
      <c r="B886" s="139"/>
      <c r="C886" s="139"/>
      <c r="D886" s="194"/>
      <c r="E886" s="141"/>
      <c r="F886" s="142"/>
      <c r="G886" s="141"/>
      <c r="H886" s="142"/>
      <c r="I886" s="194"/>
      <c r="J886" s="141"/>
      <c r="K886" s="141"/>
      <c r="L886" s="141"/>
      <c r="M886" s="143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2.75" customHeight="1">
      <c r="A887" s="138"/>
      <c r="B887" s="139"/>
      <c r="C887" s="139"/>
      <c r="D887" s="194"/>
      <c r="E887" s="141"/>
      <c r="F887" s="142"/>
      <c r="G887" s="141"/>
      <c r="H887" s="142"/>
      <c r="I887" s="194"/>
      <c r="J887" s="141"/>
      <c r="K887" s="141"/>
      <c r="L887" s="141"/>
      <c r="M887" s="143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2.75" customHeight="1">
      <c r="A888" s="138"/>
      <c r="B888" s="139"/>
      <c r="C888" s="139"/>
      <c r="D888" s="194"/>
      <c r="E888" s="141"/>
      <c r="F888" s="142"/>
      <c r="G888" s="141"/>
      <c r="H888" s="142"/>
      <c r="I888" s="194"/>
      <c r="J888" s="141"/>
      <c r="K888" s="141"/>
      <c r="L888" s="141"/>
      <c r="M888" s="143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2.75" customHeight="1">
      <c r="A889" s="138"/>
      <c r="B889" s="139"/>
      <c r="C889" s="139"/>
      <c r="D889" s="194"/>
      <c r="E889" s="141"/>
      <c r="F889" s="142"/>
      <c r="G889" s="141"/>
      <c r="H889" s="142"/>
      <c r="I889" s="194"/>
      <c r="J889" s="141"/>
      <c r="K889" s="141"/>
      <c r="L889" s="141"/>
      <c r="M889" s="143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2.75" customHeight="1">
      <c r="A890" s="138"/>
      <c r="B890" s="139"/>
      <c r="C890" s="139"/>
      <c r="D890" s="194"/>
      <c r="E890" s="141"/>
      <c r="F890" s="142"/>
      <c r="G890" s="141"/>
      <c r="H890" s="142"/>
      <c r="I890" s="194"/>
      <c r="J890" s="141"/>
      <c r="K890" s="141"/>
      <c r="L890" s="141"/>
      <c r="M890" s="143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2.75" customHeight="1">
      <c r="A891" s="138"/>
      <c r="B891" s="139"/>
      <c r="C891" s="139"/>
      <c r="D891" s="194"/>
      <c r="E891" s="141"/>
      <c r="F891" s="142"/>
      <c r="G891" s="141"/>
      <c r="H891" s="142"/>
      <c r="I891" s="194"/>
      <c r="J891" s="141"/>
      <c r="K891" s="141"/>
      <c r="L891" s="141"/>
      <c r="M891" s="143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2.75" customHeight="1">
      <c r="A892" s="138"/>
      <c r="B892" s="139"/>
      <c r="C892" s="139"/>
      <c r="D892" s="194"/>
      <c r="E892" s="141"/>
      <c r="F892" s="142"/>
      <c r="G892" s="141"/>
      <c r="H892" s="142"/>
      <c r="I892" s="194"/>
      <c r="J892" s="141"/>
      <c r="K892" s="141"/>
      <c r="L892" s="141"/>
      <c r="M892" s="143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2.75" customHeight="1">
      <c r="A893" s="138"/>
      <c r="B893" s="139"/>
      <c r="C893" s="139"/>
      <c r="D893" s="194"/>
      <c r="E893" s="141"/>
      <c r="F893" s="142"/>
      <c r="G893" s="141"/>
      <c r="H893" s="142"/>
      <c r="I893" s="194"/>
      <c r="J893" s="141"/>
      <c r="K893" s="141"/>
      <c r="L893" s="141"/>
      <c r="M893" s="143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2.75" customHeight="1">
      <c r="A894" s="138"/>
      <c r="B894" s="139"/>
      <c r="C894" s="139"/>
      <c r="D894" s="194"/>
      <c r="E894" s="141"/>
      <c r="F894" s="142"/>
      <c r="G894" s="141"/>
      <c r="H894" s="142"/>
      <c r="I894" s="194"/>
      <c r="J894" s="141"/>
      <c r="K894" s="141"/>
      <c r="L894" s="141"/>
      <c r="M894" s="143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2.75" customHeight="1">
      <c r="A895" s="138"/>
      <c r="B895" s="139"/>
      <c r="C895" s="139"/>
      <c r="D895" s="194"/>
      <c r="E895" s="141"/>
      <c r="F895" s="142"/>
      <c r="G895" s="141"/>
      <c r="H895" s="142"/>
      <c r="I895" s="194"/>
      <c r="J895" s="141"/>
      <c r="K895" s="141"/>
      <c r="L895" s="141"/>
      <c r="M895" s="143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2.75" customHeight="1">
      <c r="A896" s="138"/>
      <c r="B896" s="139"/>
      <c r="C896" s="139"/>
      <c r="D896" s="194"/>
      <c r="E896" s="141"/>
      <c r="F896" s="142"/>
      <c r="G896" s="141"/>
      <c r="H896" s="142"/>
      <c r="I896" s="194"/>
      <c r="J896" s="141"/>
      <c r="K896" s="141"/>
      <c r="L896" s="141"/>
      <c r="M896" s="143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2.75" customHeight="1">
      <c r="A897" s="138"/>
      <c r="B897" s="139"/>
      <c r="C897" s="139"/>
      <c r="D897" s="194"/>
      <c r="E897" s="141"/>
      <c r="F897" s="142"/>
      <c r="G897" s="141"/>
      <c r="H897" s="142"/>
      <c r="I897" s="194"/>
      <c r="J897" s="141"/>
      <c r="K897" s="141"/>
      <c r="L897" s="141"/>
      <c r="M897" s="143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2.75" customHeight="1">
      <c r="A898" s="138"/>
      <c r="B898" s="139"/>
      <c r="C898" s="139"/>
      <c r="D898" s="194"/>
      <c r="E898" s="141"/>
      <c r="F898" s="142"/>
      <c r="G898" s="141"/>
      <c r="H898" s="142"/>
      <c r="I898" s="194"/>
      <c r="J898" s="141"/>
      <c r="K898" s="141"/>
      <c r="L898" s="141"/>
      <c r="M898" s="143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2.75" customHeight="1">
      <c r="A899" s="138"/>
      <c r="B899" s="139"/>
      <c r="C899" s="139"/>
      <c r="D899" s="194"/>
      <c r="E899" s="141"/>
      <c r="F899" s="142"/>
      <c r="G899" s="141"/>
      <c r="H899" s="142"/>
      <c r="I899" s="194"/>
      <c r="J899" s="141"/>
      <c r="K899" s="141"/>
      <c r="L899" s="141"/>
      <c r="M899" s="143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2.75" customHeight="1">
      <c r="A900" s="138"/>
      <c r="B900" s="139"/>
      <c r="C900" s="139"/>
      <c r="D900" s="194"/>
      <c r="E900" s="141"/>
      <c r="F900" s="142"/>
      <c r="G900" s="141"/>
      <c r="H900" s="142"/>
      <c r="I900" s="194"/>
      <c r="J900" s="141"/>
      <c r="K900" s="141"/>
      <c r="L900" s="141"/>
      <c r="M900" s="143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2.75" customHeight="1">
      <c r="A901" s="138"/>
      <c r="B901" s="139"/>
      <c r="C901" s="139"/>
      <c r="D901" s="194"/>
      <c r="E901" s="141"/>
      <c r="F901" s="142"/>
      <c r="G901" s="141"/>
      <c r="H901" s="142"/>
      <c r="I901" s="194"/>
      <c r="J901" s="141"/>
      <c r="K901" s="141"/>
      <c r="L901" s="141"/>
      <c r="M901" s="143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2.75" customHeight="1">
      <c r="A902" s="138"/>
      <c r="B902" s="139"/>
      <c r="C902" s="139"/>
      <c r="D902" s="194"/>
      <c r="E902" s="141"/>
      <c r="F902" s="142"/>
      <c r="G902" s="141"/>
      <c r="H902" s="142"/>
      <c r="I902" s="194"/>
      <c r="J902" s="141"/>
      <c r="K902" s="141"/>
      <c r="L902" s="141"/>
      <c r="M902" s="143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2.75" customHeight="1">
      <c r="A903" s="138"/>
      <c r="B903" s="139"/>
      <c r="C903" s="139"/>
      <c r="D903" s="194"/>
      <c r="E903" s="141"/>
      <c r="F903" s="142"/>
      <c r="G903" s="141"/>
      <c r="H903" s="142"/>
      <c r="I903" s="194"/>
      <c r="J903" s="141"/>
      <c r="K903" s="141"/>
      <c r="L903" s="141"/>
      <c r="M903" s="143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2.75" customHeight="1">
      <c r="A904" s="138"/>
      <c r="B904" s="139"/>
      <c r="C904" s="139"/>
      <c r="D904" s="194"/>
      <c r="E904" s="141"/>
      <c r="F904" s="142"/>
      <c r="G904" s="141"/>
      <c r="H904" s="142"/>
      <c r="I904" s="194"/>
      <c r="J904" s="141"/>
      <c r="K904" s="141"/>
      <c r="L904" s="141"/>
      <c r="M904" s="143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2.75" customHeight="1">
      <c r="A905" s="138"/>
      <c r="B905" s="139"/>
      <c r="C905" s="139"/>
      <c r="D905" s="194"/>
      <c r="E905" s="141"/>
      <c r="F905" s="142"/>
      <c r="G905" s="141"/>
      <c r="H905" s="142"/>
      <c r="I905" s="194"/>
      <c r="J905" s="141"/>
      <c r="K905" s="141"/>
      <c r="L905" s="141"/>
      <c r="M905" s="143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2.75" customHeight="1">
      <c r="A906" s="138"/>
      <c r="B906" s="139"/>
      <c r="C906" s="139"/>
      <c r="D906" s="194"/>
      <c r="E906" s="141"/>
      <c r="F906" s="142"/>
      <c r="G906" s="141"/>
      <c r="H906" s="142"/>
      <c r="I906" s="194"/>
      <c r="J906" s="141"/>
      <c r="K906" s="141"/>
      <c r="L906" s="141"/>
      <c r="M906" s="143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2.75" customHeight="1">
      <c r="A907" s="138"/>
      <c r="B907" s="139"/>
      <c r="C907" s="139"/>
      <c r="D907" s="194"/>
      <c r="E907" s="141"/>
      <c r="F907" s="142"/>
      <c r="G907" s="141"/>
      <c r="H907" s="142"/>
      <c r="I907" s="194"/>
      <c r="J907" s="141"/>
      <c r="K907" s="141"/>
      <c r="L907" s="141"/>
      <c r="M907" s="143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2.75" customHeight="1">
      <c r="A908" s="138"/>
      <c r="B908" s="139"/>
      <c r="C908" s="139"/>
      <c r="D908" s="194"/>
      <c r="E908" s="141"/>
      <c r="F908" s="142"/>
      <c r="G908" s="141"/>
      <c r="H908" s="142"/>
      <c r="I908" s="194"/>
      <c r="J908" s="141"/>
      <c r="K908" s="141"/>
      <c r="L908" s="141"/>
      <c r="M908" s="143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2.75" customHeight="1">
      <c r="A909" s="138"/>
      <c r="B909" s="139"/>
      <c r="C909" s="139"/>
      <c r="D909" s="194"/>
      <c r="E909" s="141"/>
      <c r="F909" s="142"/>
      <c r="G909" s="141"/>
      <c r="H909" s="142"/>
      <c r="I909" s="194"/>
      <c r="J909" s="141"/>
      <c r="K909" s="141"/>
      <c r="L909" s="141"/>
      <c r="M909" s="143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2.75" customHeight="1">
      <c r="A910" s="138"/>
      <c r="B910" s="139"/>
      <c r="C910" s="139"/>
      <c r="D910" s="194"/>
      <c r="E910" s="141"/>
      <c r="F910" s="142"/>
      <c r="G910" s="141"/>
      <c r="H910" s="142"/>
      <c r="I910" s="194"/>
      <c r="J910" s="141"/>
      <c r="K910" s="141"/>
      <c r="L910" s="141"/>
      <c r="M910" s="143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2.75" customHeight="1">
      <c r="A911" s="138"/>
      <c r="B911" s="139"/>
      <c r="C911" s="139"/>
      <c r="D911" s="194"/>
      <c r="E911" s="141"/>
      <c r="F911" s="142"/>
      <c r="G911" s="141"/>
      <c r="H911" s="142"/>
      <c r="I911" s="194"/>
      <c r="J911" s="141"/>
      <c r="K911" s="141"/>
      <c r="L911" s="141"/>
      <c r="M911" s="143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2.75" customHeight="1">
      <c r="A912" s="138"/>
      <c r="B912" s="139"/>
      <c r="C912" s="139"/>
      <c r="D912" s="194"/>
      <c r="E912" s="141"/>
      <c r="F912" s="142"/>
      <c r="G912" s="141"/>
      <c r="H912" s="142"/>
      <c r="I912" s="194"/>
      <c r="J912" s="141"/>
      <c r="K912" s="141"/>
      <c r="L912" s="141"/>
      <c r="M912" s="143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2.75" customHeight="1">
      <c r="A913" s="138"/>
      <c r="B913" s="139"/>
      <c r="C913" s="139"/>
      <c r="D913" s="194"/>
      <c r="E913" s="141"/>
      <c r="F913" s="142"/>
      <c r="G913" s="141"/>
      <c r="H913" s="142"/>
      <c r="I913" s="194"/>
      <c r="J913" s="141"/>
      <c r="K913" s="141"/>
      <c r="L913" s="141"/>
      <c r="M913" s="143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2.75" customHeight="1">
      <c r="A914" s="138"/>
      <c r="B914" s="139"/>
      <c r="C914" s="139"/>
      <c r="D914" s="194"/>
      <c r="E914" s="141"/>
      <c r="F914" s="142"/>
      <c r="G914" s="141"/>
      <c r="H914" s="142"/>
      <c r="I914" s="194"/>
      <c r="J914" s="141"/>
      <c r="K914" s="141"/>
      <c r="L914" s="141"/>
      <c r="M914" s="143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2.75" customHeight="1">
      <c r="A915" s="138"/>
      <c r="B915" s="139"/>
      <c r="C915" s="139"/>
      <c r="D915" s="194"/>
      <c r="E915" s="141"/>
      <c r="F915" s="142"/>
      <c r="G915" s="141"/>
      <c r="H915" s="142"/>
      <c r="I915" s="194"/>
      <c r="J915" s="141"/>
      <c r="K915" s="141"/>
      <c r="L915" s="141"/>
      <c r="M915" s="143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2.75" customHeight="1">
      <c r="A916" s="138"/>
      <c r="B916" s="139"/>
      <c r="C916" s="139"/>
      <c r="D916" s="194"/>
      <c r="E916" s="141"/>
      <c r="F916" s="142"/>
      <c r="G916" s="141"/>
      <c r="H916" s="142"/>
      <c r="I916" s="194"/>
      <c r="J916" s="141"/>
      <c r="K916" s="141"/>
      <c r="L916" s="141"/>
      <c r="M916" s="143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2.75" customHeight="1">
      <c r="A917" s="138"/>
      <c r="B917" s="139"/>
      <c r="C917" s="139"/>
      <c r="D917" s="194"/>
      <c r="E917" s="141"/>
      <c r="F917" s="142"/>
      <c r="G917" s="141"/>
      <c r="H917" s="142"/>
      <c r="I917" s="194"/>
      <c r="J917" s="141"/>
      <c r="K917" s="141"/>
      <c r="L917" s="141"/>
      <c r="M917" s="143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2.75" customHeight="1">
      <c r="A918" s="138"/>
      <c r="B918" s="139"/>
      <c r="C918" s="139"/>
      <c r="D918" s="194"/>
      <c r="E918" s="141"/>
      <c r="F918" s="142"/>
      <c r="G918" s="141"/>
      <c r="H918" s="142"/>
      <c r="I918" s="194"/>
      <c r="J918" s="141"/>
      <c r="K918" s="141"/>
      <c r="L918" s="141"/>
      <c r="M918" s="143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2.75" customHeight="1">
      <c r="A919" s="138"/>
      <c r="B919" s="139"/>
      <c r="C919" s="139"/>
      <c r="D919" s="194"/>
      <c r="E919" s="141"/>
      <c r="F919" s="142"/>
      <c r="G919" s="141"/>
      <c r="H919" s="142"/>
      <c r="I919" s="194"/>
      <c r="J919" s="141"/>
      <c r="K919" s="141"/>
      <c r="L919" s="141"/>
      <c r="M919" s="143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2.75" customHeight="1">
      <c r="A920" s="138"/>
      <c r="B920" s="139"/>
      <c r="C920" s="139"/>
      <c r="D920" s="194"/>
      <c r="E920" s="141"/>
      <c r="F920" s="142"/>
      <c r="G920" s="141"/>
      <c r="H920" s="142"/>
      <c r="I920" s="194"/>
      <c r="J920" s="141"/>
      <c r="K920" s="141"/>
      <c r="L920" s="141"/>
      <c r="M920" s="143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2.75" customHeight="1">
      <c r="A921" s="138"/>
      <c r="B921" s="139"/>
      <c r="C921" s="139"/>
      <c r="D921" s="194"/>
      <c r="E921" s="141"/>
      <c r="F921" s="142"/>
      <c r="G921" s="141"/>
      <c r="H921" s="142"/>
      <c r="I921" s="194"/>
      <c r="J921" s="141"/>
      <c r="K921" s="141"/>
      <c r="L921" s="141"/>
      <c r="M921" s="143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2.75" customHeight="1">
      <c r="A922" s="138"/>
      <c r="B922" s="139"/>
      <c r="C922" s="139"/>
      <c r="D922" s="194"/>
      <c r="E922" s="141"/>
      <c r="F922" s="142"/>
      <c r="G922" s="141"/>
      <c r="H922" s="142"/>
      <c r="I922" s="194"/>
      <c r="J922" s="141"/>
      <c r="K922" s="141"/>
      <c r="L922" s="141"/>
      <c r="M922" s="143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2.75" customHeight="1">
      <c r="A923" s="138"/>
      <c r="B923" s="139"/>
      <c r="C923" s="139"/>
      <c r="D923" s="194"/>
      <c r="E923" s="141"/>
      <c r="F923" s="142"/>
      <c r="G923" s="141"/>
      <c r="H923" s="142"/>
      <c r="I923" s="194"/>
      <c r="J923" s="141"/>
      <c r="K923" s="141"/>
      <c r="L923" s="141"/>
      <c r="M923" s="143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2.75" customHeight="1">
      <c r="A924" s="138"/>
      <c r="B924" s="139"/>
      <c r="C924" s="139"/>
      <c r="D924" s="194"/>
      <c r="E924" s="141"/>
      <c r="F924" s="142"/>
      <c r="G924" s="141"/>
      <c r="H924" s="142"/>
      <c r="I924" s="194"/>
      <c r="J924" s="141"/>
      <c r="K924" s="141"/>
      <c r="L924" s="141"/>
      <c r="M924" s="143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2.75" customHeight="1">
      <c r="A925" s="138"/>
      <c r="B925" s="139"/>
      <c r="C925" s="139"/>
      <c r="D925" s="194"/>
      <c r="E925" s="141"/>
      <c r="F925" s="142"/>
      <c r="G925" s="141"/>
      <c r="H925" s="142"/>
      <c r="I925" s="194"/>
      <c r="J925" s="141"/>
      <c r="K925" s="141"/>
      <c r="L925" s="141"/>
      <c r="M925" s="143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2.75" customHeight="1">
      <c r="A926" s="138"/>
      <c r="B926" s="139"/>
      <c r="C926" s="139"/>
      <c r="D926" s="194"/>
      <c r="E926" s="141"/>
      <c r="F926" s="142"/>
      <c r="G926" s="141"/>
      <c r="H926" s="142"/>
      <c r="I926" s="194"/>
      <c r="J926" s="141"/>
      <c r="K926" s="141"/>
      <c r="L926" s="141"/>
      <c r="M926" s="143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2.75" customHeight="1">
      <c r="A927" s="138"/>
      <c r="B927" s="139"/>
      <c r="C927" s="139"/>
      <c r="D927" s="194"/>
      <c r="E927" s="141"/>
      <c r="F927" s="142"/>
      <c r="G927" s="141"/>
      <c r="H927" s="142"/>
      <c r="I927" s="194"/>
      <c r="J927" s="141"/>
      <c r="K927" s="141"/>
      <c r="L927" s="141"/>
      <c r="M927" s="143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2.75" customHeight="1">
      <c r="A928" s="138"/>
      <c r="B928" s="139"/>
      <c r="C928" s="139"/>
      <c r="D928" s="194"/>
      <c r="E928" s="141"/>
      <c r="F928" s="142"/>
      <c r="G928" s="141"/>
      <c r="H928" s="142"/>
      <c r="I928" s="194"/>
      <c r="J928" s="141"/>
      <c r="K928" s="141"/>
      <c r="L928" s="141"/>
      <c r="M928" s="143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2.75" customHeight="1">
      <c r="A929" s="138"/>
      <c r="B929" s="139"/>
      <c r="C929" s="139"/>
      <c r="D929" s="194"/>
      <c r="E929" s="141"/>
      <c r="F929" s="142"/>
      <c r="G929" s="141"/>
      <c r="H929" s="142"/>
      <c r="I929" s="194"/>
      <c r="J929" s="141"/>
      <c r="K929" s="141"/>
      <c r="L929" s="141"/>
      <c r="M929" s="143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2.75" customHeight="1">
      <c r="A930" s="138"/>
      <c r="B930" s="139"/>
      <c r="C930" s="139"/>
      <c r="D930" s="194"/>
      <c r="E930" s="141"/>
      <c r="F930" s="142"/>
      <c r="G930" s="141"/>
      <c r="H930" s="142"/>
      <c r="I930" s="194"/>
      <c r="J930" s="141"/>
      <c r="K930" s="141"/>
      <c r="L930" s="141"/>
      <c r="M930" s="143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2.75" customHeight="1">
      <c r="A931" s="138"/>
      <c r="B931" s="139"/>
      <c r="C931" s="139"/>
      <c r="D931" s="194"/>
      <c r="E931" s="141"/>
      <c r="F931" s="142"/>
      <c r="G931" s="141"/>
      <c r="H931" s="142"/>
      <c r="I931" s="194"/>
      <c r="J931" s="141"/>
      <c r="K931" s="141"/>
      <c r="L931" s="141"/>
      <c r="M931" s="143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2.75" customHeight="1">
      <c r="A932" s="138"/>
      <c r="B932" s="139"/>
      <c r="C932" s="139"/>
      <c r="D932" s="194"/>
      <c r="E932" s="141"/>
      <c r="F932" s="142"/>
      <c r="G932" s="141"/>
      <c r="H932" s="142"/>
      <c r="I932" s="194"/>
      <c r="J932" s="141"/>
      <c r="K932" s="141"/>
      <c r="L932" s="141"/>
      <c r="M932" s="143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2.75" customHeight="1">
      <c r="A933" s="138"/>
      <c r="B933" s="139"/>
      <c r="C933" s="139"/>
      <c r="D933" s="194"/>
      <c r="E933" s="141"/>
      <c r="F933" s="142"/>
      <c r="G933" s="141"/>
      <c r="H933" s="142"/>
      <c r="I933" s="194"/>
      <c r="J933" s="141"/>
      <c r="K933" s="141"/>
      <c r="L933" s="141"/>
      <c r="M933" s="143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2.75" customHeight="1">
      <c r="A934" s="138"/>
      <c r="B934" s="139"/>
      <c r="C934" s="139"/>
      <c r="D934" s="194"/>
      <c r="E934" s="141"/>
      <c r="F934" s="142"/>
      <c r="G934" s="141"/>
      <c r="H934" s="142"/>
      <c r="I934" s="194"/>
      <c r="J934" s="141"/>
      <c r="K934" s="141"/>
      <c r="L934" s="141"/>
      <c r="M934" s="143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2.75" customHeight="1">
      <c r="A935" s="138"/>
      <c r="B935" s="139"/>
      <c r="C935" s="139"/>
      <c r="D935" s="194"/>
      <c r="E935" s="141"/>
      <c r="F935" s="142"/>
      <c r="G935" s="141"/>
      <c r="H935" s="142"/>
      <c r="I935" s="194"/>
      <c r="J935" s="141"/>
      <c r="K935" s="141"/>
      <c r="L935" s="141"/>
      <c r="M935" s="143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2.75" customHeight="1">
      <c r="A936" s="138"/>
      <c r="B936" s="139"/>
      <c r="C936" s="139"/>
      <c r="D936" s="194"/>
      <c r="E936" s="141"/>
      <c r="F936" s="142"/>
      <c r="G936" s="141"/>
      <c r="H936" s="142"/>
      <c r="I936" s="194"/>
      <c r="J936" s="141"/>
      <c r="K936" s="141"/>
      <c r="L936" s="141"/>
      <c r="M936" s="143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2.75" customHeight="1">
      <c r="A937" s="138"/>
      <c r="B937" s="139"/>
      <c r="C937" s="139"/>
      <c r="D937" s="194"/>
      <c r="E937" s="141"/>
      <c r="F937" s="142"/>
      <c r="G937" s="141"/>
      <c r="H937" s="142"/>
      <c r="I937" s="194"/>
      <c r="J937" s="141"/>
      <c r="K937" s="141"/>
      <c r="L937" s="141"/>
      <c r="M937" s="143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2.75" customHeight="1">
      <c r="A938" s="138"/>
      <c r="B938" s="139"/>
      <c r="C938" s="139"/>
      <c r="D938" s="194"/>
      <c r="E938" s="141"/>
      <c r="F938" s="142"/>
      <c r="G938" s="141"/>
      <c r="H938" s="142"/>
      <c r="I938" s="194"/>
      <c r="J938" s="141"/>
      <c r="K938" s="141"/>
      <c r="L938" s="141"/>
      <c r="M938" s="143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2.75" customHeight="1">
      <c r="A939" s="138"/>
      <c r="B939" s="139"/>
      <c r="C939" s="139"/>
      <c r="D939" s="194"/>
      <c r="E939" s="141"/>
      <c r="F939" s="142"/>
      <c r="G939" s="141"/>
      <c r="H939" s="142"/>
      <c r="I939" s="194"/>
      <c r="J939" s="141"/>
      <c r="K939" s="141"/>
      <c r="L939" s="141"/>
      <c r="M939" s="143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2.75" customHeight="1">
      <c r="A940" s="138"/>
      <c r="B940" s="139"/>
      <c r="C940" s="139"/>
      <c r="D940" s="194"/>
      <c r="E940" s="141"/>
      <c r="F940" s="142"/>
      <c r="G940" s="141"/>
      <c r="H940" s="142"/>
      <c r="I940" s="194"/>
      <c r="J940" s="141"/>
      <c r="K940" s="141"/>
      <c r="L940" s="141"/>
      <c r="M940" s="143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2.75" customHeight="1">
      <c r="A941" s="138"/>
      <c r="B941" s="139"/>
      <c r="C941" s="139"/>
      <c r="D941" s="194"/>
      <c r="E941" s="141"/>
      <c r="F941" s="142"/>
      <c r="G941" s="141"/>
      <c r="H941" s="142"/>
      <c r="I941" s="194"/>
      <c r="J941" s="141"/>
      <c r="K941" s="141"/>
      <c r="L941" s="141"/>
      <c r="M941" s="143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2.75" customHeight="1">
      <c r="A942" s="138"/>
      <c r="B942" s="139"/>
      <c r="C942" s="139"/>
      <c r="D942" s="194"/>
      <c r="E942" s="141"/>
      <c r="F942" s="142"/>
      <c r="G942" s="141"/>
      <c r="H942" s="142"/>
      <c r="I942" s="194"/>
      <c r="J942" s="141"/>
      <c r="K942" s="141"/>
      <c r="L942" s="141"/>
      <c r="M942" s="143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2.75" customHeight="1">
      <c r="A943" s="138"/>
      <c r="B943" s="139"/>
      <c r="C943" s="139"/>
      <c r="D943" s="194"/>
      <c r="E943" s="141"/>
      <c r="F943" s="142"/>
      <c r="G943" s="141"/>
      <c r="H943" s="142"/>
      <c r="I943" s="194"/>
      <c r="J943" s="141"/>
      <c r="K943" s="141"/>
      <c r="L943" s="141"/>
      <c r="M943" s="143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2.75" customHeight="1">
      <c r="A944" s="138"/>
      <c r="B944" s="139"/>
      <c r="C944" s="139"/>
      <c r="D944" s="194"/>
      <c r="E944" s="141"/>
      <c r="F944" s="142"/>
      <c r="G944" s="141"/>
      <c r="H944" s="142"/>
      <c r="I944" s="194"/>
      <c r="J944" s="141"/>
      <c r="K944" s="141"/>
      <c r="L944" s="141"/>
      <c r="M944" s="143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2.75" customHeight="1">
      <c r="A945" s="138"/>
      <c r="B945" s="139"/>
      <c r="C945" s="139"/>
      <c r="D945" s="194"/>
      <c r="E945" s="141"/>
      <c r="F945" s="142"/>
      <c r="G945" s="141"/>
      <c r="H945" s="142"/>
      <c r="I945" s="194"/>
      <c r="J945" s="141"/>
      <c r="K945" s="141"/>
      <c r="L945" s="141"/>
      <c r="M945" s="143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2.75" customHeight="1">
      <c r="A946" s="138"/>
      <c r="B946" s="139"/>
      <c r="C946" s="139"/>
      <c r="D946" s="194"/>
      <c r="E946" s="141"/>
      <c r="F946" s="142"/>
      <c r="G946" s="141"/>
      <c r="H946" s="142"/>
      <c r="I946" s="194"/>
      <c r="J946" s="141"/>
      <c r="K946" s="141"/>
      <c r="L946" s="141"/>
      <c r="M946" s="143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2.75" customHeight="1">
      <c r="A947" s="138"/>
      <c r="B947" s="139"/>
      <c r="C947" s="139"/>
      <c r="D947" s="194"/>
      <c r="E947" s="141"/>
      <c r="F947" s="142"/>
      <c r="G947" s="141"/>
      <c r="H947" s="142"/>
      <c r="I947" s="194"/>
      <c r="J947" s="141"/>
      <c r="K947" s="141"/>
      <c r="L947" s="141"/>
      <c r="M947" s="143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2.75" customHeight="1">
      <c r="A948" s="138"/>
      <c r="B948" s="139"/>
      <c r="C948" s="139"/>
      <c r="D948" s="194"/>
      <c r="E948" s="141"/>
      <c r="F948" s="142"/>
      <c r="G948" s="141"/>
      <c r="H948" s="142"/>
      <c r="I948" s="194"/>
      <c r="J948" s="141"/>
      <c r="K948" s="141"/>
      <c r="L948" s="141"/>
      <c r="M948" s="143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2.75" customHeight="1">
      <c r="A949" s="138"/>
      <c r="B949" s="139"/>
      <c r="C949" s="139"/>
      <c r="D949" s="194"/>
      <c r="E949" s="141"/>
      <c r="F949" s="142"/>
      <c r="G949" s="141"/>
      <c r="H949" s="142"/>
      <c r="I949" s="194"/>
      <c r="J949" s="141"/>
      <c r="K949" s="141"/>
      <c r="L949" s="141"/>
      <c r="M949" s="143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2.75" customHeight="1">
      <c r="A950" s="138"/>
      <c r="B950" s="139"/>
      <c r="C950" s="139"/>
      <c r="D950" s="194"/>
      <c r="E950" s="141"/>
      <c r="F950" s="142"/>
      <c r="G950" s="141"/>
      <c r="H950" s="142"/>
      <c r="I950" s="194"/>
      <c r="J950" s="141"/>
      <c r="K950" s="141"/>
      <c r="L950" s="141"/>
      <c r="M950" s="143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2.75" customHeight="1">
      <c r="A951" s="138"/>
      <c r="B951" s="139"/>
      <c r="C951" s="139"/>
      <c r="D951" s="194"/>
      <c r="E951" s="141"/>
      <c r="F951" s="142"/>
      <c r="G951" s="141"/>
      <c r="H951" s="142"/>
      <c r="I951" s="194"/>
      <c r="J951" s="141"/>
      <c r="K951" s="141"/>
      <c r="L951" s="141"/>
      <c r="M951" s="143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2.75" customHeight="1">
      <c r="A952" s="138"/>
      <c r="B952" s="139"/>
      <c r="C952" s="139"/>
      <c r="D952" s="194"/>
      <c r="E952" s="141"/>
      <c r="F952" s="142"/>
      <c r="G952" s="141"/>
      <c r="H952" s="142"/>
      <c r="I952" s="194"/>
      <c r="J952" s="141"/>
      <c r="K952" s="141"/>
      <c r="L952" s="141"/>
      <c r="M952" s="143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2.75" customHeight="1">
      <c r="A953" s="138"/>
      <c r="B953" s="139"/>
      <c r="C953" s="139"/>
      <c r="D953" s="194"/>
      <c r="E953" s="141"/>
      <c r="F953" s="142"/>
      <c r="G953" s="141"/>
      <c r="H953" s="142"/>
      <c r="I953" s="194"/>
      <c r="J953" s="141"/>
      <c r="K953" s="141"/>
      <c r="L953" s="141"/>
      <c r="M953" s="143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2.75" customHeight="1">
      <c r="A954" s="138"/>
      <c r="B954" s="139"/>
      <c r="C954" s="139"/>
      <c r="D954" s="194"/>
      <c r="E954" s="141"/>
      <c r="F954" s="142"/>
      <c r="G954" s="141"/>
      <c r="H954" s="142"/>
      <c r="I954" s="194"/>
      <c r="J954" s="141"/>
      <c r="K954" s="141"/>
      <c r="L954" s="141"/>
      <c r="M954" s="143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2.75" customHeight="1">
      <c r="A955" s="138"/>
      <c r="B955" s="139"/>
      <c r="C955" s="139"/>
      <c r="D955" s="194"/>
      <c r="E955" s="141"/>
      <c r="F955" s="142"/>
      <c r="G955" s="141"/>
      <c r="H955" s="142"/>
      <c r="I955" s="194"/>
      <c r="J955" s="141"/>
      <c r="K955" s="141"/>
      <c r="L955" s="141"/>
      <c r="M955" s="143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2.75" customHeight="1">
      <c r="A956" s="138"/>
      <c r="B956" s="139"/>
      <c r="C956" s="139"/>
      <c r="D956" s="194"/>
      <c r="E956" s="141"/>
      <c r="F956" s="142"/>
      <c r="G956" s="141"/>
      <c r="H956" s="142"/>
      <c r="I956" s="194"/>
      <c r="J956" s="141"/>
      <c r="K956" s="141"/>
      <c r="L956" s="141"/>
      <c r="M956" s="143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2.75" customHeight="1">
      <c r="A957" s="138"/>
      <c r="B957" s="139"/>
      <c r="C957" s="139"/>
      <c r="D957" s="194"/>
      <c r="E957" s="141"/>
      <c r="F957" s="142"/>
      <c r="G957" s="141"/>
      <c r="H957" s="142"/>
      <c r="I957" s="194"/>
      <c r="J957" s="141"/>
      <c r="K957" s="141"/>
      <c r="L957" s="141"/>
      <c r="M957" s="143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2.75" customHeight="1">
      <c r="A958" s="138"/>
      <c r="B958" s="139"/>
      <c r="C958" s="139"/>
      <c r="D958" s="194"/>
      <c r="E958" s="141"/>
      <c r="F958" s="142"/>
      <c r="G958" s="141"/>
      <c r="H958" s="142"/>
      <c r="I958" s="194"/>
      <c r="J958" s="141"/>
      <c r="K958" s="141"/>
      <c r="L958" s="141"/>
      <c r="M958" s="143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2.75" customHeight="1">
      <c r="A959" s="138"/>
      <c r="B959" s="139"/>
      <c r="C959" s="139"/>
      <c r="D959" s="194"/>
      <c r="E959" s="141"/>
      <c r="F959" s="142"/>
      <c r="G959" s="141"/>
      <c r="H959" s="142"/>
      <c r="I959" s="194"/>
      <c r="J959" s="141"/>
      <c r="K959" s="141"/>
      <c r="L959" s="141"/>
      <c r="M959" s="143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2.75" customHeight="1">
      <c r="A960" s="138"/>
      <c r="B960" s="139"/>
      <c r="C960" s="139"/>
      <c r="D960" s="194"/>
      <c r="E960" s="141"/>
      <c r="F960" s="142"/>
      <c r="G960" s="141"/>
      <c r="H960" s="142"/>
      <c r="I960" s="194"/>
      <c r="J960" s="141"/>
      <c r="K960" s="141"/>
      <c r="L960" s="141"/>
      <c r="M960" s="143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2.75" customHeight="1">
      <c r="A961" s="138"/>
      <c r="B961" s="139"/>
      <c r="C961" s="139"/>
      <c r="D961" s="194"/>
      <c r="E961" s="141"/>
      <c r="F961" s="142"/>
      <c r="G961" s="141"/>
      <c r="H961" s="142"/>
      <c r="I961" s="194"/>
      <c r="J961" s="141"/>
      <c r="K961" s="141"/>
      <c r="L961" s="141"/>
      <c r="M961" s="143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2.75" customHeight="1">
      <c r="A962" s="138"/>
      <c r="B962" s="139"/>
      <c r="C962" s="139"/>
      <c r="D962" s="194"/>
      <c r="E962" s="141"/>
      <c r="F962" s="142"/>
      <c r="G962" s="141"/>
      <c r="H962" s="142"/>
      <c r="I962" s="194"/>
      <c r="J962" s="141"/>
      <c r="K962" s="141"/>
      <c r="L962" s="141"/>
      <c r="M962" s="143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2.75" customHeight="1">
      <c r="A963" s="138"/>
      <c r="B963" s="139"/>
      <c r="C963" s="139"/>
      <c r="D963" s="194"/>
      <c r="E963" s="141"/>
      <c r="F963" s="142"/>
      <c r="G963" s="141"/>
      <c r="H963" s="142"/>
      <c r="I963" s="194"/>
      <c r="J963" s="141"/>
      <c r="K963" s="141"/>
      <c r="L963" s="141"/>
      <c r="M963" s="143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2.75" customHeight="1">
      <c r="A964" s="138"/>
      <c r="B964" s="139"/>
      <c r="C964" s="139"/>
      <c r="D964" s="194"/>
      <c r="E964" s="141"/>
      <c r="F964" s="142"/>
      <c r="G964" s="141"/>
      <c r="H964" s="142"/>
      <c r="I964" s="194"/>
      <c r="J964" s="141"/>
      <c r="K964" s="141"/>
      <c r="L964" s="141"/>
      <c r="M964" s="143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2.75" customHeight="1">
      <c r="A965" s="138"/>
      <c r="B965" s="139"/>
      <c r="C965" s="139"/>
      <c r="D965" s="194"/>
      <c r="E965" s="141"/>
      <c r="F965" s="142"/>
      <c r="G965" s="141"/>
      <c r="H965" s="142"/>
      <c r="I965" s="194"/>
      <c r="J965" s="141"/>
      <c r="K965" s="141"/>
      <c r="L965" s="141"/>
      <c r="M965" s="143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2.75" customHeight="1">
      <c r="A966" s="138"/>
      <c r="B966" s="139"/>
      <c r="C966" s="139"/>
      <c r="D966" s="194"/>
      <c r="E966" s="141"/>
      <c r="F966" s="142"/>
      <c r="G966" s="141"/>
      <c r="H966" s="142"/>
      <c r="I966" s="194"/>
      <c r="J966" s="141"/>
      <c r="K966" s="141"/>
      <c r="L966" s="141"/>
      <c r="M966" s="143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2.75" customHeight="1">
      <c r="A967" s="138"/>
      <c r="B967" s="139"/>
      <c r="C967" s="139"/>
      <c r="D967" s="194"/>
      <c r="E967" s="141"/>
      <c r="F967" s="142"/>
      <c r="G967" s="141"/>
      <c r="H967" s="142"/>
      <c r="I967" s="194"/>
      <c r="J967" s="141"/>
      <c r="K967" s="141"/>
      <c r="L967" s="141"/>
      <c r="M967" s="143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2.75" customHeight="1">
      <c r="A968" s="138"/>
      <c r="B968" s="139"/>
      <c r="C968" s="139"/>
      <c r="D968" s="194"/>
      <c r="E968" s="141"/>
      <c r="F968" s="142"/>
      <c r="G968" s="141"/>
      <c r="H968" s="142"/>
      <c r="I968" s="194"/>
      <c r="J968" s="141"/>
      <c r="K968" s="141"/>
      <c r="L968" s="141"/>
      <c r="M968" s="143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2.75" customHeight="1">
      <c r="A969" s="138"/>
      <c r="B969" s="139"/>
      <c r="C969" s="139"/>
      <c r="D969" s="194"/>
      <c r="E969" s="141"/>
      <c r="F969" s="142"/>
      <c r="G969" s="141"/>
      <c r="H969" s="142"/>
      <c r="I969" s="194"/>
      <c r="J969" s="141"/>
      <c r="K969" s="141"/>
      <c r="L969" s="141"/>
      <c r="M969" s="143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2.75" customHeight="1">
      <c r="A970" s="138"/>
      <c r="B970" s="139"/>
      <c r="C970" s="139"/>
      <c r="D970" s="194"/>
      <c r="E970" s="141"/>
      <c r="F970" s="142"/>
      <c r="G970" s="141"/>
      <c r="H970" s="142"/>
      <c r="I970" s="194"/>
      <c r="J970" s="141"/>
      <c r="K970" s="141"/>
      <c r="L970" s="141"/>
      <c r="M970" s="143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2.75" customHeight="1">
      <c r="A971" s="138"/>
      <c r="B971" s="139"/>
      <c r="C971" s="139"/>
      <c r="D971" s="194"/>
      <c r="E971" s="141"/>
      <c r="F971" s="142"/>
      <c r="G971" s="141"/>
      <c r="H971" s="142"/>
      <c r="I971" s="194"/>
      <c r="J971" s="141"/>
      <c r="K971" s="141"/>
      <c r="L971" s="141"/>
      <c r="M971" s="143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2.75" customHeight="1">
      <c r="A972" s="138"/>
      <c r="B972" s="139"/>
      <c r="C972" s="139"/>
      <c r="D972" s="194"/>
      <c r="E972" s="141"/>
      <c r="F972" s="142"/>
      <c r="G972" s="141"/>
      <c r="H972" s="142"/>
      <c r="I972" s="194"/>
      <c r="J972" s="141"/>
      <c r="K972" s="141"/>
      <c r="L972" s="141"/>
      <c r="M972" s="143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2.75" customHeight="1">
      <c r="A973" s="138"/>
      <c r="B973" s="139"/>
      <c r="C973" s="139"/>
      <c r="D973" s="194"/>
      <c r="E973" s="141"/>
      <c r="F973" s="142"/>
      <c r="G973" s="141"/>
      <c r="H973" s="142"/>
      <c r="I973" s="194"/>
      <c r="J973" s="141"/>
      <c r="K973" s="141"/>
      <c r="L973" s="141"/>
      <c r="M973" s="143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2.75" customHeight="1">
      <c r="A974" s="138"/>
      <c r="B974" s="139"/>
      <c r="C974" s="139"/>
      <c r="D974" s="194"/>
      <c r="E974" s="141"/>
      <c r="F974" s="142"/>
      <c r="G974" s="141"/>
      <c r="H974" s="142"/>
      <c r="I974" s="194"/>
      <c r="J974" s="141"/>
      <c r="K974" s="141"/>
      <c r="L974" s="141"/>
      <c r="M974" s="143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2.75" customHeight="1">
      <c r="A975" s="138"/>
      <c r="B975" s="139"/>
      <c r="C975" s="139"/>
      <c r="D975" s="194"/>
      <c r="E975" s="141"/>
      <c r="F975" s="142"/>
      <c r="G975" s="141"/>
      <c r="H975" s="142"/>
      <c r="I975" s="194"/>
      <c r="J975" s="141"/>
      <c r="K975" s="141"/>
      <c r="L975" s="141"/>
      <c r="M975" s="143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2.75" customHeight="1">
      <c r="A976" s="138"/>
      <c r="B976" s="139"/>
      <c r="C976" s="139"/>
      <c r="D976" s="194"/>
      <c r="E976" s="141"/>
      <c r="F976" s="142"/>
      <c r="G976" s="141"/>
      <c r="H976" s="142"/>
      <c r="I976" s="194"/>
      <c r="J976" s="141"/>
      <c r="K976" s="141"/>
      <c r="L976" s="141"/>
      <c r="M976" s="143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2.75" customHeight="1">
      <c r="A977" s="138"/>
      <c r="B977" s="139"/>
      <c r="C977" s="139"/>
      <c r="D977" s="194"/>
      <c r="E977" s="141"/>
      <c r="F977" s="142"/>
      <c r="G977" s="141"/>
      <c r="H977" s="142"/>
      <c r="I977" s="194"/>
      <c r="J977" s="141"/>
      <c r="K977" s="141"/>
      <c r="L977" s="141"/>
      <c r="M977" s="143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2.75" customHeight="1">
      <c r="A978" s="138"/>
      <c r="B978" s="139"/>
      <c r="C978" s="139"/>
      <c r="D978" s="194"/>
      <c r="E978" s="141"/>
      <c r="F978" s="142"/>
      <c r="G978" s="141"/>
      <c r="H978" s="142"/>
      <c r="I978" s="194"/>
      <c r="J978" s="141"/>
      <c r="K978" s="141"/>
      <c r="L978" s="141"/>
      <c r="M978" s="143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2.75" customHeight="1">
      <c r="A979" s="138"/>
      <c r="B979" s="139"/>
      <c r="C979" s="139"/>
      <c r="D979" s="194"/>
      <c r="E979" s="141"/>
      <c r="F979" s="142"/>
      <c r="G979" s="141"/>
      <c r="H979" s="142"/>
      <c r="I979" s="194"/>
      <c r="J979" s="141"/>
      <c r="K979" s="141"/>
      <c r="L979" s="141"/>
      <c r="M979" s="143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2.75" customHeight="1">
      <c r="A980" s="138"/>
      <c r="B980" s="139"/>
      <c r="C980" s="139"/>
      <c r="D980" s="194"/>
      <c r="E980" s="141"/>
      <c r="F980" s="142"/>
      <c r="G980" s="141"/>
      <c r="H980" s="142"/>
      <c r="I980" s="194"/>
      <c r="J980" s="141"/>
      <c r="K980" s="141"/>
      <c r="L980" s="141"/>
      <c r="M980" s="143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2.75" customHeight="1">
      <c r="A981" s="138"/>
      <c r="B981" s="139"/>
      <c r="C981" s="139"/>
      <c r="D981" s="194"/>
      <c r="E981" s="141"/>
      <c r="F981" s="142"/>
      <c r="G981" s="141"/>
      <c r="H981" s="142"/>
      <c r="I981" s="194"/>
      <c r="J981" s="141"/>
      <c r="K981" s="141"/>
      <c r="L981" s="141"/>
      <c r="M981" s="143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2.75" customHeight="1">
      <c r="A982" s="138"/>
      <c r="B982" s="139"/>
      <c r="C982" s="139"/>
      <c r="D982" s="194"/>
      <c r="E982" s="141"/>
      <c r="F982" s="142"/>
      <c r="G982" s="141"/>
      <c r="H982" s="142"/>
      <c r="I982" s="194"/>
      <c r="J982" s="141"/>
      <c r="K982" s="141"/>
      <c r="L982" s="141"/>
      <c r="M982" s="143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2.75" customHeight="1">
      <c r="A983" s="138"/>
      <c r="B983" s="139"/>
      <c r="C983" s="139"/>
      <c r="D983" s="194"/>
      <c r="E983" s="141"/>
      <c r="F983" s="142"/>
      <c r="G983" s="141"/>
      <c r="H983" s="142"/>
      <c r="I983" s="194"/>
      <c r="J983" s="141"/>
      <c r="K983" s="141"/>
      <c r="L983" s="141"/>
      <c r="M983" s="143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2.75" customHeight="1">
      <c r="A984" s="138"/>
      <c r="B984" s="139"/>
      <c r="C984" s="139"/>
      <c r="D984" s="194"/>
      <c r="E984" s="141"/>
      <c r="F984" s="142"/>
      <c r="G984" s="141"/>
      <c r="H984" s="142"/>
      <c r="I984" s="194"/>
      <c r="J984" s="141"/>
      <c r="K984" s="141"/>
      <c r="L984" s="141"/>
      <c r="M984" s="143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2.75" customHeight="1">
      <c r="A985" s="138"/>
      <c r="B985" s="139"/>
      <c r="C985" s="139"/>
      <c r="D985" s="194"/>
      <c r="E985" s="141"/>
      <c r="F985" s="142"/>
      <c r="G985" s="141"/>
      <c r="H985" s="142"/>
      <c r="I985" s="194"/>
      <c r="J985" s="141"/>
      <c r="K985" s="141"/>
      <c r="L985" s="141"/>
      <c r="M985" s="143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2.75" customHeight="1">
      <c r="A986" s="138"/>
      <c r="B986" s="139"/>
      <c r="C986" s="139"/>
      <c r="D986" s="194"/>
      <c r="E986" s="141"/>
      <c r="F986" s="142"/>
      <c r="G986" s="141"/>
      <c r="H986" s="142"/>
      <c r="I986" s="194"/>
      <c r="J986" s="141"/>
      <c r="K986" s="141"/>
      <c r="L986" s="141"/>
      <c r="M986" s="143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2.75" customHeight="1">
      <c r="A987" s="138"/>
      <c r="B987" s="139"/>
      <c r="C987" s="139"/>
      <c r="D987" s="194"/>
      <c r="E987" s="141"/>
      <c r="F987" s="142"/>
      <c r="G987" s="141"/>
      <c r="H987" s="142"/>
      <c r="I987" s="194"/>
      <c r="J987" s="141"/>
      <c r="K987" s="141"/>
      <c r="L987" s="141"/>
      <c r="M987" s="143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2.75" customHeight="1">
      <c r="A988" s="138"/>
      <c r="B988" s="139"/>
      <c r="C988" s="139"/>
      <c r="D988" s="194"/>
      <c r="E988" s="141"/>
      <c r="F988" s="142"/>
      <c r="G988" s="141"/>
      <c r="H988" s="142"/>
      <c r="I988" s="194"/>
      <c r="J988" s="141"/>
      <c r="K988" s="141"/>
      <c r="L988" s="141"/>
      <c r="M988" s="143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2.75" customHeight="1">
      <c r="A989" s="138"/>
      <c r="B989" s="139"/>
      <c r="C989" s="139"/>
      <c r="D989" s="194"/>
      <c r="E989" s="141"/>
      <c r="F989" s="142"/>
      <c r="G989" s="141"/>
      <c r="H989" s="142"/>
      <c r="I989" s="194"/>
      <c r="J989" s="141"/>
      <c r="K989" s="141"/>
      <c r="L989" s="141"/>
      <c r="M989" s="143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2.75" customHeight="1">
      <c r="A990" s="138"/>
      <c r="B990" s="139"/>
      <c r="C990" s="139"/>
      <c r="D990" s="194"/>
      <c r="E990" s="141"/>
      <c r="F990" s="142"/>
      <c r="G990" s="141"/>
      <c r="H990" s="142"/>
      <c r="I990" s="194"/>
      <c r="J990" s="141"/>
      <c r="K990" s="141"/>
      <c r="L990" s="141"/>
      <c r="M990" s="143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2.75" customHeight="1">
      <c r="A991" s="138"/>
      <c r="B991" s="139"/>
      <c r="C991" s="139"/>
      <c r="D991" s="194"/>
      <c r="E991" s="141"/>
      <c r="F991" s="142"/>
      <c r="G991" s="141"/>
      <c r="H991" s="142"/>
      <c r="I991" s="194"/>
      <c r="J991" s="141"/>
      <c r="K991" s="141"/>
      <c r="L991" s="141"/>
      <c r="M991" s="143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2.75" customHeight="1">
      <c r="A992" s="138"/>
      <c r="B992" s="139"/>
      <c r="C992" s="139"/>
      <c r="D992" s="194"/>
      <c r="E992" s="141"/>
      <c r="F992" s="142"/>
      <c r="G992" s="141"/>
      <c r="H992" s="142"/>
      <c r="I992" s="194"/>
      <c r="J992" s="141"/>
      <c r="K992" s="141"/>
      <c r="L992" s="141"/>
      <c r="M992" s="143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2.75" customHeight="1">
      <c r="A993" s="138"/>
      <c r="B993" s="139"/>
      <c r="C993" s="139"/>
      <c r="D993" s="194"/>
      <c r="E993" s="141"/>
      <c r="F993" s="142"/>
      <c r="G993" s="141"/>
      <c r="H993" s="142"/>
      <c r="I993" s="194"/>
      <c r="J993" s="141"/>
      <c r="K993" s="141"/>
      <c r="L993" s="141"/>
      <c r="M993" s="143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2.75" customHeight="1">
      <c r="A994" s="138"/>
      <c r="B994" s="139"/>
      <c r="C994" s="139"/>
      <c r="D994" s="194"/>
      <c r="E994" s="141"/>
      <c r="F994" s="142"/>
      <c r="G994" s="141"/>
      <c r="H994" s="142"/>
      <c r="I994" s="194"/>
      <c r="J994" s="141"/>
      <c r="K994" s="141"/>
      <c r="L994" s="141"/>
      <c r="M994" s="143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2.75" customHeight="1">
      <c r="A995" s="138"/>
      <c r="B995" s="139"/>
      <c r="C995" s="139"/>
      <c r="D995" s="194"/>
      <c r="E995" s="141"/>
      <c r="F995" s="142"/>
      <c r="G995" s="141"/>
      <c r="H995" s="142"/>
      <c r="I995" s="194"/>
      <c r="J995" s="141"/>
      <c r="K995" s="141"/>
      <c r="L995" s="141"/>
      <c r="M995" s="143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2.75" customHeight="1">
      <c r="A996" s="138"/>
      <c r="B996" s="139"/>
      <c r="C996" s="139"/>
      <c r="D996" s="194"/>
      <c r="E996" s="141"/>
      <c r="F996" s="142"/>
      <c r="G996" s="141"/>
      <c r="H996" s="142"/>
      <c r="I996" s="194"/>
      <c r="J996" s="141"/>
      <c r="K996" s="141"/>
      <c r="L996" s="141"/>
      <c r="M996" s="143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2.75" customHeight="1">
      <c r="A997" s="138"/>
      <c r="B997" s="139"/>
      <c r="C997" s="139"/>
      <c r="D997" s="194"/>
      <c r="E997" s="141"/>
      <c r="F997" s="142"/>
      <c r="G997" s="141"/>
      <c r="H997" s="142"/>
      <c r="I997" s="194"/>
      <c r="J997" s="141"/>
      <c r="K997" s="141"/>
      <c r="L997" s="141"/>
      <c r="M997" s="143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2.75" customHeight="1">
      <c r="A998" s="138"/>
      <c r="B998" s="139"/>
      <c r="C998" s="139"/>
      <c r="D998" s="194"/>
      <c r="E998" s="141"/>
      <c r="F998" s="142"/>
      <c r="G998" s="141"/>
      <c r="H998" s="142"/>
      <c r="I998" s="194"/>
      <c r="J998" s="141"/>
      <c r="K998" s="141"/>
      <c r="L998" s="141"/>
      <c r="M998" s="143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2.75" customHeight="1">
      <c r="A999" s="138"/>
      <c r="B999" s="139"/>
      <c r="C999" s="139"/>
      <c r="D999" s="194"/>
      <c r="E999" s="141"/>
      <c r="F999" s="142"/>
      <c r="G999" s="141"/>
      <c r="H999" s="142"/>
      <c r="I999" s="194"/>
      <c r="J999" s="141"/>
      <c r="K999" s="141"/>
      <c r="L999" s="141"/>
      <c r="M999" s="143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2.75" customHeight="1">
      <c r="A1000" s="138"/>
      <c r="B1000" s="139"/>
      <c r="C1000" s="139"/>
      <c r="D1000" s="194"/>
      <c r="E1000" s="141"/>
      <c r="F1000" s="142"/>
      <c r="G1000" s="141"/>
      <c r="H1000" s="142"/>
      <c r="I1000" s="194"/>
      <c r="J1000" s="141"/>
      <c r="K1000" s="141"/>
      <c r="L1000" s="141"/>
      <c r="M1000" s="143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autoFilter ref="$A$1:$L$4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2020-06-12T02:32:57Z</dcterms:created>
</cp:coreProperties>
</file>